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P:\VEŘEJNÉ_ZAKÁZKY\133_ŠAF\Zhotovitel stavby\VZD č.4\"/>
    </mc:Choice>
  </mc:AlternateContent>
  <xr:revisionPtr revIDLastSave="0" documentId="13_ncr:1_{D5ADC9CE-CF0C-4913-B9ED-5D5E67CF2E5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kapitulace_stavby" sheetId="1" r:id="rId1"/>
    <sheet name="ARS_-_Architektonicko-sta___" sheetId="2" r:id="rId2"/>
    <sheet name="KCE_-_Konstrukční_část" sheetId="3" r:id="rId3"/>
    <sheet name="FAS_-_Fasády" sheetId="4" r:id="rId4"/>
    <sheet name="STŘ_-_Střechy" sheetId="5" r:id="rId5"/>
    <sheet name="DOZ_-_Výtahy" sheetId="6" r:id="rId6"/>
    <sheet name="01_-_Klempířské_prvky" sheetId="7" r:id="rId7"/>
    <sheet name="02_-_Ostatní_výrobky" sheetId="8" r:id="rId8"/>
    <sheet name="03_-_Dveře" sheetId="9" r:id="rId9"/>
    <sheet name="04_-_Prosklené_fasády,_ok___" sheetId="10" r:id="rId10"/>
    <sheet name="05_-_Zámečnické_prvky" sheetId="11" r:id="rId11"/>
    <sheet name="OST_-_Ostatní_konstrukce____" sheetId="12" r:id="rId12"/>
    <sheet name="BOU_-_Bourací_a_demontážn___" sheetId="13" r:id="rId13"/>
    <sheet name="ZTI_-_Zdravotní_technika" sheetId="14" r:id="rId14"/>
    <sheet name="DEŠ_-_Dešťová_kanalizace" sheetId="15" r:id="rId15"/>
    <sheet name="VYT_-_Vytápění" sheetId="16" r:id="rId16"/>
    <sheet name="CHL_-_Chlazení" sheetId="17" r:id="rId17"/>
    <sheet name="SIL_-_Silnoproud_a_hromosvod" sheetId="18" r:id="rId18"/>
    <sheet name="SLA_-_Slaboproud" sheetId="19" r:id="rId19"/>
    <sheet name="FVE_-_FVE_systém_-_LFP" sheetId="20" r:id="rId20"/>
    <sheet name="FV_-_FV_systém" sheetId="21" r:id="rId21"/>
    <sheet name="NZS_-_NZS_-_EPS" sheetId="22" r:id="rId22"/>
    <sheet name="VZT_-_Vzduchotechnika" sheetId="23" r:id="rId23"/>
    <sheet name="SO_02_-_Komunikace" sheetId="24" r:id="rId24"/>
    <sheet name="SO_03_-_Sadové_úpravy" sheetId="25" r:id="rId25"/>
    <sheet name="VRN_-_Vedlejší_rozpočtové___" sheetId="26" r:id="rId26"/>
    <sheet name="Seznam_figur" sheetId="27" r:id="rId27"/>
    <sheet name="Příloha_povrchové_úpravy_stěn" sheetId="28" r:id="rId28"/>
    <sheet name="Příloha_podlahy_240919" sheetId="29" state="hidden" r:id="rId29"/>
  </sheets>
  <definedNames>
    <definedName name="_xlnm._FilterDatabase" localSheetId="6" hidden="1">'01_-_Klempířské_prvky'!$C$138:$K$157</definedName>
    <definedName name="_xlnm._FilterDatabase" localSheetId="7" hidden="1">'02_-_Ostatní_výrobky'!$C$138:$K$145</definedName>
    <definedName name="_xlnm._FilterDatabase" localSheetId="8" hidden="1">'03_-_Dveře'!$C$138:$K$233</definedName>
    <definedName name="_xlnm._FilterDatabase" localSheetId="9" hidden="1">'04_-_Prosklené_fasády,_ok___'!$C$138:$K$231</definedName>
    <definedName name="_xlnm._FilterDatabase" localSheetId="10" hidden="1">'05_-_Zámečnické_prvky'!$C$138:$K$233</definedName>
    <definedName name="_xlnm._FilterDatabase" localSheetId="1" hidden="1">'ARS_-_Architektonicko-sta___'!$C$137:$K$2984</definedName>
    <definedName name="_xlnm._FilterDatabase" localSheetId="12" hidden="1">'BOU_-_Bourací_a_demontážn___'!$C$137:$K$1334</definedName>
    <definedName name="_xlnm._FilterDatabase" localSheetId="14" hidden="1">'DEŠ_-_Dešťová_kanalizace'!$C$137:$K$258</definedName>
    <definedName name="_xlnm._FilterDatabase" localSheetId="5" hidden="1">'DOZ_-_Výtahy'!$C$138:$K$145</definedName>
    <definedName name="_xlnm._FilterDatabase" localSheetId="3" hidden="1">'FAS_-_Fasády'!$C$137:$K$1399</definedName>
    <definedName name="_xlnm._FilterDatabase" localSheetId="20" hidden="1">'FV_-_FV_systém'!$C$138:$K$168</definedName>
    <definedName name="_xlnm._FilterDatabase" localSheetId="19" hidden="1">'FVE_-_FVE_systém_-_LFP'!$C$138:$K$150</definedName>
    <definedName name="_xlnm._FilterDatabase" localSheetId="16" hidden="1">'CHL_-_Chlazení'!$C$137:$K$187</definedName>
    <definedName name="_xlnm._FilterDatabase" localSheetId="2" hidden="1">'KCE_-_Konstrukční_část'!$C$137:$K$796</definedName>
    <definedName name="_xlnm._FilterDatabase" localSheetId="21" hidden="1">'NZS_-_NZS_-_EPS'!$C$138:$K$231</definedName>
    <definedName name="_xlnm._FilterDatabase" localSheetId="11" hidden="1">'OST_-_Ostatní_konstrukce____'!$C$137:$K$417</definedName>
    <definedName name="_xlnm._FilterDatabase" localSheetId="28" hidden="1">Příloha_podlahy_240919!$A$26:$J$344</definedName>
    <definedName name="_xlnm._FilterDatabase" localSheetId="27" hidden="1">Příloha_povrchové_úpravy_stěn!$A$17:$K$318</definedName>
    <definedName name="_xlnm._FilterDatabase" localSheetId="17" hidden="1">'SIL_-_Silnoproud_a_hromosvod'!$C$138:$K$375</definedName>
    <definedName name="_xlnm._FilterDatabase" localSheetId="18" hidden="1">'SLA_-_Slaboproud'!$C$138:$K$226</definedName>
    <definedName name="_xlnm._FilterDatabase" localSheetId="23" hidden="1">'SO_02_-_Komunikace'!$C$137:$K$509</definedName>
    <definedName name="_xlnm._FilterDatabase" localSheetId="24" hidden="1">'SO_03_-_Sadové_úpravy'!$C$138:$K$186</definedName>
    <definedName name="_xlnm._FilterDatabase" localSheetId="4" hidden="1">'STŘ_-_Střechy'!$C$137:$K$591</definedName>
    <definedName name="_xlnm._FilterDatabase" localSheetId="25" hidden="1">'VRN_-_Vedlejší_rozpočtové___'!$C$137:$K$187</definedName>
    <definedName name="_xlnm._FilterDatabase" localSheetId="15" hidden="1">'VYT_-_Vytápění'!$C$137:$K$271</definedName>
    <definedName name="_xlnm._FilterDatabase" localSheetId="22" hidden="1">'VZT_-_Vzduchotechnika'!$C$136:$K$318</definedName>
    <definedName name="_xlnm._FilterDatabase" localSheetId="13" hidden="1">'ZTI_-_Zdravotní_technika'!$C$137:$K$287</definedName>
    <definedName name="_xlnm.Print_Titles" localSheetId="6">'01_-_Klempířské_prvky'!$138:$138</definedName>
    <definedName name="_xlnm.Print_Titles" localSheetId="7">'02_-_Ostatní_výrobky'!$138:$138</definedName>
    <definedName name="_xlnm.Print_Titles" localSheetId="8">'03_-_Dveře'!$138:$138</definedName>
    <definedName name="_xlnm.Print_Titles" localSheetId="9">'04_-_Prosklené_fasády,_ok___'!$138:$138</definedName>
    <definedName name="_xlnm.Print_Titles" localSheetId="10">'05_-_Zámečnické_prvky'!$138:$138</definedName>
    <definedName name="_xlnm.Print_Titles" localSheetId="1">'ARS_-_Architektonicko-sta___'!$137:$137</definedName>
    <definedName name="_xlnm.Print_Titles" localSheetId="12">'BOU_-_Bourací_a_demontážn___'!$137:$137</definedName>
    <definedName name="_xlnm.Print_Titles" localSheetId="14">'DEŠ_-_Dešťová_kanalizace'!$137:$137</definedName>
    <definedName name="_xlnm.Print_Titles" localSheetId="5">'DOZ_-_Výtahy'!$138:$138</definedName>
    <definedName name="_xlnm.Print_Titles" localSheetId="3">'FAS_-_Fasády'!$137:$137</definedName>
    <definedName name="_xlnm.Print_Titles" localSheetId="20">'FV_-_FV_systém'!$138:$138</definedName>
    <definedName name="_xlnm.Print_Titles" localSheetId="19">'FVE_-_FVE_systém_-_LFP'!$138:$138</definedName>
    <definedName name="_xlnm.Print_Titles" localSheetId="16">'CHL_-_Chlazení'!$137:$137</definedName>
    <definedName name="_xlnm.Print_Titles" localSheetId="2">'KCE_-_Konstrukční_část'!$137:$137</definedName>
    <definedName name="_xlnm.Print_Titles" localSheetId="21">'NZS_-_NZS_-_EPS'!$138:$138</definedName>
    <definedName name="_xlnm.Print_Titles" localSheetId="11">'OST_-_Ostatní_konstrukce____'!$137:$137</definedName>
    <definedName name="_xlnm.Print_Titles" localSheetId="0">Rekapitulace_stavby!$92:$92</definedName>
    <definedName name="_xlnm.Print_Titles" localSheetId="26">Seznam_figur!$9:$9</definedName>
    <definedName name="_xlnm.Print_Titles" localSheetId="17">'SIL_-_Silnoproud_a_hromosvod'!$138:$138</definedName>
    <definedName name="_xlnm.Print_Titles" localSheetId="18">'SLA_-_Slaboproud'!$138:$138</definedName>
    <definedName name="_xlnm.Print_Titles" localSheetId="23">'SO_02_-_Komunikace'!$137:$137</definedName>
    <definedName name="_xlnm.Print_Titles" localSheetId="24">'SO_03_-_Sadové_úpravy'!$138:$138</definedName>
    <definedName name="_xlnm.Print_Titles" localSheetId="4">'STŘ_-_Střechy'!$137:$137</definedName>
    <definedName name="_xlnm.Print_Titles" localSheetId="25">'VRN_-_Vedlejší_rozpočtové___'!$137:$137</definedName>
    <definedName name="_xlnm.Print_Titles" localSheetId="15">'VYT_-_Vytápění'!$137:$137</definedName>
    <definedName name="_xlnm.Print_Titles" localSheetId="22">'VZT_-_Vzduchotechnika'!$136:$136</definedName>
    <definedName name="_xlnm.Print_Titles" localSheetId="13">'ZTI_-_Zdravotní_technika'!$137:$137</definedName>
    <definedName name="_xlnm.Print_Area" localSheetId="6">'01_-_Klempířské_prvky'!$C$122:$K$157</definedName>
    <definedName name="_xlnm.Print_Area" localSheetId="7">'02_-_Ostatní_výrobky'!$C$122:$K$145</definedName>
    <definedName name="_xlnm.Print_Area" localSheetId="8">'03_-_Dveře'!$C$122:$K$233</definedName>
    <definedName name="_xlnm.Print_Area" localSheetId="9">'04_-_Prosklené_fasády,_ok___'!$C$122:$K$231</definedName>
    <definedName name="_xlnm.Print_Area" localSheetId="10">'05_-_Zámečnické_prvky'!$C$122:$K$233</definedName>
    <definedName name="_xlnm.Print_Area" localSheetId="1">'ARS_-_Architektonicko-sta___'!$C$123:$K$2984</definedName>
    <definedName name="_xlnm.Print_Area" localSheetId="12">'BOU_-_Bourací_a_demontážn___'!$C$123:$K$1334</definedName>
    <definedName name="_xlnm.Print_Area" localSheetId="14">'DEŠ_-_Dešťová_kanalizace'!$C$123:$K$258</definedName>
    <definedName name="_xlnm.Print_Area" localSheetId="5">'DOZ_-_Výtahy'!$C$124:$K$145</definedName>
    <definedName name="_xlnm.Print_Area" localSheetId="3">'FAS_-_Fasády'!$C$123:$K$1399</definedName>
    <definedName name="_xlnm.Print_Area" localSheetId="20">'FV_-_FV_systém'!$C$122:$K$168</definedName>
    <definedName name="_xlnm.Print_Area" localSheetId="19">'FVE_-_FVE_systém_-_LFP'!$C$122:$K$150</definedName>
    <definedName name="_xlnm.Print_Area" localSheetId="16">'CHL_-_Chlazení'!$C$123:$K$187</definedName>
    <definedName name="_xlnm.Print_Area" localSheetId="2">'KCE_-_Konstrukční_část'!$C$123:$K$796</definedName>
    <definedName name="_xlnm.Print_Area" localSheetId="21">'NZS_-_NZS_-_EPS'!$C$122:$K$231</definedName>
    <definedName name="_xlnm.Print_Area" localSheetId="11">'OST_-_Ostatní_konstrukce____'!$C$123:$K$417</definedName>
    <definedName name="_xlnm.Print_Area" localSheetId="0">Rekapitulace_stavby!$D$4:$AO$76,Rekapitulace_stavby!$C$82:$AQ$123</definedName>
    <definedName name="_xlnm.Print_Area" localSheetId="26">Seznam_figur!$C$4:$G$3550</definedName>
    <definedName name="_xlnm.Print_Area" localSheetId="17">'SIL_-_Silnoproud_a_hromosvod'!$C$122:$K$375</definedName>
    <definedName name="_xlnm.Print_Area" localSheetId="18">'SLA_-_Slaboproud'!$C$122:$K$226</definedName>
    <definedName name="_xlnm.Print_Area" localSheetId="23">'SO_02_-_Komunikace'!$C$125:$K$509</definedName>
    <definedName name="_xlnm.Print_Area" localSheetId="24">'SO_03_-_Sadové_úpravy'!$C$126:$K$186</definedName>
    <definedName name="_xlnm.Print_Area" localSheetId="4">'STŘ_-_Střechy'!$C$123:$K$591</definedName>
    <definedName name="_xlnm.Print_Area" localSheetId="25">'VRN_-_Vedlejší_rozpočtové___'!$C$125:$K$187</definedName>
    <definedName name="_xlnm.Print_Area" localSheetId="15">'VYT_-_Vytápění'!$C$123:$K$271</definedName>
    <definedName name="_xlnm.Print_Area" localSheetId="22">'VZT_-_Vzduchotechnika'!$C$122:$K$318</definedName>
    <definedName name="_xlnm.Print_Area" localSheetId="13">'ZTI_-_Zdravotní_technika'!$C$123:$K$287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K196" i="22" l="1"/>
  <c r="BI196" i="22"/>
  <c r="BH196" i="22"/>
  <c r="BG196" i="22"/>
  <c r="BF196" i="22"/>
  <c r="T196" i="22"/>
  <c r="R196" i="22"/>
  <c r="P196" i="22"/>
  <c r="J196" i="22"/>
  <c r="BE196" i="22" s="1"/>
  <c r="BK224" i="18"/>
  <c r="BI224" i="18"/>
  <c r="BH224" i="18"/>
  <c r="BG224" i="18"/>
  <c r="BF224" i="18"/>
  <c r="T224" i="18"/>
  <c r="R224" i="18"/>
  <c r="P224" i="18"/>
  <c r="J224" i="18"/>
  <c r="BE224" i="18" s="1"/>
  <c r="BK168" i="19"/>
  <c r="BI168" i="19"/>
  <c r="BH168" i="19"/>
  <c r="BG168" i="19"/>
  <c r="BF168" i="19"/>
  <c r="T168" i="19"/>
  <c r="R168" i="19"/>
  <c r="P168" i="19"/>
  <c r="J168" i="19"/>
  <c r="BE168" i="19" s="1"/>
  <c r="J373" i="18"/>
  <c r="BK203" i="18"/>
  <c r="BI203" i="18"/>
  <c r="BH203" i="18"/>
  <c r="BG203" i="18"/>
  <c r="BF203" i="18"/>
  <c r="T203" i="18"/>
  <c r="R203" i="18"/>
  <c r="P203" i="18"/>
  <c r="J203" i="18"/>
  <c r="BE203" i="18" s="1"/>
  <c r="BK372" i="18"/>
  <c r="BI372" i="18"/>
  <c r="BH372" i="18"/>
  <c r="BG372" i="18"/>
  <c r="BF372" i="18"/>
  <c r="T372" i="18"/>
  <c r="R372" i="18"/>
  <c r="P372" i="18"/>
  <c r="J372" i="18"/>
  <c r="BE372" i="18" s="1"/>
  <c r="BK202" i="18"/>
  <c r="BI202" i="18"/>
  <c r="BH202" i="18"/>
  <c r="BG202" i="18"/>
  <c r="BF202" i="18"/>
  <c r="T202" i="18"/>
  <c r="R202" i="18"/>
  <c r="P202" i="18"/>
  <c r="J202" i="18"/>
  <c r="BE202" i="18" s="1"/>
  <c r="D7" i="27"/>
  <c r="J12" i="26"/>
  <c r="J12" i="25"/>
  <c r="J12" i="24"/>
  <c r="J14" i="23"/>
  <c r="J16" i="22"/>
  <c r="J16" i="21"/>
  <c r="J16" i="20"/>
  <c r="J16" i="19"/>
  <c r="J16" i="18"/>
  <c r="J14" i="17"/>
  <c r="J14" i="16"/>
  <c r="J14" i="15"/>
  <c r="J14" i="14"/>
  <c r="J14" i="13"/>
  <c r="J14" i="12"/>
  <c r="J16" i="11"/>
  <c r="J16" i="10"/>
  <c r="J16" i="9"/>
  <c r="J16" i="8"/>
  <c r="J16" i="7"/>
  <c r="J14" i="6"/>
  <c r="J14" i="5"/>
  <c r="J14" i="4"/>
  <c r="J14" i="3"/>
  <c r="J14" i="2"/>
  <c r="E20" i="2"/>
  <c r="F94" i="2" s="1"/>
  <c r="J24" i="26" l="1"/>
  <c r="E24" i="26"/>
  <c r="J23" i="26"/>
  <c r="J21" i="26"/>
  <c r="E21" i="26"/>
  <c r="J20" i="26"/>
  <c r="J18" i="26"/>
  <c r="E18" i="26"/>
  <c r="F135" i="26" s="1"/>
  <c r="J17" i="26"/>
  <c r="J89" i="26"/>
  <c r="E7" i="26"/>
  <c r="J24" i="25"/>
  <c r="E24" i="25"/>
  <c r="J23" i="25"/>
  <c r="J21" i="25"/>
  <c r="E21" i="25"/>
  <c r="J20" i="25"/>
  <c r="J18" i="25"/>
  <c r="E18" i="25"/>
  <c r="F136" i="25" s="1"/>
  <c r="J17" i="25"/>
  <c r="J15" i="25"/>
  <c r="E15" i="25"/>
  <c r="J14" i="25"/>
  <c r="J89" i="25"/>
  <c r="E7" i="25"/>
  <c r="J18" i="24"/>
  <c r="E18" i="24"/>
  <c r="F92" i="24" s="1"/>
  <c r="J17" i="24"/>
  <c r="J15" i="24"/>
  <c r="E15" i="24"/>
  <c r="J14" i="24"/>
  <c r="E7" i="24"/>
  <c r="J26" i="23"/>
  <c r="E26" i="23"/>
  <c r="J25" i="23"/>
  <c r="J23" i="23"/>
  <c r="E23" i="23"/>
  <c r="J22" i="23"/>
  <c r="J20" i="23"/>
  <c r="E20" i="23"/>
  <c r="F134" i="23" s="1"/>
  <c r="J19" i="23"/>
  <c r="J17" i="23"/>
  <c r="E17" i="23"/>
  <c r="J16" i="23"/>
  <c r="E7" i="23"/>
  <c r="J28" i="22"/>
  <c r="E28" i="22"/>
  <c r="J96" i="22" s="1"/>
  <c r="J27" i="22"/>
  <c r="J25" i="22"/>
  <c r="E25" i="22"/>
  <c r="J135" i="22" s="1"/>
  <c r="J24" i="22"/>
  <c r="J22" i="22"/>
  <c r="E22" i="22"/>
  <c r="J21" i="22"/>
  <c r="J19" i="22"/>
  <c r="E19" i="22"/>
  <c r="F135" i="22" s="1"/>
  <c r="J18" i="22"/>
  <c r="E7" i="22"/>
  <c r="E125" i="22" s="1"/>
  <c r="J22" i="21"/>
  <c r="E22" i="21"/>
  <c r="J21" i="21"/>
  <c r="J19" i="21"/>
  <c r="E19" i="21"/>
  <c r="J18" i="21"/>
  <c r="E7" i="21"/>
  <c r="J22" i="20"/>
  <c r="E22" i="20"/>
  <c r="J21" i="20"/>
  <c r="J19" i="20"/>
  <c r="E19" i="20"/>
  <c r="J18" i="20"/>
  <c r="E7" i="20"/>
  <c r="J22" i="19"/>
  <c r="E22" i="19"/>
  <c r="J21" i="19"/>
  <c r="J19" i="19"/>
  <c r="E19" i="19"/>
  <c r="F95" i="19" s="1"/>
  <c r="J18" i="19"/>
  <c r="E7" i="19"/>
  <c r="E125" i="19" s="1"/>
  <c r="J22" i="18"/>
  <c r="E22" i="18"/>
  <c r="J21" i="18"/>
  <c r="J19" i="18"/>
  <c r="E19" i="18"/>
  <c r="F135" i="18" s="1"/>
  <c r="J18" i="18"/>
  <c r="E7" i="18"/>
  <c r="J26" i="17"/>
  <c r="E26" i="17"/>
  <c r="J25" i="17"/>
  <c r="J23" i="17"/>
  <c r="E23" i="17"/>
  <c r="J22" i="17"/>
  <c r="J20" i="17"/>
  <c r="E20" i="17"/>
  <c r="F94" i="17" s="1"/>
  <c r="J19" i="17"/>
  <c r="J17" i="17"/>
  <c r="E17" i="17"/>
  <c r="J16" i="17"/>
  <c r="J132" i="17"/>
  <c r="E7" i="17"/>
  <c r="J26" i="16"/>
  <c r="E26" i="16"/>
  <c r="J135" i="16" s="1"/>
  <c r="J25" i="16"/>
  <c r="J23" i="16"/>
  <c r="E23" i="16"/>
  <c r="J22" i="16"/>
  <c r="J20" i="16"/>
  <c r="E20" i="16"/>
  <c r="J19" i="16"/>
  <c r="J17" i="16"/>
  <c r="E17" i="16"/>
  <c r="F93" i="16" s="1"/>
  <c r="J16" i="16"/>
  <c r="J132" i="16"/>
  <c r="E7" i="16"/>
  <c r="E85" i="16" s="1"/>
  <c r="J20" i="15"/>
  <c r="E20" i="15"/>
  <c r="J19" i="15"/>
  <c r="J17" i="15"/>
  <c r="E17" i="15"/>
  <c r="J16" i="15"/>
  <c r="E7" i="15"/>
  <c r="J26" i="14"/>
  <c r="E26" i="14"/>
  <c r="J25" i="14"/>
  <c r="J23" i="14"/>
  <c r="E23" i="14"/>
  <c r="J22" i="14"/>
  <c r="J20" i="14"/>
  <c r="E20" i="14"/>
  <c r="F135" i="14" s="1"/>
  <c r="J19" i="14"/>
  <c r="J17" i="14"/>
  <c r="E17" i="14"/>
  <c r="J16" i="14"/>
  <c r="E7" i="14"/>
  <c r="J20" i="13"/>
  <c r="E20" i="13"/>
  <c r="F135" i="13" s="1"/>
  <c r="J19" i="13"/>
  <c r="E7" i="13"/>
  <c r="J20" i="12"/>
  <c r="E20" i="12"/>
  <c r="J19" i="12"/>
  <c r="E7" i="12"/>
  <c r="J28" i="11"/>
  <c r="E28" i="11"/>
  <c r="J27" i="11"/>
  <c r="J25" i="11"/>
  <c r="E25" i="11"/>
  <c r="J24" i="11"/>
  <c r="J22" i="11"/>
  <c r="E22" i="11"/>
  <c r="F136" i="11" s="1"/>
  <c r="J21" i="11"/>
  <c r="J19" i="11"/>
  <c r="E19" i="11"/>
  <c r="J18" i="11"/>
  <c r="E7" i="11"/>
  <c r="J28" i="10"/>
  <c r="E28" i="10"/>
  <c r="J136" i="10" s="1"/>
  <c r="J27" i="10"/>
  <c r="J25" i="10"/>
  <c r="E25" i="10"/>
  <c r="J24" i="10"/>
  <c r="J22" i="10"/>
  <c r="E22" i="10"/>
  <c r="J21" i="10"/>
  <c r="J19" i="10"/>
  <c r="E19" i="10"/>
  <c r="F135" i="10" s="1"/>
  <c r="J18" i="10"/>
  <c r="E7" i="10"/>
  <c r="J28" i="9"/>
  <c r="E28" i="9"/>
  <c r="J27" i="9"/>
  <c r="J25" i="9"/>
  <c r="E25" i="9"/>
  <c r="J24" i="9"/>
  <c r="J22" i="9"/>
  <c r="E22" i="9"/>
  <c r="F136" i="9" s="1"/>
  <c r="J21" i="9"/>
  <c r="J19" i="9"/>
  <c r="E19" i="9"/>
  <c r="F135" i="9" s="1"/>
  <c r="J18" i="9"/>
  <c r="J133" i="9"/>
  <c r="E7" i="9"/>
  <c r="J28" i="8"/>
  <c r="E28" i="8"/>
  <c r="J27" i="8"/>
  <c r="J25" i="8"/>
  <c r="E25" i="8"/>
  <c r="J24" i="8"/>
  <c r="J22" i="8"/>
  <c r="E22" i="8"/>
  <c r="F96" i="8" s="1"/>
  <c r="J21" i="8"/>
  <c r="J19" i="8"/>
  <c r="E19" i="8"/>
  <c r="J18" i="8"/>
  <c r="E7" i="8"/>
  <c r="J28" i="7"/>
  <c r="E28" i="7"/>
  <c r="J27" i="7"/>
  <c r="J25" i="7"/>
  <c r="E25" i="7"/>
  <c r="J24" i="7"/>
  <c r="J22" i="7"/>
  <c r="E22" i="7"/>
  <c r="F136" i="7" s="1"/>
  <c r="J21" i="7"/>
  <c r="J19" i="7"/>
  <c r="E19" i="7"/>
  <c r="J18" i="7"/>
  <c r="E7" i="7"/>
  <c r="J20" i="6"/>
  <c r="E20" i="6"/>
  <c r="F136" i="6" s="1"/>
  <c r="J19" i="6"/>
  <c r="E7" i="6"/>
  <c r="J20" i="5"/>
  <c r="E20" i="5"/>
  <c r="F135" i="5" s="1"/>
  <c r="J19" i="5"/>
  <c r="E7" i="5"/>
  <c r="J20" i="4"/>
  <c r="E20" i="4"/>
  <c r="J19" i="4"/>
  <c r="E7" i="4"/>
  <c r="E126" i="4" s="1"/>
  <c r="J20" i="3"/>
  <c r="E20" i="3"/>
  <c r="F94" i="3" s="1"/>
  <c r="J19" i="3"/>
  <c r="J132" i="3"/>
  <c r="E7" i="3"/>
  <c r="J20" i="2"/>
  <c r="J19" i="2"/>
  <c r="E7" i="2"/>
  <c r="C300" i="29"/>
  <c r="C299" i="29" s="1"/>
  <c r="C298" i="29" s="1"/>
  <c r="C245" i="29"/>
  <c r="C244" i="29" s="1"/>
  <c r="C239" i="29"/>
  <c r="C238" i="29"/>
  <c r="C183" i="29"/>
  <c r="C182" i="29" s="1"/>
  <c r="C176" i="29"/>
  <c r="C175" i="29" s="1"/>
  <c r="C131" i="29"/>
  <c r="C130" i="29"/>
  <c r="C115" i="29"/>
  <c r="C114" i="29" s="1"/>
  <c r="C75" i="29"/>
  <c r="C74" i="29" s="1"/>
  <c r="C70" i="29"/>
  <c r="C69" i="29" s="1"/>
  <c r="C54" i="29"/>
  <c r="C53" i="29" s="1"/>
  <c r="C28" i="29"/>
  <c r="F19" i="29"/>
  <c r="F18" i="29"/>
  <c r="F17" i="29"/>
  <c r="F16" i="29"/>
  <c r="F15" i="29"/>
  <c r="F14" i="29"/>
  <c r="B14" i="29"/>
  <c r="F13" i="29"/>
  <c r="B13" i="29"/>
  <c r="F12" i="29"/>
  <c r="B12" i="29"/>
  <c r="B11" i="29"/>
  <c r="B10" i="29"/>
  <c r="F9" i="29"/>
  <c r="B9" i="29"/>
  <c r="F8" i="29"/>
  <c r="B8" i="29"/>
  <c r="F7" i="29"/>
  <c r="B7" i="29"/>
  <c r="F6" i="29"/>
  <c r="B6" i="29"/>
  <c r="F5" i="29"/>
  <c r="F4" i="29"/>
  <c r="K318" i="28"/>
  <c r="I318" i="28"/>
  <c r="F318" i="28"/>
  <c r="D318" i="28" s="1"/>
  <c r="K317" i="28"/>
  <c r="I317" i="28"/>
  <c r="F317" i="28"/>
  <c r="K316" i="28"/>
  <c r="I316" i="28"/>
  <c r="D316" i="28"/>
  <c r="K315" i="28"/>
  <c r="I315" i="28"/>
  <c r="K314" i="28"/>
  <c r="I314" i="28"/>
  <c r="D314" i="28" s="1"/>
  <c r="K313" i="28"/>
  <c r="D313" i="28" s="1"/>
  <c r="I313" i="28"/>
  <c r="F313" i="28"/>
  <c r="K312" i="28"/>
  <c r="I312" i="28"/>
  <c r="F312" i="28"/>
  <c r="K311" i="28"/>
  <c r="I311" i="28"/>
  <c r="K310" i="28"/>
  <c r="I310" i="28"/>
  <c r="D310" i="28"/>
  <c r="K309" i="28"/>
  <c r="D309" i="28" s="1"/>
  <c r="I309" i="28"/>
  <c r="K308" i="28"/>
  <c r="I308" i="28"/>
  <c r="F308" i="28"/>
  <c r="K307" i="28"/>
  <c r="I307" i="28"/>
  <c r="F307" i="28"/>
  <c r="K306" i="28"/>
  <c r="I306" i="28"/>
  <c r="D306" i="28"/>
  <c r="K305" i="28"/>
  <c r="I305" i="28"/>
  <c r="K304" i="28"/>
  <c r="I304" i="28"/>
  <c r="D304" i="28" s="1"/>
  <c r="K303" i="28"/>
  <c r="I303" i="28"/>
  <c r="D303" i="28"/>
  <c r="K302" i="28"/>
  <c r="I302" i="28"/>
  <c r="F302" i="28"/>
  <c r="K301" i="28"/>
  <c r="I301" i="28"/>
  <c r="F301" i="28"/>
  <c r="D301" i="28" s="1"/>
  <c r="K300" i="28"/>
  <c r="I300" i="28"/>
  <c r="K299" i="28"/>
  <c r="I299" i="28"/>
  <c r="K298" i="28"/>
  <c r="I298" i="28"/>
  <c r="D298" i="28"/>
  <c r="K297" i="28"/>
  <c r="I297" i="28"/>
  <c r="F297" i="28"/>
  <c r="K296" i="28"/>
  <c r="D296" i="28" s="1"/>
  <c r="I296" i="28"/>
  <c r="F296" i="28"/>
  <c r="K295" i="28"/>
  <c r="D295" i="28" s="1"/>
  <c r="I295" i="28"/>
  <c r="K294" i="28"/>
  <c r="I294" i="28"/>
  <c r="K293" i="28"/>
  <c r="D293" i="28" s="1"/>
  <c r="I293" i="28"/>
  <c r="K292" i="28"/>
  <c r="I292" i="28"/>
  <c r="D292" i="28" s="1"/>
  <c r="F292" i="28"/>
  <c r="K291" i="28"/>
  <c r="I291" i="28"/>
  <c r="F291" i="28"/>
  <c r="K290" i="28"/>
  <c r="I290" i="28"/>
  <c r="D290" i="28"/>
  <c r="K289" i="28"/>
  <c r="I289" i="28"/>
  <c r="D289" i="28" s="1"/>
  <c r="K288" i="28"/>
  <c r="I288" i="28"/>
  <c r="K287" i="28"/>
  <c r="I287" i="28"/>
  <c r="F287" i="28"/>
  <c r="K286" i="28"/>
  <c r="I286" i="28"/>
  <c r="F286" i="28"/>
  <c r="K285" i="28"/>
  <c r="I285" i="28"/>
  <c r="K284" i="28"/>
  <c r="I284" i="28"/>
  <c r="K283" i="28"/>
  <c r="I283" i="28"/>
  <c r="D283" i="28"/>
  <c r="K282" i="28"/>
  <c r="D282" i="28" s="1"/>
  <c r="I282" i="28"/>
  <c r="I281" i="28"/>
  <c r="D281" i="28"/>
  <c r="I280" i="28"/>
  <c r="D280" i="28" s="1"/>
  <c r="K279" i="28"/>
  <c r="I279" i="28"/>
  <c r="F279" i="28"/>
  <c r="K278" i="28"/>
  <c r="I278" i="28"/>
  <c r="F278" i="28"/>
  <c r="K277" i="28"/>
  <c r="I277" i="28"/>
  <c r="D277" i="28"/>
  <c r="K276" i="28"/>
  <c r="I276" i="28"/>
  <c r="K275" i="28"/>
  <c r="I275" i="28"/>
  <c r="K274" i="28"/>
  <c r="I274" i="28"/>
  <c r="D274" i="28" s="1"/>
  <c r="K273" i="28"/>
  <c r="I273" i="28"/>
  <c r="F273" i="28"/>
  <c r="K272" i="28"/>
  <c r="I272" i="28"/>
  <c r="F272" i="28"/>
  <c r="K271" i="28"/>
  <c r="I271" i="28"/>
  <c r="F271" i="28"/>
  <c r="K270" i="28"/>
  <c r="I270" i="28"/>
  <c r="D270" i="28"/>
  <c r="K269" i="28"/>
  <c r="I269" i="28"/>
  <c r="D269" i="28" s="1"/>
  <c r="K268" i="28"/>
  <c r="I268" i="28"/>
  <c r="K267" i="28"/>
  <c r="I267" i="28"/>
  <c r="D267" i="28"/>
  <c r="K266" i="28"/>
  <c r="I266" i="28"/>
  <c r="K265" i="28"/>
  <c r="I265" i="28"/>
  <c r="D265" i="28"/>
  <c r="K264" i="28"/>
  <c r="I264" i="28"/>
  <c r="F264" i="28"/>
  <c r="K263" i="28"/>
  <c r="D263" i="28" s="1"/>
  <c r="I263" i="28"/>
  <c r="F263" i="28"/>
  <c r="K262" i="28"/>
  <c r="I262" i="28"/>
  <c r="D262" i="28"/>
  <c r="K261" i="28"/>
  <c r="I261" i="28"/>
  <c r="K260" i="28"/>
  <c r="I260" i="28"/>
  <c r="K259" i="28"/>
  <c r="I259" i="28"/>
  <c r="D259" i="28" s="1"/>
  <c r="K258" i="28"/>
  <c r="I258" i="28"/>
  <c r="F258" i="28"/>
  <c r="K257" i="28"/>
  <c r="I257" i="28"/>
  <c r="F257" i="28"/>
  <c r="D257" i="28"/>
  <c r="K256" i="28"/>
  <c r="I256" i="28"/>
  <c r="K255" i="28"/>
  <c r="I255" i="28"/>
  <c r="K254" i="28"/>
  <c r="I254" i="28"/>
  <c r="D254" i="28" s="1"/>
  <c r="K253" i="28"/>
  <c r="I253" i="28"/>
  <c r="F253" i="28"/>
  <c r="K252" i="28"/>
  <c r="I252" i="28"/>
  <c r="D252" i="28" s="1"/>
  <c r="F252" i="28"/>
  <c r="K251" i="28"/>
  <c r="I251" i="28"/>
  <c r="D251" i="28" s="1"/>
  <c r="K250" i="28"/>
  <c r="D250" i="28" s="1"/>
  <c r="I250" i="28"/>
  <c r="K249" i="28"/>
  <c r="I249" i="28"/>
  <c r="K248" i="28"/>
  <c r="I248" i="28"/>
  <c r="F248" i="28"/>
  <c r="K247" i="28"/>
  <c r="I247" i="28"/>
  <c r="F247" i="28"/>
  <c r="K246" i="28"/>
  <c r="I246" i="28"/>
  <c r="K245" i="28"/>
  <c r="I245" i="28"/>
  <c r="D245" i="28"/>
  <c r="K244" i="28"/>
  <c r="D244" i="28" s="1"/>
  <c r="I244" i="28"/>
  <c r="K243" i="28"/>
  <c r="I243" i="28"/>
  <c r="D243" i="28" s="1"/>
  <c r="K242" i="28"/>
  <c r="I242" i="28"/>
  <c r="F242" i="28"/>
  <c r="K241" i="28"/>
  <c r="I241" i="28"/>
  <c r="D241" i="28" s="1"/>
  <c r="F241" i="28"/>
  <c r="K240" i="28"/>
  <c r="I240" i="28"/>
  <c r="D240" i="28"/>
  <c r="K239" i="28"/>
  <c r="I239" i="28"/>
  <c r="D239" i="28" s="1"/>
  <c r="K238" i="28"/>
  <c r="I238" i="28"/>
  <c r="D238" i="28" s="1"/>
  <c r="K237" i="28"/>
  <c r="I237" i="28"/>
  <c r="F237" i="28"/>
  <c r="D237" i="28"/>
  <c r="K236" i="28"/>
  <c r="I236" i="28"/>
  <c r="F236" i="28"/>
  <c r="K235" i="28"/>
  <c r="I235" i="28"/>
  <c r="K234" i="28"/>
  <c r="I234" i="28"/>
  <c r="D234" i="28" s="1"/>
  <c r="K233" i="28"/>
  <c r="I233" i="28"/>
  <c r="K232" i="28"/>
  <c r="I232" i="28"/>
  <c r="F232" i="28"/>
  <c r="D232" i="28" s="1"/>
  <c r="K231" i="28"/>
  <c r="I231" i="28"/>
  <c r="F231" i="28"/>
  <c r="K230" i="28"/>
  <c r="I230" i="28"/>
  <c r="D230" i="28"/>
  <c r="K229" i="28"/>
  <c r="I229" i="28"/>
  <c r="K228" i="28"/>
  <c r="I228" i="28"/>
  <c r="K227" i="28"/>
  <c r="I227" i="28"/>
  <c r="F227" i="28"/>
  <c r="K226" i="28"/>
  <c r="I226" i="28"/>
  <c r="D226" i="28" s="1"/>
  <c r="K225" i="28"/>
  <c r="I225" i="28"/>
  <c r="D225" i="28"/>
  <c r="K224" i="28"/>
  <c r="I224" i="28"/>
  <c r="I223" i="28"/>
  <c r="D223" i="28" s="1"/>
  <c r="I222" i="28"/>
  <c r="D222" i="28" s="1"/>
  <c r="K221" i="28"/>
  <c r="D221" i="28" s="1"/>
  <c r="I221" i="28"/>
  <c r="K220" i="28"/>
  <c r="I220" i="28"/>
  <c r="D220" i="28" s="1"/>
  <c r="F220" i="28"/>
  <c r="K219" i="28"/>
  <c r="I219" i="28"/>
  <c r="D219" i="28"/>
  <c r="K218" i="28"/>
  <c r="I218" i="28"/>
  <c r="K217" i="28"/>
  <c r="I217" i="28"/>
  <c r="K216" i="28"/>
  <c r="I216" i="28"/>
  <c r="D216" i="28"/>
  <c r="K215" i="28"/>
  <c r="I215" i="28"/>
  <c r="F215" i="28"/>
  <c r="K214" i="28"/>
  <c r="I214" i="28"/>
  <c r="D214" i="28" s="1"/>
  <c r="F214" i="28"/>
  <c r="K213" i="28"/>
  <c r="I213" i="28"/>
  <c r="D213" i="28" s="1"/>
  <c r="F213" i="28"/>
  <c r="K212" i="28"/>
  <c r="I212" i="28"/>
  <c r="F212" i="28"/>
  <c r="K211" i="28"/>
  <c r="I211" i="28"/>
  <c r="D211" i="28" s="1"/>
  <c r="K210" i="28"/>
  <c r="D210" i="28" s="1"/>
  <c r="I210" i="28"/>
  <c r="K209" i="28"/>
  <c r="I209" i="28"/>
  <c r="D209" i="28" s="1"/>
  <c r="K208" i="28"/>
  <c r="I208" i="28"/>
  <c r="K207" i="28"/>
  <c r="I207" i="28"/>
  <c r="D207" i="28" s="1"/>
  <c r="K206" i="28"/>
  <c r="I206" i="28"/>
  <c r="D206" i="28" s="1"/>
  <c r="K205" i="28"/>
  <c r="I205" i="28"/>
  <c r="F205" i="28"/>
  <c r="K204" i="28"/>
  <c r="I204" i="28"/>
  <c r="F204" i="28"/>
  <c r="K203" i="28"/>
  <c r="I203" i="28"/>
  <c r="D203" i="28" s="1"/>
  <c r="K202" i="28"/>
  <c r="I202" i="28"/>
  <c r="K201" i="28"/>
  <c r="I201" i="28"/>
  <c r="D201" i="28" s="1"/>
  <c r="K200" i="28"/>
  <c r="I200" i="28"/>
  <c r="K199" i="28"/>
  <c r="I199" i="28"/>
  <c r="D199" i="28" s="1"/>
  <c r="F199" i="28"/>
  <c r="K198" i="28"/>
  <c r="I198" i="28"/>
  <c r="D198" i="28" s="1"/>
  <c r="F198" i="28"/>
  <c r="K197" i="28"/>
  <c r="D197" i="28" s="1"/>
  <c r="I197" i="28"/>
  <c r="K196" i="28"/>
  <c r="I196" i="28"/>
  <c r="K195" i="28"/>
  <c r="I195" i="28"/>
  <c r="D195" i="28" s="1"/>
  <c r="K194" i="28"/>
  <c r="I194" i="28"/>
  <c r="F194" i="28"/>
  <c r="K193" i="28"/>
  <c r="I193" i="28"/>
  <c r="F193" i="28"/>
  <c r="D193" i="28"/>
  <c r="K192" i="28"/>
  <c r="I192" i="28"/>
  <c r="D192" i="28"/>
  <c r="K191" i="28"/>
  <c r="I191" i="28"/>
  <c r="K190" i="28"/>
  <c r="I190" i="28"/>
  <c r="K189" i="28"/>
  <c r="I189" i="28"/>
  <c r="F189" i="28"/>
  <c r="K188" i="28"/>
  <c r="I188" i="28"/>
  <c r="F188" i="28"/>
  <c r="K187" i="28"/>
  <c r="I187" i="28"/>
  <c r="D187" i="28"/>
  <c r="K186" i="28"/>
  <c r="I186" i="28"/>
  <c r="K185" i="28"/>
  <c r="I185" i="28"/>
  <c r="K184" i="28"/>
  <c r="I184" i="28"/>
  <c r="D184" i="28" s="1"/>
  <c r="K183" i="28"/>
  <c r="I183" i="28"/>
  <c r="F183" i="28"/>
  <c r="K182" i="28"/>
  <c r="I182" i="28"/>
  <c r="D182" i="28" s="1"/>
  <c r="F182" i="28"/>
  <c r="K181" i="28"/>
  <c r="I181" i="28"/>
  <c r="D181" i="28" s="1"/>
  <c r="K180" i="28"/>
  <c r="D180" i="28" s="1"/>
  <c r="I180" i="28"/>
  <c r="K179" i="28"/>
  <c r="I179" i="28"/>
  <c r="K178" i="28"/>
  <c r="I178" i="28"/>
  <c r="F178" i="28"/>
  <c r="K177" i="28"/>
  <c r="I177" i="28"/>
  <c r="F177" i="28"/>
  <c r="K176" i="28"/>
  <c r="I176" i="28"/>
  <c r="K175" i="28"/>
  <c r="I175" i="28"/>
  <c r="D175" i="28"/>
  <c r="K174" i="28"/>
  <c r="D174" i="28" s="1"/>
  <c r="I174" i="28"/>
  <c r="K173" i="28"/>
  <c r="I173" i="28"/>
  <c r="F173" i="28"/>
  <c r="K172" i="28"/>
  <c r="I172" i="28"/>
  <c r="F172" i="28"/>
  <c r="K171" i="28"/>
  <c r="I171" i="28"/>
  <c r="K170" i="28"/>
  <c r="I170" i="28"/>
  <c r="D170" i="28"/>
  <c r="K169" i="28"/>
  <c r="I169" i="28"/>
  <c r="D169" i="28" s="1"/>
  <c r="K168" i="28"/>
  <c r="I168" i="28"/>
  <c r="F168" i="28"/>
  <c r="K167" i="28"/>
  <c r="I167" i="28"/>
  <c r="K166" i="28"/>
  <c r="I166" i="28"/>
  <c r="K165" i="28"/>
  <c r="I165" i="28"/>
  <c r="D165" i="28"/>
  <c r="I164" i="28"/>
  <c r="D164" i="28"/>
  <c r="K163" i="28"/>
  <c r="I163" i="28"/>
  <c r="D163" i="28" s="1"/>
  <c r="F163" i="28"/>
  <c r="K162" i="28"/>
  <c r="I162" i="28"/>
  <c r="D162" i="28" s="1"/>
  <c r="K161" i="28"/>
  <c r="I161" i="28"/>
  <c r="K160" i="28"/>
  <c r="I160" i="28"/>
  <c r="F160" i="28"/>
  <c r="K159" i="28"/>
  <c r="I159" i="28"/>
  <c r="F159" i="28"/>
  <c r="K158" i="28"/>
  <c r="I158" i="28"/>
  <c r="K157" i="28"/>
  <c r="I157" i="28"/>
  <c r="D157" i="28" s="1"/>
  <c r="K156" i="28"/>
  <c r="I156" i="28"/>
  <c r="K155" i="28"/>
  <c r="I155" i="28"/>
  <c r="F155" i="28"/>
  <c r="K154" i="28"/>
  <c r="I154" i="28"/>
  <c r="D154" i="28" s="1"/>
  <c r="F154" i="28"/>
  <c r="K153" i="28"/>
  <c r="I153" i="28"/>
  <c r="K152" i="28"/>
  <c r="I152" i="28"/>
  <c r="D152" i="28"/>
  <c r="K151" i="28"/>
  <c r="I151" i="28"/>
  <c r="K150" i="28"/>
  <c r="I150" i="28"/>
  <c r="D150" i="28" s="1"/>
  <c r="K149" i="28"/>
  <c r="I149" i="28"/>
  <c r="F149" i="28"/>
  <c r="K148" i="28"/>
  <c r="I148" i="28"/>
  <c r="F148" i="28"/>
  <c r="K147" i="28"/>
  <c r="I147" i="28"/>
  <c r="D147" i="28"/>
  <c r="K146" i="28"/>
  <c r="I146" i="28"/>
  <c r="K145" i="28"/>
  <c r="D145" i="28" s="1"/>
  <c r="I145" i="28"/>
  <c r="K144" i="28"/>
  <c r="I144" i="28"/>
  <c r="F144" i="28"/>
  <c r="K143" i="28"/>
  <c r="I143" i="28"/>
  <c r="D143" i="28" s="1"/>
  <c r="F143" i="28"/>
  <c r="K142" i="28"/>
  <c r="D142" i="28" s="1"/>
  <c r="I142" i="28"/>
  <c r="K141" i="28"/>
  <c r="D141" i="28" s="1"/>
  <c r="I141" i="28"/>
  <c r="K140" i="28"/>
  <c r="I140" i="28"/>
  <c r="D140" i="28" s="1"/>
  <c r="K139" i="28"/>
  <c r="I139" i="28"/>
  <c r="F139" i="28"/>
  <c r="K138" i="28"/>
  <c r="I138" i="28"/>
  <c r="F138" i="28"/>
  <c r="K137" i="28"/>
  <c r="I137" i="28"/>
  <c r="K136" i="28"/>
  <c r="I136" i="28"/>
  <c r="K135" i="28"/>
  <c r="I135" i="28"/>
  <c r="D135" i="28" s="1"/>
  <c r="K134" i="28"/>
  <c r="I134" i="28"/>
  <c r="D134" i="28" s="1"/>
  <c r="K133" i="28"/>
  <c r="I133" i="28"/>
  <c r="F133" i="28"/>
  <c r="D133" i="28" s="1"/>
  <c r="K132" i="28"/>
  <c r="I132" i="28"/>
  <c r="F132" i="28"/>
  <c r="K131" i="28"/>
  <c r="D131" i="28" s="1"/>
  <c r="I131" i="28"/>
  <c r="K130" i="28"/>
  <c r="I130" i="28"/>
  <c r="D130" i="28" s="1"/>
  <c r="K129" i="28"/>
  <c r="I129" i="28"/>
  <c r="K128" i="28"/>
  <c r="I128" i="28"/>
  <c r="D128" i="28" s="1"/>
  <c r="F128" i="28"/>
  <c r="K127" i="28"/>
  <c r="I127" i="28"/>
  <c r="F127" i="28"/>
  <c r="K126" i="28"/>
  <c r="I126" i="28"/>
  <c r="D126" i="28"/>
  <c r="K125" i="28"/>
  <c r="I125" i="28"/>
  <c r="D125" i="28"/>
  <c r="K124" i="28"/>
  <c r="I124" i="28"/>
  <c r="K123" i="28"/>
  <c r="I123" i="28"/>
  <c r="F123" i="28"/>
  <c r="D123" i="28" s="1"/>
  <c r="K122" i="28"/>
  <c r="I122" i="28"/>
  <c r="F122" i="28"/>
  <c r="K121" i="28"/>
  <c r="I121" i="28"/>
  <c r="D121" i="28" s="1"/>
  <c r="K120" i="28"/>
  <c r="I120" i="28"/>
  <c r="D120" i="28" s="1"/>
  <c r="K119" i="28"/>
  <c r="D119" i="28" s="1"/>
  <c r="I119" i="28"/>
  <c r="K118" i="28"/>
  <c r="D118" i="28" s="1"/>
  <c r="I118" i="28"/>
  <c r="F118" i="28"/>
  <c r="K117" i="28"/>
  <c r="I117" i="28"/>
  <c r="K116" i="28"/>
  <c r="I116" i="28"/>
  <c r="K115" i="28"/>
  <c r="I115" i="28"/>
  <c r="D115" i="28" s="1"/>
  <c r="I114" i="28"/>
  <c r="D114" i="28" s="1"/>
  <c r="K113" i="28"/>
  <c r="I113" i="28"/>
  <c r="K112" i="28"/>
  <c r="D112" i="28" s="1"/>
  <c r="I112" i="28"/>
  <c r="K111" i="28"/>
  <c r="I111" i="28"/>
  <c r="F111" i="28"/>
  <c r="K110" i="28"/>
  <c r="I110" i="28"/>
  <c r="D110" i="28" s="1"/>
  <c r="F110" i="28"/>
  <c r="K109" i="28"/>
  <c r="I109" i="28"/>
  <c r="F109" i="28"/>
  <c r="D109" i="28" s="1"/>
  <c r="K108" i="28"/>
  <c r="I108" i="28"/>
  <c r="F108" i="28"/>
  <c r="K107" i="28"/>
  <c r="I107" i="28"/>
  <c r="F107" i="28"/>
  <c r="K106" i="28"/>
  <c r="I106" i="28"/>
  <c r="D106" i="28" s="1"/>
  <c r="F106" i="28"/>
  <c r="K105" i="28"/>
  <c r="I105" i="28"/>
  <c r="F105" i="28"/>
  <c r="D105" i="28"/>
  <c r="K104" i="28"/>
  <c r="I104" i="28"/>
  <c r="K103" i="28"/>
  <c r="I103" i="28"/>
  <c r="K102" i="28"/>
  <c r="I102" i="28"/>
  <c r="F102" i="28"/>
  <c r="K101" i="28"/>
  <c r="I101" i="28"/>
  <c r="K100" i="28"/>
  <c r="I100" i="28"/>
  <c r="D100" i="28" s="1"/>
  <c r="K99" i="28"/>
  <c r="I99" i="28"/>
  <c r="K98" i="28"/>
  <c r="I98" i="28"/>
  <c r="K97" i="28"/>
  <c r="I97" i="28"/>
  <c r="F97" i="28"/>
  <c r="K96" i="28"/>
  <c r="I96" i="28"/>
  <c r="F96" i="28"/>
  <c r="K95" i="28"/>
  <c r="D95" i="28" s="1"/>
  <c r="I95" i="28"/>
  <c r="K94" i="28"/>
  <c r="I94" i="28"/>
  <c r="K93" i="28"/>
  <c r="I93" i="28"/>
  <c r="K92" i="28"/>
  <c r="I92" i="28"/>
  <c r="D92" i="28" s="1"/>
  <c r="K91" i="28"/>
  <c r="I91" i="28"/>
  <c r="F91" i="28"/>
  <c r="K90" i="28"/>
  <c r="I90" i="28"/>
  <c r="F90" i="28"/>
  <c r="D90" i="28"/>
  <c r="K89" i="28"/>
  <c r="I89" i="28"/>
  <c r="K88" i="28"/>
  <c r="I88" i="28"/>
  <c r="D88" i="28" s="1"/>
  <c r="K87" i="28"/>
  <c r="I87" i="28"/>
  <c r="D87" i="28"/>
  <c r="K86" i="28"/>
  <c r="I86" i="28"/>
  <c r="D86" i="28" s="1"/>
  <c r="F86" i="28"/>
  <c r="K85" i="28"/>
  <c r="D85" i="28" s="1"/>
  <c r="I85" i="28"/>
  <c r="F85" i="28"/>
  <c r="K84" i="28"/>
  <c r="I84" i="28"/>
  <c r="K83" i="28"/>
  <c r="I83" i="28"/>
  <c r="K82" i="28"/>
  <c r="D82" i="28" s="1"/>
  <c r="I82" i="28"/>
  <c r="K81" i="28"/>
  <c r="I81" i="28"/>
  <c r="F81" i="28"/>
  <c r="K80" i="28"/>
  <c r="I80" i="28"/>
  <c r="F80" i="28"/>
  <c r="K79" i="28"/>
  <c r="I79" i="28"/>
  <c r="K78" i="28"/>
  <c r="I78" i="28"/>
  <c r="D78" i="28"/>
  <c r="K77" i="28"/>
  <c r="I77" i="28"/>
  <c r="D77" i="28" s="1"/>
  <c r="K76" i="28"/>
  <c r="I76" i="28"/>
  <c r="D76" i="28" s="1"/>
  <c r="K75" i="28"/>
  <c r="I75" i="28"/>
  <c r="F75" i="28"/>
  <c r="D75" i="28"/>
  <c r="K74" i="28"/>
  <c r="I74" i="28"/>
  <c r="F74" i="28"/>
  <c r="K73" i="28"/>
  <c r="I73" i="28"/>
  <c r="D73" i="28"/>
  <c r="K72" i="28"/>
  <c r="I72" i="28"/>
  <c r="K71" i="28"/>
  <c r="I71" i="28"/>
  <c r="D71" i="28" s="1"/>
  <c r="K70" i="28"/>
  <c r="I70" i="28"/>
  <c r="F70" i="28"/>
  <c r="D70" i="28"/>
  <c r="K69" i="28"/>
  <c r="I69" i="28"/>
  <c r="D69" i="28" s="1"/>
  <c r="F69" i="28"/>
  <c r="K68" i="28"/>
  <c r="D68" i="28" s="1"/>
  <c r="I68" i="28"/>
  <c r="K67" i="28"/>
  <c r="I67" i="28"/>
  <c r="K66" i="28"/>
  <c r="I66" i="28"/>
  <c r="I65" i="28"/>
  <c r="D65" i="28" s="1"/>
  <c r="D11" i="28" s="1"/>
  <c r="K64" i="28"/>
  <c r="I64" i="28"/>
  <c r="F64" i="28"/>
  <c r="K63" i="28"/>
  <c r="I63" i="28"/>
  <c r="D63" i="28"/>
  <c r="K62" i="28"/>
  <c r="I62" i="28"/>
  <c r="K61" i="28"/>
  <c r="D61" i="28" s="1"/>
  <c r="I61" i="28"/>
  <c r="K60" i="28"/>
  <c r="I60" i="28"/>
  <c r="D60" i="28" s="1"/>
  <c r="K59" i="28"/>
  <c r="I59" i="28"/>
  <c r="F59" i="28"/>
  <c r="K58" i="28"/>
  <c r="D58" i="28" s="1"/>
  <c r="I58" i="28"/>
  <c r="K57" i="28"/>
  <c r="I57" i="28"/>
  <c r="D57" i="28" s="1"/>
  <c r="K56" i="28"/>
  <c r="I56" i="28"/>
  <c r="K55" i="28"/>
  <c r="I55" i="28"/>
  <c r="D55" i="28" s="1"/>
  <c r="F55" i="28"/>
  <c r="K54" i="28"/>
  <c r="I54" i="28"/>
  <c r="D54" i="28" s="1"/>
  <c r="F54" i="28"/>
  <c r="K53" i="28"/>
  <c r="I53" i="28"/>
  <c r="D53" i="28" s="1"/>
  <c r="F53" i="28"/>
  <c r="K52" i="28"/>
  <c r="I52" i="28"/>
  <c r="D52" i="28" s="1"/>
  <c r="K51" i="28"/>
  <c r="I51" i="28"/>
  <c r="K50" i="28"/>
  <c r="I50" i="28"/>
  <c r="F50" i="28"/>
  <c r="K49" i="28"/>
  <c r="I49" i="28"/>
  <c r="K48" i="28"/>
  <c r="I48" i="28"/>
  <c r="D48" i="28"/>
  <c r="I47" i="28"/>
  <c r="D47" i="28" s="1"/>
  <c r="D5" i="28" s="1"/>
  <c r="K46" i="28"/>
  <c r="D46" i="28" s="1"/>
  <c r="I46" i="28"/>
  <c r="K45" i="28"/>
  <c r="I45" i="28"/>
  <c r="D45" i="28" s="1"/>
  <c r="K44" i="28"/>
  <c r="I44" i="28"/>
  <c r="D44" i="28" s="1"/>
  <c r="D9" i="28" s="1"/>
  <c r="F44" i="28"/>
  <c r="K43" i="28"/>
  <c r="D43" i="28" s="1"/>
  <c r="I43" i="28"/>
  <c r="K42" i="28"/>
  <c r="I42" i="28"/>
  <c r="D42" i="28" s="1"/>
  <c r="K41" i="28"/>
  <c r="I41" i="28"/>
  <c r="K40" i="28"/>
  <c r="I40" i="28"/>
  <c r="F40" i="28"/>
  <c r="K39" i="28"/>
  <c r="I39" i="28"/>
  <c r="D39" i="28" s="1"/>
  <c r="K38" i="28"/>
  <c r="I38" i="28"/>
  <c r="F38" i="28"/>
  <c r="K37" i="28"/>
  <c r="I37" i="28"/>
  <c r="F37" i="28"/>
  <c r="K36" i="28"/>
  <c r="I36" i="28"/>
  <c r="D36" i="28" s="1"/>
  <c r="K35" i="28"/>
  <c r="I35" i="28"/>
  <c r="F35" i="28"/>
  <c r="D35" i="28"/>
  <c r="K34" i="28"/>
  <c r="I34" i="28"/>
  <c r="F34" i="28"/>
  <c r="K33" i="28"/>
  <c r="I33" i="28"/>
  <c r="F33" i="28"/>
  <c r="D33" i="28"/>
  <c r="K32" i="28"/>
  <c r="D32" i="28" s="1"/>
  <c r="I32" i="28"/>
  <c r="K31" i="28"/>
  <c r="I31" i="28"/>
  <c r="F31" i="28"/>
  <c r="D31" i="28" s="1"/>
  <c r="K30" i="28"/>
  <c r="I30" i="28"/>
  <c r="K29" i="28"/>
  <c r="I29" i="28"/>
  <c r="F29" i="28"/>
  <c r="K28" i="28"/>
  <c r="I28" i="28"/>
  <c r="D28" i="28" s="1"/>
  <c r="F28" i="28"/>
  <c r="K27" i="28"/>
  <c r="I27" i="28"/>
  <c r="K26" i="28"/>
  <c r="I26" i="28"/>
  <c r="D26" i="28" s="1"/>
  <c r="K25" i="28"/>
  <c r="I25" i="28"/>
  <c r="D25" i="28" s="1"/>
  <c r="K24" i="28"/>
  <c r="I24" i="28"/>
  <c r="K23" i="28"/>
  <c r="I23" i="28"/>
  <c r="K22" i="28"/>
  <c r="I22" i="28"/>
  <c r="K21" i="28"/>
  <c r="D21" i="28" s="1"/>
  <c r="I21" i="28"/>
  <c r="K20" i="28"/>
  <c r="I20" i="28"/>
  <c r="D20" i="28"/>
  <c r="K19" i="28"/>
  <c r="D19" i="28" s="1"/>
  <c r="I19" i="28"/>
  <c r="K18" i="28"/>
  <c r="I18" i="28"/>
  <c r="D18" i="28" s="1"/>
  <c r="G8" i="28"/>
  <c r="BK187" i="26"/>
  <c r="BI187" i="26"/>
  <c r="BH187" i="26"/>
  <c r="BG187" i="26"/>
  <c r="BF187" i="26"/>
  <c r="T187" i="26"/>
  <c r="R187" i="26"/>
  <c r="P187" i="26"/>
  <c r="J187" i="26"/>
  <c r="BE187" i="26" s="1"/>
  <c r="BK183" i="26"/>
  <c r="BI183" i="26"/>
  <c r="BH183" i="26"/>
  <c r="BG183" i="26"/>
  <c r="BF183" i="26"/>
  <c r="T183" i="26"/>
  <c r="R183" i="26"/>
  <c r="P183" i="26"/>
  <c r="P182" i="26" s="1"/>
  <c r="J183" i="26"/>
  <c r="BE183" i="26" s="1"/>
  <c r="BK181" i="26"/>
  <c r="BI181" i="26"/>
  <c r="BH181" i="26"/>
  <c r="BG181" i="26"/>
  <c r="BF181" i="26"/>
  <c r="T181" i="26"/>
  <c r="R181" i="26"/>
  <c r="P181" i="26"/>
  <c r="J181" i="26"/>
  <c r="BE181" i="26" s="1"/>
  <c r="BK180" i="26"/>
  <c r="BK179" i="26" s="1"/>
  <c r="J179" i="26" s="1"/>
  <c r="J101" i="26" s="1"/>
  <c r="BI180" i="26"/>
  <c r="BH180" i="26"/>
  <c r="BG180" i="26"/>
  <c r="BF180" i="26"/>
  <c r="T180" i="26"/>
  <c r="R180" i="26"/>
  <c r="P180" i="26"/>
  <c r="J180" i="26"/>
  <c r="BE180" i="26" s="1"/>
  <c r="BK176" i="26"/>
  <c r="BI176" i="26"/>
  <c r="BH176" i="26"/>
  <c r="BG176" i="26"/>
  <c r="BF176" i="26"/>
  <c r="T176" i="26"/>
  <c r="R176" i="26"/>
  <c r="P176" i="26"/>
  <c r="J176" i="26"/>
  <c r="BE176" i="26" s="1"/>
  <c r="BK173" i="26"/>
  <c r="BI173" i="26"/>
  <c r="BH173" i="26"/>
  <c r="BG173" i="26"/>
  <c r="BF173" i="26"/>
  <c r="T173" i="26"/>
  <c r="R173" i="26"/>
  <c r="P173" i="26"/>
  <c r="J173" i="26"/>
  <c r="BE173" i="26" s="1"/>
  <c r="BK172" i="26"/>
  <c r="BI172" i="26"/>
  <c r="BH172" i="26"/>
  <c r="BG172" i="26"/>
  <c r="BF172" i="26"/>
  <c r="T172" i="26"/>
  <c r="R172" i="26"/>
  <c r="P172" i="26"/>
  <c r="J172" i="26"/>
  <c r="BE172" i="26" s="1"/>
  <c r="BK167" i="26"/>
  <c r="BI167" i="26"/>
  <c r="BH167" i="26"/>
  <c r="BG167" i="26"/>
  <c r="BF167" i="26"/>
  <c r="T167" i="26"/>
  <c r="R167" i="26"/>
  <c r="P167" i="26"/>
  <c r="J167" i="26"/>
  <c r="BE167" i="26" s="1"/>
  <c r="BK166" i="26"/>
  <c r="BI166" i="26"/>
  <c r="BH166" i="26"/>
  <c r="BG166" i="26"/>
  <c r="BF166" i="26"/>
  <c r="T166" i="26"/>
  <c r="R166" i="26"/>
  <c r="P166" i="26"/>
  <c r="J166" i="26"/>
  <c r="BE166" i="26" s="1"/>
  <c r="BK162" i="26"/>
  <c r="BI162" i="26"/>
  <c r="BH162" i="26"/>
  <c r="BG162" i="26"/>
  <c r="BF162" i="26"/>
  <c r="T162" i="26"/>
  <c r="R162" i="26"/>
  <c r="P162" i="26"/>
  <c r="J162" i="26"/>
  <c r="BE162" i="26" s="1"/>
  <c r="BK159" i="26"/>
  <c r="BI159" i="26"/>
  <c r="BH159" i="26"/>
  <c r="BG159" i="26"/>
  <c r="BF159" i="26"/>
  <c r="T159" i="26"/>
  <c r="R159" i="26"/>
  <c r="P159" i="26"/>
  <c r="J159" i="26"/>
  <c r="BE159" i="26" s="1"/>
  <c r="BK158" i="26"/>
  <c r="BI158" i="26"/>
  <c r="BH158" i="26"/>
  <c r="BG158" i="26"/>
  <c r="BF158" i="26"/>
  <c r="T158" i="26"/>
  <c r="R158" i="26"/>
  <c r="P158" i="26"/>
  <c r="J158" i="26"/>
  <c r="BE158" i="26" s="1"/>
  <c r="BK154" i="26"/>
  <c r="BI154" i="26"/>
  <c r="BH154" i="26"/>
  <c r="BG154" i="26"/>
  <c r="BF154" i="26"/>
  <c r="T154" i="26"/>
  <c r="R154" i="26"/>
  <c r="P154" i="26"/>
  <c r="J154" i="26"/>
  <c r="BE154" i="26" s="1"/>
  <c r="BK152" i="26"/>
  <c r="BI152" i="26"/>
  <c r="BH152" i="26"/>
  <c r="BG152" i="26"/>
  <c r="BF152" i="26"/>
  <c r="T152" i="26"/>
  <c r="R152" i="26"/>
  <c r="P152" i="26"/>
  <c r="J152" i="26"/>
  <c r="BE152" i="26" s="1"/>
  <c r="BK151" i="26"/>
  <c r="BI151" i="26"/>
  <c r="BH151" i="26"/>
  <c r="BG151" i="26"/>
  <c r="BF151" i="26"/>
  <c r="T151" i="26"/>
  <c r="R151" i="26"/>
  <c r="P151" i="26"/>
  <c r="J151" i="26"/>
  <c r="BE151" i="26" s="1"/>
  <c r="BK150" i="26"/>
  <c r="BI150" i="26"/>
  <c r="BH150" i="26"/>
  <c r="BG150" i="26"/>
  <c r="BF150" i="26"/>
  <c r="T150" i="26"/>
  <c r="R150" i="26"/>
  <c r="P150" i="26"/>
  <c r="J150" i="26"/>
  <c r="BE150" i="26" s="1"/>
  <c r="BK149" i="26"/>
  <c r="BI149" i="26"/>
  <c r="BH149" i="26"/>
  <c r="BG149" i="26"/>
  <c r="BF149" i="26"/>
  <c r="T149" i="26"/>
  <c r="R149" i="26"/>
  <c r="P149" i="26"/>
  <c r="J149" i="26"/>
  <c r="BE149" i="26" s="1"/>
  <c r="BK147" i="26"/>
  <c r="BI147" i="26"/>
  <c r="BH147" i="26"/>
  <c r="BG147" i="26"/>
  <c r="BF147" i="26"/>
  <c r="T147" i="26"/>
  <c r="R147" i="26"/>
  <c r="P147" i="26"/>
  <c r="J147" i="26"/>
  <c r="BE147" i="26" s="1"/>
  <c r="BK146" i="26"/>
  <c r="BI146" i="26"/>
  <c r="BH146" i="26"/>
  <c r="BG146" i="26"/>
  <c r="BF146" i="26"/>
  <c r="T146" i="26"/>
  <c r="R146" i="26"/>
  <c r="P146" i="26"/>
  <c r="J146" i="26"/>
  <c r="BE146" i="26" s="1"/>
  <c r="BK145" i="26"/>
  <c r="BI145" i="26"/>
  <c r="BH145" i="26"/>
  <c r="BG145" i="26"/>
  <c r="BF145" i="26"/>
  <c r="T145" i="26"/>
  <c r="R145" i="26"/>
  <c r="P145" i="26"/>
  <c r="J145" i="26"/>
  <c r="BE145" i="26" s="1"/>
  <c r="BK142" i="26"/>
  <c r="BI142" i="26"/>
  <c r="BH142" i="26"/>
  <c r="BG142" i="26"/>
  <c r="BF142" i="26"/>
  <c r="T142" i="26"/>
  <c r="R142" i="26"/>
  <c r="P142" i="26"/>
  <c r="J142" i="26"/>
  <c r="BE142" i="26" s="1"/>
  <c r="BK141" i="26"/>
  <c r="BI141" i="26"/>
  <c r="BH141" i="26"/>
  <c r="BG141" i="26"/>
  <c r="BF141" i="26"/>
  <c r="T141" i="26"/>
  <c r="R141" i="26"/>
  <c r="P141" i="26"/>
  <c r="J141" i="26"/>
  <c r="BE141" i="26" s="1"/>
  <c r="J135" i="26"/>
  <c r="J134" i="26"/>
  <c r="E130" i="26"/>
  <c r="E128" i="26"/>
  <c r="J92" i="26"/>
  <c r="J91" i="26"/>
  <c r="F91" i="26"/>
  <c r="F89" i="26"/>
  <c r="E87" i="26"/>
  <c r="E85" i="26"/>
  <c r="J37" i="26"/>
  <c r="J36" i="26"/>
  <c r="AY122" i="1" s="1"/>
  <c r="J35" i="26"/>
  <c r="AX122" i="1" s="1"/>
  <c r="BK186" i="25"/>
  <c r="BI186" i="25"/>
  <c r="BH186" i="25"/>
  <c r="BG186" i="25"/>
  <c r="BF186" i="25"/>
  <c r="T186" i="25"/>
  <c r="R186" i="25"/>
  <c r="P186" i="25"/>
  <c r="J186" i="25"/>
  <c r="BE186" i="25" s="1"/>
  <c r="BK185" i="25"/>
  <c r="BI185" i="25"/>
  <c r="BH185" i="25"/>
  <c r="BG185" i="25"/>
  <c r="BF185" i="25"/>
  <c r="T185" i="25"/>
  <c r="R185" i="25"/>
  <c r="P185" i="25"/>
  <c r="J185" i="25"/>
  <c r="BE185" i="25" s="1"/>
  <c r="BK184" i="25"/>
  <c r="BI184" i="25"/>
  <c r="BH184" i="25"/>
  <c r="BG184" i="25"/>
  <c r="BF184" i="25"/>
  <c r="T184" i="25"/>
  <c r="R184" i="25"/>
  <c r="P184" i="25"/>
  <c r="J184" i="25"/>
  <c r="BE184" i="25" s="1"/>
  <c r="BK183" i="25"/>
  <c r="BI183" i="25"/>
  <c r="BH183" i="25"/>
  <c r="BG183" i="25"/>
  <c r="BF183" i="25"/>
  <c r="T183" i="25"/>
  <c r="R183" i="25"/>
  <c r="P183" i="25"/>
  <c r="J183" i="25"/>
  <c r="BE183" i="25" s="1"/>
  <c r="BK182" i="25"/>
  <c r="BI182" i="25"/>
  <c r="BH182" i="25"/>
  <c r="BG182" i="25"/>
  <c r="BF182" i="25"/>
  <c r="BE182" i="25"/>
  <c r="T182" i="25"/>
  <c r="R182" i="25"/>
  <c r="P182" i="25"/>
  <c r="J182" i="25"/>
  <c r="BK181" i="25"/>
  <c r="BI181" i="25"/>
  <c r="BH181" i="25"/>
  <c r="BG181" i="25"/>
  <c r="BF181" i="25"/>
  <c r="T181" i="25"/>
  <c r="R181" i="25"/>
  <c r="P181" i="25"/>
  <c r="J181" i="25"/>
  <c r="BE181" i="25" s="1"/>
  <c r="BK180" i="25"/>
  <c r="BI180" i="25"/>
  <c r="BH180" i="25"/>
  <c r="BG180" i="25"/>
  <c r="BF180" i="25"/>
  <c r="T180" i="25"/>
  <c r="R180" i="25"/>
  <c r="P180" i="25"/>
  <c r="J180" i="25"/>
  <c r="BE180" i="25" s="1"/>
  <c r="BK179" i="25"/>
  <c r="BI179" i="25"/>
  <c r="BH179" i="25"/>
  <c r="BG179" i="25"/>
  <c r="BF179" i="25"/>
  <c r="T179" i="25"/>
  <c r="R179" i="25"/>
  <c r="P179" i="25"/>
  <c r="J179" i="25"/>
  <c r="BE179" i="25" s="1"/>
  <c r="BK178" i="25"/>
  <c r="BI178" i="25"/>
  <c r="BH178" i="25"/>
  <c r="BG178" i="25"/>
  <c r="BF178" i="25"/>
  <c r="T178" i="25"/>
  <c r="R178" i="25"/>
  <c r="P178" i="25"/>
  <c r="J178" i="25"/>
  <c r="BE178" i="25" s="1"/>
  <c r="BK176" i="25"/>
  <c r="BI176" i="25"/>
  <c r="BH176" i="25"/>
  <c r="BG176" i="25"/>
  <c r="BF176" i="25"/>
  <c r="T176" i="25"/>
  <c r="R176" i="25"/>
  <c r="P176" i="25"/>
  <c r="J176" i="25"/>
  <c r="BE176" i="25" s="1"/>
  <c r="BK175" i="25"/>
  <c r="BI175" i="25"/>
  <c r="BH175" i="25"/>
  <c r="BG175" i="25"/>
  <c r="BF175" i="25"/>
  <c r="T175" i="25"/>
  <c r="R175" i="25"/>
  <c r="P175" i="25"/>
  <c r="J175" i="25"/>
  <c r="BE175" i="25" s="1"/>
  <c r="BK173" i="25"/>
  <c r="BI173" i="25"/>
  <c r="BH173" i="25"/>
  <c r="BG173" i="25"/>
  <c r="BF173" i="25"/>
  <c r="T173" i="25"/>
  <c r="R173" i="25"/>
  <c r="P173" i="25"/>
  <c r="J173" i="25"/>
  <c r="BE173" i="25" s="1"/>
  <c r="BK172" i="25"/>
  <c r="BI172" i="25"/>
  <c r="BH172" i="25"/>
  <c r="BG172" i="25"/>
  <c r="BF172" i="25"/>
  <c r="T172" i="25"/>
  <c r="R172" i="25"/>
  <c r="P172" i="25"/>
  <c r="J172" i="25"/>
  <c r="BE172" i="25" s="1"/>
  <c r="BK171" i="25"/>
  <c r="BI171" i="25"/>
  <c r="BH171" i="25"/>
  <c r="BG171" i="25"/>
  <c r="BF171" i="25"/>
  <c r="T171" i="25"/>
  <c r="R171" i="25"/>
  <c r="P171" i="25"/>
  <c r="J171" i="25"/>
  <c r="BE171" i="25" s="1"/>
  <c r="BK169" i="25"/>
  <c r="BI169" i="25"/>
  <c r="BH169" i="25"/>
  <c r="BG169" i="25"/>
  <c r="BF169" i="25"/>
  <c r="T169" i="25"/>
  <c r="R169" i="25"/>
  <c r="P169" i="25"/>
  <c r="J169" i="25"/>
  <c r="BE169" i="25" s="1"/>
  <c r="BK168" i="25"/>
  <c r="BI168" i="25"/>
  <c r="BH168" i="25"/>
  <c r="BG168" i="25"/>
  <c r="BF168" i="25"/>
  <c r="T168" i="25"/>
  <c r="R168" i="25"/>
  <c r="P168" i="25"/>
  <c r="J168" i="25"/>
  <c r="BE168" i="25" s="1"/>
  <c r="BK167" i="25"/>
  <c r="BI167" i="25"/>
  <c r="BH167" i="25"/>
  <c r="BG167" i="25"/>
  <c r="BF167" i="25"/>
  <c r="T167" i="25"/>
  <c r="R167" i="25"/>
  <c r="P167" i="25"/>
  <c r="J167" i="25"/>
  <c r="BE167" i="25" s="1"/>
  <c r="BK166" i="25"/>
  <c r="BI166" i="25"/>
  <c r="BH166" i="25"/>
  <c r="BG166" i="25"/>
  <c r="BF166" i="25"/>
  <c r="BE166" i="25"/>
  <c r="T166" i="25"/>
  <c r="R166" i="25"/>
  <c r="P166" i="25"/>
  <c r="J166" i="25"/>
  <c r="BK165" i="25"/>
  <c r="BI165" i="25"/>
  <c r="BH165" i="25"/>
  <c r="BG165" i="25"/>
  <c r="BF165" i="25"/>
  <c r="T165" i="25"/>
  <c r="R165" i="25"/>
  <c r="P165" i="25"/>
  <c r="J165" i="25"/>
  <c r="BE165" i="25" s="1"/>
  <c r="BK164" i="25"/>
  <c r="BI164" i="25"/>
  <c r="BH164" i="25"/>
  <c r="BG164" i="25"/>
  <c r="BF164" i="25"/>
  <c r="T164" i="25"/>
  <c r="R164" i="25"/>
  <c r="P164" i="25"/>
  <c r="J164" i="25"/>
  <c r="BE164" i="25" s="1"/>
  <c r="BK163" i="25"/>
  <c r="BI163" i="25"/>
  <c r="BH163" i="25"/>
  <c r="BG163" i="25"/>
  <c r="BF163" i="25"/>
  <c r="T163" i="25"/>
  <c r="R163" i="25"/>
  <c r="P163" i="25"/>
  <c r="J163" i="25"/>
  <c r="BE163" i="25" s="1"/>
  <c r="BK162" i="25"/>
  <c r="BI162" i="25"/>
  <c r="BH162" i="25"/>
  <c r="BG162" i="25"/>
  <c r="BF162" i="25"/>
  <c r="T162" i="25"/>
  <c r="R162" i="25"/>
  <c r="P162" i="25"/>
  <c r="J162" i="25"/>
  <c r="BE162" i="25" s="1"/>
  <c r="BK161" i="25"/>
  <c r="BI161" i="25"/>
  <c r="BH161" i="25"/>
  <c r="BG161" i="25"/>
  <c r="BF161" i="25"/>
  <c r="T161" i="25"/>
  <c r="R161" i="25"/>
  <c r="P161" i="25"/>
  <c r="J161" i="25"/>
  <c r="BE161" i="25" s="1"/>
  <c r="BK157" i="25"/>
  <c r="BI157" i="25"/>
  <c r="BH157" i="25"/>
  <c r="BG157" i="25"/>
  <c r="BF157" i="25"/>
  <c r="T157" i="25"/>
  <c r="R157" i="25"/>
  <c r="P157" i="25"/>
  <c r="J157" i="25"/>
  <c r="BE157" i="25" s="1"/>
  <c r="BK155" i="25"/>
  <c r="BI155" i="25"/>
  <c r="BH155" i="25"/>
  <c r="BG155" i="25"/>
  <c r="BF155" i="25"/>
  <c r="BE155" i="25"/>
  <c r="T155" i="25"/>
  <c r="R155" i="25"/>
  <c r="P155" i="25"/>
  <c r="J155" i="25"/>
  <c r="BK154" i="25"/>
  <c r="BI154" i="25"/>
  <c r="BH154" i="25"/>
  <c r="BG154" i="25"/>
  <c r="BF154" i="25"/>
  <c r="T154" i="25"/>
  <c r="R154" i="25"/>
  <c r="P154" i="25"/>
  <c r="J154" i="25"/>
  <c r="BE154" i="25" s="1"/>
  <c r="BK153" i="25"/>
  <c r="BI153" i="25"/>
  <c r="BH153" i="25"/>
  <c r="BG153" i="25"/>
  <c r="BF153" i="25"/>
  <c r="T153" i="25"/>
  <c r="R153" i="25"/>
  <c r="P153" i="25"/>
  <c r="J153" i="25"/>
  <c r="BE153" i="25" s="1"/>
  <c r="BK152" i="25"/>
  <c r="BI152" i="25"/>
  <c r="BH152" i="25"/>
  <c r="BG152" i="25"/>
  <c r="BF152" i="25"/>
  <c r="T152" i="25"/>
  <c r="R152" i="25"/>
  <c r="P152" i="25"/>
  <c r="J152" i="25"/>
  <c r="BE152" i="25" s="1"/>
  <c r="BK151" i="25"/>
  <c r="BI151" i="25"/>
  <c r="BH151" i="25"/>
  <c r="BG151" i="25"/>
  <c r="BF151" i="25"/>
  <c r="T151" i="25"/>
  <c r="R151" i="25"/>
  <c r="P151" i="25"/>
  <c r="J151" i="25"/>
  <c r="BE151" i="25" s="1"/>
  <c r="BK150" i="25"/>
  <c r="BI150" i="25"/>
  <c r="BH150" i="25"/>
  <c r="BG150" i="25"/>
  <c r="BF150" i="25"/>
  <c r="T150" i="25"/>
  <c r="R150" i="25"/>
  <c r="P150" i="25"/>
  <c r="J150" i="25"/>
  <c r="BE150" i="25" s="1"/>
  <c r="BK149" i="25"/>
  <c r="BI149" i="25"/>
  <c r="BH149" i="25"/>
  <c r="BG149" i="25"/>
  <c r="BF149" i="25"/>
  <c r="T149" i="25"/>
  <c r="R149" i="25"/>
  <c r="P149" i="25"/>
  <c r="J149" i="25"/>
  <c r="BE149" i="25" s="1"/>
  <c r="BK148" i="25"/>
  <c r="BI148" i="25"/>
  <c r="BH148" i="25"/>
  <c r="BG148" i="25"/>
  <c r="BF148" i="25"/>
  <c r="T148" i="25"/>
  <c r="R148" i="25"/>
  <c r="P148" i="25"/>
  <c r="J148" i="25"/>
  <c r="BE148" i="25" s="1"/>
  <c r="BK144" i="25"/>
  <c r="BI144" i="25"/>
  <c r="BH144" i="25"/>
  <c r="BG144" i="25"/>
  <c r="BF144" i="25"/>
  <c r="T144" i="25"/>
  <c r="R144" i="25"/>
  <c r="P144" i="25"/>
  <c r="J144" i="25"/>
  <c r="BE144" i="25" s="1"/>
  <c r="BK143" i="25"/>
  <c r="BI143" i="25"/>
  <c r="BH143" i="25"/>
  <c r="BG143" i="25"/>
  <c r="BF143" i="25"/>
  <c r="T143" i="25"/>
  <c r="R143" i="25"/>
  <c r="P143" i="25"/>
  <c r="J143" i="25"/>
  <c r="BE143" i="25" s="1"/>
  <c r="BK142" i="25"/>
  <c r="BI142" i="25"/>
  <c r="BH142" i="25"/>
  <c r="BG142" i="25"/>
  <c r="BF142" i="25"/>
  <c r="T142" i="25"/>
  <c r="R142" i="25"/>
  <c r="P142" i="25"/>
  <c r="J142" i="25"/>
  <c r="BE142" i="25" s="1"/>
  <c r="BK141" i="25"/>
  <c r="BI141" i="25"/>
  <c r="BH141" i="25"/>
  <c r="BG141" i="25"/>
  <c r="BF141" i="25"/>
  <c r="T141" i="25"/>
  <c r="R141" i="25"/>
  <c r="P141" i="25"/>
  <c r="J141" i="25"/>
  <c r="BE141" i="25" s="1"/>
  <c r="J136" i="25"/>
  <c r="J135" i="25"/>
  <c r="F135" i="25"/>
  <c r="J133" i="25"/>
  <c r="E131" i="25"/>
  <c r="E129" i="25"/>
  <c r="J92" i="25"/>
  <c r="F92" i="25"/>
  <c r="J91" i="25"/>
  <c r="F91" i="25"/>
  <c r="F89" i="25"/>
  <c r="E87" i="25"/>
  <c r="E85" i="25"/>
  <c r="J37" i="25"/>
  <c r="J36" i="25"/>
  <c r="AY121" i="1" s="1"/>
  <c r="J35" i="25"/>
  <c r="AX121" i="1" s="1"/>
  <c r="BK509" i="24"/>
  <c r="BI509" i="24"/>
  <c r="BH509" i="24"/>
  <c r="BG509" i="24"/>
  <c r="BF509" i="24"/>
  <c r="T509" i="24"/>
  <c r="R509" i="24"/>
  <c r="P509" i="24"/>
  <c r="J509" i="24"/>
  <c r="BE509" i="24" s="1"/>
  <c r="BK506" i="24"/>
  <c r="BI506" i="24"/>
  <c r="BH506" i="24"/>
  <c r="BG506" i="24"/>
  <c r="BF506" i="24"/>
  <c r="T506" i="24"/>
  <c r="T505" i="24" s="1"/>
  <c r="T504" i="24" s="1"/>
  <c r="R506" i="24"/>
  <c r="P506" i="24"/>
  <c r="J506" i="24"/>
  <c r="BE506" i="24" s="1"/>
  <c r="BK501" i="24"/>
  <c r="BI501" i="24"/>
  <c r="BH501" i="24"/>
  <c r="BG501" i="24"/>
  <c r="BF501" i="24"/>
  <c r="T501" i="24"/>
  <c r="R501" i="24"/>
  <c r="P501" i="24"/>
  <c r="J501" i="24"/>
  <c r="BE501" i="24" s="1"/>
  <c r="BK500" i="24"/>
  <c r="BI500" i="24"/>
  <c r="BH500" i="24"/>
  <c r="BG500" i="24"/>
  <c r="BF500" i="24"/>
  <c r="T500" i="24"/>
  <c r="R500" i="24"/>
  <c r="P500" i="24"/>
  <c r="J500" i="24"/>
  <c r="BE500" i="24" s="1"/>
  <c r="BK497" i="24"/>
  <c r="BI497" i="24"/>
  <c r="BH497" i="24"/>
  <c r="BG497" i="24"/>
  <c r="BF497" i="24"/>
  <c r="T497" i="24"/>
  <c r="R497" i="24"/>
  <c r="P497" i="24"/>
  <c r="J497" i="24"/>
  <c r="BE497" i="24" s="1"/>
  <c r="BK494" i="24"/>
  <c r="BI494" i="24"/>
  <c r="BH494" i="24"/>
  <c r="BG494" i="24"/>
  <c r="BF494" i="24"/>
  <c r="T494" i="24"/>
  <c r="R494" i="24"/>
  <c r="P494" i="24"/>
  <c r="J494" i="24"/>
  <c r="BE494" i="24" s="1"/>
  <c r="BK493" i="24"/>
  <c r="BI493" i="24"/>
  <c r="BH493" i="24"/>
  <c r="BG493" i="24"/>
  <c r="BF493" i="24"/>
  <c r="T493" i="24"/>
  <c r="R493" i="24"/>
  <c r="P493" i="24"/>
  <c r="J493" i="24"/>
  <c r="BE493" i="24" s="1"/>
  <c r="BK492" i="24"/>
  <c r="BI492" i="24"/>
  <c r="BH492" i="24"/>
  <c r="BG492" i="24"/>
  <c r="BF492" i="24"/>
  <c r="T492" i="24"/>
  <c r="R492" i="24"/>
  <c r="P492" i="24"/>
  <c r="J492" i="24"/>
  <c r="BE492" i="24" s="1"/>
  <c r="BK489" i="24"/>
  <c r="BI489" i="24"/>
  <c r="BH489" i="24"/>
  <c r="BG489" i="24"/>
  <c r="BF489" i="24"/>
  <c r="T489" i="24"/>
  <c r="R489" i="24"/>
  <c r="P489" i="24"/>
  <c r="J489" i="24"/>
  <c r="BE489" i="24" s="1"/>
  <c r="BK483" i="24"/>
  <c r="BI483" i="24"/>
  <c r="BH483" i="24"/>
  <c r="BG483" i="24"/>
  <c r="BF483" i="24"/>
  <c r="T483" i="24"/>
  <c r="R483" i="24"/>
  <c r="P483" i="24"/>
  <c r="J483" i="24"/>
  <c r="BE483" i="24" s="1"/>
  <c r="BK479" i="24"/>
  <c r="BI479" i="24"/>
  <c r="BH479" i="24"/>
  <c r="BG479" i="24"/>
  <c r="BF479" i="24"/>
  <c r="T479" i="24"/>
  <c r="R479" i="24"/>
  <c r="P479" i="24"/>
  <c r="J479" i="24"/>
  <c r="BE479" i="24" s="1"/>
  <c r="BK478" i="24"/>
  <c r="BI478" i="24"/>
  <c r="BH478" i="24"/>
  <c r="BG478" i="24"/>
  <c r="BF478" i="24"/>
  <c r="T478" i="24"/>
  <c r="T477" i="24" s="1"/>
  <c r="R478" i="24"/>
  <c r="P478" i="24"/>
  <c r="J478" i="24"/>
  <c r="BE478" i="24" s="1"/>
  <c r="BK473" i="24"/>
  <c r="BI473" i="24"/>
  <c r="BH473" i="24"/>
  <c r="BG473" i="24"/>
  <c r="BF473" i="24"/>
  <c r="T473" i="24"/>
  <c r="R473" i="24"/>
  <c r="P473" i="24"/>
  <c r="J473" i="24"/>
  <c r="BE473" i="24" s="1"/>
  <c r="BK467" i="24"/>
  <c r="BI467" i="24"/>
  <c r="BH467" i="24"/>
  <c r="BG467" i="24"/>
  <c r="BF467" i="24"/>
  <c r="T467" i="24"/>
  <c r="R467" i="24"/>
  <c r="P467" i="24"/>
  <c r="J467" i="24"/>
  <c r="BE467" i="24" s="1"/>
  <c r="BK466" i="24"/>
  <c r="BI466" i="24"/>
  <c r="BH466" i="24"/>
  <c r="BG466" i="24"/>
  <c r="BF466" i="24"/>
  <c r="T466" i="24"/>
  <c r="R466" i="24"/>
  <c r="P466" i="24"/>
  <c r="J466" i="24"/>
  <c r="BE466" i="24" s="1"/>
  <c r="BK465" i="24"/>
  <c r="BI465" i="24"/>
  <c r="BH465" i="24"/>
  <c r="BG465" i="24"/>
  <c r="BF465" i="24"/>
  <c r="T465" i="24"/>
  <c r="R465" i="24"/>
  <c r="P465" i="24"/>
  <c r="J465" i="24"/>
  <c r="BE465" i="24" s="1"/>
  <c r="BK464" i="24"/>
  <c r="BI464" i="24"/>
  <c r="BH464" i="24"/>
  <c r="BG464" i="24"/>
  <c r="BF464" i="24"/>
  <c r="T464" i="24"/>
  <c r="R464" i="24"/>
  <c r="P464" i="24"/>
  <c r="J464" i="24"/>
  <c r="BE464" i="24" s="1"/>
  <c r="BK463" i="24"/>
  <c r="BI463" i="24"/>
  <c r="BH463" i="24"/>
  <c r="BG463" i="24"/>
  <c r="BF463" i="24"/>
  <c r="T463" i="24"/>
  <c r="R463" i="24"/>
  <c r="P463" i="24"/>
  <c r="J463" i="24"/>
  <c r="BE463" i="24" s="1"/>
  <c r="BK461" i="24"/>
  <c r="BI461" i="24"/>
  <c r="BH461" i="24"/>
  <c r="BG461" i="24"/>
  <c r="BF461" i="24"/>
  <c r="T461" i="24"/>
  <c r="R461" i="24"/>
  <c r="P461" i="24"/>
  <c r="J461" i="24"/>
  <c r="BE461" i="24" s="1"/>
  <c r="BK460" i="24"/>
  <c r="BI460" i="24"/>
  <c r="BH460" i="24"/>
  <c r="BG460" i="24"/>
  <c r="BF460" i="24"/>
  <c r="BE460" i="24"/>
  <c r="T460" i="24"/>
  <c r="R460" i="24"/>
  <c r="P460" i="24"/>
  <c r="J460" i="24"/>
  <c r="BK457" i="24"/>
  <c r="BI457" i="24"/>
  <c r="BH457" i="24"/>
  <c r="BG457" i="24"/>
  <c r="BF457" i="24"/>
  <c r="T457" i="24"/>
  <c r="R457" i="24"/>
  <c r="P457" i="24"/>
  <c r="J457" i="24"/>
  <c r="BE457" i="24" s="1"/>
  <c r="BK451" i="24"/>
  <c r="BI451" i="24"/>
  <c r="BH451" i="24"/>
  <c r="BG451" i="24"/>
  <c r="BF451" i="24"/>
  <c r="T451" i="24"/>
  <c r="R451" i="24"/>
  <c r="P451" i="24"/>
  <c r="J451" i="24"/>
  <c r="BE451" i="24" s="1"/>
  <c r="BK448" i="24"/>
  <c r="BI448" i="24"/>
  <c r="BH448" i="24"/>
  <c r="BG448" i="24"/>
  <c r="BF448" i="24"/>
  <c r="T448" i="24"/>
  <c r="R448" i="24"/>
  <c r="P448" i="24"/>
  <c r="J448" i="24"/>
  <c r="BE448" i="24" s="1"/>
  <c r="BK447" i="24"/>
  <c r="BI447" i="24"/>
  <c r="BH447" i="24"/>
  <c r="BG447" i="24"/>
  <c r="BF447" i="24"/>
  <c r="T447" i="24"/>
  <c r="R447" i="24"/>
  <c r="P447" i="24"/>
  <c r="J447" i="24"/>
  <c r="BE447" i="24" s="1"/>
  <c r="BK446" i="24"/>
  <c r="BI446" i="24"/>
  <c r="BH446" i="24"/>
  <c r="BG446" i="24"/>
  <c r="BF446" i="24"/>
  <c r="T446" i="24"/>
  <c r="R446" i="24"/>
  <c r="P446" i="24"/>
  <c r="J446" i="24"/>
  <c r="BE446" i="24" s="1"/>
  <c r="BK445" i="24"/>
  <c r="BI445" i="24"/>
  <c r="BH445" i="24"/>
  <c r="BG445" i="24"/>
  <c r="BF445" i="24"/>
  <c r="T445" i="24"/>
  <c r="R445" i="24"/>
  <c r="P445" i="24"/>
  <c r="J445" i="24"/>
  <c r="BE445" i="24" s="1"/>
  <c r="BK444" i="24"/>
  <c r="BI444" i="24"/>
  <c r="BH444" i="24"/>
  <c r="BG444" i="24"/>
  <c r="BF444" i="24"/>
  <c r="T444" i="24"/>
  <c r="R444" i="24"/>
  <c r="P444" i="24"/>
  <c r="J444" i="24"/>
  <c r="BE444" i="24" s="1"/>
  <c r="BK443" i="24"/>
  <c r="BI443" i="24"/>
  <c r="BH443" i="24"/>
  <c r="BG443" i="24"/>
  <c r="BF443" i="24"/>
  <c r="T443" i="24"/>
  <c r="R443" i="24"/>
  <c r="P443" i="24"/>
  <c r="J443" i="24"/>
  <c r="BE443" i="24" s="1"/>
  <c r="BK437" i="24"/>
  <c r="BI437" i="24"/>
  <c r="BH437" i="24"/>
  <c r="BG437" i="24"/>
  <c r="BF437" i="24"/>
  <c r="T437" i="24"/>
  <c r="R437" i="24"/>
  <c r="P437" i="24"/>
  <c r="J437" i="24"/>
  <c r="BE437" i="24" s="1"/>
  <c r="BK435" i="24"/>
  <c r="BI435" i="24"/>
  <c r="BH435" i="24"/>
  <c r="BG435" i="24"/>
  <c r="BF435" i="24"/>
  <c r="T435" i="24"/>
  <c r="R435" i="24"/>
  <c r="P435" i="24"/>
  <c r="J435" i="24"/>
  <c r="BE435" i="24" s="1"/>
  <c r="BK433" i="24"/>
  <c r="BI433" i="24"/>
  <c r="BH433" i="24"/>
  <c r="BG433" i="24"/>
  <c r="BF433" i="24"/>
  <c r="T433" i="24"/>
  <c r="R433" i="24"/>
  <c r="P433" i="24"/>
  <c r="J433" i="24"/>
  <c r="BE433" i="24" s="1"/>
  <c r="BK431" i="24"/>
  <c r="BI431" i="24"/>
  <c r="BH431" i="24"/>
  <c r="BG431" i="24"/>
  <c r="BF431" i="24"/>
  <c r="T431" i="24"/>
  <c r="R431" i="24"/>
  <c r="P431" i="24"/>
  <c r="J431" i="24"/>
  <c r="BE431" i="24" s="1"/>
  <c r="BK429" i="24"/>
  <c r="BI429" i="24"/>
  <c r="BH429" i="24"/>
  <c r="BG429" i="24"/>
  <c r="BF429" i="24"/>
  <c r="BE429" i="24"/>
  <c r="T429" i="24"/>
  <c r="R429" i="24"/>
  <c r="P429" i="24"/>
  <c r="J429" i="24"/>
  <c r="BK427" i="24"/>
  <c r="BI427" i="24"/>
  <c r="BH427" i="24"/>
  <c r="BG427" i="24"/>
  <c r="BF427" i="24"/>
  <c r="T427" i="24"/>
  <c r="R427" i="24"/>
  <c r="P427" i="24"/>
  <c r="J427" i="24"/>
  <c r="BE427" i="24" s="1"/>
  <c r="BK425" i="24"/>
  <c r="BI425" i="24"/>
  <c r="BH425" i="24"/>
  <c r="BG425" i="24"/>
  <c r="BF425" i="24"/>
  <c r="T425" i="24"/>
  <c r="R425" i="24"/>
  <c r="P425" i="24"/>
  <c r="J425" i="24"/>
  <c r="BE425" i="24" s="1"/>
  <c r="BK423" i="24"/>
  <c r="BI423" i="24"/>
  <c r="BH423" i="24"/>
  <c r="BG423" i="24"/>
  <c r="BF423" i="24"/>
  <c r="T423" i="24"/>
  <c r="R423" i="24"/>
  <c r="P423" i="24"/>
  <c r="J423" i="24"/>
  <c r="BE423" i="24" s="1"/>
  <c r="BK422" i="24"/>
  <c r="BI422" i="24"/>
  <c r="BH422" i="24"/>
  <c r="BG422" i="24"/>
  <c r="BF422" i="24"/>
  <c r="T422" i="24"/>
  <c r="R422" i="24"/>
  <c r="P422" i="24"/>
  <c r="J422" i="24"/>
  <c r="BE422" i="24" s="1"/>
  <c r="BK421" i="24"/>
  <c r="BI421" i="24"/>
  <c r="BH421" i="24"/>
  <c r="BG421" i="24"/>
  <c r="BF421" i="24"/>
  <c r="BE421" i="24"/>
  <c r="T421" i="24"/>
  <c r="R421" i="24"/>
  <c r="P421" i="24"/>
  <c r="J421" i="24"/>
  <c r="BK418" i="24"/>
  <c r="BI418" i="24"/>
  <c r="BH418" i="24"/>
  <c r="BG418" i="24"/>
  <c r="BF418" i="24"/>
  <c r="T418" i="24"/>
  <c r="R418" i="24"/>
  <c r="P418" i="24"/>
  <c r="J418" i="24"/>
  <c r="BE418" i="24" s="1"/>
  <c r="BK415" i="24"/>
  <c r="BI415" i="24"/>
  <c r="BH415" i="24"/>
  <c r="BG415" i="24"/>
  <c r="BF415" i="24"/>
  <c r="T415" i="24"/>
  <c r="R415" i="24"/>
  <c r="P415" i="24"/>
  <c r="J415" i="24"/>
  <c r="BE415" i="24" s="1"/>
  <c r="BK409" i="24"/>
  <c r="BI409" i="24"/>
  <c r="BH409" i="24"/>
  <c r="BG409" i="24"/>
  <c r="BF409" i="24"/>
  <c r="T409" i="24"/>
  <c r="R409" i="24"/>
  <c r="P409" i="24"/>
  <c r="J409" i="24"/>
  <c r="BE409" i="24" s="1"/>
  <c r="BK408" i="24"/>
  <c r="BI408" i="24"/>
  <c r="BH408" i="24"/>
  <c r="BG408" i="24"/>
  <c r="BF408" i="24"/>
  <c r="T408" i="24"/>
  <c r="R408" i="24"/>
  <c r="P408" i="24"/>
  <c r="J408" i="24"/>
  <c r="BE408" i="24" s="1"/>
  <c r="BK407" i="24"/>
  <c r="BI407" i="24"/>
  <c r="BH407" i="24"/>
  <c r="BG407" i="24"/>
  <c r="BF407" i="24"/>
  <c r="T407" i="24"/>
  <c r="R407" i="24"/>
  <c r="P407" i="24"/>
  <c r="J407" i="24"/>
  <c r="BE407" i="24" s="1"/>
  <c r="BK406" i="24"/>
  <c r="BI406" i="24"/>
  <c r="BH406" i="24"/>
  <c r="BG406" i="24"/>
  <c r="BF406" i="24"/>
  <c r="T406" i="24"/>
  <c r="R406" i="24"/>
  <c r="P406" i="24"/>
  <c r="J406" i="24"/>
  <c r="BE406" i="24" s="1"/>
  <c r="BK400" i="24"/>
  <c r="BI400" i="24"/>
  <c r="BH400" i="24"/>
  <c r="BG400" i="24"/>
  <c r="BF400" i="24"/>
  <c r="T400" i="24"/>
  <c r="R400" i="24"/>
  <c r="P400" i="24"/>
  <c r="J400" i="24"/>
  <c r="BE400" i="24" s="1"/>
  <c r="BK397" i="24"/>
  <c r="BI397" i="24"/>
  <c r="BH397" i="24"/>
  <c r="BG397" i="24"/>
  <c r="BF397" i="24"/>
  <c r="BE397" i="24"/>
  <c r="T397" i="24"/>
  <c r="R397" i="24"/>
  <c r="P397" i="24"/>
  <c r="J397" i="24"/>
  <c r="BK394" i="24"/>
  <c r="BI394" i="24"/>
  <c r="BH394" i="24"/>
  <c r="BG394" i="24"/>
  <c r="BF394" i="24"/>
  <c r="T394" i="24"/>
  <c r="R394" i="24"/>
  <c r="P394" i="24"/>
  <c r="J394" i="24"/>
  <c r="BE394" i="24" s="1"/>
  <c r="BK388" i="24"/>
  <c r="BI388" i="24"/>
  <c r="BH388" i="24"/>
  <c r="BG388" i="24"/>
  <c r="BF388" i="24"/>
  <c r="T388" i="24"/>
  <c r="R388" i="24"/>
  <c r="P388" i="24"/>
  <c r="J388" i="24"/>
  <c r="BE388" i="24" s="1"/>
  <c r="BK387" i="24"/>
  <c r="BI387" i="24"/>
  <c r="BH387" i="24"/>
  <c r="BG387" i="24"/>
  <c r="BF387" i="24"/>
  <c r="T387" i="24"/>
  <c r="R387" i="24"/>
  <c r="P387" i="24"/>
  <c r="J387" i="24"/>
  <c r="BE387" i="24" s="1"/>
  <c r="BK384" i="24"/>
  <c r="BI384" i="24"/>
  <c r="BH384" i="24"/>
  <c r="BG384" i="24"/>
  <c r="BF384" i="24"/>
  <c r="T384" i="24"/>
  <c r="R384" i="24"/>
  <c r="P384" i="24"/>
  <c r="J384" i="24"/>
  <c r="BE384" i="24" s="1"/>
  <c r="BK382" i="24"/>
  <c r="BI382" i="24"/>
  <c r="BH382" i="24"/>
  <c r="BG382" i="24"/>
  <c r="BF382" i="24"/>
  <c r="T382" i="24"/>
  <c r="R382" i="24"/>
  <c r="P382" i="24"/>
  <c r="J382" i="24"/>
  <c r="BE382" i="24" s="1"/>
  <c r="BK381" i="24"/>
  <c r="BI381" i="24"/>
  <c r="BH381" i="24"/>
  <c r="BG381" i="24"/>
  <c r="BF381" i="24"/>
  <c r="T381" i="24"/>
  <c r="R381" i="24"/>
  <c r="P381" i="24"/>
  <c r="J381" i="24"/>
  <c r="BE381" i="24" s="1"/>
  <c r="BK380" i="24"/>
  <c r="BI380" i="24"/>
  <c r="BH380" i="24"/>
  <c r="BG380" i="24"/>
  <c r="BF380" i="24"/>
  <c r="T380" i="24"/>
  <c r="R380" i="24"/>
  <c r="P380" i="24"/>
  <c r="J380" i="24"/>
  <c r="BE380" i="24" s="1"/>
  <c r="BK377" i="24"/>
  <c r="BI377" i="24"/>
  <c r="BH377" i="24"/>
  <c r="BG377" i="24"/>
  <c r="BF377" i="24"/>
  <c r="T377" i="24"/>
  <c r="R377" i="24"/>
  <c r="P377" i="24"/>
  <c r="J377" i="24"/>
  <c r="BE377" i="24" s="1"/>
  <c r="BK376" i="24"/>
  <c r="BI376" i="24"/>
  <c r="BH376" i="24"/>
  <c r="BG376" i="24"/>
  <c r="BF376" i="24"/>
  <c r="T376" i="24"/>
  <c r="R376" i="24"/>
  <c r="P376" i="24"/>
  <c r="J376" i="24"/>
  <c r="BE376" i="24" s="1"/>
  <c r="BK375" i="24"/>
  <c r="BI375" i="24"/>
  <c r="BH375" i="24"/>
  <c r="BG375" i="24"/>
  <c r="BF375" i="24"/>
  <c r="T375" i="24"/>
  <c r="R375" i="24"/>
  <c r="P375" i="24"/>
  <c r="J375" i="24"/>
  <c r="BE375" i="24" s="1"/>
  <c r="BK374" i="24"/>
  <c r="BI374" i="24"/>
  <c r="BH374" i="24"/>
  <c r="BG374" i="24"/>
  <c r="BF374" i="24"/>
  <c r="T374" i="24"/>
  <c r="R374" i="24"/>
  <c r="P374" i="24"/>
  <c r="J374" i="24"/>
  <c r="BE374" i="24" s="1"/>
  <c r="BK373" i="24"/>
  <c r="BI373" i="24"/>
  <c r="BH373" i="24"/>
  <c r="BG373" i="24"/>
  <c r="BF373" i="24"/>
  <c r="T373" i="24"/>
  <c r="R373" i="24"/>
  <c r="P373" i="24"/>
  <c r="J373" i="24"/>
  <c r="BE373" i="24" s="1"/>
  <c r="BK372" i="24"/>
  <c r="BI372" i="24"/>
  <c r="BH372" i="24"/>
  <c r="BG372" i="24"/>
  <c r="BF372" i="24"/>
  <c r="T372" i="24"/>
  <c r="R372" i="24"/>
  <c r="P372" i="24"/>
  <c r="J372" i="24"/>
  <c r="BE372" i="24" s="1"/>
  <c r="BK371" i="24"/>
  <c r="BI371" i="24"/>
  <c r="BH371" i="24"/>
  <c r="BG371" i="24"/>
  <c r="BF371" i="24"/>
  <c r="T371" i="24"/>
  <c r="R371" i="24"/>
  <c r="P371" i="24"/>
  <c r="J371" i="24"/>
  <c r="BE371" i="24" s="1"/>
  <c r="BK367" i="24"/>
  <c r="BI367" i="24"/>
  <c r="BH367" i="24"/>
  <c r="BG367" i="24"/>
  <c r="BF367" i="24"/>
  <c r="T367" i="24"/>
  <c r="T366" i="24" s="1"/>
  <c r="R367" i="24"/>
  <c r="P367" i="24"/>
  <c r="J367" i="24"/>
  <c r="BE367" i="24" s="1"/>
  <c r="BK366" i="24"/>
  <c r="J366" i="24" s="1"/>
  <c r="J102" i="24" s="1"/>
  <c r="R366" i="24"/>
  <c r="P366" i="24"/>
  <c r="BK365" i="24"/>
  <c r="BI365" i="24"/>
  <c r="BH365" i="24"/>
  <c r="BG365" i="24"/>
  <c r="BF365" i="24"/>
  <c r="T365" i="24"/>
  <c r="R365" i="24"/>
  <c r="P365" i="24"/>
  <c r="J365" i="24"/>
  <c r="BE365" i="24" s="1"/>
  <c r="BK362" i="24"/>
  <c r="BI362" i="24"/>
  <c r="BH362" i="24"/>
  <c r="BG362" i="24"/>
  <c r="BF362" i="24"/>
  <c r="T362" i="24"/>
  <c r="R362" i="24"/>
  <c r="P362" i="24"/>
  <c r="J362" i="24"/>
  <c r="BE362" i="24" s="1"/>
  <c r="BK360" i="24"/>
  <c r="BI360" i="24"/>
  <c r="BH360" i="24"/>
  <c r="BG360" i="24"/>
  <c r="BF360" i="24"/>
  <c r="T360" i="24"/>
  <c r="R360" i="24"/>
  <c r="P360" i="24"/>
  <c r="J360" i="24"/>
  <c r="BE360" i="24" s="1"/>
  <c r="BK358" i="24"/>
  <c r="BI358" i="24"/>
  <c r="BH358" i="24"/>
  <c r="BG358" i="24"/>
  <c r="BF358" i="24"/>
  <c r="T358" i="24"/>
  <c r="R358" i="24"/>
  <c r="P358" i="24"/>
  <c r="J358" i="24"/>
  <c r="BE358" i="24" s="1"/>
  <c r="BK357" i="24"/>
  <c r="BI357" i="24"/>
  <c r="BH357" i="24"/>
  <c r="BG357" i="24"/>
  <c r="BF357" i="24"/>
  <c r="T357" i="24"/>
  <c r="R357" i="24"/>
  <c r="P357" i="24"/>
  <c r="J357" i="24"/>
  <c r="BE357" i="24" s="1"/>
  <c r="BK354" i="24"/>
  <c r="BI354" i="24"/>
  <c r="BH354" i="24"/>
  <c r="BG354" i="24"/>
  <c r="BF354" i="24"/>
  <c r="T354" i="24"/>
  <c r="R354" i="24"/>
  <c r="P354" i="24"/>
  <c r="J354" i="24"/>
  <c r="BE354" i="24" s="1"/>
  <c r="BK351" i="24"/>
  <c r="BI351" i="24"/>
  <c r="BH351" i="24"/>
  <c r="BG351" i="24"/>
  <c r="BF351" i="24"/>
  <c r="T351" i="24"/>
  <c r="R351" i="24"/>
  <c r="P351" i="24"/>
  <c r="J351" i="24"/>
  <c r="BE351" i="24" s="1"/>
  <c r="BK349" i="24"/>
  <c r="BI349" i="24"/>
  <c r="BH349" i="24"/>
  <c r="BG349" i="24"/>
  <c r="BF349" i="24"/>
  <c r="T349" i="24"/>
  <c r="R349" i="24"/>
  <c r="P349" i="24"/>
  <c r="J349" i="24"/>
  <c r="BE349" i="24" s="1"/>
  <c r="BK346" i="24"/>
  <c r="BI346" i="24"/>
  <c r="BH346" i="24"/>
  <c r="BG346" i="24"/>
  <c r="BF346" i="24"/>
  <c r="T346" i="24"/>
  <c r="R346" i="24"/>
  <c r="P346" i="24"/>
  <c r="J346" i="24"/>
  <c r="BE346" i="24" s="1"/>
  <c r="BK344" i="24"/>
  <c r="BI344" i="24"/>
  <c r="BH344" i="24"/>
  <c r="BG344" i="24"/>
  <c r="BF344" i="24"/>
  <c r="T344" i="24"/>
  <c r="R344" i="24"/>
  <c r="P344" i="24"/>
  <c r="J344" i="24"/>
  <c r="BE344" i="24" s="1"/>
  <c r="BK338" i="24"/>
  <c r="BI338" i="24"/>
  <c r="BH338" i="24"/>
  <c r="BG338" i="24"/>
  <c r="BF338" i="24"/>
  <c r="T338" i="24"/>
  <c r="R338" i="24"/>
  <c r="P338" i="24"/>
  <c r="J338" i="24"/>
  <c r="BE338" i="24" s="1"/>
  <c r="BK329" i="24"/>
  <c r="BI329" i="24"/>
  <c r="BH329" i="24"/>
  <c r="BG329" i="24"/>
  <c r="BF329" i="24"/>
  <c r="T329" i="24"/>
  <c r="R329" i="24"/>
  <c r="P329" i="24"/>
  <c r="J329" i="24"/>
  <c r="BE329" i="24" s="1"/>
  <c r="BK326" i="24"/>
  <c r="BI326" i="24"/>
  <c r="BH326" i="24"/>
  <c r="BG326" i="24"/>
  <c r="BF326" i="24"/>
  <c r="T326" i="24"/>
  <c r="R326" i="24"/>
  <c r="P326" i="24"/>
  <c r="J326" i="24"/>
  <c r="BE326" i="24" s="1"/>
  <c r="BK323" i="24"/>
  <c r="BI323" i="24"/>
  <c r="BH323" i="24"/>
  <c r="BG323" i="24"/>
  <c r="BF323" i="24"/>
  <c r="T323" i="24"/>
  <c r="R323" i="24"/>
  <c r="P323" i="24"/>
  <c r="J323" i="24"/>
  <c r="BE323" i="24" s="1"/>
  <c r="BK320" i="24"/>
  <c r="BI320" i="24"/>
  <c r="BH320" i="24"/>
  <c r="BG320" i="24"/>
  <c r="BF320" i="24"/>
  <c r="T320" i="24"/>
  <c r="R320" i="24"/>
  <c r="P320" i="24"/>
  <c r="J320" i="24"/>
  <c r="BE320" i="24" s="1"/>
  <c r="BK314" i="24"/>
  <c r="BI314" i="24"/>
  <c r="BH314" i="24"/>
  <c r="BG314" i="24"/>
  <c r="BF314" i="24"/>
  <c r="T314" i="24"/>
  <c r="R314" i="24"/>
  <c r="P314" i="24"/>
  <c r="J314" i="24"/>
  <c r="BE314" i="24" s="1"/>
  <c r="BK310" i="24"/>
  <c r="BI310" i="24"/>
  <c r="BH310" i="24"/>
  <c r="BG310" i="24"/>
  <c r="BF310" i="24"/>
  <c r="T310" i="24"/>
  <c r="R310" i="24"/>
  <c r="P310" i="24"/>
  <c r="J310" i="24"/>
  <c r="BE310" i="24" s="1"/>
  <c r="BK302" i="24"/>
  <c r="BI302" i="24"/>
  <c r="BH302" i="24"/>
  <c r="BG302" i="24"/>
  <c r="BF302" i="24"/>
  <c r="T302" i="24"/>
  <c r="R302" i="24"/>
  <c r="P302" i="24"/>
  <c r="J302" i="24"/>
  <c r="BE302" i="24" s="1"/>
  <c r="BK298" i="24"/>
  <c r="BI298" i="24"/>
  <c r="BH298" i="24"/>
  <c r="BG298" i="24"/>
  <c r="BF298" i="24"/>
  <c r="T298" i="24"/>
  <c r="R298" i="24"/>
  <c r="P298" i="24"/>
  <c r="J298" i="24"/>
  <c r="BE298" i="24" s="1"/>
  <c r="BK297" i="24"/>
  <c r="BI297" i="24"/>
  <c r="BH297" i="24"/>
  <c r="BG297" i="24"/>
  <c r="BF297" i="24"/>
  <c r="T297" i="24"/>
  <c r="R297" i="24"/>
  <c r="P297" i="24"/>
  <c r="J297" i="24"/>
  <c r="BE297" i="24" s="1"/>
  <c r="BK293" i="24"/>
  <c r="BI293" i="24"/>
  <c r="BH293" i="24"/>
  <c r="BG293" i="24"/>
  <c r="BF293" i="24"/>
  <c r="T293" i="24"/>
  <c r="R293" i="24"/>
  <c r="P293" i="24"/>
  <c r="J293" i="24"/>
  <c r="BE293" i="24" s="1"/>
  <c r="BK290" i="24"/>
  <c r="BI290" i="24"/>
  <c r="BH290" i="24"/>
  <c r="BG290" i="24"/>
  <c r="BF290" i="24"/>
  <c r="T290" i="24"/>
  <c r="R290" i="24"/>
  <c r="P290" i="24"/>
  <c r="J290" i="24"/>
  <c r="BE290" i="24" s="1"/>
  <c r="BK289" i="24"/>
  <c r="BI289" i="24"/>
  <c r="BH289" i="24"/>
  <c r="BG289" i="24"/>
  <c r="BF289" i="24"/>
  <c r="T289" i="24"/>
  <c r="R289" i="24"/>
  <c r="P289" i="24"/>
  <c r="J289" i="24"/>
  <c r="BE289" i="24" s="1"/>
  <c r="BK286" i="24"/>
  <c r="BI286" i="24"/>
  <c r="BH286" i="24"/>
  <c r="BG286" i="24"/>
  <c r="BF286" i="24"/>
  <c r="T286" i="24"/>
  <c r="R286" i="24"/>
  <c r="P286" i="24"/>
  <c r="J286" i="24"/>
  <c r="BE286" i="24" s="1"/>
  <c r="BK283" i="24"/>
  <c r="BI283" i="24"/>
  <c r="BH283" i="24"/>
  <c r="BG283" i="24"/>
  <c r="BF283" i="24"/>
  <c r="T283" i="24"/>
  <c r="R283" i="24"/>
  <c r="P283" i="24"/>
  <c r="J283" i="24"/>
  <c r="BE283" i="24" s="1"/>
  <c r="BK282" i="24"/>
  <c r="BI282" i="24"/>
  <c r="BH282" i="24"/>
  <c r="BG282" i="24"/>
  <c r="BF282" i="24"/>
  <c r="T282" i="24"/>
  <c r="R282" i="24"/>
  <c r="P282" i="24"/>
  <c r="J282" i="24"/>
  <c r="BE282" i="24" s="1"/>
  <c r="BK280" i="24"/>
  <c r="BI280" i="24"/>
  <c r="BH280" i="24"/>
  <c r="BG280" i="24"/>
  <c r="BF280" i="24"/>
  <c r="T280" i="24"/>
  <c r="R280" i="24"/>
  <c r="P280" i="24"/>
  <c r="J280" i="24"/>
  <c r="BE280" i="24" s="1"/>
  <c r="BK274" i="24"/>
  <c r="BI274" i="24"/>
  <c r="BH274" i="24"/>
  <c r="BG274" i="24"/>
  <c r="BF274" i="24"/>
  <c r="T274" i="24"/>
  <c r="R274" i="24"/>
  <c r="P274" i="24"/>
  <c r="J274" i="24"/>
  <c r="BE274" i="24" s="1"/>
  <c r="BK268" i="24"/>
  <c r="BI268" i="24"/>
  <c r="BH268" i="24"/>
  <c r="BG268" i="24"/>
  <c r="BF268" i="24"/>
  <c r="T268" i="24"/>
  <c r="R268" i="24"/>
  <c r="P268" i="24"/>
  <c r="J268" i="24"/>
  <c r="BE268" i="24" s="1"/>
  <c r="BK265" i="24"/>
  <c r="BI265" i="24"/>
  <c r="BH265" i="24"/>
  <c r="BG265" i="24"/>
  <c r="BF265" i="24"/>
  <c r="T265" i="24"/>
  <c r="R265" i="24"/>
  <c r="P265" i="24"/>
  <c r="J265" i="24"/>
  <c r="BE265" i="24" s="1"/>
  <c r="BK262" i="24"/>
  <c r="BI262" i="24"/>
  <c r="BH262" i="24"/>
  <c r="BG262" i="24"/>
  <c r="BF262" i="24"/>
  <c r="T262" i="24"/>
  <c r="R262" i="24"/>
  <c r="P262" i="24"/>
  <c r="J262" i="24"/>
  <c r="BE262" i="24" s="1"/>
  <c r="BK256" i="24"/>
  <c r="BI256" i="24"/>
  <c r="BH256" i="24"/>
  <c r="BG256" i="24"/>
  <c r="BF256" i="24"/>
  <c r="T256" i="24"/>
  <c r="R256" i="24"/>
  <c r="P256" i="24"/>
  <c r="J256" i="24"/>
  <c r="BE256" i="24" s="1"/>
  <c r="BK252" i="24"/>
  <c r="BI252" i="24"/>
  <c r="BH252" i="24"/>
  <c r="BG252" i="24"/>
  <c r="BF252" i="24"/>
  <c r="T252" i="24"/>
  <c r="R252" i="24"/>
  <c r="P252" i="24"/>
  <c r="J252" i="24"/>
  <c r="BE252" i="24" s="1"/>
  <c r="BK240" i="24"/>
  <c r="BI240" i="24"/>
  <c r="BH240" i="24"/>
  <c r="BG240" i="24"/>
  <c r="BF240" i="24"/>
  <c r="T240" i="24"/>
  <c r="R240" i="24"/>
  <c r="P240" i="24"/>
  <c r="J240" i="24"/>
  <c r="BE240" i="24" s="1"/>
  <c r="BK238" i="24"/>
  <c r="BI238" i="24"/>
  <c r="BH238" i="24"/>
  <c r="BG238" i="24"/>
  <c r="BF238" i="24"/>
  <c r="T238" i="24"/>
  <c r="R238" i="24"/>
  <c r="P238" i="24"/>
  <c r="J238" i="24"/>
  <c r="BE238" i="24" s="1"/>
  <c r="BK234" i="24"/>
  <c r="BI234" i="24"/>
  <c r="BH234" i="24"/>
  <c r="BG234" i="24"/>
  <c r="BF234" i="24"/>
  <c r="T234" i="24"/>
  <c r="R234" i="24"/>
  <c r="P234" i="24"/>
  <c r="J234" i="24"/>
  <c r="BE234" i="24" s="1"/>
  <c r="BK232" i="24"/>
  <c r="BI232" i="24"/>
  <c r="BH232" i="24"/>
  <c r="BG232" i="24"/>
  <c r="BF232" i="24"/>
  <c r="T232" i="24"/>
  <c r="R232" i="24"/>
  <c r="P232" i="24"/>
  <c r="J232" i="24"/>
  <c r="BE232" i="24" s="1"/>
  <c r="BK226" i="24"/>
  <c r="BI226" i="24"/>
  <c r="BH226" i="24"/>
  <c r="BG226" i="24"/>
  <c r="BF226" i="24"/>
  <c r="BE226" i="24"/>
  <c r="T226" i="24"/>
  <c r="R226" i="24"/>
  <c r="P226" i="24"/>
  <c r="J226" i="24"/>
  <c r="BK223" i="24"/>
  <c r="BI223" i="24"/>
  <c r="BH223" i="24"/>
  <c r="BG223" i="24"/>
  <c r="BF223" i="24"/>
  <c r="T223" i="24"/>
  <c r="R223" i="24"/>
  <c r="P223" i="24"/>
  <c r="J223" i="24"/>
  <c r="BE223" i="24" s="1"/>
  <c r="BK218" i="24"/>
  <c r="BI218" i="24"/>
  <c r="BH218" i="24"/>
  <c r="BG218" i="24"/>
  <c r="BF218" i="24"/>
  <c r="T218" i="24"/>
  <c r="R218" i="24"/>
  <c r="P218" i="24"/>
  <c r="J218" i="24"/>
  <c r="BE218" i="24" s="1"/>
  <c r="BK217" i="24"/>
  <c r="BI217" i="24"/>
  <c r="BH217" i="24"/>
  <c r="BG217" i="24"/>
  <c r="BF217" i="24"/>
  <c r="T217" i="24"/>
  <c r="R217" i="24"/>
  <c r="P217" i="24"/>
  <c r="J217" i="24"/>
  <c r="BE217" i="24" s="1"/>
  <c r="BK214" i="24"/>
  <c r="BI214" i="24"/>
  <c r="BH214" i="24"/>
  <c r="BG214" i="24"/>
  <c r="BF214" i="24"/>
  <c r="T214" i="24"/>
  <c r="R214" i="24"/>
  <c r="P214" i="24"/>
  <c r="J214" i="24"/>
  <c r="BE214" i="24" s="1"/>
  <c r="BK212" i="24"/>
  <c r="BI212" i="24"/>
  <c r="BH212" i="24"/>
  <c r="BG212" i="24"/>
  <c r="BF212" i="24"/>
  <c r="T212" i="24"/>
  <c r="R212" i="24"/>
  <c r="P212" i="24"/>
  <c r="J212" i="24"/>
  <c r="BE212" i="24" s="1"/>
  <c r="BK204" i="24"/>
  <c r="BI204" i="24"/>
  <c r="BH204" i="24"/>
  <c r="BG204" i="24"/>
  <c r="BF204" i="24"/>
  <c r="T204" i="24"/>
  <c r="R204" i="24"/>
  <c r="P204" i="24"/>
  <c r="J204" i="24"/>
  <c r="BE204" i="24" s="1"/>
  <c r="BK198" i="24"/>
  <c r="BI198" i="24"/>
  <c r="BH198" i="24"/>
  <c r="BG198" i="24"/>
  <c r="BF198" i="24"/>
  <c r="T198" i="24"/>
  <c r="R198" i="24"/>
  <c r="P198" i="24"/>
  <c r="J198" i="24"/>
  <c r="BE198" i="24" s="1"/>
  <c r="BK188" i="24"/>
  <c r="BI188" i="24"/>
  <c r="BH188" i="24"/>
  <c r="BG188" i="24"/>
  <c r="BF188" i="24"/>
  <c r="T188" i="24"/>
  <c r="R188" i="24"/>
  <c r="P188" i="24"/>
  <c r="J188" i="24"/>
  <c r="BE188" i="24" s="1"/>
  <c r="BK180" i="24"/>
  <c r="BI180" i="24"/>
  <c r="BH180" i="24"/>
  <c r="BG180" i="24"/>
  <c r="BF180" i="24"/>
  <c r="T180" i="24"/>
  <c r="R180" i="24"/>
  <c r="P180" i="24"/>
  <c r="J180" i="24"/>
  <c r="BE180" i="24" s="1"/>
  <c r="BK177" i="24"/>
  <c r="BI177" i="24"/>
  <c r="BH177" i="24"/>
  <c r="BG177" i="24"/>
  <c r="BF177" i="24"/>
  <c r="T177" i="24"/>
  <c r="R177" i="24"/>
  <c r="P177" i="24"/>
  <c r="J177" i="24"/>
  <c r="BE177" i="24" s="1"/>
  <c r="BK175" i="24"/>
  <c r="BI175" i="24"/>
  <c r="BH175" i="24"/>
  <c r="BG175" i="24"/>
  <c r="BF175" i="24"/>
  <c r="T175" i="24"/>
  <c r="R175" i="24"/>
  <c r="P175" i="24"/>
  <c r="J175" i="24"/>
  <c r="BE175" i="24" s="1"/>
  <c r="BK169" i="24"/>
  <c r="BI169" i="24"/>
  <c r="BH169" i="24"/>
  <c r="BG169" i="24"/>
  <c r="BF169" i="24"/>
  <c r="T169" i="24"/>
  <c r="R169" i="24"/>
  <c r="P169" i="24"/>
  <c r="J169" i="24"/>
  <c r="BE169" i="24" s="1"/>
  <c r="BK163" i="24"/>
  <c r="BI163" i="24"/>
  <c r="BH163" i="24"/>
  <c r="BG163" i="24"/>
  <c r="BF163" i="24"/>
  <c r="T163" i="24"/>
  <c r="R163" i="24"/>
  <c r="P163" i="24"/>
  <c r="J163" i="24"/>
  <c r="BE163" i="24" s="1"/>
  <c r="BK161" i="24"/>
  <c r="BI161" i="24"/>
  <c r="BH161" i="24"/>
  <c r="BG161" i="24"/>
  <c r="BF161" i="24"/>
  <c r="T161" i="24"/>
  <c r="R161" i="24"/>
  <c r="P161" i="24"/>
  <c r="J161" i="24"/>
  <c r="BE161" i="24" s="1"/>
  <c r="BK153" i="24"/>
  <c r="BI153" i="24"/>
  <c r="BH153" i="24"/>
  <c r="BG153" i="24"/>
  <c r="BF153" i="24"/>
  <c r="T153" i="24"/>
  <c r="R153" i="24"/>
  <c r="P153" i="24"/>
  <c r="J153" i="24"/>
  <c r="BE153" i="24" s="1"/>
  <c r="BK152" i="24"/>
  <c r="BI152" i="24"/>
  <c r="BH152" i="24"/>
  <c r="BG152" i="24"/>
  <c r="BF152" i="24"/>
  <c r="T152" i="24"/>
  <c r="R152" i="24"/>
  <c r="P152" i="24"/>
  <c r="J152" i="24"/>
  <c r="BE152" i="24" s="1"/>
  <c r="BK151" i="24"/>
  <c r="BI151" i="24"/>
  <c r="BH151" i="24"/>
  <c r="BG151" i="24"/>
  <c r="BF151" i="24"/>
  <c r="T151" i="24"/>
  <c r="R151" i="24"/>
  <c r="P151" i="24"/>
  <c r="J151" i="24"/>
  <c r="BE151" i="24" s="1"/>
  <c r="BK150" i="24"/>
  <c r="BI150" i="24"/>
  <c r="BH150" i="24"/>
  <c r="BG150" i="24"/>
  <c r="BF150" i="24"/>
  <c r="T150" i="24"/>
  <c r="R150" i="24"/>
  <c r="P150" i="24"/>
  <c r="J150" i="24"/>
  <c r="BE150" i="24" s="1"/>
  <c r="BK149" i="24"/>
  <c r="BI149" i="24"/>
  <c r="BH149" i="24"/>
  <c r="BG149" i="24"/>
  <c r="BF149" i="24"/>
  <c r="T149" i="24"/>
  <c r="R149" i="24"/>
  <c r="P149" i="24"/>
  <c r="J149" i="24"/>
  <c r="BE149" i="24" s="1"/>
  <c r="BK148" i="24"/>
  <c r="BI148" i="24"/>
  <c r="BH148" i="24"/>
  <c r="BG148" i="24"/>
  <c r="BF148" i="24"/>
  <c r="T148" i="24"/>
  <c r="R148" i="24"/>
  <c r="P148" i="24"/>
  <c r="J148" i="24"/>
  <c r="BE148" i="24" s="1"/>
  <c r="BK147" i="24"/>
  <c r="BI147" i="24"/>
  <c r="BH147" i="24"/>
  <c r="BG147" i="24"/>
  <c r="BF147" i="24"/>
  <c r="T147" i="24"/>
  <c r="R147" i="24"/>
  <c r="P147" i="24"/>
  <c r="J147" i="24"/>
  <c r="BE147" i="24" s="1"/>
  <c r="BK146" i="24"/>
  <c r="BI146" i="24"/>
  <c r="BH146" i="24"/>
  <c r="BG146" i="24"/>
  <c r="BF146" i="24"/>
  <c r="T146" i="24"/>
  <c r="R146" i="24"/>
  <c r="P146" i="24"/>
  <c r="J146" i="24"/>
  <c r="BE146" i="24" s="1"/>
  <c r="BK143" i="24"/>
  <c r="BI143" i="24"/>
  <c r="BH143" i="24"/>
  <c r="BG143" i="24"/>
  <c r="BF143" i="24"/>
  <c r="T143" i="24"/>
  <c r="R143" i="24"/>
  <c r="P143" i="24"/>
  <c r="J143" i="24"/>
  <c r="BE143" i="24" s="1"/>
  <c r="BK141" i="24"/>
  <c r="BI141" i="24"/>
  <c r="BH141" i="24"/>
  <c r="BG141" i="24"/>
  <c r="BF141" i="24"/>
  <c r="T141" i="24"/>
  <c r="R141" i="24"/>
  <c r="P141" i="24"/>
  <c r="J141" i="24"/>
  <c r="BE141" i="24" s="1"/>
  <c r="J135" i="24"/>
  <c r="J134" i="24"/>
  <c r="F134" i="24"/>
  <c r="J132" i="24"/>
  <c r="E130" i="24"/>
  <c r="E128" i="24"/>
  <c r="J92" i="24"/>
  <c r="J91" i="24"/>
  <c r="F91" i="24"/>
  <c r="J89" i="24"/>
  <c r="F89" i="24"/>
  <c r="E87" i="24"/>
  <c r="E85" i="24"/>
  <c r="J37" i="24"/>
  <c r="J36" i="24"/>
  <c r="AY120" i="1" s="1"/>
  <c r="J35" i="24"/>
  <c r="AX120" i="1" s="1"/>
  <c r="BK318" i="23"/>
  <c r="BI318" i="23"/>
  <c r="BH318" i="23"/>
  <c r="BG318" i="23"/>
  <c r="BF318" i="23"/>
  <c r="T318" i="23"/>
  <c r="T317" i="23" s="1"/>
  <c r="R318" i="23"/>
  <c r="R317" i="23" s="1"/>
  <c r="P318" i="23"/>
  <c r="P317" i="23" s="1"/>
  <c r="J318" i="23"/>
  <c r="BE318" i="23" s="1"/>
  <c r="BK317" i="23"/>
  <c r="J317" i="23" s="1"/>
  <c r="J110" i="23" s="1"/>
  <c r="BK316" i="23"/>
  <c r="BK315" i="23" s="1"/>
  <c r="BI316" i="23"/>
  <c r="BH316" i="23"/>
  <c r="BG316" i="23"/>
  <c r="BF316" i="23"/>
  <c r="T316" i="23"/>
  <c r="T315" i="23" s="1"/>
  <c r="R316" i="23"/>
  <c r="R315" i="23" s="1"/>
  <c r="P316" i="23"/>
  <c r="P315" i="23" s="1"/>
  <c r="J316" i="23"/>
  <c r="BE316" i="23" s="1"/>
  <c r="BK313" i="23"/>
  <c r="BK312" i="23" s="1"/>
  <c r="J312" i="23" s="1"/>
  <c r="J107" i="23" s="1"/>
  <c r="BI313" i="23"/>
  <c r="BH313" i="23"/>
  <c r="BG313" i="23"/>
  <c r="BF313" i="23"/>
  <c r="T313" i="23"/>
  <c r="T312" i="23" s="1"/>
  <c r="R313" i="23"/>
  <c r="R312" i="23" s="1"/>
  <c r="P313" i="23"/>
  <c r="P312" i="23" s="1"/>
  <c r="J313" i="23"/>
  <c r="BE313" i="23" s="1"/>
  <c r="BK311" i="23"/>
  <c r="BI311" i="23"/>
  <c r="BH311" i="23"/>
  <c r="BG311" i="23"/>
  <c r="BF311" i="23"/>
  <c r="T311" i="23"/>
  <c r="R311" i="23"/>
  <c r="P311" i="23"/>
  <c r="J311" i="23"/>
  <c r="BE311" i="23" s="1"/>
  <c r="BK310" i="23"/>
  <c r="BI310" i="23"/>
  <c r="BH310" i="23"/>
  <c r="BG310" i="23"/>
  <c r="BF310" i="23"/>
  <c r="T310" i="23"/>
  <c r="R310" i="23"/>
  <c r="P310" i="23"/>
  <c r="J310" i="23"/>
  <c r="BE310" i="23" s="1"/>
  <c r="BK309" i="23"/>
  <c r="BI309" i="23"/>
  <c r="BH309" i="23"/>
  <c r="BG309" i="23"/>
  <c r="BF309" i="23"/>
  <c r="T309" i="23"/>
  <c r="R309" i="23"/>
  <c r="P309" i="23"/>
  <c r="J309" i="23"/>
  <c r="BE309" i="23" s="1"/>
  <c r="BK308" i="23"/>
  <c r="BI308" i="23"/>
  <c r="BH308" i="23"/>
  <c r="BG308" i="23"/>
  <c r="BF308" i="23"/>
  <c r="T308" i="23"/>
  <c r="R308" i="23"/>
  <c r="P308" i="23"/>
  <c r="J308" i="23"/>
  <c r="BE308" i="23" s="1"/>
  <c r="BK307" i="23"/>
  <c r="BI307" i="23"/>
  <c r="BH307" i="23"/>
  <c r="BG307" i="23"/>
  <c r="BF307" i="23"/>
  <c r="T307" i="23"/>
  <c r="R307" i="23"/>
  <c r="P307" i="23"/>
  <c r="J307" i="23"/>
  <c r="BE307" i="23" s="1"/>
  <c r="BK305" i="23"/>
  <c r="BI305" i="23"/>
  <c r="BH305" i="23"/>
  <c r="BG305" i="23"/>
  <c r="BF305" i="23"/>
  <c r="T305" i="23"/>
  <c r="R305" i="23"/>
  <c r="P305" i="23"/>
  <c r="J305" i="23"/>
  <c r="BE305" i="23" s="1"/>
  <c r="BK304" i="23"/>
  <c r="BI304" i="23"/>
  <c r="BH304" i="23"/>
  <c r="BG304" i="23"/>
  <c r="BF304" i="23"/>
  <c r="T304" i="23"/>
  <c r="R304" i="23"/>
  <c r="P304" i="23"/>
  <c r="J304" i="23"/>
  <c r="BE304" i="23" s="1"/>
  <c r="BK303" i="23"/>
  <c r="BI303" i="23"/>
  <c r="BH303" i="23"/>
  <c r="BG303" i="23"/>
  <c r="BF303" i="23"/>
  <c r="T303" i="23"/>
  <c r="R303" i="23"/>
  <c r="P303" i="23"/>
  <c r="J303" i="23"/>
  <c r="BE303" i="23" s="1"/>
  <c r="BK302" i="23"/>
  <c r="BI302" i="23"/>
  <c r="BH302" i="23"/>
  <c r="BG302" i="23"/>
  <c r="BF302" i="23"/>
  <c r="T302" i="23"/>
  <c r="R302" i="23"/>
  <c r="P302" i="23"/>
  <c r="J302" i="23"/>
  <c r="BE302" i="23" s="1"/>
  <c r="BK301" i="23"/>
  <c r="BI301" i="23"/>
  <c r="BH301" i="23"/>
  <c r="BG301" i="23"/>
  <c r="BF301" i="23"/>
  <c r="T301" i="23"/>
  <c r="R301" i="23"/>
  <c r="P301" i="23"/>
  <c r="J301" i="23"/>
  <c r="BE301" i="23" s="1"/>
  <c r="BK300" i="23"/>
  <c r="BI300" i="23"/>
  <c r="BH300" i="23"/>
  <c r="BG300" i="23"/>
  <c r="BF300" i="23"/>
  <c r="T300" i="23"/>
  <c r="R300" i="23"/>
  <c r="P300" i="23"/>
  <c r="J300" i="23"/>
  <c r="BE300" i="23" s="1"/>
  <c r="BK299" i="23"/>
  <c r="BI299" i="23"/>
  <c r="BH299" i="23"/>
  <c r="BG299" i="23"/>
  <c r="BF299" i="23"/>
  <c r="T299" i="23"/>
  <c r="R299" i="23"/>
  <c r="P299" i="23"/>
  <c r="J299" i="23"/>
  <c r="BE299" i="23" s="1"/>
  <c r="BK298" i="23"/>
  <c r="BI298" i="23"/>
  <c r="BH298" i="23"/>
  <c r="BG298" i="23"/>
  <c r="BF298" i="23"/>
  <c r="T298" i="23"/>
  <c r="R298" i="23"/>
  <c r="P298" i="23"/>
  <c r="J298" i="23"/>
  <c r="BE298" i="23" s="1"/>
  <c r="BK297" i="23"/>
  <c r="BI297" i="23"/>
  <c r="BH297" i="23"/>
  <c r="BG297" i="23"/>
  <c r="BF297" i="23"/>
  <c r="T297" i="23"/>
  <c r="R297" i="23"/>
  <c r="P297" i="23"/>
  <c r="J297" i="23"/>
  <c r="BE297" i="23" s="1"/>
  <c r="BK296" i="23"/>
  <c r="BI296" i="23"/>
  <c r="BH296" i="23"/>
  <c r="BG296" i="23"/>
  <c r="BF296" i="23"/>
  <c r="T296" i="23"/>
  <c r="R296" i="23"/>
  <c r="P296" i="23"/>
  <c r="J296" i="23"/>
  <c r="BE296" i="23" s="1"/>
  <c r="BK295" i="23"/>
  <c r="BI295" i="23"/>
  <c r="BH295" i="23"/>
  <c r="BG295" i="23"/>
  <c r="BF295" i="23"/>
  <c r="T295" i="23"/>
  <c r="R295" i="23"/>
  <c r="P295" i="23"/>
  <c r="J295" i="23"/>
  <c r="BE295" i="23" s="1"/>
  <c r="BK294" i="23"/>
  <c r="BI294" i="23"/>
  <c r="BH294" i="23"/>
  <c r="BG294" i="23"/>
  <c r="BF294" i="23"/>
  <c r="T294" i="23"/>
  <c r="R294" i="23"/>
  <c r="P294" i="23"/>
  <c r="J294" i="23"/>
  <c r="BE294" i="23" s="1"/>
  <c r="BK293" i="23"/>
  <c r="BI293" i="23"/>
  <c r="BH293" i="23"/>
  <c r="BG293" i="23"/>
  <c r="BF293" i="23"/>
  <c r="T293" i="23"/>
  <c r="R293" i="23"/>
  <c r="P293" i="23"/>
  <c r="J293" i="23"/>
  <c r="BE293" i="23" s="1"/>
  <c r="BK292" i="23"/>
  <c r="BI292" i="23"/>
  <c r="BH292" i="23"/>
  <c r="BG292" i="23"/>
  <c r="BF292" i="23"/>
  <c r="T292" i="23"/>
  <c r="R292" i="23"/>
  <c r="P292" i="23"/>
  <c r="J292" i="23"/>
  <c r="BE292" i="23" s="1"/>
  <c r="BK291" i="23"/>
  <c r="BI291" i="23"/>
  <c r="BH291" i="23"/>
  <c r="BG291" i="23"/>
  <c r="BF291" i="23"/>
  <c r="T291" i="23"/>
  <c r="R291" i="23"/>
  <c r="P291" i="23"/>
  <c r="J291" i="23"/>
  <c r="BE291" i="23" s="1"/>
  <c r="BK290" i="23"/>
  <c r="BI290" i="23"/>
  <c r="BH290" i="23"/>
  <c r="BG290" i="23"/>
  <c r="BF290" i="23"/>
  <c r="T290" i="23"/>
  <c r="R290" i="23"/>
  <c r="P290" i="23"/>
  <c r="J290" i="23"/>
  <c r="BE290" i="23" s="1"/>
  <c r="BK288" i="23"/>
  <c r="BI288" i="23"/>
  <c r="BH288" i="23"/>
  <c r="BG288" i="23"/>
  <c r="BF288" i="23"/>
  <c r="T288" i="23"/>
  <c r="R288" i="23"/>
  <c r="P288" i="23"/>
  <c r="J288" i="23"/>
  <c r="BE288" i="23" s="1"/>
  <c r="BK287" i="23"/>
  <c r="BI287" i="23"/>
  <c r="BH287" i="23"/>
  <c r="BG287" i="23"/>
  <c r="BF287" i="23"/>
  <c r="T287" i="23"/>
  <c r="R287" i="23"/>
  <c r="P287" i="23"/>
  <c r="J287" i="23"/>
  <c r="BE287" i="23" s="1"/>
  <c r="BK286" i="23"/>
  <c r="BI286" i="23"/>
  <c r="BH286" i="23"/>
  <c r="BG286" i="23"/>
  <c r="BF286" i="23"/>
  <c r="T286" i="23"/>
  <c r="R286" i="23"/>
  <c r="P286" i="23"/>
  <c r="J286" i="23"/>
  <c r="BE286" i="23" s="1"/>
  <c r="BK285" i="23"/>
  <c r="BI285" i="23"/>
  <c r="BH285" i="23"/>
  <c r="BG285" i="23"/>
  <c r="BF285" i="23"/>
  <c r="T285" i="23"/>
  <c r="R285" i="23"/>
  <c r="P285" i="23"/>
  <c r="J285" i="23"/>
  <c r="BE285" i="23" s="1"/>
  <c r="BK284" i="23"/>
  <c r="BI284" i="23"/>
  <c r="BH284" i="23"/>
  <c r="BG284" i="23"/>
  <c r="BF284" i="23"/>
  <c r="T284" i="23"/>
  <c r="R284" i="23"/>
  <c r="P284" i="23"/>
  <c r="J284" i="23"/>
  <c r="BE284" i="23" s="1"/>
  <c r="BK283" i="23"/>
  <c r="BI283" i="23"/>
  <c r="BH283" i="23"/>
  <c r="BG283" i="23"/>
  <c r="BF283" i="23"/>
  <c r="T283" i="23"/>
  <c r="R283" i="23"/>
  <c r="P283" i="23"/>
  <c r="J283" i="23"/>
  <c r="BE283" i="23" s="1"/>
  <c r="BK282" i="23"/>
  <c r="BI282" i="23"/>
  <c r="BH282" i="23"/>
  <c r="BG282" i="23"/>
  <c r="BF282" i="23"/>
  <c r="T282" i="23"/>
  <c r="R282" i="23"/>
  <c r="P282" i="23"/>
  <c r="J282" i="23"/>
  <c r="BE282" i="23" s="1"/>
  <c r="BK280" i="23"/>
  <c r="BI280" i="23"/>
  <c r="BH280" i="23"/>
  <c r="BG280" i="23"/>
  <c r="BF280" i="23"/>
  <c r="T280" i="23"/>
  <c r="R280" i="23"/>
  <c r="P280" i="23"/>
  <c r="J280" i="23"/>
  <c r="BE280" i="23" s="1"/>
  <c r="BK279" i="23"/>
  <c r="BI279" i="23"/>
  <c r="BH279" i="23"/>
  <c r="BG279" i="23"/>
  <c r="BF279" i="23"/>
  <c r="T279" i="23"/>
  <c r="R279" i="23"/>
  <c r="P279" i="23"/>
  <c r="J279" i="23"/>
  <c r="BE279" i="23" s="1"/>
  <c r="BK278" i="23"/>
  <c r="BI278" i="23"/>
  <c r="BH278" i="23"/>
  <c r="BG278" i="23"/>
  <c r="BF278" i="23"/>
  <c r="T278" i="23"/>
  <c r="R278" i="23"/>
  <c r="P278" i="23"/>
  <c r="J278" i="23"/>
  <c r="BE278" i="23" s="1"/>
  <c r="BK277" i="23"/>
  <c r="BI277" i="23"/>
  <c r="BH277" i="23"/>
  <c r="BG277" i="23"/>
  <c r="BF277" i="23"/>
  <c r="T277" i="23"/>
  <c r="R277" i="23"/>
  <c r="P277" i="23"/>
  <c r="J277" i="23"/>
  <c r="BE277" i="23" s="1"/>
  <c r="BK276" i="23"/>
  <c r="BI276" i="23"/>
  <c r="BH276" i="23"/>
  <c r="BG276" i="23"/>
  <c r="BF276" i="23"/>
  <c r="T276" i="23"/>
  <c r="R276" i="23"/>
  <c r="P276" i="23"/>
  <c r="J276" i="23"/>
  <c r="BE276" i="23" s="1"/>
  <c r="BK275" i="23"/>
  <c r="BI275" i="23"/>
  <c r="BH275" i="23"/>
  <c r="BG275" i="23"/>
  <c r="BF275" i="23"/>
  <c r="T275" i="23"/>
  <c r="R275" i="23"/>
  <c r="P275" i="23"/>
  <c r="J275" i="23"/>
  <c r="BE275" i="23" s="1"/>
  <c r="BK274" i="23"/>
  <c r="BI274" i="23"/>
  <c r="BH274" i="23"/>
  <c r="BG274" i="23"/>
  <c r="BF274" i="23"/>
  <c r="T274" i="23"/>
  <c r="R274" i="23"/>
  <c r="P274" i="23"/>
  <c r="J274" i="23"/>
  <c r="BE274" i="23" s="1"/>
  <c r="BK273" i="23"/>
  <c r="BI273" i="23"/>
  <c r="BH273" i="23"/>
  <c r="BG273" i="23"/>
  <c r="BF273" i="23"/>
  <c r="T273" i="23"/>
  <c r="R273" i="23"/>
  <c r="P273" i="23"/>
  <c r="J273" i="23"/>
  <c r="BE273" i="23" s="1"/>
  <c r="BK272" i="23"/>
  <c r="BI272" i="23"/>
  <c r="BH272" i="23"/>
  <c r="BG272" i="23"/>
  <c r="BF272" i="23"/>
  <c r="T272" i="23"/>
  <c r="R272" i="23"/>
  <c r="P272" i="23"/>
  <c r="J272" i="23"/>
  <c r="BE272" i="23" s="1"/>
  <c r="BK271" i="23"/>
  <c r="BI271" i="23"/>
  <c r="BH271" i="23"/>
  <c r="BG271" i="23"/>
  <c r="BF271" i="23"/>
  <c r="T271" i="23"/>
  <c r="R271" i="23"/>
  <c r="P271" i="23"/>
  <c r="J271" i="23"/>
  <c r="BE271" i="23" s="1"/>
  <c r="BK270" i="23"/>
  <c r="BI270" i="23"/>
  <c r="BH270" i="23"/>
  <c r="BG270" i="23"/>
  <c r="BF270" i="23"/>
  <c r="T270" i="23"/>
  <c r="R270" i="23"/>
  <c r="P270" i="23"/>
  <c r="J270" i="23"/>
  <c r="BE270" i="23" s="1"/>
  <c r="BK269" i="23"/>
  <c r="BI269" i="23"/>
  <c r="BH269" i="23"/>
  <c r="BG269" i="23"/>
  <c r="BF269" i="23"/>
  <c r="T269" i="23"/>
  <c r="R269" i="23"/>
  <c r="P269" i="23"/>
  <c r="J269" i="23"/>
  <c r="BE269" i="23" s="1"/>
  <c r="BK268" i="23"/>
  <c r="BI268" i="23"/>
  <c r="BH268" i="23"/>
  <c r="BG268" i="23"/>
  <c r="BF268" i="23"/>
  <c r="T268" i="23"/>
  <c r="R268" i="23"/>
  <c r="P268" i="23"/>
  <c r="J268" i="23"/>
  <c r="BE268" i="23" s="1"/>
  <c r="BK267" i="23"/>
  <c r="BI267" i="23"/>
  <c r="BH267" i="23"/>
  <c r="BG267" i="23"/>
  <c r="BF267" i="23"/>
  <c r="T267" i="23"/>
  <c r="R267" i="23"/>
  <c r="P267" i="23"/>
  <c r="J267" i="23"/>
  <c r="BE267" i="23" s="1"/>
  <c r="BK266" i="23"/>
  <c r="BI266" i="23"/>
  <c r="BH266" i="23"/>
  <c r="BG266" i="23"/>
  <c r="BF266" i="23"/>
  <c r="T266" i="23"/>
  <c r="R266" i="23"/>
  <c r="P266" i="23"/>
  <c r="J266" i="23"/>
  <c r="BE266" i="23" s="1"/>
  <c r="BK265" i="23"/>
  <c r="BI265" i="23"/>
  <c r="BH265" i="23"/>
  <c r="BG265" i="23"/>
  <c r="BF265" i="23"/>
  <c r="T265" i="23"/>
  <c r="R265" i="23"/>
  <c r="P265" i="23"/>
  <c r="J265" i="23"/>
  <c r="BE265" i="23" s="1"/>
  <c r="BK264" i="23"/>
  <c r="BI264" i="23"/>
  <c r="BH264" i="23"/>
  <c r="BG264" i="23"/>
  <c r="BF264" i="23"/>
  <c r="T264" i="23"/>
  <c r="R264" i="23"/>
  <c r="P264" i="23"/>
  <c r="J264" i="23"/>
  <c r="BE264" i="23" s="1"/>
  <c r="BK263" i="23"/>
  <c r="BI263" i="23"/>
  <c r="BH263" i="23"/>
  <c r="BG263" i="23"/>
  <c r="BF263" i="23"/>
  <c r="T263" i="23"/>
  <c r="R263" i="23"/>
  <c r="P263" i="23"/>
  <c r="J263" i="23"/>
  <c r="BE263" i="23" s="1"/>
  <c r="BK262" i="23"/>
  <c r="BI262" i="23"/>
  <c r="BH262" i="23"/>
  <c r="BG262" i="23"/>
  <c r="BF262" i="23"/>
  <c r="T262" i="23"/>
  <c r="R262" i="23"/>
  <c r="P262" i="23"/>
  <c r="J262" i="23"/>
  <c r="BE262" i="23" s="1"/>
  <c r="BK261" i="23"/>
  <c r="BI261" i="23"/>
  <c r="BH261" i="23"/>
  <c r="BG261" i="23"/>
  <c r="BF261" i="23"/>
  <c r="T261" i="23"/>
  <c r="R261" i="23"/>
  <c r="P261" i="23"/>
  <c r="J261" i="23"/>
  <c r="BE261" i="23" s="1"/>
  <c r="BK260" i="23"/>
  <c r="BI260" i="23"/>
  <c r="BH260" i="23"/>
  <c r="BG260" i="23"/>
  <c r="BF260" i="23"/>
  <c r="T260" i="23"/>
  <c r="R260" i="23"/>
  <c r="P260" i="23"/>
  <c r="J260" i="23"/>
  <c r="BE260" i="23" s="1"/>
  <c r="BK259" i="23"/>
  <c r="BI259" i="23"/>
  <c r="BH259" i="23"/>
  <c r="BG259" i="23"/>
  <c r="BF259" i="23"/>
  <c r="T259" i="23"/>
  <c r="R259" i="23"/>
  <c r="P259" i="23"/>
  <c r="J259" i="23"/>
  <c r="BE259" i="23" s="1"/>
  <c r="BK258" i="23"/>
  <c r="BI258" i="23"/>
  <c r="BH258" i="23"/>
  <c r="BG258" i="23"/>
  <c r="BF258" i="23"/>
  <c r="T258" i="23"/>
  <c r="R258" i="23"/>
  <c r="P258" i="23"/>
  <c r="J258" i="23"/>
  <c r="BE258" i="23" s="1"/>
  <c r="BK257" i="23"/>
  <c r="BI257" i="23"/>
  <c r="BH257" i="23"/>
  <c r="BG257" i="23"/>
  <c r="BF257" i="23"/>
  <c r="T257" i="23"/>
  <c r="R257" i="23"/>
  <c r="P257" i="23"/>
  <c r="J257" i="23"/>
  <c r="BE257" i="23" s="1"/>
  <c r="BK256" i="23"/>
  <c r="BI256" i="23"/>
  <c r="BH256" i="23"/>
  <c r="BG256" i="23"/>
  <c r="BF256" i="23"/>
  <c r="T256" i="23"/>
  <c r="R256" i="23"/>
  <c r="P256" i="23"/>
  <c r="J256" i="23"/>
  <c r="BE256" i="23" s="1"/>
  <c r="BK255" i="23"/>
  <c r="BI255" i="23"/>
  <c r="BH255" i="23"/>
  <c r="BG255" i="23"/>
  <c r="BF255" i="23"/>
  <c r="T255" i="23"/>
  <c r="R255" i="23"/>
  <c r="P255" i="23"/>
  <c r="J255" i="23"/>
  <c r="BE255" i="23" s="1"/>
  <c r="BK254" i="23"/>
  <c r="BI254" i="23"/>
  <c r="BH254" i="23"/>
  <c r="BG254" i="23"/>
  <c r="BF254" i="23"/>
  <c r="T254" i="23"/>
  <c r="R254" i="23"/>
  <c r="P254" i="23"/>
  <c r="J254" i="23"/>
  <c r="BE254" i="23" s="1"/>
  <c r="BK253" i="23"/>
  <c r="BI253" i="23"/>
  <c r="BH253" i="23"/>
  <c r="BG253" i="23"/>
  <c r="BF253" i="23"/>
  <c r="T253" i="23"/>
  <c r="R253" i="23"/>
  <c r="P253" i="23"/>
  <c r="J253" i="23"/>
  <c r="BE253" i="23" s="1"/>
  <c r="BK252" i="23"/>
  <c r="BI252" i="23"/>
  <c r="BH252" i="23"/>
  <c r="BG252" i="23"/>
  <c r="BF252" i="23"/>
  <c r="T252" i="23"/>
  <c r="R252" i="23"/>
  <c r="P252" i="23"/>
  <c r="J252" i="23"/>
  <c r="BE252" i="23" s="1"/>
  <c r="BK251" i="23"/>
  <c r="BI251" i="23"/>
  <c r="BH251" i="23"/>
  <c r="BG251" i="23"/>
  <c r="BF251" i="23"/>
  <c r="T251" i="23"/>
  <c r="R251" i="23"/>
  <c r="P251" i="23"/>
  <c r="J251" i="23"/>
  <c r="BE251" i="23" s="1"/>
  <c r="BK250" i="23"/>
  <c r="BI250" i="23"/>
  <c r="BH250" i="23"/>
  <c r="BG250" i="23"/>
  <c r="BF250" i="23"/>
  <c r="T250" i="23"/>
  <c r="R250" i="23"/>
  <c r="P250" i="23"/>
  <c r="J250" i="23"/>
  <c r="BE250" i="23" s="1"/>
  <c r="BK249" i="23"/>
  <c r="BI249" i="23"/>
  <c r="BH249" i="23"/>
  <c r="BG249" i="23"/>
  <c r="BF249" i="23"/>
  <c r="T249" i="23"/>
  <c r="R249" i="23"/>
  <c r="P249" i="23"/>
  <c r="J249" i="23"/>
  <c r="BE249" i="23" s="1"/>
  <c r="BK248" i="23"/>
  <c r="BI248" i="23"/>
  <c r="BH248" i="23"/>
  <c r="BG248" i="23"/>
  <c r="BF248" i="23"/>
  <c r="T248" i="23"/>
  <c r="R248" i="23"/>
  <c r="P248" i="23"/>
  <c r="J248" i="23"/>
  <c r="BE248" i="23" s="1"/>
  <c r="BK247" i="23"/>
  <c r="BI247" i="23"/>
  <c r="BH247" i="23"/>
  <c r="BG247" i="23"/>
  <c r="BF247" i="23"/>
  <c r="T247" i="23"/>
  <c r="R247" i="23"/>
  <c r="P247" i="23"/>
  <c r="J247" i="23"/>
  <c r="BE247" i="23" s="1"/>
  <c r="BK246" i="23"/>
  <c r="BI246" i="23"/>
  <c r="BH246" i="23"/>
  <c r="BG246" i="23"/>
  <c r="BF246" i="23"/>
  <c r="T246" i="23"/>
  <c r="R246" i="23"/>
  <c r="P246" i="23"/>
  <c r="J246" i="23"/>
  <c r="BE246" i="23" s="1"/>
  <c r="BK245" i="23"/>
  <c r="BI245" i="23"/>
  <c r="BH245" i="23"/>
  <c r="BG245" i="23"/>
  <c r="BF245" i="23"/>
  <c r="T245" i="23"/>
  <c r="R245" i="23"/>
  <c r="P245" i="23"/>
  <c r="J245" i="23"/>
  <c r="BE245" i="23" s="1"/>
  <c r="BK244" i="23"/>
  <c r="BI244" i="23"/>
  <c r="BH244" i="23"/>
  <c r="BG244" i="23"/>
  <c r="BF244" i="23"/>
  <c r="T244" i="23"/>
  <c r="R244" i="23"/>
  <c r="P244" i="23"/>
  <c r="J244" i="23"/>
  <c r="BE244" i="23" s="1"/>
  <c r="BK243" i="23"/>
  <c r="BI243" i="23"/>
  <c r="BH243" i="23"/>
  <c r="BG243" i="23"/>
  <c r="BF243" i="23"/>
  <c r="T243" i="23"/>
  <c r="R243" i="23"/>
  <c r="P243" i="23"/>
  <c r="J243" i="23"/>
  <c r="BE243" i="23" s="1"/>
  <c r="BK242" i="23"/>
  <c r="BI242" i="23"/>
  <c r="BH242" i="23"/>
  <c r="BG242" i="23"/>
  <c r="BF242" i="23"/>
  <c r="T242" i="23"/>
  <c r="R242" i="23"/>
  <c r="P242" i="23"/>
  <c r="J242" i="23"/>
  <c r="BE242" i="23" s="1"/>
  <c r="BK241" i="23"/>
  <c r="BI241" i="23"/>
  <c r="BH241" i="23"/>
  <c r="BG241" i="23"/>
  <c r="BF241" i="23"/>
  <c r="T241" i="23"/>
  <c r="R241" i="23"/>
  <c r="P241" i="23"/>
  <c r="J241" i="23"/>
  <c r="BE241" i="23" s="1"/>
  <c r="BK240" i="23"/>
  <c r="BI240" i="23"/>
  <c r="BH240" i="23"/>
  <c r="BG240" i="23"/>
  <c r="BF240" i="23"/>
  <c r="T240" i="23"/>
  <c r="R240" i="23"/>
  <c r="P240" i="23"/>
  <c r="J240" i="23"/>
  <c r="BE240" i="23" s="1"/>
  <c r="BK239" i="23"/>
  <c r="BI239" i="23"/>
  <c r="BH239" i="23"/>
  <c r="BG239" i="23"/>
  <c r="BF239" i="23"/>
  <c r="T239" i="23"/>
  <c r="R239" i="23"/>
  <c r="P239" i="23"/>
  <c r="J239" i="23"/>
  <c r="BE239" i="23" s="1"/>
  <c r="BK238" i="23"/>
  <c r="BI238" i="23"/>
  <c r="BH238" i="23"/>
  <c r="BG238" i="23"/>
  <c r="BF238" i="23"/>
  <c r="T238" i="23"/>
  <c r="R238" i="23"/>
  <c r="P238" i="23"/>
  <c r="J238" i="23"/>
  <c r="BE238" i="23" s="1"/>
  <c r="BK237" i="23"/>
  <c r="BI237" i="23"/>
  <c r="BH237" i="23"/>
  <c r="BG237" i="23"/>
  <c r="BF237" i="23"/>
  <c r="T237" i="23"/>
  <c r="R237" i="23"/>
  <c r="P237" i="23"/>
  <c r="J237" i="23"/>
  <c r="BE237" i="23" s="1"/>
  <c r="BK236" i="23"/>
  <c r="BI236" i="23"/>
  <c r="BH236" i="23"/>
  <c r="BG236" i="23"/>
  <c r="BF236" i="23"/>
  <c r="T236" i="23"/>
  <c r="R236" i="23"/>
  <c r="P236" i="23"/>
  <c r="J236" i="23"/>
  <c r="BE236" i="23" s="1"/>
  <c r="BK235" i="23"/>
  <c r="BI235" i="23"/>
  <c r="BH235" i="23"/>
  <c r="BG235" i="23"/>
  <c r="BF235" i="23"/>
  <c r="T235" i="23"/>
  <c r="R235" i="23"/>
  <c r="P235" i="23"/>
  <c r="J235" i="23"/>
  <c r="BE235" i="23" s="1"/>
  <c r="BK234" i="23"/>
  <c r="BI234" i="23"/>
  <c r="BH234" i="23"/>
  <c r="BG234" i="23"/>
  <c r="BF234" i="23"/>
  <c r="T234" i="23"/>
  <c r="R234" i="23"/>
  <c r="P234" i="23"/>
  <c r="J234" i="23"/>
  <c r="BE234" i="23" s="1"/>
  <c r="BK233" i="23"/>
  <c r="BI233" i="23"/>
  <c r="BH233" i="23"/>
  <c r="BG233" i="23"/>
  <c r="BF233" i="23"/>
  <c r="T233" i="23"/>
  <c r="R233" i="23"/>
  <c r="P233" i="23"/>
  <c r="J233" i="23"/>
  <c r="BE233" i="23" s="1"/>
  <c r="BK232" i="23"/>
  <c r="BI232" i="23"/>
  <c r="BH232" i="23"/>
  <c r="BG232" i="23"/>
  <c r="BF232" i="23"/>
  <c r="T232" i="23"/>
  <c r="R232" i="23"/>
  <c r="P232" i="23"/>
  <c r="J232" i="23"/>
  <c r="BE232" i="23" s="1"/>
  <c r="BK231" i="23"/>
  <c r="BI231" i="23"/>
  <c r="BH231" i="23"/>
  <c r="BG231" i="23"/>
  <c r="BF231" i="23"/>
  <c r="T231" i="23"/>
  <c r="R231" i="23"/>
  <c r="P231" i="23"/>
  <c r="J231" i="23"/>
  <c r="BE231" i="23" s="1"/>
  <c r="BK230" i="23"/>
  <c r="BI230" i="23"/>
  <c r="BH230" i="23"/>
  <c r="BG230" i="23"/>
  <c r="BF230" i="23"/>
  <c r="T230" i="23"/>
  <c r="R230" i="23"/>
  <c r="P230" i="23"/>
  <c r="J230" i="23"/>
  <c r="BE230" i="23" s="1"/>
  <c r="BK229" i="23"/>
  <c r="BI229" i="23"/>
  <c r="BH229" i="23"/>
  <c r="BG229" i="23"/>
  <c r="BF229" i="23"/>
  <c r="T229" i="23"/>
  <c r="R229" i="23"/>
  <c r="P229" i="23"/>
  <c r="J229" i="23"/>
  <c r="BE229" i="23" s="1"/>
  <c r="BK228" i="23"/>
  <c r="BI228" i="23"/>
  <c r="BH228" i="23"/>
  <c r="BG228" i="23"/>
  <c r="BF228" i="23"/>
  <c r="T228" i="23"/>
  <c r="R228" i="23"/>
  <c r="P228" i="23"/>
  <c r="J228" i="23"/>
  <c r="BE228" i="23" s="1"/>
  <c r="BK227" i="23"/>
  <c r="BI227" i="23"/>
  <c r="BH227" i="23"/>
  <c r="BG227" i="23"/>
  <c r="BF227" i="23"/>
  <c r="T227" i="23"/>
  <c r="R227" i="23"/>
  <c r="P227" i="23"/>
  <c r="J227" i="23"/>
  <c r="BE227" i="23" s="1"/>
  <c r="BK226" i="23"/>
  <c r="BI226" i="23"/>
  <c r="BH226" i="23"/>
  <c r="BG226" i="23"/>
  <c r="BF226" i="23"/>
  <c r="T226" i="23"/>
  <c r="R226" i="23"/>
  <c r="P226" i="23"/>
  <c r="J226" i="23"/>
  <c r="BE226" i="23" s="1"/>
  <c r="BK225" i="23"/>
  <c r="BI225" i="23"/>
  <c r="BH225" i="23"/>
  <c r="BG225" i="23"/>
  <c r="BF225" i="23"/>
  <c r="T225" i="23"/>
  <c r="R225" i="23"/>
  <c r="P225" i="23"/>
  <c r="J225" i="23"/>
  <c r="BE225" i="23" s="1"/>
  <c r="BK224" i="23"/>
  <c r="BI224" i="23"/>
  <c r="BH224" i="23"/>
  <c r="BG224" i="23"/>
  <c r="BF224" i="23"/>
  <c r="T224" i="23"/>
  <c r="R224" i="23"/>
  <c r="P224" i="23"/>
  <c r="J224" i="23"/>
  <c r="BE224" i="23" s="1"/>
  <c r="BK223" i="23"/>
  <c r="BI223" i="23"/>
  <c r="BH223" i="23"/>
  <c r="BG223" i="23"/>
  <c r="BF223" i="23"/>
  <c r="T223" i="23"/>
  <c r="R223" i="23"/>
  <c r="P223" i="23"/>
  <c r="J223" i="23"/>
  <c r="BE223" i="23" s="1"/>
  <c r="BK222" i="23"/>
  <c r="BI222" i="23"/>
  <c r="BH222" i="23"/>
  <c r="BG222" i="23"/>
  <c r="BF222" i="23"/>
  <c r="T222" i="23"/>
  <c r="R222" i="23"/>
  <c r="P222" i="23"/>
  <c r="J222" i="23"/>
  <c r="BE222" i="23" s="1"/>
  <c r="BK221" i="23"/>
  <c r="BI221" i="23"/>
  <c r="BH221" i="23"/>
  <c r="BG221" i="23"/>
  <c r="BF221" i="23"/>
  <c r="T221" i="23"/>
  <c r="R221" i="23"/>
  <c r="P221" i="23"/>
  <c r="J221" i="23"/>
  <c r="BE221" i="23" s="1"/>
  <c r="BK220" i="23"/>
  <c r="BI220" i="23"/>
  <c r="BH220" i="23"/>
  <c r="BG220" i="23"/>
  <c r="BF220" i="23"/>
  <c r="T220" i="23"/>
  <c r="R220" i="23"/>
  <c r="P220" i="23"/>
  <c r="J220" i="23"/>
  <c r="BE220" i="23" s="1"/>
  <c r="BK219" i="23"/>
  <c r="BI219" i="23"/>
  <c r="BH219" i="23"/>
  <c r="BG219" i="23"/>
  <c r="BF219" i="23"/>
  <c r="T219" i="23"/>
  <c r="R219" i="23"/>
  <c r="P219" i="23"/>
  <c r="J219" i="23"/>
  <c r="BE219" i="23" s="1"/>
  <c r="BK218" i="23"/>
  <c r="BI218" i="23"/>
  <c r="BH218" i="23"/>
  <c r="BG218" i="23"/>
  <c r="BF218" i="23"/>
  <c r="T218" i="23"/>
  <c r="R218" i="23"/>
  <c r="P218" i="23"/>
  <c r="J218" i="23"/>
  <c r="BE218" i="23" s="1"/>
  <c r="BK217" i="23"/>
  <c r="BI217" i="23"/>
  <c r="BH217" i="23"/>
  <c r="BG217" i="23"/>
  <c r="BF217" i="23"/>
  <c r="T217" i="23"/>
  <c r="R217" i="23"/>
  <c r="P217" i="23"/>
  <c r="J217" i="23"/>
  <c r="BE217" i="23" s="1"/>
  <c r="BK216" i="23"/>
  <c r="BI216" i="23"/>
  <c r="BH216" i="23"/>
  <c r="BG216" i="23"/>
  <c r="BF216" i="23"/>
  <c r="T216" i="23"/>
  <c r="R216" i="23"/>
  <c r="P216" i="23"/>
  <c r="J216" i="23"/>
  <c r="BE216" i="23" s="1"/>
  <c r="BK215" i="23"/>
  <c r="BI215" i="23"/>
  <c r="BH215" i="23"/>
  <c r="BG215" i="23"/>
  <c r="BF215" i="23"/>
  <c r="T215" i="23"/>
  <c r="R215" i="23"/>
  <c r="P215" i="23"/>
  <c r="J215" i="23"/>
  <c r="BE215" i="23" s="1"/>
  <c r="BK214" i="23"/>
  <c r="BI214" i="23"/>
  <c r="BH214" i="23"/>
  <c r="BG214" i="23"/>
  <c r="BF214" i="23"/>
  <c r="T214" i="23"/>
  <c r="R214" i="23"/>
  <c r="P214" i="23"/>
  <c r="J214" i="23"/>
  <c r="BE214" i="23" s="1"/>
  <c r="BK213" i="23"/>
  <c r="BI213" i="23"/>
  <c r="BH213" i="23"/>
  <c r="BG213" i="23"/>
  <c r="BF213" i="23"/>
  <c r="T213" i="23"/>
  <c r="R213" i="23"/>
  <c r="P213" i="23"/>
  <c r="J213" i="23"/>
  <c r="BE213" i="23" s="1"/>
  <c r="BK212" i="23"/>
  <c r="BI212" i="23"/>
  <c r="BH212" i="23"/>
  <c r="BG212" i="23"/>
  <c r="BF212" i="23"/>
  <c r="T212" i="23"/>
  <c r="R212" i="23"/>
  <c r="P212" i="23"/>
  <c r="J212" i="23"/>
  <c r="BE212" i="23" s="1"/>
  <c r="BK210" i="23"/>
  <c r="BI210" i="23"/>
  <c r="BH210" i="23"/>
  <c r="BG210" i="23"/>
  <c r="BF210" i="23"/>
  <c r="T210" i="23"/>
  <c r="R210" i="23"/>
  <c r="P210" i="23"/>
  <c r="J210" i="23"/>
  <c r="BE210" i="23" s="1"/>
  <c r="BK209" i="23"/>
  <c r="BI209" i="23"/>
  <c r="BH209" i="23"/>
  <c r="BG209" i="23"/>
  <c r="BF209" i="23"/>
  <c r="T209" i="23"/>
  <c r="R209" i="23"/>
  <c r="P209" i="23"/>
  <c r="J209" i="23"/>
  <c r="BE209" i="23" s="1"/>
  <c r="BK208" i="23"/>
  <c r="BI208" i="23"/>
  <c r="BH208" i="23"/>
  <c r="BG208" i="23"/>
  <c r="BF208" i="23"/>
  <c r="T208" i="23"/>
  <c r="R208" i="23"/>
  <c r="P208" i="23"/>
  <c r="J208" i="23"/>
  <c r="BE208" i="23" s="1"/>
  <c r="BK207" i="23"/>
  <c r="BI207" i="23"/>
  <c r="BH207" i="23"/>
  <c r="BG207" i="23"/>
  <c r="BF207" i="23"/>
  <c r="T207" i="23"/>
  <c r="R207" i="23"/>
  <c r="P207" i="23"/>
  <c r="J207" i="23"/>
  <c r="BE207" i="23" s="1"/>
  <c r="BK206" i="23"/>
  <c r="BI206" i="23"/>
  <c r="BH206" i="23"/>
  <c r="BG206" i="23"/>
  <c r="BF206" i="23"/>
  <c r="T206" i="23"/>
  <c r="R206" i="23"/>
  <c r="P206" i="23"/>
  <c r="J206" i="23"/>
  <c r="BE206" i="23" s="1"/>
  <c r="BK205" i="23"/>
  <c r="BI205" i="23"/>
  <c r="BH205" i="23"/>
  <c r="BG205" i="23"/>
  <c r="BF205" i="23"/>
  <c r="T205" i="23"/>
  <c r="R205" i="23"/>
  <c r="P205" i="23"/>
  <c r="J205" i="23"/>
  <c r="BE205" i="23" s="1"/>
  <c r="BK204" i="23"/>
  <c r="BI204" i="23"/>
  <c r="BH204" i="23"/>
  <c r="BG204" i="23"/>
  <c r="BF204" i="23"/>
  <c r="T204" i="23"/>
  <c r="R204" i="23"/>
  <c r="P204" i="23"/>
  <c r="J204" i="23"/>
  <c r="BE204" i="23" s="1"/>
  <c r="BK203" i="23"/>
  <c r="BI203" i="23"/>
  <c r="BH203" i="23"/>
  <c r="BG203" i="23"/>
  <c r="BF203" i="23"/>
  <c r="T203" i="23"/>
  <c r="R203" i="23"/>
  <c r="P203" i="23"/>
  <c r="J203" i="23"/>
  <c r="BE203" i="23" s="1"/>
  <c r="BK201" i="23"/>
  <c r="BI201" i="23"/>
  <c r="BH201" i="23"/>
  <c r="BG201" i="23"/>
  <c r="BF201" i="23"/>
  <c r="T201" i="23"/>
  <c r="R201" i="23"/>
  <c r="P201" i="23"/>
  <c r="J201" i="23"/>
  <c r="BE201" i="23" s="1"/>
  <c r="BK200" i="23"/>
  <c r="BI200" i="23"/>
  <c r="BH200" i="23"/>
  <c r="BG200" i="23"/>
  <c r="BF200" i="23"/>
  <c r="T200" i="23"/>
  <c r="R200" i="23"/>
  <c r="P200" i="23"/>
  <c r="J200" i="23"/>
  <c r="BE200" i="23" s="1"/>
  <c r="BK199" i="23"/>
  <c r="BI199" i="23"/>
  <c r="BH199" i="23"/>
  <c r="BG199" i="23"/>
  <c r="BF199" i="23"/>
  <c r="T199" i="23"/>
  <c r="R199" i="23"/>
  <c r="P199" i="23"/>
  <c r="J199" i="23"/>
  <c r="BE199" i="23" s="1"/>
  <c r="BK198" i="23"/>
  <c r="BI198" i="23"/>
  <c r="BH198" i="23"/>
  <c r="BG198" i="23"/>
  <c r="BF198" i="23"/>
  <c r="T198" i="23"/>
  <c r="R198" i="23"/>
  <c r="P198" i="23"/>
  <c r="J198" i="23"/>
  <c r="BE198" i="23" s="1"/>
  <c r="BK197" i="23"/>
  <c r="BI197" i="23"/>
  <c r="BH197" i="23"/>
  <c r="BG197" i="23"/>
  <c r="BF197" i="23"/>
  <c r="T197" i="23"/>
  <c r="R197" i="23"/>
  <c r="P197" i="23"/>
  <c r="J197" i="23"/>
  <c r="BE197" i="23" s="1"/>
  <c r="BK196" i="23"/>
  <c r="BI196" i="23"/>
  <c r="BH196" i="23"/>
  <c r="BG196" i="23"/>
  <c r="BF196" i="23"/>
  <c r="BE196" i="23"/>
  <c r="T196" i="23"/>
  <c r="R196" i="23"/>
  <c r="P196" i="23"/>
  <c r="J196" i="23"/>
  <c r="BK195" i="23"/>
  <c r="BI195" i="23"/>
  <c r="BH195" i="23"/>
  <c r="BG195" i="23"/>
  <c r="BF195" i="23"/>
  <c r="T195" i="23"/>
  <c r="R195" i="23"/>
  <c r="P195" i="23"/>
  <c r="J195" i="23"/>
  <c r="BE195" i="23" s="1"/>
  <c r="BK194" i="23"/>
  <c r="BI194" i="23"/>
  <c r="BH194" i="23"/>
  <c r="BG194" i="23"/>
  <c r="BF194" i="23"/>
  <c r="T194" i="23"/>
  <c r="R194" i="23"/>
  <c r="P194" i="23"/>
  <c r="J194" i="23"/>
  <c r="BE194" i="23" s="1"/>
  <c r="BK193" i="23"/>
  <c r="BI193" i="23"/>
  <c r="BH193" i="23"/>
  <c r="BG193" i="23"/>
  <c r="BF193" i="23"/>
  <c r="T193" i="23"/>
  <c r="R193" i="23"/>
  <c r="P193" i="23"/>
  <c r="J193" i="23"/>
  <c r="BE193" i="23" s="1"/>
  <c r="BK192" i="23"/>
  <c r="BI192" i="23"/>
  <c r="BH192" i="23"/>
  <c r="BG192" i="23"/>
  <c r="BF192" i="23"/>
  <c r="T192" i="23"/>
  <c r="R192" i="23"/>
  <c r="P192" i="23"/>
  <c r="J192" i="23"/>
  <c r="BE192" i="23" s="1"/>
  <c r="BK191" i="23"/>
  <c r="BI191" i="23"/>
  <c r="BH191" i="23"/>
  <c r="BG191" i="23"/>
  <c r="BF191" i="23"/>
  <c r="T191" i="23"/>
  <c r="R191" i="23"/>
  <c r="P191" i="23"/>
  <c r="J191" i="23"/>
  <c r="BE191" i="23" s="1"/>
  <c r="BK190" i="23"/>
  <c r="BI190" i="23"/>
  <c r="BH190" i="23"/>
  <c r="BG190" i="23"/>
  <c r="BF190" i="23"/>
  <c r="T190" i="23"/>
  <c r="R190" i="23"/>
  <c r="P190" i="23"/>
  <c r="J190" i="23"/>
  <c r="BE190" i="23" s="1"/>
  <c r="BK189" i="23"/>
  <c r="BI189" i="23"/>
  <c r="BH189" i="23"/>
  <c r="BG189" i="23"/>
  <c r="BF189" i="23"/>
  <c r="T189" i="23"/>
  <c r="R189" i="23"/>
  <c r="P189" i="23"/>
  <c r="J189" i="23"/>
  <c r="BE189" i="23" s="1"/>
  <c r="BK188" i="23"/>
  <c r="BI188" i="23"/>
  <c r="BH188" i="23"/>
  <c r="BG188" i="23"/>
  <c r="BF188" i="23"/>
  <c r="T188" i="23"/>
  <c r="R188" i="23"/>
  <c r="P188" i="23"/>
  <c r="J188" i="23"/>
  <c r="BE188" i="23" s="1"/>
  <c r="BK187" i="23"/>
  <c r="BI187" i="23"/>
  <c r="BH187" i="23"/>
  <c r="BG187" i="23"/>
  <c r="BF187" i="23"/>
  <c r="T187" i="23"/>
  <c r="R187" i="23"/>
  <c r="P187" i="23"/>
  <c r="J187" i="23"/>
  <c r="BE187" i="23" s="1"/>
  <c r="BK186" i="23"/>
  <c r="BI186" i="23"/>
  <c r="BH186" i="23"/>
  <c r="BG186" i="23"/>
  <c r="BF186" i="23"/>
  <c r="T186" i="23"/>
  <c r="R186" i="23"/>
  <c r="P186" i="23"/>
  <c r="J186" i="23"/>
  <c r="BE186" i="23" s="1"/>
  <c r="BK185" i="23"/>
  <c r="BI185" i="23"/>
  <c r="BH185" i="23"/>
  <c r="BG185" i="23"/>
  <c r="BF185" i="23"/>
  <c r="T185" i="23"/>
  <c r="R185" i="23"/>
  <c r="P185" i="23"/>
  <c r="J185" i="23"/>
  <c r="BE185" i="23" s="1"/>
  <c r="BK184" i="23"/>
  <c r="BI184" i="23"/>
  <c r="BH184" i="23"/>
  <c r="BG184" i="23"/>
  <c r="BF184" i="23"/>
  <c r="T184" i="23"/>
  <c r="R184" i="23"/>
  <c r="P184" i="23"/>
  <c r="J184" i="23"/>
  <c r="BE184" i="23" s="1"/>
  <c r="BK183" i="23"/>
  <c r="BI183" i="23"/>
  <c r="BH183" i="23"/>
  <c r="BG183" i="23"/>
  <c r="BF183" i="23"/>
  <c r="T183" i="23"/>
  <c r="R183" i="23"/>
  <c r="P183" i="23"/>
  <c r="J183" i="23"/>
  <c r="BE183" i="23" s="1"/>
  <c r="BK182" i="23"/>
  <c r="BI182" i="23"/>
  <c r="BH182" i="23"/>
  <c r="BG182" i="23"/>
  <c r="BF182" i="23"/>
  <c r="T182" i="23"/>
  <c r="R182" i="23"/>
  <c r="P182" i="23"/>
  <c r="J182" i="23"/>
  <c r="BE182" i="23" s="1"/>
  <c r="BK181" i="23"/>
  <c r="BI181" i="23"/>
  <c r="BH181" i="23"/>
  <c r="BG181" i="23"/>
  <c r="BF181" i="23"/>
  <c r="T181" i="23"/>
  <c r="R181" i="23"/>
  <c r="P181" i="23"/>
  <c r="J181" i="23"/>
  <c r="BE181" i="23" s="1"/>
  <c r="BK180" i="23"/>
  <c r="BI180" i="23"/>
  <c r="BH180" i="23"/>
  <c r="BG180" i="23"/>
  <c r="BF180" i="23"/>
  <c r="T180" i="23"/>
  <c r="R180" i="23"/>
  <c r="P180" i="23"/>
  <c r="J180" i="23"/>
  <c r="BE180" i="23" s="1"/>
  <c r="BK179" i="23"/>
  <c r="BI179" i="23"/>
  <c r="BH179" i="23"/>
  <c r="BG179" i="23"/>
  <c r="BF179" i="23"/>
  <c r="T179" i="23"/>
  <c r="R179" i="23"/>
  <c r="P179" i="23"/>
  <c r="J179" i="23"/>
  <c r="BE179" i="23" s="1"/>
  <c r="BK178" i="23"/>
  <c r="BI178" i="23"/>
  <c r="BH178" i="23"/>
  <c r="BG178" i="23"/>
  <c r="BF178" i="23"/>
  <c r="T178" i="23"/>
  <c r="R178" i="23"/>
  <c r="P178" i="23"/>
  <c r="J178" i="23"/>
  <c r="BE178" i="23" s="1"/>
  <c r="BK177" i="23"/>
  <c r="BI177" i="23"/>
  <c r="BH177" i="23"/>
  <c r="BG177" i="23"/>
  <c r="BF177" i="23"/>
  <c r="T177" i="23"/>
  <c r="R177" i="23"/>
  <c r="P177" i="23"/>
  <c r="J177" i="23"/>
  <c r="BE177" i="23" s="1"/>
  <c r="BK176" i="23"/>
  <c r="BI176" i="23"/>
  <c r="BH176" i="23"/>
  <c r="BG176" i="23"/>
  <c r="BF176" i="23"/>
  <c r="T176" i="23"/>
  <c r="R176" i="23"/>
  <c r="P176" i="23"/>
  <c r="J176" i="23"/>
  <c r="BE176" i="23" s="1"/>
  <c r="BK175" i="23"/>
  <c r="BI175" i="23"/>
  <c r="BH175" i="23"/>
  <c r="BG175" i="23"/>
  <c r="BF175" i="23"/>
  <c r="T175" i="23"/>
  <c r="R175" i="23"/>
  <c r="P175" i="23"/>
  <c r="J175" i="23"/>
  <c r="BE175" i="23" s="1"/>
  <c r="BK174" i="23"/>
  <c r="BI174" i="23"/>
  <c r="BH174" i="23"/>
  <c r="BG174" i="23"/>
  <c r="BF174" i="23"/>
  <c r="T174" i="23"/>
  <c r="R174" i="23"/>
  <c r="P174" i="23"/>
  <c r="J174" i="23"/>
  <c r="BE174" i="23" s="1"/>
  <c r="BK173" i="23"/>
  <c r="BI173" i="23"/>
  <c r="BH173" i="23"/>
  <c r="BG173" i="23"/>
  <c r="BF173" i="23"/>
  <c r="T173" i="23"/>
  <c r="R173" i="23"/>
  <c r="P173" i="23"/>
  <c r="J173" i="23"/>
  <c r="BE173" i="23" s="1"/>
  <c r="BK172" i="23"/>
  <c r="BI172" i="23"/>
  <c r="BH172" i="23"/>
  <c r="BG172" i="23"/>
  <c r="BF172" i="23"/>
  <c r="T172" i="23"/>
  <c r="R172" i="23"/>
  <c r="P172" i="23"/>
  <c r="J172" i="23"/>
  <c r="BE172" i="23" s="1"/>
  <c r="BK170" i="23"/>
  <c r="BI170" i="23"/>
  <c r="BH170" i="23"/>
  <c r="BG170" i="23"/>
  <c r="BF170" i="23"/>
  <c r="T170" i="23"/>
  <c r="R170" i="23"/>
  <c r="P170" i="23"/>
  <c r="J170" i="23"/>
  <c r="BE170" i="23" s="1"/>
  <c r="BK169" i="23"/>
  <c r="BI169" i="23"/>
  <c r="BH169" i="23"/>
  <c r="BG169" i="23"/>
  <c r="BF169" i="23"/>
  <c r="T169" i="23"/>
  <c r="R169" i="23"/>
  <c r="P169" i="23"/>
  <c r="J169" i="23"/>
  <c r="BE169" i="23" s="1"/>
  <c r="BK168" i="23"/>
  <c r="BI168" i="23"/>
  <c r="BH168" i="23"/>
  <c r="BG168" i="23"/>
  <c r="BF168" i="23"/>
  <c r="T168" i="23"/>
  <c r="R168" i="23"/>
  <c r="P168" i="23"/>
  <c r="J168" i="23"/>
  <c r="BE168" i="23" s="1"/>
  <c r="BK166" i="23"/>
  <c r="BI166" i="23"/>
  <c r="BH166" i="23"/>
  <c r="BG166" i="23"/>
  <c r="BF166" i="23"/>
  <c r="T166" i="23"/>
  <c r="R166" i="23"/>
  <c r="P166" i="23"/>
  <c r="J166" i="23"/>
  <c r="BE166" i="23" s="1"/>
  <c r="BK165" i="23"/>
  <c r="BI165" i="23"/>
  <c r="BH165" i="23"/>
  <c r="BG165" i="23"/>
  <c r="BF165" i="23"/>
  <c r="T165" i="23"/>
  <c r="R165" i="23"/>
  <c r="P165" i="23"/>
  <c r="J165" i="23"/>
  <c r="BE165" i="23" s="1"/>
  <c r="BK164" i="23"/>
  <c r="BI164" i="23"/>
  <c r="BH164" i="23"/>
  <c r="BG164" i="23"/>
  <c r="BF164" i="23"/>
  <c r="T164" i="23"/>
  <c r="R164" i="23"/>
  <c r="P164" i="23"/>
  <c r="J164" i="23"/>
  <c r="BE164" i="23" s="1"/>
  <c r="BK162" i="23"/>
  <c r="BI162" i="23"/>
  <c r="BH162" i="23"/>
  <c r="BG162" i="23"/>
  <c r="BF162" i="23"/>
  <c r="T162" i="23"/>
  <c r="R162" i="23"/>
  <c r="P162" i="23"/>
  <c r="J162" i="23"/>
  <c r="BE162" i="23" s="1"/>
  <c r="BK161" i="23"/>
  <c r="BI161" i="23"/>
  <c r="BH161" i="23"/>
  <c r="BG161" i="23"/>
  <c r="BF161" i="23"/>
  <c r="T161" i="23"/>
  <c r="R161" i="23"/>
  <c r="P161" i="23"/>
  <c r="J161" i="23"/>
  <c r="BE161" i="23" s="1"/>
  <c r="BK160" i="23"/>
  <c r="BI160" i="23"/>
  <c r="BH160" i="23"/>
  <c r="BG160" i="23"/>
  <c r="BF160" i="23"/>
  <c r="T160" i="23"/>
  <c r="R160" i="23"/>
  <c r="P160" i="23"/>
  <c r="J160" i="23"/>
  <c r="BE160" i="23" s="1"/>
  <c r="BK158" i="23"/>
  <c r="BI158" i="23"/>
  <c r="BH158" i="23"/>
  <c r="BG158" i="23"/>
  <c r="BF158" i="23"/>
  <c r="T158" i="23"/>
  <c r="R158" i="23"/>
  <c r="P158" i="23"/>
  <c r="J158" i="23"/>
  <c r="BE158" i="23" s="1"/>
  <c r="BK157" i="23"/>
  <c r="BI157" i="23"/>
  <c r="BH157" i="23"/>
  <c r="BG157" i="23"/>
  <c r="BF157" i="23"/>
  <c r="T157" i="23"/>
  <c r="R157" i="23"/>
  <c r="P157" i="23"/>
  <c r="J157" i="23"/>
  <c r="BE157" i="23" s="1"/>
  <c r="BK156" i="23"/>
  <c r="BI156" i="23"/>
  <c r="BH156" i="23"/>
  <c r="BG156" i="23"/>
  <c r="BF156" i="23"/>
  <c r="T156" i="23"/>
  <c r="R156" i="23"/>
  <c r="P156" i="23"/>
  <c r="J156" i="23"/>
  <c r="BE156" i="23" s="1"/>
  <c r="BK155" i="23"/>
  <c r="BI155" i="23"/>
  <c r="BH155" i="23"/>
  <c r="BG155" i="23"/>
  <c r="BF155" i="23"/>
  <c r="T155" i="23"/>
  <c r="R155" i="23"/>
  <c r="P155" i="23"/>
  <c r="J155" i="23"/>
  <c r="BE155" i="23" s="1"/>
  <c r="BK153" i="23"/>
  <c r="BI153" i="23"/>
  <c r="BH153" i="23"/>
  <c r="BG153" i="23"/>
  <c r="BF153" i="23"/>
  <c r="T153" i="23"/>
  <c r="R153" i="23"/>
  <c r="P153" i="23"/>
  <c r="J153" i="23"/>
  <c r="BE153" i="23" s="1"/>
  <c r="BK152" i="23"/>
  <c r="BI152" i="23"/>
  <c r="BH152" i="23"/>
  <c r="BG152" i="23"/>
  <c r="BF152" i="23"/>
  <c r="T152" i="23"/>
  <c r="R152" i="23"/>
  <c r="P152" i="23"/>
  <c r="J152" i="23"/>
  <c r="BE152" i="23" s="1"/>
  <c r="BK151" i="23"/>
  <c r="BI151" i="23"/>
  <c r="BH151" i="23"/>
  <c r="BG151" i="23"/>
  <c r="BF151" i="23"/>
  <c r="T151" i="23"/>
  <c r="R151" i="23"/>
  <c r="P151" i="23"/>
  <c r="J151" i="23"/>
  <c r="BE151" i="23" s="1"/>
  <c r="BK149" i="23"/>
  <c r="BI149" i="23"/>
  <c r="BH149" i="23"/>
  <c r="BG149" i="23"/>
  <c r="BF149" i="23"/>
  <c r="T149" i="23"/>
  <c r="R149" i="23"/>
  <c r="P149" i="23"/>
  <c r="J149" i="23"/>
  <c r="BE149" i="23" s="1"/>
  <c r="BK148" i="23"/>
  <c r="BI148" i="23"/>
  <c r="BH148" i="23"/>
  <c r="BG148" i="23"/>
  <c r="BF148" i="23"/>
  <c r="T148" i="23"/>
  <c r="R148" i="23"/>
  <c r="P148" i="23"/>
  <c r="J148" i="23"/>
  <c r="BE148" i="23" s="1"/>
  <c r="BK147" i="23"/>
  <c r="BI147" i="23"/>
  <c r="BH147" i="23"/>
  <c r="BG147" i="23"/>
  <c r="BF147" i="23"/>
  <c r="T147" i="23"/>
  <c r="R147" i="23"/>
  <c r="P147" i="23"/>
  <c r="J147" i="23"/>
  <c r="BE147" i="23" s="1"/>
  <c r="BK145" i="23"/>
  <c r="BI145" i="23"/>
  <c r="BH145" i="23"/>
  <c r="BG145" i="23"/>
  <c r="BF145" i="23"/>
  <c r="T145" i="23"/>
  <c r="R145" i="23"/>
  <c r="P145" i="23"/>
  <c r="J145" i="23"/>
  <c r="BE145" i="23" s="1"/>
  <c r="BK144" i="23"/>
  <c r="BI144" i="23"/>
  <c r="BH144" i="23"/>
  <c r="BG144" i="23"/>
  <c r="BF144" i="23"/>
  <c r="T144" i="23"/>
  <c r="R144" i="23"/>
  <c r="P144" i="23"/>
  <c r="J144" i="23"/>
  <c r="BE144" i="23" s="1"/>
  <c r="BK143" i="23"/>
  <c r="BI143" i="23"/>
  <c r="BH143" i="23"/>
  <c r="BG143" i="23"/>
  <c r="BF143" i="23"/>
  <c r="T143" i="23"/>
  <c r="R143" i="23"/>
  <c r="P143" i="23"/>
  <c r="J143" i="23"/>
  <c r="BE143" i="23" s="1"/>
  <c r="BK141" i="23"/>
  <c r="BI141" i="23"/>
  <c r="BH141" i="23"/>
  <c r="BG141" i="23"/>
  <c r="BF141" i="23"/>
  <c r="T141" i="23"/>
  <c r="R141" i="23"/>
  <c r="P141" i="23"/>
  <c r="J141" i="23"/>
  <c r="BE141" i="23" s="1"/>
  <c r="J134" i="23"/>
  <c r="J133" i="23"/>
  <c r="F133" i="23"/>
  <c r="J131" i="23"/>
  <c r="E129" i="23"/>
  <c r="E125" i="23"/>
  <c r="J94" i="23"/>
  <c r="J93" i="23"/>
  <c r="F93" i="23"/>
  <c r="J91" i="23"/>
  <c r="F91" i="23"/>
  <c r="E89" i="23"/>
  <c r="E85" i="23"/>
  <c r="J39" i="23"/>
  <c r="J38" i="23"/>
  <c r="AY119" i="1" s="1"/>
  <c r="J37" i="23"/>
  <c r="AX119" i="1" s="1"/>
  <c r="BK231" i="22"/>
  <c r="BI231" i="22"/>
  <c r="BH231" i="22"/>
  <c r="BG231" i="22"/>
  <c r="BF231" i="22"/>
  <c r="T231" i="22"/>
  <c r="R231" i="22"/>
  <c r="P231" i="22"/>
  <c r="J231" i="22"/>
  <c r="BE231" i="22" s="1"/>
  <c r="BK230" i="22"/>
  <c r="BI230" i="22"/>
  <c r="BH230" i="22"/>
  <c r="BG230" i="22"/>
  <c r="BF230" i="22"/>
  <c r="T230" i="22"/>
  <c r="R230" i="22"/>
  <c r="P230" i="22"/>
  <c r="J230" i="22"/>
  <c r="BE230" i="22" s="1"/>
  <c r="BK229" i="22"/>
  <c r="BI229" i="22"/>
  <c r="BH229" i="22"/>
  <c r="BG229" i="22"/>
  <c r="BF229" i="22"/>
  <c r="T229" i="22"/>
  <c r="R229" i="22"/>
  <c r="P229" i="22"/>
  <c r="J229" i="22"/>
  <c r="BE229" i="22" s="1"/>
  <c r="BK228" i="22"/>
  <c r="BI228" i="22"/>
  <c r="BH228" i="22"/>
  <c r="BG228" i="22"/>
  <c r="BF228" i="22"/>
  <c r="T228" i="22"/>
  <c r="R228" i="22"/>
  <c r="P228" i="22"/>
  <c r="J228" i="22"/>
  <c r="BE228" i="22" s="1"/>
  <c r="BK227" i="22"/>
  <c r="BI227" i="22"/>
  <c r="BH227" i="22"/>
  <c r="BG227" i="22"/>
  <c r="BF227" i="22"/>
  <c r="T227" i="22"/>
  <c r="R227" i="22"/>
  <c r="P227" i="22"/>
  <c r="J227" i="22"/>
  <c r="BE227" i="22" s="1"/>
  <c r="BK226" i="22"/>
  <c r="BI226" i="22"/>
  <c r="BH226" i="22"/>
  <c r="BG226" i="22"/>
  <c r="BF226" i="22"/>
  <c r="T226" i="22"/>
  <c r="R226" i="22"/>
  <c r="P226" i="22"/>
  <c r="J226" i="22"/>
  <c r="BE226" i="22" s="1"/>
  <c r="BK225" i="22"/>
  <c r="BI225" i="22"/>
  <c r="BH225" i="22"/>
  <c r="BG225" i="22"/>
  <c r="BF225" i="22"/>
  <c r="T225" i="22"/>
  <c r="R225" i="22"/>
  <c r="P225" i="22"/>
  <c r="J225" i="22"/>
  <c r="BE225" i="22" s="1"/>
  <c r="BK224" i="22"/>
  <c r="BI224" i="22"/>
  <c r="BH224" i="22"/>
  <c r="BG224" i="22"/>
  <c r="BF224" i="22"/>
  <c r="T224" i="22"/>
  <c r="R224" i="22"/>
  <c r="P224" i="22"/>
  <c r="J224" i="22"/>
  <c r="BE224" i="22" s="1"/>
  <c r="BK223" i="22"/>
  <c r="BI223" i="22"/>
  <c r="BH223" i="22"/>
  <c r="BG223" i="22"/>
  <c r="BF223" i="22"/>
  <c r="T223" i="22"/>
  <c r="R223" i="22"/>
  <c r="P223" i="22"/>
  <c r="J223" i="22"/>
  <c r="BE223" i="22" s="1"/>
  <c r="BK222" i="22"/>
  <c r="BI222" i="22"/>
  <c r="BH222" i="22"/>
  <c r="BG222" i="22"/>
  <c r="BF222" i="22"/>
  <c r="T222" i="22"/>
  <c r="R222" i="22"/>
  <c r="P222" i="22"/>
  <c r="J222" i="22"/>
  <c r="BE222" i="22" s="1"/>
  <c r="BK221" i="22"/>
  <c r="BI221" i="22"/>
  <c r="BH221" i="22"/>
  <c r="BG221" i="22"/>
  <c r="BF221" i="22"/>
  <c r="T221" i="22"/>
  <c r="R221" i="22"/>
  <c r="P221" i="22"/>
  <c r="J221" i="22"/>
  <c r="BE221" i="22" s="1"/>
  <c r="BK220" i="22"/>
  <c r="BI220" i="22"/>
  <c r="BH220" i="22"/>
  <c r="BG220" i="22"/>
  <c r="BF220" i="22"/>
  <c r="T220" i="22"/>
  <c r="R220" i="22"/>
  <c r="P220" i="22"/>
  <c r="J220" i="22"/>
  <c r="BE220" i="22" s="1"/>
  <c r="BK219" i="22"/>
  <c r="BI219" i="22"/>
  <c r="BH219" i="22"/>
  <c r="BG219" i="22"/>
  <c r="BF219" i="22"/>
  <c r="T219" i="22"/>
  <c r="R219" i="22"/>
  <c r="P219" i="22"/>
  <c r="J219" i="22"/>
  <c r="BE219" i="22" s="1"/>
  <c r="BK218" i="22"/>
  <c r="BI218" i="22"/>
  <c r="BH218" i="22"/>
  <c r="BG218" i="22"/>
  <c r="BF218" i="22"/>
  <c r="T218" i="22"/>
  <c r="R218" i="22"/>
  <c r="P218" i="22"/>
  <c r="J218" i="22"/>
  <c r="BE218" i="22" s="1"/>
  <c r="BK217" i="22"/>
  <c r="BI217" i="22"/>
  <c r="BH217" i="22"/>
  <c r="BG217" i="22"/>
  <c r="BF217" i="22"/>
  <c r="T217" i="22"/>
  <c r="R217" i="22"/>
  <c r="P217" i="22"/>
  <c r="J217" i="22"/>
  <c r="BE217" i="22" s="1"/>
  <c r="BK216" i="22"/>
  <c r="BI216" i="22"/>
  <c r="BH216" i="22"/>
  <c r="BG216" i="22"/>
  <c r="BF216" i="22"/>
  <c r="BE216" i="22"/>
  <c r="T216" i="22"/>
  <c r="R216" i="22"/>
  <c r="P216" i="22"/>
  <c r="J216" i="22"/>
  <c r="BK215" i="22"/>
  <c r="BI215" i="22"/>
  <c r="BH215" i="22"/>
  <c r="BG215" i="22"/>
  <c r="BF215" i="22"/>
  <c r="T215" i="22"/>
  <c r="R215" i="22"/>
  <c r="P215" i="22"/>
  <c r="J215" i="22"/>
  <c r="BE215" i="22" s="1"/>
  <c r="BK214" i="22"/>
  <c r="BI214" i="22"/>
  <c r="BH214" i="22"/>
  <c r="BG214" i="22"/>
  <c r="BF214" i="22"/>
  <c r="T214" i="22"/>
  <c r="R214" i="22"/>
  <c r="P214" i="22"/>
  <c r="J214" i="22"/>
  <c r="BE214" i="22" s="1"/>
  <c r="BK212" i="22"/>
  <c r="BI212" i="22"/>
  <c r="BH212" i="22"/>
  <c r="BG212" i="22"/>
  <c r="BF212" i="22"/>
  <c r="T212" i="22"/>
  <c r="R212" i="22"/>
  <c r="P212" i="22"/>
  <c r="J212" i="22"/>
  <c r="BE212" i="22" s="1"/>
  <c r="BK211" i="22"/>
  <c r="BI211" i="22"/>
  <c r="BH211" i="22"/>
  <c r="BG211" i="22"/>
  <c r="BF211" i="22"/>
  <c r="T211" i="22"/>
  <c r="R211" i="22"/>
  <c r="P211" i="22"/>
  <c r="J211" i="22"/>
  <c r="BE211" i="22" s="1"/>
  <c r="BK210" i="22"/>
  <c r="BI210" i="22"/>
  <c r="BH210" i="22"/>
  <c r="BG210" i="22"/>
  <c r="BF210" i="22"/>
  <c r="T210" i="22"/>
  <c r="R210" i="22"/>
  <c r="P210" i="22"/>
  <c r="J210" i="22"/>
  <c r="BE210" i="22" s="1"/>
  <c r="BK209" i="22"/>
  <c r="BI209" i="22"/>
  <c r="BH209" i="22"/>
  <c r="BG209" i="22"/>
  <c r="BF209" i="22"/>
  <c r="T209" i="22"/>
  <c r="R209" i="22"/>
  <c r="P209" i="22"/>
  <c r="J209" i="22"/>
  <c r="BE209" i="22" s="1"/>
  <c r="BK208" i="22"/>
  <c r="BI208" i="22"/>
  <c r="BH208" i="22"/>
  <c r="BG208" i="22"/>
  <c r="BF208" i="22"/>
  <c r="T208" i="22"/>
  <c r="R208" i="22"/>
  <c r="P208" i="22"/>
  <c r="J208" i="22"/>
  <c r="BE208" i="22" s="1"/>
  <c r="BK207" i="22"/>
  <c r="BI207" i="22"/>
  <c r="BH207" i="22"/>
  <c r="BG207" i="22"/>
  <c r="BF207" i="22"/>
  <c r="T207" i="22"/>
  <c r="R207" i="22"/>
  <c r="P207" i="22"/>
  <c r="J207" i="22"/>
  <c r="BE207" i="22" s="1"/>
  <c r="BK206" i="22"/>
  <c r="BI206" i="22"/>
  <c r="BH206" i="22"/>
  <c r="BG206" i="22"/>
  <c r="BF206" i="22"/>
  <c r="T206" i="22"/>
  <c r="R206" i="22"/>
  <c r="P206" i="22"/>
  <c r="J206" i="22"/>
  <c r="BE206" i="22" s="1"/>
  <c r="BK205" i="22"/>
  <c r="BI205" i="22"/>
  <c r="BH205" i="22"/>
  <c r="BG205" i="22"/>
  <c r="BF205" i="22"/>
  <c r="T205" i="22"/>
  <c r="R205" i="22"/>
  <c r="P205" i="22"/>
  <c r="J205" i="22"/>
  <c r="BE205" i="22" s="1"/>
  <c r="BK204" i="22"/>
  <c r="BI204" i="22"/>
  <c r="BH204" i="22"/>
  <c r="BG204" i="22"/>
  <c r="BF204" i="22"/>
  <c r="T204" i="22"/>
  <c r="R204" i="22"/>
  <c r="P204" i="22"/>
  <c r="J204" i="22"/>
  <c r="BE204" i="22" s="1"/>
  <c r="BK203" i="22"/>
  <c r="BI203" i="22"/>
  <c r="BH203" i="22"/>
  <c r="BG203" i="22"/>
  <c r="BF203" i="22"/>
  <c r="T203" i="22"/>
  <c r="R203" i="22"/>
  <c r="P203" i="22"/>
  <c r="J203" i="22"/>
  <c r="BE203" i="22" s="1"/>
  <c r="BK202" i="22"/>
  <c r="BI202" i="22"/>
  <c r="BH202" i="22"/>
  <c r="BG202" i="22"/>
  <c r="BF202" i="22"/>
  <c r="T202" i="22"/>
  <c r="R202" i="22"/>
  <c r="P202" i="22"/>
  <c r="J202" i="22"/>
  <c r="BE202" i="22" s="1"/>
  <c r="BK201" i="22"/>
  <c r="BI201" i="22"/>
  <c r="BH201" i="22"/>
  <c r="BG201" i="22"/>
  <c r="BF201" i="22"/>
  <c r="T201" i="22"/>
  <c r="R201" i="22"/>
  <c r="P201" i="22"/>
  <c r="J201" i="22"/>
  <c r="BE201" i="22" s="1"/>
  <c r="BK200" i="22"/>
  <c r="BI200" i="22"/>
  <c r="BH200" i="22"/>
  <c r="BG200" i="22"/>
  <c r="BF200" i="22"/>
  <c r="T200" i="22"/>
  <c r="R200" i="22"/>
  <c r="P200" i="22"/>
  <c r="J200" i="22"/>
  <c r="BE200" i="22" s="1"/>
  <c r="BK199" i="22"/>
  <c r="BI199" i="22"/>
  <c r="BH199" i="22"/>
  <c r="BG199" i="22"/>
  <c r="BF199" i="22"/>
  <c r="BE199" i="22"/>
  <c r="T199" i="22"/>
  <c r="R199" i="22"/>
  <c r="P199" i="22"/>
  <c r="J199" i="22"/>
  <c r="BK197" i="22"/>
  <c r="BI197" i="22"/>
  <c r="BH197" i="22"/>
  <c r="BG197" i="22"/>
  <c r="BF197" i="22"/>
  <c r="T197" i="22"/>
  <c r="R197" i="22"/>
  <c r="P197" i="22"/>
  <c r="J197" i="22"/>
  <c r="BE197" i="22" s="1"/>
  <c r="BK195" i="22"/>
  <c r="BI195" i="22"/>
  <c r="BH195" i="22"/>
  <c r="BG195" i="22"/>
  <c r="BF195" i="22"/>
  <c r="T195" i="22"/>
  <c r="R195" i="22"/>
  <c r="P195" i="22"/>
  <c r="J195" i="22"/>
  <c r="BE195" i="22" s="1"/>
  <c r="BK194" i="22"/>
  <c r="BI194" i="22"/>
  <c r="BH194" i="22"/>
  <c r="BG194" i="22"/>
  <c r="BF194" i="22"/>
  <c r="T194" i="22"/>
  <c r="R194" i="22"/>
  <c r="P194" i="22"/>
  <c r="J194" i="22"/>
  <c r="BE194" i="22" s="1"/>
  <c r="BK193" i="22"/>
  <c r="BI193" i="22"/>
  <c r="BH193" i="22"/>
  <c r="BG193" i="22"/>
  <c r="BF193" i="22"/>
  <c r="T193" i="22"/>
  <c r="R193" i="22"/>
  <c r="P193" i="22"/>
  <c r="J193" i="22"/>
  <c r="BE193" i="22" s="1"/>
  <c r="BK192" i="22"/>
  <c r="BI192" i="22"/>
  <c r="BH192" i="22"/>
  <c r="BG192" i="22"/>
  <c r="BF192" i="22"/>
  <c r="T192" i="22"/>
  <c r="R192" i="22"/>
  <c r="P192" i="22"/>
  <c r="J192" i="22"/>
  <c r="BE192" i="22" s="1"/>
  <c r="BK191" i="22"/>
  <c r="BI191" i="22"/>
  <c r="BH191" i="22"/>
  <c r="BG191" i="22"/>
  <c r="BF191" i="22"/>
  <c r="T191" i="22"/>
  <c r="R191" i="22"/>
  <c r="P191" i="22"/>
  <c r="J191" i="22"/>
  <c r="BE191" i="22" s="1"/>
  <c r="BK190" i="22"/>
  <c r="BI190" i="22"/>
  <c r="BH190" i="22"/>
  <c r="BG190" i="22"/>
  <c r="BF190" i="22"/>
  <c r="T190" i="22"/>
  <c r="R190" i="22"/>
  <c r="P190" i="22"/>
  <c r="J190" i="22"/>
  <c r="BE190" i="22" s="1"/>
  <c r="BK189" i="22"/>
  <c r="BI189" i="22"/>
  <c r="BH189" i="22"/>
  <c r="BG189" i="22"/>
  <c r="BF189" i="22"/>
  <c r="T189" i="22"/>
  <c r="R189" i="22"/>
  <c r="P189" i="22"/>
  <c r="J189" i="22"/>
  <c r="BE189" i="22" s="1"/>
  <c r="BK188" i="22"/>
  <c r="BI188" i="22"/>
  <c r="BH188" i="22"/>
  <c r="BG188" i="22"/>
  <c r="BF188" i="22"/>
  <c r="T188" i="22"/>
  <c r="R188" i="22"/>
  <c r="P188" i="22"/>
  <c r="J188" i="22"/>
  <c r="BE188" i="22" s="1"/>
  <c r="BK187" i="22"/>
  <c r="BI187" i="22"/>
  <c r="BH187" i="22"/>
  <c r="BG187" i="22"/>
  <c r="BF187" i="22"/>
  <c r="T187" i="22"/>
  <c r="R187" i="22"/>
  <c r="P187" i="22"/>
  <c r="J187" i="22"/>
  <c r="BE187" i="22" s="1"/>
  <c r="BK185" i="22"/>
  <c r="BI185" i="22"/>
  <c r="BH185" i="22"/>
  <c r="BG185" i="22"/>
  <c r="BF185" i="22"/>
  <c r="T185" i="22"/>
  <c r="R185" i="22"/>
  <c r="P185" i="22"/>
  <c r="J185" i="22"/>
  <c r="BE185" i="22" s="1"/>
  <c r="BK184" i="22"/>
  <c r="BI184" i="22"/>
  <c r="BH184" i="22"/>
  <c r="BG184" i="22"/>
  <c r="BF184" i="22"/>
  <c r="T184" i="22"/>
  <c r="R184" i="22"/>
  <c r="P184" i="22"/>
  <c r="J184" i="22"/>
  <c r="BE184" i="22" s="1"/>
  <c r="BK182" i="22"/>
  <c r="BI182" i="22"/>
  <c r="BH182" i="22"/>
  <c r="BG182" i="22"/>
  <c r="BF182" i="22"/>
  <c r="T182" i="22"/>
  <c r="R182" i="22"/>
  <c r="P182" i="22"/>
  <c r="J182" i="22"/>
  <c r="BE182" i="22" s="1"/>
  <c r="BK181" i="22"/>
  <c r="BI181" i="22"/>
  <c r="BH181" i="22"/>
  <c r="BG181" i="22"/>
  <c r="BF181" i="22"/>
  <c r="BE181" i="22"/>
  <c r="T181" i="22"/>
  <c r="R181" i="22"/>
  <c r="P181" i="22"/>
  <c r="J181" i="22"/>
  <c r="BK180" i="22"/>
  <c r="BI180" i="22"/>
  <c r="BH180" i="22"/>
  <c r="BG180" i="22"/>
  <c r="BF180" i="22"/>
  <c r="T180" i="22"/>
  <c r="R180" i="22"/>
  <c r="P180" i="22"/>
  <c r="J180" i="22"/>
  <c r="BE180" i="22" s="1"/>
  <c r="BK179" i="22"/>
  <c r="BI179" i="22"/>
  <c r="BH179" i="22"/>
  <c r="BG179" i="22"/>
  <c r="BF179" i="22"/>
  <c r="T179" i="22"/>
  <c r="R179" i="22"/>
  <c r="P179" i="22"/>
  <c r="J179" i="22"/>
  <c r="BE179" i="22" s="1"/>
  <c r="BK178" i="22"/>
  <c r="BI178" i="22"/>
  <c r="BH178" i="22"/>
  <c r="BG178" i="22"/>
  <c r="BF178" i="22"/>
  <c r="T178" i="22"/>
  <c r="R178" i="22"/>
  <c r="P178" i="22"/>
  <c r="J178" i="22"/>
  <c r="BE178" i="22" s="1"/>
  <c r="BK177" i="22"/>
  <c r="BI177" i="22"/>
  <c r="BH177" i="22"/>
  <c r="BG177" i="22"/>
  <c r="BF177" i="22"/>
  <c r="T177" i="22"/>
  <c r="R177" i="22"/>
  <c r="P177" i="22"/>
  <c r="J177" i="22"/>
  <c r="BE177" i="22" s="1"/>
  <c r="BK175" i="22"/>
  <c r="BI175" i="22"/>
  <c r="BH175" i="22"/>
  <c r="BG175" i="22"/>
  <c r="BF175" i="22"/>
  <c r="T175" i="22"/>
  <c r="R175" i="22"/>
  <c r="P175" i="22"/>
  <c r="J175" i="22"/>
  <c r="BE175" i="22" s="1"/>
  <c r="BK174" i="22"/>
  <c r="BI174" i="22"/>
  <c r="BH174" i="22"/>
  <c r="BG174" i="22"/>
  <c r="BF174" i="22"/>
  <c r="T174" i="22"/>
  <c r="R174" i="22"/>
  <c r="P174" i="22"/>
  <c r="J174" i="22"/>
  <c r="BE174" i="22" s="1"/>
  <c r="BK172" i="22"/>
  <c r="BK171" i="22" s="1"/>
  <c r="J171" i="22" s="1"/>
  <c r="J106" i="22" s="1"/>
  <c r="BI172" i="22"/>
  <c r="BH172" i="22"/>
  <c r="BG172" i="22"/>
  <c r="BF172" i="22"/>
  <c r="T172" i="22"/>
  <c r="T171" i="22" s="1"/>
  <c r="R172" i="22"/>
  <c r="R171" i="22" s="1"/>
  <c r="P172" i="22"/>
  <c r="P171" i="22" s="1"/>
  <c r="J172" i="22"/>
  <c r="BE172" i="22" s="1"/>
  <c r="BK170" i="22"/>
  <c r="BI170" i="22"/>
  <c r="BH170" i="22"/>
  <c r="BG170" i="22"/>
  <c r="BF170" i="22"/>
  <c r="T170" i="22"/>
  <c r="R170" i="22"/>
  <c r="P170" i="22"/>
  <c r="J170" i="22"/>
  <c r="BE170" i="22" s="1"/>
  <c r="BK169" i="22"/>
  <c r="BI169" i="22"/>
  <c r="BH169" i="22"/>
  <c r="BG169" i="22"/>
  <c r="BF169" i="22"/>
  <c r="T169" i="22"/>
  <c r="R169" i="22"/>
  <c r="P169" i="22"/>
  <c r="J169" i="22"/>
  <c r="BE169" i="22" s="1"/>
  <c r="BK168" i="22"/>
  <c r="BI168" i="22"/>
  <c r="BH168" i="22"/>
  <c r="BG168" i="22"/>
  <c r="BF168" i="22"/>
  <c r="T168" i="22"/>
  <c r="R168" i="22"/>
  <c r="P168" i="22"/>
  <c r="P166" i="22" s="1"/>
  <c r="J168" i="22"/>
  <c r="BE168" i="22" s="1"/>
  <c r="BK167" i="22"/>
  <c r="BI167" i="22"/>
  <c r="BH167" i="22"/>
  <c r="BG167" i="22"/>
  <c r="BF167" i="22"/>
  <c r="T167" i="22"/>
  <c r="R167" i="22"/>
  <c r="P167" i="22"/>
  <c r="J167" i="22"/>
  <c r="BE167" i="22" s="1"/>
  <c r="BK165" i="22"/>
  <c r="BI165" i="22"/>
  <c r="BH165" i="22"/>
  <c r="BG165" i="22"/>
  <c r="BF165" i="22"/>
  <c r="T165" i="22"/>
  <c r="R165" i="22"/>
  <c r="P165" i="22"/>
  <c r="J165" i="22"/>
  <c r="BE165" i="22" s="1"/>
  <c r="BK164" i="22"/>
  <c r="BI164" i="22"/>
  <c r="BH164" i="22"/>
  <c r="BG164" i="22"/>
  <c r="BF164" i="22"/>
  <c r="T164" i="22"/>
  <c r="R164" i="22"/>
  <c r="P164" i="22"/>
  <c r="J164" i="22"/>
  <c r="BE164" i="22" s="1"/>
  <c r="BK163" i="22"/>
  <c r="BI163" i="22"/>
  <c r="BH163" i="22"/>
  <c r="BG163" i="22"/>
  <c r="BF163" i="22"/>
  <c r="T163" i="22"/>
  <c r="R163" i="22"/>
  <c r="P163" i="22"/>
  <c r="J163" i="22"/>
  <c r="BE163" i="22" s="1"/>
  <c r="BK162" i="22"/>
  <c r="BI162" i="22"/>
  <c r="BH162" i="22"/>
  <c r="BG162" i="22"/>
  <c r="BF162" i="22"/>
  <c r="T162" i="22"/>
  <c r="R162" i="22"/>
  <c r="P162" i="22"/>
  <c r="J162" i="22"/>
  <c r="BE162" i="22" s="1"/>
  <c r="BK161" i="22"/>
  <c r="BI161" i="22"/>
  <c r="BH161" i="22"/>
  <c r="BG161" i="22"/>
  <c r="BF161" i="22"/>
  <c r="T161" i="22"/>
  <c r="R161" i="22"/>
  <c r="P161" i="22"/>
  <c r="J161" i="22"/>
  <c r="BE161" i="22" s="1"/>
  <c r="BK160" i="22"/>
  <c r="BI160" i="22"/>
  <c r="BH160" i="22"/>
  <c r="BG160" i="22"/>
  <c r="BF160" i="22"/>
  <c r="T160" i="22"/>
  <c r="R160" i="22"/>
  <c r="P160" i="22"/>
  <c r="J160" i="22"/>
  <c r="BE160" i="22" s="1"/>
  <c r="BK158" i="22"/>
  <c r="BI158" i="22"/>
  <c r="BH158" i="22"/>
  <c r="BG158" i="22"/>
  <c r="BF158" i="22"/>
  <c r="T158" i="22"/>
  <c r="R158" i="22"/>
  <c r="P158" i="22"/>
  <c r="J158" i="22"/>
  <c r="BE158" i="22" s="1"/>
  <c r="BK157" i="22"/>
  <c r="BI157" i="22"/>
  <c r="BH157" i="22"/>
  <c r="BG157" i="22"/>
  <c r="BF157" i="22"/>
  <c r="T157" i="22"/>
  <c r="R157" i="22"/>
  <c r="P157" i="22"/>
  <c r="J157" i="22"/>
  <c r="BE157" i="22" s="1"/>
  <c r="BK156" i="22"/>
  <c r="BI156" i="22"/>
  <c r="BH156" i="22"/>
  <c r="BG156" i="22"/>
  <c r="BF156" i="22"/>
  <c r="T156" i="22"/>
  <c r="R156" i="22"/>
  <c r="P156" i="22"/>
  <c r="J156" i="22"/>
  <c r="BE156" i="22" s="1"/>
  <c r="BK155" i="22"/>
  <c r="BI155" i="22"/>
  <c r="BH155" i="22"/>
  <c r="BG155" i="22"/>
  <c r="BF155" i="22"/>
  <c r="T155" i="22"/>
  <c r="R155" i="22"/>
  <c r="P155" i="22"/>
  <c r="J155" i="22"/>
  <c r="BE155" i="22" s="1"/>
  <c r="BK153" i="22"/>
  <c r="BI153" i="22"/>
  <c r="BH153" i="22"/>
  <c r="BG153" i="22"/>
  <c r="BF153" i="22"/>
  <c r="T153" i="22"/>
  <c r="R153" i="22"/>
  <c r="P153" i="22"/>
  <c r="J153" i="22"/>
  <c r="BE153" i="22" s="1"/>
  <c r="BK152" i="22"/>
  <c r="BI152" i="22"/>
  <c r="BH152" i="22"/>
  <c r="BG152" i="22"/>
  <c r="BF152" i="22"/>
  <c r="T152" i="22"/>
  <c r="R152" i="22"/>
  <c r="P152" i="22"/>
  <c r="J152" i="22"/>
  <c r="BE152" i="22" s="1"/>
  <c r="BK151" i="22"/>
  <c r="BI151" i="22"/>
  <c r="BH151" i="22"/>
  <c r="BG151" i="22"/>
  <c r="BF151" i="22"/>
  <c r="T151" i="22"/>
  <c r="R151" i="22"/>
  <c r="P151" i="22"/>
  <c r="J151" i="22"/>
  <c r="BE151" i="22" s="1"/>
  <c r="BK150" i="22"/>
  <c r="BI150" i="22"/>
  <c r="BH150" i="22"/>
  <c r="BG150" i="22"/>
  <c r="BF150" i="22"/>
  <c r="T150" i="22"/>
  <c r="R150" i="22"/>
  <c r="P150" i="22"/>
  <c r="J150" i="22"/>
  <c r="BE150" i="22" s="1"/>
  <c r="BK149" i="22"/>
  <c r="BI149" i="22"/>
  <c r="BH149" i="22"/>
  <c r="BG149" i="22"/>
  <c r="BF149" i="22"/>
  <c r="T149" i="22"/>
  <c r="R149" i="22"/>
  <c r="P149" i="22"/>
  <c r="J149" i="22"/>
  <c r="BE149" i="22" s="1"/>
  <c r="BK148" i="22"/>
  <c r="BI148" i="22"/>
  <c r="BH148" i="22"/>
  <c r="BG148" i="22"/>
  <c r="BF148" i="22"/>
  <c r="T148" i="22"/>
  <c r="R148" i="22"/>
  <c r="P148" i="22"/>
  <c r="J148" i="22"/>
  <c r="BE148" i="22" s="1"/>
  <c r="BK147" i="22"/>
  <c r="BI147" i="22"/>
  <c r="BH147" i="22"/>
  <c r="BG147" i="22"/>
  <c r="BF147" i="22"/>
  <c r="T147" i="22"/>
  <c r="R147" i="22"/>
  <c r="P147" i="22"/>
  <c r="J147" i="22"/>
  <c r="BE147" i="22" s="1"/>
  <c r="BK146" i="22"/>
  <c r="BI146" i="22"/>
  <c r="BH146" i="22"/>
  <c r="BG146" i="22"/>
  <c r="BF146" i="22"/>
  <c r="T146" i="22"/>
  <c r="R146" i="22"/>
  <c r="P146" i="22"/>
  <c r="J146" i="22"/>
  <c r="BE146" i="22" s="1"/>
  <c r="BK145" i="22"/>
  <c r="BI145" i="22"/>
  <c r="BH145" i="22"/>
  <c r="BG145" i="22"/>
  <c r="BF145" i="22"/>
  <c r="T145" i="22"/>
  <c r="R145" i="22"/>
  <c r="P145" i="22"/>
  <c r="J145" i="22"/>
  <c r="BE145" i="22" s="1"/>
  <c r="BK144" i="22"/>
  <c r="BI144" i="22"/>
  <c r="BH144" i="22"/>
  <c r="BG144" i="22"/>
  <c r="BF144" i="22"/>
  <c r="T144" i="22"/>
  <c r="R144" i="22"/>
  <c r="P144" i="22"/>
  <c r="J144" i="22"/>
  <c r="BE144" i="22" s="1"/>
  <c r="BK142" i="22"/>
  <c r="BI142" i="22"/>
  <c r="BH142" i="22"/>
  <c r="BG142" i="22"/>
  <c r="BF142" i="22"/>
  <c r="T142" i="22"/>
  <c r="R142" i="22"/>
  <c r="P142" i="22"/>
  <c r="J142" i="22"/>
  <c r="BE142" i="22" s="1"/>
  <c r="BK141" i="22"/>
  <c r="BI141" i="22"/>
  <c r="BH141" i="22"/>
  <c r="BG141" i="22"/>
  <c r="BF141" i="22"/>
  <c r="T141" i="22"/>
  <c r="T140" i="22" s="1"/>
  <c r="R141" i="22"/>
  <c r="P141" i="22"/>
  <c r="J141" i="22"/>
  <c r="BE141" i="22" s="1"/>
  <c r="J136" i="22"/>
  <c r="F136" i="22"/>
  <c r="J133" i="22"/>
  <c r="E131" i="22"/>
  <c r="F96" i="22"/>
  <c r="F95" i="22"/>
  <c r="J93" i="22"/>
  <c r="F93" i="22"/>
  <c r="E91" i="22"/>
  <c r="E85" i="22"/>
  <c r="J41" i="22"/>
  <c r="J40" i="22"/>
  <c r="AY118" i="1" s="1"/>
  <c r="J39" i="22"/>
  <c r="AX118" i="1" s="1"/>
  <c r="BK168" i="21"/>
  <c r="BK167" i="21" s="1"/>
  <c r="J167" i="21" s="1"/>
  <c r="J104" i="21" s="1"/>
  <c r="BI168" i="21"/>
  <c r="BH168" i="21"/>
  <c r="BG168" i="21"/>
  <c r="BF168" i="21"/>
  <c r="T168" i="21"/>
  <c r="T167" i="21" s="1"/>
  <c r="R168" i="21"/>
  <c r="P168" i="21"/>
  <c r="P167" i="21" s="1"/>
  <c r="J168" i="21"/>
  <c r="BE168" i="21" s="1"/>
  <c r="R167" i="21"/>
  <c r="BK166" i="21"/>
  <c r="BI166" i="21"/>
  <c r="BH166" i="21"/>
  <c r="BG166" i="21"/>
  <c r="BF166" i="21"/>
  <c r="T166" i="21"/>
  <c r="R166" i="21"/>
  <c r="P166" i="21"/>
  <c r="J166" i="21"/>
  <c r="BE166" i="21" s="1"/>
  <c r="BK165" i="21"/>
  <c r="BI165" i="21"/>
  <c r="BH165" i="21"/>
  <c r="BG165" i="21"/>
  <c r="BF165" i="21"/>
  <c r="T165" i="21"/>
  <c r="R165" i="21"/>
  <c r="P165" i="21"/>
  <c r="J165" i="21"/>
  <c r="BE165" i="21" s="1"/>
  <c r="BK164" i="21"/>
  <c r="BI164" i="21"/>
  <c r="BH164" i="21"/>
  <c r="BG164" i="21"/>
  <c r="BF164" i="21"/>
  <c r="T164" i="21"/>
  <c r="R164" i="21"/>
  <c r="P164" i="21"/>
  <c r="J164" i="21"/>
  <c r="BE164" i="21" s="1"/>
  <c r="BK163" i="21"/>
  <c r="BI163" i="21"/>
  <c r="BH163" i="21"/>
  <c r="BG163" i="21"/>
  <c r="BF163" i="21"/>
  <c r="T163" i="21"/>
  <c r="R163" i="21"/>
  <c r="P163" i="21"/>
  <c r="J163" i="21"/>
  <c r="BE163" i="21" s="1"/>
  <c r="BK161" i="21"/>
  <c r="BI161" i="21"/>
  <c r="BH161" i="21"/>
  <c r="BG161" i="21"/>
  <c r="BF161" i="21"/>
  <c r="T161" i="21"/>
  <c r="R161" i="21"/>
  <c r="P161" i="21"/>
  <c r="J161" i="21"/>
  <c r="BE161" i="21" s="1"/>
  <c r="BK159" i="21"/>
  <c r="BI159" i="21"/>
  <c r="BH159" i="21"/>
  <c r="BG159" i="21"/>
  <c r="BF159" i="21"/>
  <c r="T159" i="21"/>
  <c r="R159" i="21"/>
  <c r="P159" i="21"/>
  <c r="J159" i="21"/>
  <c r="BE159" i="21" s="1"/>
  <c r="BK158" i="21"/>
  <c r="BI158" i="21"/>
  <c r="BH158" i="21"/>
  <c r="BG158" i="21"/>
  <c r="BF158" i="21"/>
  <c r="T158" i="21"/>
  <c r="R158" i="21"/>
  <c r="P158" i="21"/>
  <c r="J158" i="21"/>
  <c r="BE158" i="21" s="1"/>
  <c r="BK157" i="21"/>
  <c r="BI157" i="21"/>
  <c r="BH157" i="21"/>
  <c r="BG157" i="21"/>
  <c r="BF157" i="21"/>
  <c r="T157" i="21"/>
  <c r="R157" i="21"/>
  <c r="P157" i="21"/>
  <c r="J157" i="21"/>
  <c r="BE157" i="21" s="1"/>
  <c r="BK156" i="21"/>
  <c r="BI156" i="21"/>
  <c r="BH156" i="21"/>
  <c r="BG156" i="21"/>
  <c r="BF156" i="21"/>
  <c r="T156" i="21"/>
  <c r="R156" i="21"/>
  <c r="P156" i="21"/>
  <c r="J156" i="21"/>
  <c r="BE156" i="21" s="1"/>
  <c r="BK155" i="21"/>
  <c r="BI155" i="21"/>
  <c r="BH155" i="21"/>
  <c r="BG155" i="21"/>
  <c r="BF155" i="21"/>
  <c r="T155" i="21"/>
  <c r="R155" i="21"/>
  <c r="P155" i="21"/>
  <c r="J155" i="21"/>
  <c r="BE155" i="21" s="1"/>
  <c r="BK154" i="21"/>
  <c r="BI154" i="21"/>
  <c r="BH154" i="21"/>
  <c r="BG154" i="21"/>
  <c r="BF154" i="21"/>
  <c r="T154" i="21"/>
  <c r="R154" i="21"/>
  <c r="P154" i="21"/>
  <c r="J154" i="21"/>
  <c r="BE154" i="21" s="1"/>
  <c r="BK152" i="21"/>
  <c r="BI152" i="21"/>
  <c r="BH152" i="21"/>
  <c r="BG152" i="21"/>
  <c r="BF152" i="21"/>
  <c r="T152" i="21"/>
  <c r="R152" i="21"/>
  <c r="P152" i="21"/>
  <c r="J152" i="21"/>
  <c r="BE152" i="21" s="1"/>
  <c r="BK151" i="21"/>
  <c r="BI151" i="21"/>
  <c r="BH151" i="21"/>
  <c r="BG151" i="21"/>
  <c r="BF151" i="21"/>
  <c r="T151" i="21"/>
  <c r="R151" i="21"/>
  <c r="P151" i="21"/>
  <c r="J151" i="21"/>
  <c r="BE151" i="21" s="1"/>
  <c r="BK150" i="21"/>
  <c r="BI150" i="21"/>
  <c r="BH150" i="21"/>
  <c r="BG150" i="21"/>
  <c r="BF150" i="21"/>
  <c r="T150" i="21"/>
  <c r="R150" i="21"/>
  <c r="P150" i="21"/>
  <c r="J150" i="21"/>
  <c r="BE150" i="21" s="1"/>
  <c r="BK149" i="21"/>
  <c r="BI149" i="21"/>
  <c r="BH149" i="21"/>
  <c r="BG149" i="21"/>
  <c r="BF149" i="21"/>
  <c r="T149" i="21"/>
  <c r="R149" i="21"/>
  <c r="P149" i="21"/>
  <c r="J149" i="21"/>
  <c r="BE149" i="21" s="1"/>
  <c r="BK148" i="21"/>
  <c r="BI148" i="21"/>
  <c r="BH148" i="21"/>
  <c r="BG148" i="21"/>
  <c r="BF148" i="21"/>
  <c r="T148" i="21"/>
  <c r="R148" i="21"/>
  <c r="P148" i="21"/>
  <c r="J148" i="21"/>
  <c r="BE148" i="21" s="1"/>
  <c r="BK146" i="21"/>
  <c r="BI146" i="21"/>
  <c r="BH146" i="21"/>
  <c r="BG146" i="21"/>
  <c r="BF146" i="21"/>
  <c r="T146" i="21"/>
  <c r="R146" i="21"/>
  <c r="P146" i="21"/>
  <c r="J146" i="21"/>
  <c r="BE146" i="21" s="1"/>
  <c r="BK145" i="21"/>
  <c r="BI145" i="21"/>
  <c r="BH145" i="21"/>
  <c r="BG145" i="21"/>
  <c r="BF145" i="21"/>
  <c r="BE145" i="21"/>
  <c r="T145" i="21"/>
  <c r="R145" i="21"/>
  <c r="P145" i="21"/>
  <c r="J145" i="21"/>
  <c r="BK144" i="21"/>
  <c r="BI144" i="21"/>
  <c r="BH144" i="21"/>
  <c r="BG144" i="21"/>
  <c r="BF144" i="21"/>
  <c r="T144" i="21"/>
  <c r="R144" i="21"/>
  <c r="P144" i="21"/>
  <c r="J144" i="21"/>
  <c r="BE144" i="21" s="1"/>
  <c r="BK143" i="21"/>
  <c r="BI143" i="21"/>
  <c r="BH143" i="21"/>
  <c r="BG143" i="21"/>
  <c r="BF143" i="21"/>
  <c r="T143" i="21"/>
  <c r="R143" i="21"/>
  <c r="P143" i="21"/>
  <c r="J143" i="21"/>
  <c r="BE143" i="21" s="1"/>
  <c r="BK142" i="21"/>
  <c r="BI142" i="21"/>
  <c r="BH142" i="21"/>
  <c r="BG142" i="21"/>
  <c r="BF142" i="21"/>
  <c r="T142" i="21"/>
  <c r="R142" i="21"/>
  <c r="P142" i="21"/>
  <c r="J142" i="21"/>
  <c r="BE142" i="21" s="1"/>
  <c r="BK141" i="21"/>
  <c r="BI141" i="21"/>
  <c r="BH141" i="21"/>
  <c r="BG141" i="21"/>
  <c r="BF141" i="21"/>
  <c r="T141" i="21"/>
  <c r="R141" i="21"/>
  <c r="P141" i="21"/>
  <c r="J141" i="21"/>
  <c r="BE141" i="21" s="1"/>
  <c r="J136" i="21"/>
  <c r="F136" i="21"/>
  <c r="J135" i="21"/>
  <c r="F135" i="21"/>
  <c r="J133" i="21"/>
  <c r="E131" i="21"/>
  <c r="E125" i="21"/>
  <c r="J96" i="21"/>
  <c r="F96" i="21"/>
  <c r="J95" i="21"/>
  <c r="F95" i="21"/>
  <c r="J93" i="21"/>
  <c r="F93" i="21"/>
  <c r="E91" i="21"/>
  <c r="E85" i="21"/>
  <c r="J41" i="21"/>
  <c r="J40" i="21"/>
  <c r="AY117" i="1" s="1"/>
  <c r="J39" i="21"/>
  <c r="AX117" i="1" s="1"/>
  <c r="BK150" i="20"/>
  <c r="BK149" i="20" s="1"/>
  <c r="J149" i="20" s="1"/>
  <c r="J104" i="20" s="1"/>
  <c r="BI150" i="20"/>
  <c r="BH150" i="20"/>
  <c r="BG150" i="20"/>
  <c r="BF150" i="20"/>
  <c r="T150" i="20"/>
  <c r="T149" i="20" s="1"/>
  <c r="R150" i="20"/>
  <c r="P150" i="20"/>
  <c r="P149" i="20" s="1"/>
  <c r="J150" i="20"/>
  <c r="BE150" i="20" s="1"/>
  <c r="R149" i="20"/>
  <c r="BK148" i="20"/>
  <c r="BI148" i="20"/>
  <c r="BH148" i="20"/>
  <c r="BG148" i="20"/>
  <c r="BF148" i="20"/>
  <c r="T148" i="20"/>
  <c r="R148" i="20"/>
  <c r="P148" i="20"/>
  <c r="J148" i="20"/>
  <c r="BE148" i="20" s="1"/>
  <c r="BK147" i="20"/>
  <c r="BK146" i="20" s="1"/>
  <c r="J146" i="20" s="1"/>
  <c r="J103" i="20" s="1"/>
  <c r="BI147" i="20"/>
  <c r="BH147" i="20"/>
  <c r="BG147" i="20"/>
  <c r="BF147" i="20"/>
  <c r="T147" i="20"/>
  <c r="R147" i="20"/>
  <c r="P147" i="20"/>
  <c r="P146" i="20" s="1"/>
  <c r="J147" i="20"/>
  <c r="BE147" i="20" s="1"/>
  <c r="BK145" i="20"/>
  <c r="BI145" i="20"/>
  <c r="BH145" i="20"/>
  <c r="BG145" i="20"/>
  <c r="BF145" i="20"/>
  <c r="T145" i="20"/>
  <c r="R145" i="20"/>
  <c r="P145" i="20"/>
  <c r="J145" i="20"/>
  <c r="BE145" i="20" s="1"/>
  <c r="BK144" i="20"/>
  <c r="BI144" i="20"/>
  <c r="BH144" i="20"/>
  <c r="BG144" i="20"/>
  <c r="BF144" i="20"/>
  <c r="T144" i="20"/>
  <c r="R144" i="20"/>
  <c r="P144" i="20"/>
  <c r="J144" i="20"/>
  <c r="BE144" i="20" s="1"/>
  <c r="BK143" i="20"/>
  <c r="BI143" i="20"/>
  <c r="BH143" i="20"/>
  <c r="BG143" i="20"/>
  <c r="BF143" i="20"/>
  <c r="T143" i="20"/>
  <c r="R143" i="20"/>
  <c r="P143" i="20"/>
  <c r="J143" i="20"/>
  <c r="BE143" i="20" s="1"/>
  <c r="BK141" i="20"/>
  <c r="BK140" i="20" s="1"/>
  <c r="BI141" i="20"/>
  <c r="BH141" i="20"/>
  <c r="BG141" i="20"/>
  <c r="BF141" i="20"/>
  <c r="BE141" i="20"/>
  <c r="T141" i="20"/>
  <c r="T140" i="20" s="1"/>
  <c r="R141" i="20"/>
  <c r="R140" i="20" s="1"/>
  <c r="P141" i="20"/>
  <c r="P140" i="20" s="1"/>
  <c r="J141" i="20"/>
  <c r="J140" i="20"/>
  <c r="J101" i="20" s="1"/>
  <c r="J136" i="20"/>
  <c r="F136" i="20"/>
  <c r="J135" i="20"/>
  <c r="F135" i="20"/>
  <c r="J133" i="20"/>
  <c r="E131" i="20"/>
  <c r="E125" i="20"/>
  <c r="J96" i="20"/>
  <c r="F96" i="20"/>
  <c r="J95" i="20"/>
  <c r="F95" i="20"/>
  <c r="J93" i="20"/>
  <c r="F93" i="20"/>
  <c r="E91" i="20"/>
  <c r="E85" i="20"/>
  <c r="J41" i="20"/>
  <c r="J40" i="20"/>
  <c r="AY116" i="1" s="1"/>
  <c r="J39" i="20"/>
  <c r="AX116" i="1" s="1"/>
  <c r="BK226" i="19"/>
  <c r="BK225" i="19" s="1"/>
  <c r="J225" i="19" s="1"/>
  <c r="J105" i="19" s="1"/>
  <c r="BI226" i="19"/>
  <c r="BH226" i="19"/>
  <c r="BG226" i="19"/>
  <c r="BF226" i="19"/>
  <c r="T226" i="19"/>
  <c r="T225" i="19" s="1"/>
  <c r="R226" i="19"/>
  <c r="R225" i="19" s="1"/>
  <c r="P226" i="19"/>
  <c r="P225" i="19" s="1"/>
  <c r="J226" i="19"/>
  <c r="BE226" i="19" s="1"/>
  <c r="BK224" i="19"/>
  <c r="BI224" i="19"/>
  <c r="BH224" i="19"/>
  <c r="BG224" i="19"/>
  <c r="BF224" i="19"/>
  <c r="T224" i="19"/>
  <c r="R224" i="19"/>
  <c r="P224" i="19"/>
  <c r="J224" i="19"/>
  <c r="BE224" i="19" s="1"/>
  <c r="BK223" i="19"/>
  <c r="BI223" i="19"/>
  <c r="BH223" i="19"/>
  <c r="BG223" i="19"/>
  <c r="BF223" i="19"/>
  <c r="T223" i="19"/>
  <c r="R223" i="19"/>
  <c r="P223" i="19"/>
  <c r="J223" i="19"/>
  <c r="BE223" i="19" s="1"/>
  <c r="BK222" i="19"/>
  <c r="BI222" i="19"/>
  <c r="BH222" i="19"/>
  <c r="BG222" i="19"/>
  <c r="BF222" i="19"/>
  <c r="T222" i="19"/>
  <c r="R222" i="19"/>
  <c r="P222" i="19"/>
  <c r="J222" i="19"/>
  <c r="BE222" i="19" s="1"/>
  <c r="BK221" i="19"/>
  <c r="BI221" i="19"/>
  <c r="BH221" i="19"/>
  <c r="BG221" i="19"/>
  <c r="BF221" i="19"/>
  <c r="T221" i="19"/>
  <c r="R221" i="19"/>
  <c r="P221" i="19"/>
  <c r="J221" i="19"/>
  <c r="BE221" i="19" s="1"/>
  <c r="BK220" i="19"/>
  <c r="BI220" i="19"/>
  <c r="BH220" i="19"/>
  <c r="BG220" i="19"/>
  <c r="BF220" i="19"/>
  <c r="T220" i="19"/>
  <c r="R220" i="19"/>
  <c r="P220" i="19"/>
  <c r="J220" i="19"/>
  <c r="BE220" i="19" s="1"/>
  <c r="BK219" i="19"/>
  <c r="BI219" i="19"/>
  <c r="BH219" i="19"/>
  <c r="BG219" i="19"/>
  <c r="BF219" i="19"/>
  <c r="T219" i="19"/>
  <c r="R219" i="19"/>
  <c r="P219" i="19"/>
  <c r="J219" i="19"/>
  <c r="BE219" i="19" s="1"/>
  <c r="BK218" i="19"/>
  <c r="BI218" i="19"/>
  <c r="BH218" i="19"/>
  <c r="BG218" i="19"/>
  <c r="BF218" i="19"/>
  <c r="T218" i="19"/>
  <c r="R218" i="19"/>
  <c r="P218" i="19"/>
  <c r="J218" i="19"/>
  <c r="BE218" i="19" s="1"/>
  <c r="BK217" i="19"/>
  <c r="BI217" i="19"/>
  <c r="BH217" i="19"/>
  <c r="BG217" i="19"/>
  <c r="BF217" i="19"/>
  <c r="T217" i="19"/>
  <c r="R217" i="19"/>
  <c r="P217" i="19"/>
  <c r="J217" i="19"/>
  <c r="BE217" i="19" s="1"/>
  <c r="BK216" i="19"/>
  <c r="BI216" i="19"/>
  <c r="BH216" i="19"/>
  <c r="BG216" i="19"/>
  <c r="BF216" i="19"/>
  <c r="T216" i="19"/>
  <c r="R216" i="19"/>
  <c r="P216" i="19"/>
  <c r="J216" i="19"/>
  <c r="BE216" i="19" s="1"/>
  <c r="BK215" i="19"/>
  <c r="BI215" i="19"/>
  <c r="BH215" i="19"/>
  <c r="BG215" i="19"/>
  <c r="BF215" i="19"/>
  <c r="T215" i="19"/>
  <c r="R215" i="19"/>
  <c r="P215" i="19"/>
  <c r="J215" i="19"/>
  <c r="BE215" i="19" s="1"/>
  <c r="BK214" i="19"/>
  <c r="BI214" i="19"/>
  <c r="BH214" i="19"/>
  <c r="BG214" i="19"/>
  <c r="BF214" i="19"/>
  <c r="T214" i="19"/>
  <c r="R214" i="19"/>
  <c r="P214" i="19"/>
  <c r="J214" i="19"/>
  <c r="BE214" i="19" s="1"/>
  <c r="BK213" i="19"/>
  <c r="BI213" i="19"/>
  <c r="BH213" i="19"/>
  <c r="BG213" i="19"/>
  <c r="BF213" i="19"/>
  <c r="T213" i="19"/>
  <c r="R213" i="19"/>
  <c r="P213" i="19"/>
  <c r="J213" i="19"/>
  <c r="BE213" i="19" s="1"/>
  <c r="BK212" i="19"/>
  <c r="BI212" i="19"/>
  <c r="BH212" i="19"/>
  <c r="BG212" i="19"/>
  <c r="BF212" i="19"/>
  <c r="T212" i="19"/>
  <c r="R212" i="19"/>
  <c r="P212" i="19"/>
  <c r="J212" i="19"/>
  <c r="BE212" i="19" s="1"/>
  <c r="BK211" i="19"/>
  <c r="BI211" i="19"/>
  <c r="BH211" i="19"/>
  <c r="BG211" i="19"/>
  <c r="BF211" i="19"/>
  <c r="T211" i="19"/>
  <c r="R211" i="19"/>
  <c r="P211" i="19"/>
  <c r="J211" i="19"/>
  <c r="BE211" i="19" s="1"/>
  <c r="BK210" i="19"/>
  <c r="BI210" i="19"/>
  <c r="BH210" i="19"/>
  <c r="BG210" i="19"/>
  <c r="BF210" i="19"/>
  <c r="T210" i="19"/>
  <c r="R210" i="19"/>
  <c r="P210" i="19"/>
  <c r="J210" i="19"/>
  <c r="BE210" i="19" s="1"/>
  <c r="BK209" i="19"/>
  <c r="BI209" i="19"/>
  <c r="BH209" i="19"/>
  <c r="BG209" i="19"/>
  <c r="BF209" i="19"/>
  <c r="T209" i="19"/>
  <c r="R209" i="19"/>
  <c r="P209" i="19"/>
  <c r="J209" i="19"/>
  <c r="BE209" i="19" s="1"/>
  <c r="BK208" i="19"/>
  <c r="BI208" i="19"/>
  <c r="BH208" i="19"/>
  <c r="BG208" i="19"/>
  <c r="BF208" i="19"/>
  <c r="T208" i="19"/>
  <c r="R208" i="19"/>
  <c r="P208" i="19"/>
  <c r="J208" i="19"/>
  <c r="BE208" i="19" s="1"/>
  <c r="BK207" i="19"/>
  <c r="BI207" i="19"/>
  <c r="BH207" i="19"/>
  <c r="BG207" i="19"/>
  <c r="BF207" i="19"/>
  <c r="T207" i="19"/>
  <c r="R207" i="19"/>
  <c r="P207" i="19"/>
  <c r="J207" i="19"/>
  <c r="BE207" i="19" s="1"/>
  <c r="BK206" i="19"/>
  <c r="BI206" i="19"/>
  <c r="BH206" i="19"/>
  <c r="BG206" i="19"/>
  <c r="BF206" i="19"/>
  <c r="T206" i="19"/>
  <c r="R206" i="19"/>
  <c r="P206" i="19"/>
  <c r="J206" i="19"/>
  <c r="BE206" i="19" s="1"/>
  <c r="BK205" i="19"/>
  <c r="BI205" i="19"/>
  <c r="BH205" i="19"/>
  <c r="BG205" i="19"/>
  <c r="BF205" i="19"/>
  <c r="T205" i="19"/>
  <c r="R205" i="19"/>
  <c r="P205" i="19"/>
  <c r="J205" i="19"/>
  <c r="BE205" i="19" s="1"/>
  <c r="BK204" i="19"/>
  <c r="BI204" i="19"/>
  <c r="BH204" i="19"/>
  <c r="BG204" i="19"/>
  <c r="BF204" i="19"/>
  <c r="T204" i="19"/>
  <c r="R204" i="19"/>
  <c r="P204" i="19"/>
  <c r="J204" i="19"/>
  <c r="BE204" i="19" s="1"/>
  <c r="BK203" i="19"/>
  <c r="BI203" i="19"/>
  <c r="BH203" i="19"/>
  <c r="BG203" i="19"/>
  <c r="BF203" i="19"/>
  <c r="T203" i="19"/>
  <c r="R203" i="19"/>
  <c r="P203" i="19"/>
  <c r="J203" i="19"/>
  <c r="BE203" i="19" s="1"/>
  <c r="BK201" i="19"/>
  <c r="BI201" i="19"/>
  <c r="BH201" i="19"/>
  <c r="BG201" i="19"/>
  <c r="BF201" i="19"/>
  <c r="T201" i="19"/>
  <c r="R201" i="19"/>
  <c r="P201" i="19"/>
  <c r="J201" i="19"/>
  <c r="BE201" i="19" s="1"/>
  <c r="BK199" i="19"/>
  <c r="BI199" i="19"/>
  <c r="BH199" i="19"/>
  <c r="BG199" i="19"/>
  <c r="BF199" i="19"/>
  <c r="T199" i="19"/>
  <c r="R199" i="19"/>
  <c r="P199" i="19"/>
  <c r="J199" i="19"/>
  <c r="BE199" i="19" s="1"/>
  <c r="BK197" i="19"/>
  <c r="BI197" i="19"/>
  <c r="BH197" i="19"/>
  <c r="BG197" i="19"/>
  <c r="BF197" i="19"/>
  <c r="T197" i="19"/>
  <c r="R197" i="19"/>
  <c r="P197" i="19"/>
  <c r="J197" i="19"/>
  <c r="BE197" i="19" s="1"/>
  <c r="BK196" i="19"/>
  <c r="BI196" i="19"/>
  <c r="BH196" i="19"/>
  <c r="BG196" i="19"/>
  <c r="BF196" i="19"/>
  <c r="T196" i="19"/>
  <c r="R196" i="19"/>
  <c r="P196" i="19"/>
  <c r="J196" i="19"/>
  <c r="BE196" i="19" s="1"/>
  <c r="BK195" i="19"/>
  <c r="BI195" i="19"/>
  <c r="BH195" i="19"/>
  <c r="BG195" i="19"/>
  <c r="BF195" i="19"/>
  <c r="T195" i="19"/>
  <c r="R195" i="19"/>
  <c r="P195" i="19"/>
  <c r="J195" i="19"/>
  <c r="BE195" i="19" s="1"/>
  <c r="BK194" i="19"/>
  <c r="BI194" i="19"/>
  <c r="BH194" i="19"/>
  <c r="BG194" i="19"/>
  <c r="BF194" i="19"/>
  <c r="T194" i="19"/>
  <c r="R194" i="19"/>
  <c r="P194" i="19"/>
  <c r="J194" i="19"/>
  <c r="BE194" i="19" s="1"/>
  <c r="BK193" i="19"/>
  <c r="BI193" i="19"/>
  <c r="BH193" i="19"/>
  <c r="BG193" i="19"/>
  <c r="BF193" i="19"/>
  <c r="T193" i="19"/>
  <c r="R193" i="19"/>
  <c r="P193" i="19"/>
  <c r="J193" i="19"/>
  <c r="BE193" i="19" s="1"/>
  <c r="BK192" i="19"/>
  <c r="BI192" i="19"/>
  <c r="BH192" i="19"/>
  <c r="BG192" i="19"/>
  <c r="BF192" i="19"/>
  <c r="T192" i="19"/>
  <c r="R192" i="19"/>
  <c r="P192" i="19"/>
  <c r="J192" i="19"/>
  <c r="BE192" i="19" s="1"/>
  <c r="BK191" i="19"/>
  <c r="BI191" i="19"/>
  <c r="BH191" i="19"/>
  <c r="BG191" i="19"/>
  <c r="BF191" i="19"/>
  <c r="T191" i="19"/>
  <c r="R191" i="19"/>
  <c r="P191" i="19"/>
  <c r="J191" i="19"/>
  <c r="BE191" i="19" s="1"/>
  <c r="BK190" i="19"/>
  <c r="BI190" i="19"/>
  <c r="BH190" i="19"/>
  <c r="BG190" i="19"/>
  <c r="BF190" i="19"/>
  <c r="T190" i="19"/>
  <c r="R190" i="19"/>
  <c r="P190" i="19"/>
  <c r="J190" i="19"/>
  <c r="BE190" i="19" s="1"/>
  <c r="BK189" i="19"/>
  <c r="BI189" i="19"/>
  <c r="BH189" i="19"/>
  <c r="BG189" i="19"/>
  <c r="BF189" i="19"/>
  <c r="T189" i="19"/>
  <c r="R189" i="19"/>
  <c r="P189" i="19"/>
  <c r="J189" i="19"/>
  <c r="BE189" i="19" s="1"/>
  <c r="BK188" i="19"/>
  <c r="BI188" i="19"/>
  <c r="BH188" i="19"/>
  <c r="BG188" i="19"/>
  <c r="BF188" i="19"/>
  <c r="T188" i="19"/>
  <c r="R188" i="19"/>
  <c r="P188" i="19"/>
  <c r="J188" i="19"/>
  <c r="BE188" i="19" s="1"/>
  <c r="BK187" i="19"/>
  <c r="BI187" i="19"/>
  <c r="BH187" i="19"/>
  <c r="BG187" i="19"/>
  <c r="BF187" i="19"/>
  <c r="T187" i="19"/>
  <c r="R187" i="19"/>
  <c r="P187" i="19"/>
  <c r="J187" i="19"/>
  <c r="BE187" i="19" s="1"/>
  <c r="BK186" i="19"/>
  <c r="BI186" i="19"/>
  <c r="BH186" i="19"/>
  <c r="BG186" i="19"/>
  <c r="BF186" i="19"/>
  <c r="T186" i="19"/>
  <c r="R186" i="19"/>
  <c r="P186" i="19"/>
  <c r="J186" i="19"/>
  <c r="BE186" i="19" s="1"/>
  <c r="BK185" i="19"/>
  <c r="BI185" i="19"/>
  <c r="BH185" i="19"/>
  <c r="BG185" i="19"/>
  <c r="BF185" i="19"/>
  <c r="T185" i="19"/>
  <c r="R185" i="19"/>
  <c r="P185" i="19"/>
  <c r="J185" i="19"/>
  <c r="BE185" i="19" s="1"/>
  <c r="BK183" i="19"/>
  <c r="BI183" i="19"/>
  <c r="BH183" i="19"/>
  <c r="BG183" i="19"/>
  <c r="BF183" i="19"/>
  <c r="T183" i="19"/>
  <c r="R183" i="19"/>
  <c r="P183" i="19"/>
  <c r="J183" i="19"/>
  <c r="BE183" i="19" s="1"/>
  <c r="BK182" i="19"/>
  <c r="BI182" i="19"/>
  <c r="BH182" i="19"/>
  <c r="BG182" i="19"/>
  <c r="BF182" i="19"/>
  <c r="T182" i="19"/>
  <c r="R182" i="19"/>
  <c r="P182" i="19"/>
  <c r="J182" i="19"/>
  <c r="BE182" i="19" s="1"/>
  <c r="BK181" i="19"/>
  <c r="BI181" i="19"/>
  <c r="BH181" i="19"/>
  <c r="BG181" i="19"/>
  <c r="BF181" i="19"/>
  <c r="T181" i="19"/>
  <c r="R181" i="19"/>
  <c r="P181" i="19"/>
  <c r="J181" i="19"/>
  <c r="BE181" i="19" s="1"/>
  <c r="BK180" i="19"/>
  <c r="BI180" i="19"/>
  <c r="BH180" i="19"/>
  <c r="BG180" i="19"/>
  <c r="BF180" i="19"/>
  <c r="T180" i="19"/>
  <c r="R180" i="19"/>
  <c r="P180" i="19"/>
  <c r="J180" i="19"/>
  <c r="BE180" i="19" s="1"/>
  <c r="BK179" i="19"/>
  <c r="BI179" i="19"/>
  <c r="BH179" i="19"/>
  <c r="BG179" i="19"/>
  <c r="BF179" i="19"/>
  <c r="T179" i="19"/>
  <c r="R179" i="19"/>
  <c r="P179" i="19"/>
  <c r="J179" i="19"/>
  <c r="BE179" i="19" s="1"/>
  <c r="BK178" i="19"/>
  <c r="BI178" i="19"/>
  <c r="BH178" i="19"/>
  <c r="BG178" i="19"/>
  <c r="BF178" i="19"/>
  <c r="T178" i="19"/>
  <c r="R178" i="19"/>
  <c r="P178" i="19"/>
  <c r="J178" i="19"/>
  <c r="BE178" i="19" s="1"/>
  <c r="BK177" i="19"/>
  <c r="BI177" i="19"/>
  <c r="BH177" i="19"/>
  <c r="BG177" i="19"/>
  <c r="BF177" i="19"/>
  <c r="T177" i="19"/>
  <c r="R177" i="19"/>
  <c r="P177" i="19"/>
  <c r="J177" i="19"/>
  <c r="BE177" i="19" s="1"/>
  <c r="BK176" i="19"/>
  <c r="BI176" i="19"/>
  <c r="BH176" i="19"/>
  <c r="BG176" i="19"/>
  <c r="BF176" i="19"/>
  <c r="T176" i="19"/>
  <c r="R176" i="19"/>
  <c r="P176" i="19"/>
  <c r="J176" i="19"/>
  <c r="BE176" i="19" s="1"/>
  <c r="BK175" i="19"/>
  <c r="BI175" i="19"/>
  <c r="BH175" i="19"/>
  <c r="BG175" i="19"/>
  <c r="BF175" i="19"/>
  <c r="T175" i="19"/>
  <c r="R175" i="19"/>
  <c r="P175" i="19"/>
  <c r="J175" i="19"/>
  <c r="BE175" i="19" s="1"/>
  <c r="BK174" i="19"/>
  <c r="BI174" i="19"/>
  <c r="BH174" i="19"/>
  <c r="BG174" i="19"/>
  <c r="BF174" i="19"/>
  <c r="T174" i="19"/>
  <c r="R174" i="19"/>
  <c r="P174" i="19"/>
  <c r="J174" i="19"/>
  <c r="BE174" i="19" s="1"/>
  <c r="BK173" i="19"/>
  <c r="BI173" i="19"/>
  <c r="BH173" i="19"/>
  <c r="BG173" i="19"/>
  <c r="BF173" i="19"/>
  <c r="T173" i="19"/>
  <c r="R173" i="19"/>
  <c r="P173" i="19"/>
  <c r="J173" i="19"/>
  <c r="BE173" i="19" s="1"/>
  <c r="BK172" i="19"/>
  <c r="BI172" i="19"/>
  <c r="BH172" i="19"/>
  <c r="BG172" i="19"/>
  <c r="BF172" i="19"/>
  <c r="T172" i="19"/>
  <c r="R172" i="19"/>
  <c r="P172" i="19"/>
  <c r="J172" i="19"/>
  <c r="BE172" i="19" s="1"/>
  <c r="BK171" i="19"/>
  <c r="BI171" i="19"/>
  <c r="BH171" i="19"/>
  <c r="BG171" i="19"/>
  <c r="BF171" i="19"/>
  <c r="T171" i="19"/>
  <c r="R171" i="19"/>
  <c r="P171" i="19"/>
  <c r="J171" i="19"/>
  <c r="BE171" i="19" s="1"/>
  <c r="BK169" i="19"/>
  <c r="BI169" i="19"/>
  <c r="BH169" i="19"/>
  <c r="BG169" i="19"/>
  <c r="BF169" i="19"/>
  <c r="T169" i="19"/>
  <c r="R169" i="19"/>
  <c r="P169" i="19"/>
  <c r="J169" i="19"/>
  <c r="BE169" i="19" s="1"/>
  <c r="BK167" i="19"/>
  <c r="BI167" i="19"/>
  <c r="BH167" i="19"/>
  <c r="BG167" i="19"/>
  <c r="BF167" i="19"/>
  <c r="T167" i="19"/>
  <c r="R167" i="19"/>
  <c r="P167" i="19"/>
  <c r="J167" i="19"/>
  <c r="BE167" i="19" s="1"/>
  <c r="BK166" i="19"/>
  <c r="BI166" i="19"/>
  <c r="BH166" i="19"/>
  <c r="BG166" i="19"/>
  <c r="BF166" i="19"/>
  <c r="BE166" i="19"/>
  <c r="T166" i="19"/>
  <c r="R166" i="19"/>
  <c r="P166" i="19"/>
  <c r="J166" i="19"/>
  <c r="BK165" i="19"/>
  <c r="BI165" i="19"/>
  <c r="BH165" i="19"/>
  <c r="BG165" i="19"/>
  <c r="BF165" i="19"/>
  <c r="T165" i="19"/>
  <c r="R165" i="19"/>
  <c r="P165" i="19"/>
  <c r="J165" i="19"/>
  <c r="BE165" i="19" s="1"/>
  <c r="BK164" i="19"/>
  <c r="BI164" i="19"/>
  <c r="BH164" i="19"/>
  <c r="BG164" i="19"/>
  <c r="BF164" i="19"/>
  <c r="T164" i="19"/>
  <c r="R164" i="19"/>
  <c r="P164" i="19"/>
  <c r="J164" i="19"/>
  <c r="BE164" i="19" s="1"/>
  <c r="BK163" i="19"/>
  <c r="BI163" i="19"/>
  <c r="BH163" i="19"/>
  <c r="BG163" i="19"/>
  <c r="BF163" i="19"/>
  <c r="T163" i="19"/>
  <c r="R163" i="19"/>
  <c r="P163" i="19"/>
  <c r="J163" i="19"/>
  <c r="BE163" i="19" s="1"/>
  <c r="BK162" i="19"/>
  <c r="BI162" i="19"/>
  <c r="BH162" i="19"/>
  <c r="BG162" i="19"/>
  <c r="BF162" i="19"/>
  <c r="T162" i="19"/>
  <c r="R162" i="19"/>
  <c r="P162" i="19"/>
  <c r="J162" i="19"/>
  <c r="BE162" i="19" s="1"/>
  <c r="BK161" i="19"/>
  <c r="BI161" i="19"/>
  <c r="BH161" i="19"/>
  <c r="BG161" i="19"/>
  <c r="BF161" i="19"/>
  <c r="T161" i="19"/>
  <c r="R161" i="19"/>
  <c r="P161" i="19"/>
  <c r="J161" i="19"/>
  <c r="BE161" i="19" s="1"/>
  <c r="BK160" i="19"/>
  <c r="BI160" i="19"/>
  <c r="BH160" i="19"/>
  <c r="BG160" i="19"/>
  <c r="BF160" i="19"/>
  <c r="T160" i="19"/>
  <c r="R160" i="19"/>
  <c r="P160" i="19"/>
  <c r="J160" i="19"/>
  <c r="BE160" i="19" s="1"/>
  <c r="BK159" i="19"/>
  <c r="BI159" i="19"/>
  <c r="BH159" i="19"/>
  <c r="BG159" i="19"/>
  <c r="BF159" i="19"/>
  <c r="BE159" i="19"/>
  <c r="T159" i="19"/>
  <c r="R159" i="19"/>
  <c r="P159" i="19"/>
  <c r="J159" i="19"/>
  <c r="BK158" i="19"/>
  <c r="BI158" i="19"/>
  <c r="BH158" i="19"/>
  <c r="BG158" i="19"/>
  <c r="BF158" i="19"/>
  <c r="T158" i="19"/>
  <c r="R158" i="19"/>
  <c r="P158" i="19"/>
  <c r="J158" i="19"/>
  <c r="BE158" i="19" s="1"/>
  <c r="BK157" i="19"/>
  <c r="BI157" i="19"/>
  <c r="BH157" i="19"/>
  <c r="BG157" i="19"/>
  <c r="BF157" i="19"/>
  <c r="T157" i="19"/>
  <c r="R157" i="19"/>
  <c r="P157" i="19"/>
  <c r="J157" i="19"/>
  <c r="BE157" i="19" s="1"/>
  <c r="BK156" i="19"/>
  <c r="BI156" i="19"/>
  <c r="BH156" i="19"/>
  <c r="BG156" i="19"/>
  <c r="BF156" i="19"/>
  <c r="T156" i="19"/>
  <c r="R156" i="19"/>
  <c r="P156" i="19"/>
  <c r="J156" i="19"/>
  <c r="BE156" i="19" s="1"/>
  <c r="BK155" i="19"/>
  <c r="BI155" i="19"/>
  <c r="BH155" i="19"/>
  <c r="BG155" i="19"/>
  <c r="BF155" i="19"/>
  <c r="T155" i="19"/>
  <c r="R155" i="19"/>
  <c r="P155" i="19"/>
  <c r="J155" i="19"/>
  <c r="BE155" i="19" s="1"/>
  <c r="BK154" i="19"/>
  <c r="BI154" i="19"/>
  <c r="BH154" i="19"/>
  <c r="BG154" i="19"/>
  <c r="BF154" i="19"/>
  <c r="T154" i="19"/>
  <c r="R154" i="19"/>
  <c r="P154" i="19"/>
  <c r="J154" i="19"/>
  <c r="BE154" i="19" s="1"/>
  <c r="BK153" i="19"/>
  <c r="BI153" i="19"/>
  <c r="BH153" i="19"/>
  <c r="BG153" i="19"/>
  <c r="BF153" i="19"/>
  <c r="T153" i="19"/>
  <c r="R153" i="19"/>
  <c r="P153" i="19"/>
  <c r="J153" i="19"/>
  <c r="BE153" i="19" s="1"/>
  <c r="BK152" i="19"/>
  <c r="BI152" i="19"/>
  <c r="BH152" i="19"/>
  <c r="BG152" i="19"/>
  <c r="BF152" i="19"/>
  <c r="T152" i="19"/>
  <c r="R152" i="19"/>
  <c r="P152" i="19"/>
  <c r="J152" i="19"/>
  <c r="BE152" i="19" s="1"/>
  <c r="BK151" i="19"/>
  <c r="BI151" i="19"/>
  <c r="BH151" i="19"/>
  <c r="BG151" i="19"/>
  <c r="BF151" i="19"/>
  <c r="T151" i="19"/>
  <c r="R151" i="19"/>
  <c r="P151" i="19"/>
  <c r="J151" i="19"/>
  <c r="BE151" i="19" s="1"/>
  <c r="BK150" i="19"/>
  <c r="BI150" i="19"/>
  <c r="BH150" i="19"/>
  <c r="BG150" i="19"/>
  <c r="BF150" i="19"/>
  <c r="T150" i="19"/>
  <c r="R150" i="19"/>
  <c r="P150" i="19"/>
  <c r="J150" i="19"/>
  <c r="BE150" i="19" s="1"/>
  <c r="BK149" i="19"/>
  <c r="BI149" i="19"/>
  <c r="BH149" i="19"/>
  <c r="BG149" i="19"/>
  <c r="BF149" i="19"/>
  <c r="T149" i="19"/>
  <c r="R149" i="19"/>
  <c r="P149" i="19"/>
  <c r="J149" i="19"/>
  <c r="BE149" i="19" s="1"/>
  <c r="BK148" i="19"/>
  <c r="BI148" i="19"/>
  <c r="BH148" i="19"/>
  <c r="BG148" i="19"/>
  <c r="BF148" i="19"/>
  <c r="T148" i="19"/>
  <c r="R148" i="19"/>
  <c r="P148" i="19"/>
  <c r="J148" i="19"/>
  <c r="BE148" i="19" s="1"/>
  <c r="BK146" i="19"/>
  <c r="BI146" i="19"/>
  <c r="BH146" i="19"/>
  <c r="BG146" i="19"/>
  <c r="BF146" i="19"/>
  <c r="T146" i="19"/>
  <c r="R146" i="19"/>
  <c r="P146" i="19"/>
  <c r="J146" i="19"/>
  <c r="BE146" i="19" s="1"/>
  <c r="BK145" i="19"/>
  <c r="BI145" i="19"/>
  <c r="BH145" i="19"/>
  <c r="BG145" i="19"/>
  <c r="BF145" i="19"/>
  <c r="T145" i="19"/>
  <c r="R145" i="19"/>
  <c r="P145" i="19"/>
  <c r="J145" i="19"/>
  <c r="BE145" i="19" s="1"/>
  <c r="BK144" i="19"/>
  <c r="BI144" i="19"/>
  <c r="BH144" i="19"/>
  <c r="BG144" i="19"/>
  <c r="BF144" i="19"/>
  <c r="T144" i="19"/>
  <c r="R144" i="19"/>
  <c r="P144" i="19"/>
  <c r="J144" i="19"/>
  <c r="BE144" i="19" s="1"/>
  <c r="BK143" i="19"/>
  <c r="BI143" i="19"/>
  <c r="BH143" i="19"/>
  <c r="BG143" i="19"/>
  <c r="BF143" i="19"/>
  <c r="T143" i="19"/>
  <c r="R143" i="19"/>
  <c r="P143" i="19"/>
  <c r="J143" i="19"/>
  <c r="BE143" i="19" s="1"/>
  <c r="BK142" i="19"/>
  <c r="BI142" i="19"/>
  <c r="BH142" i="19"/>
  <c r="BG142" i="19"/>
  <c r="BF142" i="19"/>
  <c r="T142" i="19"/>
  <c r="R142" i="19"/>
  <c r="P142" i="19"/>
  <c r="J142" i="19"/>
  <c r="BE142" i="19" s="1"/>
  <c r="BK141" i="19"/>
  <c r="BI141" i="19"/>
  <c r="BH141" i="19"/>
  <c r="BG141" i="19"/>
  <c r="BF141" i="19"/>
  <c r="T141" i="19"/>
  <c r="R141" i="19"/>
  <c r="P141" i="19"/>
  <c r="J141" i="19"/>
  <c r="BE141" i="19" s="1"/>
  <c r="J136" i="19"/>
  <c r="F136" i="19"/>
  <c r="J135" i="19"/>
  <c r="F135" i="19"/>
  <c r="J133" i="19"/>
  <c r="E131" i="19"/>
  <c r="J96" i="19"/>
  <c r="F96" i="19"/>
  <c r="J95" i="19"/>
  <c r="J93" i="19"/>
  <c r="F93" i="19"/>
  <c r="E91" i="19"/>
  <c r="J41" i="19"/>
  <c r="J40" i="19"/>
  <c r="AY115" i="1" s="1"/>
  <c r="J39" i="19"/>
  <c r="AX115" i="1" s="1"/>
  <c r="BK375" i="18"/>
  <c r="BK374" i="18" s="1"/>
  <c r="J374" i="18" s="1"/>
  <c r="J106" i="18" s="1"/>
  <c r="BI375" i="18"/>
  <c r="BH375" i="18"/>
  <c r="BG375" i="18"/>
  <c r="BF375" i="18"/>
  <c r="T375" i="18"/>
  <c r="T374" i="18" s="1"/>
  <c r="R375" i="18"/>
  <c r="R374" i="18" s="1"/>
  <c r="P375" i="18"/>
  <c r="P374" i="18" s="1"/>
  <c r="J375" i="18"/>
  <c r="BE375" i="18" s="1"/>
  <c r="BK373" i="18"/>
  <c r="BI373" i="18"/>
  <c r="BH373" i="18"/>
  <c r="BG373" i="18"/>
  <c r="BF373" i="18"/>
  <c r="T373" i="18"/>
  <c r="R373" i="18"/>
  <c r="P373" i="18"/>
  <c r="BE373" i="18"/>
  <c r="BK371" i="18"/>
  <c r="BI371" i="18"/>
  <c r="BH371" i="18"/>
  <c r="BG371" i="18"/>
  <c r="BF371" i="18"/>
  <c r="T371" i="18"/>
  <c r="R371" i="18"/>
  <c r="P371" i="18"/>
  <c r="J371" i="18"/>
  <c r="BE371" i="18" s="1"/>
  <c r="BK370" i="18"/>
  <c r="BI370" i="18"/>
  <c r="BH370" i="18"/>
  <c r="BG370" i="18"/>
  <c r="BF370" i="18"/>
  <c r="T370" i="18"/>
  <c r="R370" i="18"/>
  <c r="P370" i="18"/>
  <c r="J370" i="18"/>
  <c r="BE370" i="18" s="1"/>
  <c r="BK369" i="18"/>
  <c r="BI369" i="18"/>
  <c r="BH369" i="18"/>
  <c r="BG369" i="18"/>
  <c r="BF369" i="18"/>
  <c r="T369" i="18"/>
  <c r="R369" i="18"/>
  <c r="P369" i="18"/>
  <c r="J369" i="18"/>
  <c r="BE369" i="18" s="1"/>
  <c r="BK368" i="18"/>
  <c r="BI368" i="18"/>
  <c r="BH368" i="18"/>
  <c r="BG368" i="18"/>
  <c r="BF368" i="18"/>
  <c r="T368" i="18"/>
  <c r="R368" i="18"/>
  <c r="P368" i="18"/>
  <c r="J368" i="18"/>
  <c r="BE368" i="18" s="1"/>
  <c r="BK367" i="18"/>
  <c r="BI367" i="18"/>
  <c r="BH367" i="18"/>
  <c r="BG367" i="18"/>
  <c r="BF367" i="18"/>
  <c r="T367" i="18"/>
  <c r="R367" i="18"/>
  <c r="P367" i="18"/>
  <c r="J367" i="18"/>
  <c r="BE367" i="18" s="1"/>
  <c r="BK366" i="18"/>
  <c r="BI366" i="18"/>
  <c r="BH366" i="18"/>
  <c r="BG366" i="18"/>
  <c r="BF366" i="18"/>
  <c r="T366" i="18"/>
  <c r="R366" i="18"/>
  <c r="P366" i="18"/>
  <c r="J366" i="18"/>
  <c r="BE366" i="18" s="1"/>
  <c r="BK365" i="18"/>
  <c r="BI365" i="18"/>
  <c r="BH365" i="18"/>
  <c r="BG365" i="18"/>
  <c r="BF365" i="18"/>
  <c r="T365" i="18"/>
  <c r="R365" i="18"/>
  <c r="P365" i="18"/>
  <c r="J365" i="18"/>
  <c r="BE365" i="18" s="1"/>
  <c r="BK364" i="18"/>
  <c r="BI364" i="18"/>
  <c r="BH364" i="18"/>
  <c r="BG364" i="18"/>
  <c r="BF364" i="18"/>
  <c r="T364" i="18"/>
  <c r="R364" i="18"/>
  <c r="P364" i="18"/>
  <c r="J364" i="18"/>
  <c r="BE364" i="18" s="1"/>
  <c r="BK363" i="18"/>
  <c r="BI363" i="18"/>
  <c r="BH363" i="18"/>
  <c r="BG363" i="18"/>
  <c r="BF363" i="18"/>
  <c r="T363" i="18"/>
  <c r="R363" i="18"/>
  <c r="P363" i="18"/>
  <c r="J363" i="18"/>
  <c r="BE363" i="18" s="1"/>
  <c r="BK362" i="18"/>
  <c r="BI362" i="18"/>
  <c r="BH362" i="18"/>
  <c r="BG362" i="18"/>
  <c r="BF362" i="18"/>
  <c r="T362" i="18"/>
  <c r="R362" i="18"/>
  <c r="P362" i="18"/>
  <c r="J362" i="18"/>
  <c r="BE362" i="18" s="1"/>
  <c r="BK361" i="18"/>
  <c r="BI361" i="18"/>
  <c r="BH361" i="18"/>
  <c r="BG361" i="18"/>
  <c r="BF361" i="18"/>
  <c r="T361" i="18"/>
  <c r="R361" i="18"/>
  <c r="P361" i="18"/>
  <c r="J361" i="18"/>
  <c r="BE361" i="18" s="1"/>
  <c r="BK360" i="18"/>
  <c r="BI360" i="18"/>
  <c r="BH360" i="18"/>
  <c r="BG360" i="18"/>
  <c r="BF360" i="18"/>
  <c r="T360" i="18"/>
  <c r="R360" i="18"/>
  <c r="P360" i="18"/>
  <c r="J360" i="18"/>
  <c r="BE360" i="18" s="1"/>
  <c r="BK359" i="18"/>
  <c r="BI359" i="18"/>
  <c r="BH359" i="18"/>
  <c r="BG359" i="18"/>
  <c r="BF359" i="18"/>
  <c r="T359" i="18"/>
  <c r="R359" i="18"/>
  <c r="P359" i="18"/>
  <c r="J359" i="18"/>
  <c r="BE359" i="18" s="1"/>
  <c r="BK358" i="18"/>
  <c r="BI358" i="18"/>
  <c r="BH358" i="18"/>
  <c r="BG358" i="18"/>
  <c r="BF358" i="18"/>
  <c r="T358" i="18"/>
  <c r="R358" i="18"/>
  <c r="P358" i="18"/>
  <c r="J358" i="18"/>
  <c r="BE358" i="18" s="1"/>
  <c r="BK357" i="18"/>
  <c r="BI357" i="18"/>
  <c r="BH357" i="18"/>
  <c r="BG357" i="18"/>
  <c r="BF357" i="18"/>
  <c r="T357" i="18"/>
  <c r="R357" i="18"/>
  <c r="P357" i="18"/>
  <c r="J357" i="18"/>
  <c r="BE357" i="18" s="1"/>
  <c r="BK356" i="18"/>
  <c r="BI356" i="18"/>
  <c r="BH356" i="18"/>
  <c r="BG356" i="18"/>
  <c r="BF356" i="18"/>
  <c r="T356" i="18"/>
  <c r="R356" i="18"/>
  <c r="P356" i="18"/>
  <c r="J356" i="18"/>
  <c r="BE356" i="18" s="1"/>
  <c r="BK355" i="18"/>
  <c r="BI355" i="18"/>
  <c r="BH355" i="18"/>
  <c r="BG355" i="18"/>
  <c r="BF355" i="18"/>
  <c r="T355" i="18"/>
  <c r="R355" i="18"/>
  <c r="P355" i="18"/>
  <c r="J355" i="18"/>
  <c r="BE355" i="18" s="1"/>
  <c r="BK354" i="18"/>
  <c r="BI354" i="18"/>
  <c r="BH354" i="18"/>
  <c r="BG354" i="18"/>
  <c r="BF354" i="18"/>
  <c r="T354" i="18"/>
  <c r="R354" i="18"/>
  <c r="P354" i="18"/>
  <c r="J354" i="18"/>
  <c r="BE354" i="18" s="1"/>
  <c r="BK353" i="18"/>
  <c r="BI353" i="18"/>
  <c r="BH353" i="18"/>
  <c r="BG353" i="18"/>
  <c r="BF353" i="18"/>
  <c r="T353" i="18"/>
  <c r="R353" i="18"/>
  <c r="P353" i="18"/>
  <c r="J353" i="18"/>
  <c r="BE353" i="18" s="1"/>
  <c r="BK352" i="18"/>
  <c r="BI352" i="18"/>
  <c r="BH352" i="18"/>
  <c r="BG352" i="18"/>
  <c r="BF352" i="18"/>
  <c r="T352" i="18"/>
  <c r="R352" i="18"/>
  <c r="P352" i="18"/>
  <c r="J352" i="18"/>
  <c r="BE352" i="18" s="1"/>
  <c r="BK351" i="18"/>
  <c r="BI351" i="18"/>
  <c r="BH351" i="18"/>
  <c r="BG351" i="18"/>
  <c r="BF351" i="18"/>
  <c r="T351" i="18"/>
  <c r="R351" i="18"/>
  <c r="P351" i="18"/>
  <c r="J351" i="18"/>
  <c r="BE351" i="18" s="1"/>
  <c r="BK350" i="18"/>
  <c r="BI350" i="18"/>
  <c r="BH350" i="18"/>
  <c r="BG350" i="18"/>
  <c r="BF350" i="18"/>
  <c r="T350" i="18"/>
  <c r="R350" i="18"/>
  <c r="P350" i="18"/>
  <c r="J350" i="18"/>
  <c r="BE350" i="18" s="1"/>
  <c r="BK349" i="18"/>
  <c r="BI349" i="18"/>
  <c r="BH349" i="18"/>
  <c r="BG349" i="18"/>
  <c r="BF349" i="18"/>
  <c r="T349" i="18"/>
  <c r="R349" i="18"/>
  <c r="P349" i="18"/>
  <c r="J349" i="18"/>
  <c r="BE349" i="18" s="1"/>
  <c r="BK348" i="18"/>
  <c r="BI348" i="18"/>
  <c r="BH348" i="18"/>
  <c r="BG348" i="18"/>
  <c r="BF348" i="18"/>
  <c r="T348" i="18"/>
  <c r="R348" i="18"/>
  <c r="P348" i="18"/>
  <c r="J348" i="18"/>
  <c r="BE348" i="18" s="1"/>
  <c r="BK347" i="18"/>
  <c r="BI347" i="18"/>
  <c r="BH347" i="18"/>
  <c r="BG347" i="18"/>
  <c r="BF347" i="18"/>
  <c r="T347" i="18"/>
  <c r="R347" i="18"/>
  <c r="P347" i="18"/>
  <c r="J347" i="18"/>
  <c r="BE347" i="18" s="1"/>
  <c r="BK346" i="18"/>
  <c r="BI346" i="18"/>
  <c r="BH346" i="18"/>
  <c r="BG346" i="18"/>
  <c r="BF346" i="18"/>
  <c r="T346" i="18"/>
  <c r="R346" i="18"/>
  <c r="P346" i="18"/>
  <c r="J346" i="18"/>
  <c r="BE346" i="18" s="1"/>
  <c r="BK345" i="18"/>
  <c r="BI345" i="18"/>
  <c r="BH345" i="18"/>
  <c r="BG345" i="18"/>
  <c r="BF345" i="18"/>
  <c r="T345" i="18"/>
  <c r="R345" i="18"/>
  <c r="P345" i="18"/>
  <c r="J345" i="18"/>
  <c r="BE345" i="18" s="1"/>
  <c r="BK344" i="18"/>
  <c r="BI344" i="18"/>
  <c r="BH344" i="18"/>
  <c r="BG344" i="18"/>
  <c r="BF344" i="18"/>
  <c r="T344" i="18"/>
  <c r="R344" i="18"/>
  <c r="P344" i="18"/>
  <c r="J344" i="18"/>
  <c r="BE344" i="18" s="1"/>
  <c r="BK343" i="18"/>
  <c r="BI343" i="18"/>
  <c r="BH343" i="18"/>
  <c r="BG343" i="18"/>
  <c r="BF343" i="18"/>
  <c r="T343" i="18"/>
  <c r="R343" i="18"/>
  <c r="P343" i="18"/>
  <c r="J343" i="18"/>
  <c r="BE343" i="18" s="1"/>
  <c r="BK342" i="18"/>
  <c r="BI342" i="18"/>
  <c r="BH342" i="18"/>
  <c r="BG342" i="18"/>
  <c r="BF342" i="18"/>
  <c r="T342" i="18"/>
  <c r="R342" i="18"/>
  <c r="P342" i="18"/>
  <c r="J342" i="18"/>
  <c r="BE342" i="18" s="1"/>
  <c r="BK341" i="18"/>
  <c r="BI341" i="18"/>
  <c r="BH341" i="18"/>
  <c r="BG341" i="18"/>
  <c r="BF341" i="18"/>
  <c r="T341" i="18"/>
  <c r="R341" i="18"/>
  <c r="P341" i="18"/>
  <c r="J341" i="18"/>
  <c r="BE341" i="18" s="1"/>
  <c r="BK340" i="18"/>
  <c r="BI340" i="18"/>
  <c r="BH340" i="18"/>
  <c r="BG340" i="18"/>
  <c r="BF340" i="18"/>
  <c r="T340" i="18"/>
  <c r="R340" i="18"/>
  <c r="P340" i="18"/>
  <c r="J340" i="18"/>
  <c r="BE340" i="18" s="1"/>
  <c r="BK339" i="18"/>
  <c r="BI339" i="18"/>
  <c r="BH339" i="18"/>
  <c r="BG339" i="18"/>
  <c r="BF339" i="18"/>
  <c r="T339" i="18"/>
  <c r="R339" i="18"/>
  <c r="P339" i="18"/>
  <c r="J339" i="18"/>
  <c r="BE339" i="18" s="1"/>
  <c r="BK338" i="18"/>
  <c r="BI338" i="18"/>
  <c r="BH338" i="18"/>
  <c r="BG338" i="18"/>
  <c r="BF338" i="18"/>
  <c r="T338" i="18"/>
  <c r="R338" i="18"/>
  <c r="P338" i="18"/>
  <c r="J338" i="18"/>
  <c r="BE338" i="18" s="1"/>
  <c r="BK337" i="18"/>
  <c r="BI337" i="18"/>
  <c r="BH337" i="18"/>
  <c r="BG337" i="18"/>
  <c r="BF337" i="18"/>
  <c r="T337" i="18"/>
  <c r="R337" i="18"/>
  <c r="P337" i="18"/>
  <c r="J337" i="18"/>
  <c r="BE337" i="18" s="1"/>
  <c r="BK336" i="18"/>
  <c r="BI336" i="18"/>
  <c r="BH336" i="18"/>
  <c r="BG336" i="18"/>
  <c r="BF336" i="18"/>
  <c r="T336" i="18"/>
  <c r="R336" i="18"/>
  <c r="P336" i="18"/>
  <c r="J336" i="18"/>
  <c r="BE336" i="18" s="1"/>
  <c r="BK335" i="18"/>
  <c r="BI335" i="18"/>
  <c r="BH335" i="18"/>
  <c r="BG335" i="18"/>
  <c r="BF335" i="18"/>
  <c r="T335" i="18"/>
  <c r="R335" i="18"/>
  <c r="P335" i="18"/>
  <c r="J335" i="18"/>
  <c r="BE335" i="18" s="1"/>
  <c r="BK334" i="18"/>
  <c r="BI334" i="18"/>
  <c r="BH334" i="18"/>
  <c r="BG334" i="18"/>
  <c r="BF334" i="18"/>
  <c r="T334" i="18"/>
  <c r="R334" i="18"/>
  <c r="P334" i="18"/>
  <c r="J334" i="18"/>
  <c r="BE334" i="18" s="1"/>
  <c r="BK333" i="18"/>
  <c r="BI333" i="18"/>
  <c r="BH333" i="18"/>
  <c r="BG333" i="18"/>
  <c r="BF333" i="18"/>
  <c r="T333" i="18"/>
  <c r="R333" i="18"/>
  <c r="P333" i="18"/>
  <c r="J333" i="18"/>
  <c r="BE333" i="18" s="1"/>
  <c r="BK332" i="18"/>
  <c r="BI332" i="18"/>
  <c r="BH332" i="18"/>
  <c r="BG332" i="18"/>
  <c r="BF332" i="18"/>
  <c r="T332" i="18"/>
  <c r="R332" i="18"/>
  <c r="P332" i="18"/>
  <c r="J332" i="18"/>
  <c r="BE332" i="18" s="1"/>
  <c r="BK331" i="18"/>
  <c r="BI331" i="18"/>
  <c r="BH331" i="18"/>
  <c r="BG331" i="18"/>
  <c r="BF331" i="18"/>
  <c r="T331" i="18"/>
  <c r="R331" i="18"/>
  <c r="P331" i="18"/>
  <c r="J331" i="18"/>
  <c r="BE331" i="18" s="1"/>
  <c r="BK330" i="18"/>
  <c r="BI330" i="18"/>
  <c r="BH330" i="18"/>
  <c r="BG330" i="18"/>
  <c r="BF330" i="18"/>
  <c r="T330" i="18"/>
  <c r="R330" i="18"/>
  <c r="P330" i="18"/>
  <c r="J330" i="18"/>
  <c r="BE330" i="18" s="1"/>
  <c r="BK329" i="18"/>
  <c r="BI329" i="18"/>
  <c r="BH329" i="18"/>
  <c r="BG329" i="18"/>
  <c r="BF329" i="18"/>
  <c r="T329" i="18"/>
  <c r="R329" i="18"/>
  <c r="P329" i="18"/>
  <c r="J329" i="18"/>
  <c r="BE329" i="18" s="1"/>
  <c r="BK328" i="18"/>
  <c r="BI328" i="18"/>
  <c r="BH328" i="18"/>
  <c r="BG328" i="18"/>
  <c r="BF328" i="18"/>
  <c r="T328" i="18"/>
  <c r="R328" i="18"/>
  <c r="P328" i="18"/>
  <c r="J328" i="18"/>
  <c r="BE328" i="18" s="1"/>
  <c r="BK327" i="18"/>
  <c r="BI327" i="18"/>
  <c r="BH327" i="18"/>
  <c r="BG327" i="18"/>
  <c r="BF327" i="18"/>
  <c r="T327" i="18"/>
  <c r="R327" i="18"/>
  <c r="P327" i="18"/>
  <c r="J327" i="18"/>
  <c r="BE327" i="18" s="1"/>
  <c r="BK326" i="18"/>
  <c r="BI326" i="18"/>
  <c r="BH326" i="18"/>
  <c r="BG326" i="18"/>
  <c r="BF326" i="18"/>
  <c r="T326" i="18"/>
  <c r="R326" i="18"/>
  <c r="P326" i="18"/>
  <c r="J326" i="18"/>
  <c r="BE326" i="18" s="1"/>
  <c r="BK325" i="18"/>
  <c r="BI325" i="18"/>
  <c r="BH325" i="18"/>
  <c r="BG325" i="18"/>
  <c r="BF325" i="18"/>
  <c r="T325" i="18"/>
  <c r="R325" i="18"/>
  <c r="P325" i="18"/>
  <c r="J325" i="18"/>
  <c r="BE325" i="18" s="1"/>
  <c r="BK324" i="18"/>
  <c r="BI324" i="18"/>
  <c r="BH324" i="18"/>
  <c r="BG324" i="18"/>
  <c r="BF324" i="18"/>
  <c r="T324" i="18"/>
  <c r="R324" i="18"/>
  <c r="P324" i="18"/>
  <c r="J324" i="18"/>
  <c r="BE324" i="18" s="1"/>
  <c r="BK323" i="18"/>
  <c r="BI323" i="18"/>
  <c r="BH323" i="18"/>
  <c r="BG323" i="18"/>
  <c r="BF323" i="18"/>
  <c r="T323" i="18"/>
  <c r="R323" i="18"/>
  <c r="P323" i="18"/>
  <c r="J323" i="18"/>
  <c r="BE323" i="18" s="1"/>
  <c r="BK322" i="18"/>
  <c r="BI322" i="18"/>
  <c r="BH322" i="18"/>
  <c r="BG322" i="18"/>
  <c r="BF322" i="18"/>
  <c r="T322" i="18"/>
  <c r="R322" i="18"/>
  <c r="P322" i="18"/>
  <c r="J322" i="18"/>
  <c r="BE322" i="18" s="1"/>
  <c r="BK321" i="18"/>
  <c r="BI321" i="18"/>
  <c r="BH321" i="18"/>
  <c r="BG321" i="18"/>
  <c r="BF321" i="18"/>
  <c r="T321" i="18"/>
  <c r="R321" i="18"/>
  <c r="P321" i="18"/>
  <c r="J321" i="18"/>
  <c r="BE321" i="18" s="1"/>
  <c r="BK320" i="18"/>
  <c r="BI320" i="18"/>
  <c r="BH320" i="18"/>
  <c r="BG320" i="18"/>
  <c r="BF320" i="18"/>
  <c r="T320" i="18"/>
  <c r="R320" i="18"/>
  <c r="P320" i="18"/>
  <c r="J320" i="18"/>
  <c r="BE320" i="18" s="1"/>
  <c r="BK319" i="18"/>
  <c r="BI319" i="18"/>
  <c r="BH319" i="18"/>
  <c r="BG319" i="18"/>
  <c r="BF319" i="18"/>
  <c r="T319" i="18"/>
  <c r="R319" i="18"/>
  <c r="P319" i="18"/>
  <c r="J319" i="18"/>
  <c r="BE319" i="18" s="1"/>
  <c r="BK318" i="18"/>
  <c r="BI318" i="18"/>
  <c r="BH318" i="18"/>
  <c r="BG318" i="18"/>
  <c r="BF318" i="18"/>
  <c r="T318" i="18"/>
  <c r="R318" i="18"/>
  <c r="P318" i="18"/>
  <c r="J318" i="18"/>
  <c r="BE318" i="18" s="1"/>
  <c r="BK317" i="18"/>
  <c r="BI317" i="18"/>
  <c r="BH317" i="18"/>
  <c r="BG317" i="18"/>
  <c r="BF317" i="18"/>
  <c r="T317" i="18"/>
  <c r="R317" i="18"/>
  <c r="P317" i="18"/>
  <c r="J317" i="18"/>
  <c r="BE317" i="18" s="1"/>
  <c r="BK316" i="18"/>
  <c r="BI316" i="18"/>
  <c r="BH316" i="18"/>
  <c r="BG316" i="18"/>
  <c r="BF316" i="18"/>
  <c r="T316" i="18"/>
  <c r="R316" i="18"/>
  <c r="P316" i="18"/>
  <c r="J316" i="18"/>
  <c r="BE316" i="18" s="1"/>
  <c r="BK315" i="18"/>
  <c r="BI315" i="18"/>
  <c r="BH315" i="18"/>
  <c r="BG315" i="18"/>
  <c r="BF315" i="18"/>
  <c r="T315" i="18"/>
  <c r="R315" i="18"/>
  <c r="P315" i="18"/>
  <c r="J315" i="18"/>
  <c r="BE315" i="18" s="1"/>
  <c r="BK314" i="18"/>
  <c r="BI314" i="18"/>
  <c r="BH314" i="18"/>
  <c r="BG314" i="18"/>
  <c r="BF314" i="18"/>
  <c r="T314" i="18"/>
  <c r="R314" i="18"/>
  <c r="P314" i="18"/>
  <c r="J314" i="18"/>
  <c r="BE314" i="18" s="1"/>
  <c r="BK313" i="18"/>
  <c r="BI313" i="18"/>
  <c r="BH313" i="18"/>
  <c r="BG313" i="18"/>
  <c r="BF313" i="18"/>
  <c r="T313" i="18"/>
  <c r="R313" i="18"/>
  <c r="P313" i="18"/>
  <c r="J313" i="18"/>
  <c r="BE313" i="18" s="1"/>
  <c r="BK312" i="18"/>
  <c r="BI312" i="18"/>
  <c r="BH312" i="18"/>
  <c r="BG312" i="18"/>
  <c r="BF312" i="18"/>
  <c r="T312" i="18"/>
  <c r="R312" i="18"/>
  <c r="P312" i="18"/>
  <c r="J312" i="18"/>
  <c r="BE312" i="18" s="1"/>
  <c r="BK311" i="18"/>
  <c r="BI311" i="18"/>
  <c r="BH311" i="18"/>
  <c r="BG311" i="18"/>
  <c r="BF311" i="18"/>
  <c r="T311" i="18"/>
  <c r="R311" i="18"/>
  <c r="P311" i="18"/>
  <c r="J311" i="18"/>
  <c r="BE311" i="18" s="1"/>
  <c r="BK310" i="18"/>
  <c r="BI310" i="18"/>
  <c r="BH310" i="18"/>
  <c r="BG310" i="18"/>
  <c r="BF310" i="18"/>
  <c r="T310" i="18"/>
  <c r="R310" i="18"/>
  <c r="P310" i="18"/>
  <c r="J310" i="18"/>
  <c r="BE310" i="18" s="1"/>
  <c r="BK309" i="18"/>
  <c r="BI309" i="18"/>
  <c r="BH309" i="18"/>
  <c r="BG309" i="18"/>
  <c r="BF309" i="18"/>
  <c r="T309" i="18"/>
  <c r="R309" i="18"/>
  <c r="P309" i="18"/>
  <c r="J309" i="18"/>
  <c r="BE309" i="18" s="1"/>
  <c r="BK308" i="18"/>
  <c r="BI308" i="18"/>
  <c r="BH308" i="18"/>
  <c r="BG308" i="18"/>
  <c r="BF308" i="18"/>
  <c r="T308" i="18"/>
  <c r="R308" i="18"/>
  <c r="P308" i="18"/>
  <c r="J308" i="18"/>
  <c r="BE308" i="18" s="1"/>
  <c r="BK307" i="18"/>
  <c r="BI307" i="18"/>
  <c r="BH307" i="18"/>
  <c r="BG307" i="18"/>
  <c r="BF307" i="18"/>
  <c r="T307" i="18"/>
  <c r="R307" i="18"/>
  <c r="P307" i="18"/>
  <c r="J307" i="18"/>
  <c r="BE307" i="18" s="1"/>
  <c r="BK306" i="18"/>
  <c r="BI306" i="18"/>
  <c r="BH306" i="18"/>
  <c r="BG306" i="18"/>
  <c r="BF306" i="18"/>
  <c r="T306" i="18"/>
  <c r="R306" i="18"/>
  <c r="P306" i="18"/>
  <c r="J306" i="18"/>
  <c r="BE306" i="18" s="1"/>
  <c r="BK305" i="18"/>
  <c r="BI305" i="18"/>
  <c r="BH305" i="18"/>
  <c r="BG305" i="18"/>
  <c r="BF305" i="18"/>
  <c r="T305" i="18"/>
  <c r="R305" i="18"/>
  <c r="P305" i="18"/>
  <c r="J305" i="18"/>
  <c r="BE305" i="18" s="1"/>
  <c r="BK304" i="18"/>
  <c r="BI304" i="18"/>
  <c r="BH304" i="18"/>
  <c r="BG304" i="18"/>
  <c r="BF304" i="18"/>
  <c r="T304" i="18"/>
  <c r="R304" i="18"/>
  <c r="P304" i="18"/>
  <c r="J304" i="18"/>
  <c r="BE304" i="18" s="1"/>
  <c r="BK303" i="18"/>
  <c r="BI303" i="18"/>
  <c r="BH303" i="18"/>
  <c r="BG303" i="18"/>
  <c r="BF303" i="18"/>
  <c r="T303" i="18"/>
  <c r="R303" i="18"/>
  <c r="P303" i="18"/>
  <c r="J303" i="18"/>
  <c r="BE303" i="18" s="1"/>
  <c r="BK302" i="18"/>
  <c r="BI302" i="18"/>
  <c r="BH302" i="18"/>
  <c r="BG302" i="18"/>
  <c r="BF302" i="18"/>
  <c r="T302" i="18"/>
  <c r="R302" i="18"/>
  <c r="P302" i="18"/>
  <c r="J302" i="18"/>
  <c r="BE302" i="18" s="1"/>
  <c r="BK301" i="18"/>
  <c r="BI301" i="18"/>
  <c r="BH301" i="18"/>
  <c r="BG301" i="18"/>
  <c r="BF301" i="18"/>
  <c r="T301" i="18"/>
  <c r="R301" i="18"/>
  <c r="P301" i="18"/>
  <c r="J301" i="18"/>
  <c r="BE301" i="18" s="1"/>
  <c r="BK300" i="18"/>
  <c r="BI300" i="18"/>
  <c r="BH300" i="18"/>
  <c r="BG300" i="18"/>
  <c r="BF300" i="18"/>
  <c r="T300" i="18"/>
  <c r="R300" i="18"/>
  <c r="P300" i="18"/>
  <c r="J300" i="18"/>
  <c r="BE300" i="18" s="1"/>
  <c r="BK299" i="18"/>
  <c r="BI299" i="18"/>
  <c r="BH299" i="18"/>
  <c r="BG299" i="18"/>
  <c r="BF299" i="18"/>
  <c r="T299" i="18"/>
  <c r="R299" i="18"/>
  <c r="P299" i="18"/>
  <c r="J299" i="18"/>
  <c r="BE299" i="18" s="1"/>
  <c r="BK298" i="18"/>
  <c r="BI298" i="18"/>
  <c r="BH298" i="18"/>
  <c r="BG298" i="18"/>
  <c r="BF298" i="18"/>
  <c r="T298" i="18"/>
  <c r="R298" i="18"/>
  <c r="P298" i="18"/>
  <c r="J298" i="18"/>
  <c r="BE298" i="18" s="1"/>
  <c r="BK297" i="18"/>
  <c r="BI297" i="18"/>
  <c r="BH297" i="18"/>
  <c r="BG297" i="18"/>
  <c r="BF297" i="18"/>
  <c r="T297" i="18"/>
  <c r="R297" i="18"/>
  <c r="P297" i="18"/>
  <c r="J297" i="18"/>
  <c r="BE297" i="18" s="1"/>
  <c r="BK296" i="18"/>
  <c r="BI296" i="18"/>
  <c r="BH296" i="18"/>
  <c r="BG296" i="18"/>
  <c r="BF296" i="18"/>
  <c r="T296" i="18"/>
  <c r="R296" i="18"/>
  <c r="P296" i="18"/>
  <c r="J296" i="18"/>
  <c r="BE296" i="18" s="1"/>
  <c r="BK295" i="18"/>
  <c r="BI295" i="18"/>
  <c r="BH295" i="18"/>
  <c r="BG295" i="18"/>
  <c r="BF295" i="18"/>
  <c r="T295" i="18"/>
  <c r="R295" i="18"/>
  <c r="P295" i="18"/>
  <c r="J295" i="18"/>
  <c r="BE295" i="18" s="1"/>
  <c r="BK294" i="18"/>
  <c r="BI294" i="18"/>
  <c r="BH294" i="18"/>
  <c r="BG294" i="18"/>
  <c r="BF294" i="18"/>
  <c r="T294" i="18"/>
  <c r="R294" i="18"/>
  <c r="P294" i="18"/>
  <c r="J294" i="18"/>
  <c r="BE294" i="18" s="1"/>
  <c r="BK293" i="18"/>
  <c r="BI293" i="18"/>
  <c r="BH293" i="18"/>
  <c r="BG293" i="18"/>
  <c r="BF293" i="18"/>
  <c r="T293" i="18"/>
  <c r="R293" i="18"/>
  <c r="P293" i="18"/>
  <c r="J293" i="18"/>
  <c r="BE293" i="18" s="1"/>
  <c r="BK292" i="18"/>
  <c r="BI292" i="18"/>
  <c r="BH292" i="18"/>
  <c r="BG292" i="18"/>
  <c r="BF292" i="18"/>
  <c r="T292" i="18"/>
  <c r="R292" i="18"/>
  <c r="P292" i="18"/>
  <c r="J292" i="18"/>
  <c r="BE292" i="18" s="1"/>
  <c r="BK291" i="18"/>
  <c r="BI291" i="18"/>
  <c r="BH291" i="18"/>
  <c r="BG291" i="18"/>
  <c r="BF291" i="18"/>
  <c r="T291" i="18"/>
  <c r="R291" i="18"/>
  <c r="P291" i="18"/>
  <c r="J291" i="18"/>
  <c r="BE291" i="18" s="1"/>
  <c r="BK290" i="18"/>
  <c r="BI290" i="18"/>
  <c r="BH290" i="18"/>
  <c r="BG290" i="18"/>
  <c r="BF290" i="18"/>
  <c r="T290" i="18"/>
  <c r="R290" i="18"/>
  <c r="P290" i="18"/>
  <c r="J290" i="18"/>
  <c r="BE290" i="18" s="1"/>
  <c r="BK289" i="18"/>
  <c r="BI289" i="18"/>
  <c r="BH289" i="18"/>
  <c r="BG289" i="18"/>
  <c r="BF289" i="18"/>
  <c r="T289" i="18"/>
  <c r="R289" i="18"/>
  <c r="P289" i="18"/>
  <c r="J289" i="18"/>
  <c r="BE289" i="18" s="1"/>
  <c r="BK288" i="18"/>
  <c r="BI288" i="18"/>
  <c r="BH288" i="18"/>
  <c r="BG288" i="18"/>
  <c r="BF288" i="18"/>
  <c r="T288" i="18"/>
  <c r="R288" i="18"/>
  <c r="P288" i="18"/>
  <c r="J288" i="18"/>
  <c r="BE288" i="18" s="1"/>
  <c r="BK287" i="18"/>
  <c r="BI287" i="18"/>
  <c r="BH287" i="18"/>
  <c r="BG287" i="18"/>
  <c r="BF287" i="18"/>
  <c r="T287" i="18"/>
  <c r="R287" i="18"/>
  <c r="P287" i="18"/>
  <c r="J287" i="18"/>
  <c r="BE287" i="18" s="1"/>
  <c r="BK286" i="18"/>
  <c r="BI286" i="18"/>
  <c r="BH286" i="18"/>
  <c r="BG286" i="18"/>
  <c r="BF286" i="18"/>
  <c r="T286" i="18"/>
  <c r="R286" i="18"/>
  <c r="P286" i="18"/>
  <c r="J286" i="18"/>
  <c r="BE286" i="18" s="1"/>
  <c r="BK285" i="18"/>
  <c r="BI285" i="18"/>
  <c r="BH285" i="18"/>
  <c r="BG285" i="18"/>
  <c r="BF285" i="18"/>
  <c r="T285" i="18"/>
  <c r="R285" i="18"/>
  <c r="P285" i="18"/>
  <c r="J285" i="18"/>
  <c r="BE285" i="18" s="1"/>
  <c r="BK284" i="18"/>
  <c r="BI284" i="18"/>
  <c r="BH284" i="18"/>
  <c r="BG284" i="18"/>
  <c r="BF284" i="18"/>
  <c r="T284" i="18"/>
  <c r="R284" i="18"/>
  <c r="P284" i="18"/>
  <c r="J284" i="18"/>
  <c r="BE284" i="18" s="1"/>
  <c r="BK283" i="18"/>
  <c r="BI283" i="18"/>
  <c r="BH283" i="18"/>
  <c r="BG283" i="18"/>
  <c r="BF283" i="18"/>
  <c r="T283" i="18"/>
  <c r="R283" i="18"/>
  <c r="P283" i="18"/>
  <c r="J283" i="18"/>
  <c r="BE283" i="18" s="1"/>
  <c r="BK282" i="18"/>
  <c r="BI282" i="18"/>
  <c r="BH282" i="18"/>
  <c r="BG282" i="18"/>
  <c r="BF282" i="18"/>
  <c r="T282" i="18"/>
  <c r="R282" i="18"/>
  <c r="P282" i="18"/>
  <c r="J282" i="18"/>
  <c r="BE282" i="18" s="1"/>
  <c r="BK281" i="18"/>
  <c r="BI281" i="18"/>
  <c r="BH281" i="18"/>
  <c r="BG281" i="18"/>
  <c r="BF281" i="18"/>
  <c r="T281" i="18"/>
  <c r="R281" i="18"/>
  <c r="P281" i="18"/>
  <c r="J281" i="18"/>
  <c r="BE281" i="18" s="1"/>
  <c r="BK280" i="18"/>
  <c r="BI280" i="18"/>
  <c r="BH280" i="18"/>
  <c r="BG280" i="18"/>
  <c r="BF280" i="18"/>
  <c r="T280" i="18"/>
  <c r="R280" i="18"/>
  <c r="P280" i="18"/>
  <c r="J280" i="18"/>
  <c r="BE280" i="18" s="1"/>
  <c r="BK279" i="18"/>
  <c r="BI279" i="18"/>
  <c r="BH279" i="18"/>
  <c r="BG279" i="18"/>
  <c r="BF279" i="18"/>
  <c r="T279" i="18"/>
  <c r="R279" i="18"/>
  <c r="P279" i="18"/>
  <c r="J279" i="18"/>
  <c r="BE279" i="18" s="1"/>
  <c r="BK278" i="18"/>
  <c r="BI278" i="18"/>
  <c r="BH278" i="18"/>
  <c r="BG278" i="18"/>
  <c r="BF278" i="18"/>
  <c r="T278" i="18"/>
  <c r="R278" i="18"/>
  <c r="P278" i="18"/>
  <c r="J278" i="18"/>
  <c r="BE278" i="18" s="1"/>
  <c r="BK277" i="18"/>
  <c r="BI277" i="18"/>
  <c r="BH277" i="18"/>
  <c r="BG277" i="18"/>
  <c r="BF277" i="18"/>
  <c r="T277" i="18"/>
  <c r="R277" i="18"/>
  <c r="P277" i="18"/>
  <c r="J277" i="18"/>
  <c r="BE277" i="18" s="1"/>
  <c r="BK276" i="18"/>
  <c r="BI276" i="18"/>
  <c r="BH276" i="18"/>
  <c r="BG276" i="18"/>
  <c r="BF276" i="18"/>
  <c r="T276" i="18"/>
  <c r="R276" i="18"/>
  <c r="P276" i="18"/>
  <c r="J276" i="18"/>
  <c r="BE276" i="18" s="1"/>
  <c r="BK275" i="18"/>
  <c r="BI275" i="18"/>
  <c r="BH275" i="18"/>
  <c r="BG275" i="18"/>
  <c r="BF275" i="18"/>
  <c r="T275" i="18"/>
  <c r="R275" i="18"/>
  <c r="P275" i="18"/>
  <c r="J275" i="18"/>
  <c r="BE275" i="18" s="1"/>
  <c r="BK274" i="18"/>
  <c r="BI274" i="18"/>
  <c r="BH274" i="18"/>
  <c r="BG274" i="18"/>
  <c r="BF274" i="18"/>
  <c r="T274" i="18"/>
  <c r="R274" i="18"/>
  <c r="P274" i="18"/>
  <c r="J274" i="18"/>
  <c r="BE274" i="18" s="1"/>
  <c r="BK273" i="18"/>
  <c r="BI273" i="18"/>
  <c r="BH273" i="18"/>
  <c r="BG273" i="18"/>
  <c r="BF273" i="18"/>
  <c r="T273" i="18"/>
  <c r="R273" i="18"/>
  <c r="P273" i="18"/>
  <c r="J273" i="18"/>
  <c r="BE273" i="18" s="1"/>
  <c r="BK272" i="18"/>
  <c r="BI272" i="18"/>
  <c r="BH272" i="18"/>
  <c r="BG272" i="18"/>
  <c r="BF272" i="18"/>
  <c r="T272" i="18"/>
  <c r="R272" i="18"/>
  <c r="P272" i="18"/>
  <c r="J272" i="18"/>
  <c r="BE272" i="18" s="1"/>
  <c r="BK271" i="18"/>
  <c r="BI271" i="18"/>
  <c r="BH271" i="18"/>
  <c r="BG271" i="18"/>
  <c r="BF271" i="18"/>
  <c r="T271" i="18"/>
  <c r="R271" i="18"/>
  <c r="P271" i="18"/>
  <c r="J271" i="18"/>
  <c r="BE271" i="18" s="1"/>
  <c r="BK270" i="18"/>
  <c r="BI270" i="18"/>
  <c r="BH270" i="18"/>
  <c r="BG270" i="18"/>
  <c r="BF270" i="18"/>
  <c r="T270" i="18"/>
  <c r="R270" i="18"/>
  <c r="P270" i="18"/>
  <c r="J270" i="18"/>
  <c r="BE270" i="18" s="1"/>
  <c r="BK269" i="18"/>
  <c r="BI269" i="18"/>
  <c r="BH269" i="18"/>
  <c r="BG269" i="18"/>
  <c r="BF269" i="18"/>
  <c r="T269" i="18"/>
  <c r="R269" i="18"/>
  <c r="P269" i="18"/>
  <c r="J269" i="18"/>
  <c r="BE269" i="18" s="1"/>
  <c r="BK268" i="18"/>
  <c r="BI268" i="18"/>
  <c r="BH268" i="18"/>
  <c r="BG268" i="18"/>
  <c r="BF268" i="18"/>
  <c r="T268" i="18"/>
  <c r="R268" i="18"/>
  <c r="P268" i="18"/>
  <c r="J268" i="18"/>
  <c r="BE268" i="18" s="1"/>
  <c r="BK267" i="18"/>
  <c r="BI267" i="18"/>
  <c r="BH267" i="18"/>
  <c r="BG267" i="18"/>
  <c r="BF267" i="18"/>
  <c r="T267" i="18"/>
  <c r="R267" i="18"/>
  <c r="P267" i="18"/>
  <c r="J267" i="18"/>
  <c r="BE267" i="18" s="1"/>
  <c r="BK266" i="18"/>
  <c r="BI266" i="18"/>
  <c r="BH266" i="18"/>
  <c r="BG266" i="18"/>
  <c r="BF266" i="18"/>
  <c r="T266" i="18"/>
  <c r="R266" i="18"/>
  <c r="P266" i="18"/>
  <c r="J266" i="18"/>
  <c r="BE266" i="18" s="1"/>
  <c r="BK265" i="18"/>
  <c r="BI265" i="18"/>
  <c r="BH265" i="18"/>
  <c r="BG265" i="18"/>
  <c r="BF265" i="18"/>
  <c r="T265" i="18"/>
  <c r="R265" i="18"/>
  <c r="P265" i="18"/>
  <c r="J265" i="18"/>
  <c r="BE265" i="18" s="1"/>
  <c r="BK264" i="18"/>
  <c r="BI264" i="18"/>
  <c r="BH264" i="18"/>
  <c r="BG264" i="18"/>
  <c r="BF264" i="18"/>
  <c r="T264" i="18"/>
  <c r="R264" i="18"/>
  <c r="P264" i="18"/>
  <c r="J264" i="18"/>
  <c r="BE264" i="18" s="1"/>
  <c r="BK263" i="18"/>
  <c r="BI263" i="18"/>
  <c r="BH263" i="18"/>
  <c r="BG263" i="18"/>
  <c r="BF263" i="18"/>
  <c r="T263" i="18"/>
  <c r="R263" i="18"/>
  <c r="P263" i="18"/>
  <c r="J263" i="18"/>
  <c r="BE263" i="18" s="1"/>
  <c r="BK262" i="18"/>
  <c r="BI262" i="18"/>
  <c r="BH262" i="18"/>
  <c r="BG262" i="18"/>
  <c r="BF262" i="18"/>
  <c r="T262" i="18"/>
  <c r="R262" i="18"/>
  <c r="P262" i="18"/>
  <c r="J262" i="18"/>
  <c r="BE262" i="18" s="1"/>
  <c r="BK261" i="18"/>
  <c r="BI261" i="18"/>
  <c r="BH261" i="18"/>
  <c r="BG261" i="18"/>
  <c r="BF261" i="18"/>
  <c r="T261" i="18"/>
  <c r="R261" i="18"/>
  <c r="P261" i="18"/>
  <c r="J261" i="18"/>
  <c r="BE261" i="18" s="1"/>
  <c r="BK260" i="18"/>
  <c r="BI260" i="18"/>
  <c r="BH260" i="18"/>
  <c r="BG260" i="18"/>
  <c r="BF260" i="18"/>
  <c r="T260" i="18"/>
  <c r="R260" i="18"/>
  <c r="P260" i="18"/>
  <c r="J260" i="18"/>
  <c r="BE260" i="18" s="1"/>
  <c r="BK259" i="18"/>
  <c r="BI259" i="18"/>
  <c r="BH259" i="18"/>
  <c r="BG259" i="18"/>
  <c r="BF259" i="18"/>
  <c r="T259" i="18"/>
  <c r="R259" i="18"/>
  <c r="P259" i="18"/>
  <c r="J259" i="18"/>
  <c r="BE259" i="18" s="1"/>
  <c r="BK258" i="18"/>
  <c r="BI258" i="18"/>
  <c r="BH258" i="18"/>
  <c r="BG258" i="18"/>
  <c r="BF258" i="18"/>
  <c r="T258" i="18"/>
  <c r="R258" i="18"/>
  <c r="P258" i="18"/>
  <c r="J258" i="18"/>
  <c r="BE258" i="18" s="1"/>
  <c r="BK257" i="18"/>
  <c r="BI257" i="18"/>
  <c r="BH257" i="18"/>
  <c r="BG257" i="18"/>
  <c r="BF257" i="18"/>
  <c r="T257" i="18"/>
  <c r="R257" i="18"/>
  <c r="P257" i="18"/>
  <c r="J257" i="18"/>
  <c r="BE257" i="18" s="1"/>
  <c r="BK256" i="18"/>
  <c r="BI256" i="18"/>
  <c r="BH256" i="18"/>
  <c r="BG256" i="18"/>
  <c r="BF256" i="18"/>
  <c r="T256" i="18"/>
  <c r="R256" i="18"/>
  <c r="P256" i="18"/>
  <c r="J256" i="18"/>
  <c r="BE256" i="18" s="1"/>
  <c r="BK255" i="18"/>
  <c r="BI255" i="18"/>
  <c r="BH255" i="18"/>
  <c r="BG255" i="18"/>
  <c r="BF255" i="18"/>
  <c r="T255" i="18"/>
  <c r="R255" i="18"/>
  <c r="P255" i="18"/>
  <c r="J255" i="18"/>
  <c r="BE255" i="18" s="1"/>
  <c r="BK254" i="18"/>
  <c r="BI254" i="18"/>
  <c r="BH254" i="18"/>
  <c r="BG254" i="18"/>
  <c r="BF254" i="18"/>
  <c r="T254" i="18"/>
  <c r="R254" i="18"/>
  <c r="P254" i="18"/>
  <c r="J254" i="18"/>
  <c r="BE254" i="18" s="1"/>
  <c r="BK253" i="18"/>
  <c r="BI253" i="18"/>
  <c r="BH253" i="18"/>
  <c r="BG253" i="18"/>
  <c r="BF253" i="18"/>
  <c r="T253" i="18"/>
  <c r="R253" i="18"/>
  <c r="P253" i="18"/>
  <c r="J253" i="18"/>
  <c r="BE253" i="18" s="1"/>
  <c r="BK252" i="18"/>
  <c r="BI252" i="18"/>
  <c r="BH252" i="18"/>
  <c r="BG252" i="18"/>
  <c r="BF252" i="18"/>
  <c r="T252" i="18"/>
  <c r="R252" i="18"/>
  <c r="P252" i="18"/>
  <c r="J252" i="18"/>
  <c r="BE252" i="18" s="1"/>
  <c r="BK251" i="18"/>
  <c r="BI251" i="18"/>
  <c r="BH251" i="18"/>
  <c r="BG251" i="18"/>
  <c r="BF251" i="18"/>
  <c r="T251" i="18"/>
  <c r="R251" i="18"/>
  <c r="P251" i="18"/>
  <c r="J251" i="18"/>
  <c r="BE251" i="18" s="1"/>
  <c r="BK250" i="18"/>
  <c r="BI250" i="18"/>
  <c r="BH250" i="18"/>
  <c r="BG250" i="18"/>
  <c r="BF250" i="18"/>
  <c r="T250" i="18"/>
  <c r="R250" i="18"/>
  <c r="P250" i="18"/>
  <c r="J250" i="18"/>
  <c r="BE250" i="18" s="1"/>
  <c r="BK249" i="18"/>
  <c r="BI249" i="18"/>
  <c r="BH249" i="18"/>
  <c r="BG249" i="18"/>
  <c r="BF249" i="18"/>
  <c r="T249" i="18"/>
  <c r="R249" i="18"/>
  <c r="P249" i="18"/>
  <c r="J249" i="18"/>
  <c r="BE249" i="18" s="1"/>
  <c r="BK248" i="18"/>
  <c r="BI248" i="18"/>
  <c r="BH248" i="18"/>
  <c r="BG248" i="18"/>
  <c r="BF248" i="18"/>
  <c r="T248" i="18"/>
  <c r="R248" i="18"/>
  <c r="P248" i="18"/>
  <c r="J248" i="18"/>
  <c r="BE248" i="18" s="1"/>
  <c r="BK247" i="18"/>
  <c r="BI247" i="18"/>
  <c r="BH247" i="18"/>
  <c r="BG247" i="18"/>
  <c r="BF247" i="18"/>
  <c r="T247" i="18"/>
  <c r="R247" i="18"/>
  <c r="P247" i="18"/>
  <c r="J247" i="18"/>
  <c r="BE247" i="18" s="1"/>
  <c r="BK246" i="18"/>
  <c r="BI246" i="18"/>
  <c r="BH246" i="18"/>
  <c r="BG246" i="18"/>
  <c r="BF246" i="18"/>
  <c r="T246" i="18"/>
  <c r="R246" i="18"/>
  <c r="P246" i="18"/>
  <c r="J246" i="18"/>
  <c r="BE246" i="18" s="1"/>
  <c r="BK245" i="18"/>
  <c r="BI245" i="18"/>
  <c r="BH245" i="18"/>
  <c r="BG245" i="18"/>
  <c r="BF245" i="18"/>
  <c r="T245" i="18"/>
  <c r="R245" i="18"/>
  <c r="P245" i="18"/>
  <c r="J245" i="18"/>
  <c r="BE245" i="18" s="1"/>
  <c r="BK244" i="18"/>
  <c r="BI244" i="18"/>
  <c r="BH244" i="18"/>
  <c r="BG244" i="18"/>
  <c r="BF244" i="18"/>
  <c r="T244" i="18"/>
  <c r="R244" i="18"/>
  <c r="P244" i="18"/>
  <c r="J244" i="18"/>
  <c r="BE244" i="18" s="1"/>
  <c r="BK243" i="18"/>
  <c r="BI243" i="18"/>
  <c r="BH243" i="18"/>
  <c r="BG243" i="18"/>
  <c r="BF243" i="18"/>
  <c r="T243" i="18"/>
  <c r="R243" i="18"/>
  <c r="P243" i="18"/>
  <c r="J243" i="18"/>
  <c r="BE243" i="18" s="1"/>
  <c r="BK242" i="18"/>
  <c r="BI242" i="18"/>
  <c r="BH242" i="18"/>
  <c r="BG242" i="18"/>
  <c r="BF242" i="18"/>
  <c r="T242" i="18"/>
  <c r="R242" i="18"/>
  <c r="P242" i="18"/>
  <c r="J242" i="18"/>
  <c r="BE242" i="18" s="1"/>
  <c r="BK241" i="18"/>
  <c r="BI241" i="18"/>
  <c r="BH241" i="18"/>
  <c r="BG241" i="18"/>
  <c r="BF241" i="18"/>
  <c r="T241" i="18"/>
  <c r="R241" i="18"/>
  <c r="P241" i="18"/>
  <c r="J241" i="18"/>
  <c r="BE241" i="18" s="1"/>
  <c r="BK240" i="18"/>
  <c r="BI240" i="18"/>
  <c r="BH240" i="18"/>
  <c r="BG240" i="18"/>
  <c r="BF240" i="18"/>
  <c r="T240" i="18"/>
  <c r="R240" i="18"/>
  <c r="P240" i="18"/>
  <c r="J240" i="18"/>
  <c r="BE240" i="18" s="1"/>
  <c r="BK239" i="18"/>
  <c r="BI239" i="18"/>
  <c r="BH239" i="18"/>
  <c r="BG239" i="18"/>
  <c r="BF239" i="18"/>
  <c r="T239" i="18"/>
  <c r="R239" i="18"/>
  <c r="P239" i="18"/>
  <c r="J239" i="18"/>
  <c r="BE239" i="18" s="1"/>
  <c r="BK238" i="18"/>
  <c r="BI238" i="18"/>
  <c r="BH238" i="18"/>
  <c r="BG238" i="18"/>
  <c r="BF238" i="18"/>
  <c r="T238" i="18"/>
  <c r="R238" i="18"/>
  <c r="P238" i="18"/>
  <c r="J238" i="18"/>
  <c r="BE238" i="18" s="1"/>
  <c r="BK236" i="18"/>
  <c r="BI236" i="18"/>
  <c r="BH236" i="18"/>
  <c r="BG236" i="18"/>
  <c r="BF236" i="18"/>
  <c r="T236" i="18"/>
  <c r="R236" i="18"/>
  <c r="P236" i="18"/>
  <c r="J236" i="18"/>
  <c r="BE236" i="18" s="1"/>
  <c r="BK235" i="18"/>
  <c r="BI235" i="18"/>
  <c r="BH235" i="18"/>
  <c r="BG235" i="18"/>
  <c r="BF235" i="18"/>
  <c r="T235" i="18"/>
  <c r="R235" i="18"/>
  <c r="P235" i="18"/>
  <c r="J235" i="18"/>
  <c r="BE235" i="18" s="1"/>
  <c r="BK234" i="18"/>
  <c r="BI234" i="18"/>
  <c r="BH234" i="18"/>
  <c r="BG234" i="18"/>
  <c r="BF234" i="18"/>
  <c r="T234" i="18"/>
  <c r="R234" i="18"/>
  <c r="P234" i="18"/>
  <c r="J234" i="18"/>
  <c r="BE234" i="18" s="1"/>
  <c r="BK233" i="18"/>
  <c r="BI233" i="18"/>
  <c r="BH233" i="18"/>
  <c r="BG233" i="18"/>
  <c r="BF233" i="18"/>
  <c r="T233" i="18"/>
  <c r="R233" i="18"/>
  <c r="P233" i="18"/>
  <c r="J233" i="18"/>
  <c r="BE233" i="18" s="1"/>
  <c r="BK232" i="18"/>
  <c r="BI232" i="18"/>
  <c r="BH232" i="18"/>
  <c r="BG232" i="18"/>
  <c r="BF232" i="18"/>
  <c r="T232" i="18"/>
  <c r="R232" i="18"/>
  <c r="P232" i="18"/>
  <c r="J232" i="18"/>
  <c r="BE232" i="18" s="1"/>
  <c r="BK231" i="18"/>
  <c r="BI231" i="18"/>
  <c r="BH231" i="18"/>
  <c r="BG231" i="18"/>
  <c r="BF231" i="18"/>
  <c r="T231" i="18"/>
  <c r="R231" i="18"/>
  <c r="P231" i="18"/>
  <c r="J231" i="18"/>
  <c r="BE231" i="18" s="1"/>
  <c r="BK230" i="18"/>
  <c r="BI230" i="18"/>
  <c r="BH230" i="18"/>
  <c r="BG230" i="18"/>
  <c r="BF230" i="18"/>
  <c r="T230" i="18"/>
  <c r="R230" i="18"/>
  <c r="P230" i="18"/>
  <c r="J230" i="18"/>
  <c r="BE230" i="18" s="1"/>
  <c r="BK229" i="18"/>
  <c r="BI229" i="18"/>
  <c r="BH229" i="18"/>
  <c r="BG229" i="18"/>
  <c r="BF229" i="18"/>
  <c r="T229" i="18"/>
  <c r="R229" i="18"/>
  <c r="P229" i="18"/>
  <c r="J229" i="18"/>
  <c r="BE229" i="18" s="1"/>
  <c r="BK228" i="18"/>
  <c r="BI228" i="18"/>
  <c r="BH228" i="18"/>
  <c r="BG228" i="18"/>
  <c r="BF228" i="18"/>
  <c r="T228" i="18"/>
  <c r="R228" i="18"/>
  <c r="P228" i="18"/>
  <c r="J228" i="18"/>
  <c r="BE228" i="18" s="1"/>
  <c r="BK227" i="18"/>
  <c r="BI227" i="18"/>
  <c r="BH227" i="18"/>
  <c r="BG227" i="18"/>
  <c r="BF227" i="18"/>
  <c r="T227" i="18"/>
  <c r="R227" i="18"/>
  <c r="P227" i="18"/>
  <c r="J227" i="18"/>
  <c r="BE227" i="18" s="1"/>
  <c r="BK225" i="18"/>
  <c r="BI225" i="18"/>
  <c r="BH225" i="18"/>
  <c r="BG225" i="18"/>
  <c r="BF225" i="18"/>
  <c r="T225" i="18"/>
  <c r="R225" i="18"/>
  <c r="P225" i="18"/>
  <c r="J225" i="18"/>
  <c r="BE225" i="18" s="1"/>
  <c r="BK223" i="18"/>
  <c r="BI223" i="18"/>
  <c r="BH223" i="18"/>
  <c r="BG223" i="18"/>
  <c r="BF223" i="18"/>
  <c r="T223" i="18"/>
  <c r="R223" i="18"/>
  <c r="P223" i="18"/>
  <c r="J223" i="18"/>
  <c r="BE223" i="18" s="1"/>
  <c r="BK222" i="18"/>
  <c r="BI222" i="18"/>
  <c r="BH222" i="18"/>
  <c r="BG222" i="18"/>
  <c r="BF222" i="18"/>
  <c r="T222" i="18"/>
  <c r="R222" i="18"/>
  <c r="P222" i="18"/>
  <c r="J222" i="18"/>
  <c r="BE222" i="18" s="1"/>
  <c r="BK221" i="18"/>
  <c r="BI221" i="18"/>
  <c r="BH221" i="18"/>
  <c r="BG221" i="18"/>
  <c r="BF221" i="18"/>
  <c r="T221" i="18"/>
  <c r="R221" i="18"/>
  <c r="P221" i="18"/>
  <c r="J221" i="18"/>
  <c r="BE221" i="18" s="1"/>
  <c r="BK220" i="18"/>
  <c r="BI220" i="18"/>
  <c r="BH220" i="18"/>
  <c r="BG220" i="18"/>
  <c r="BF220" i="18"/>
  <c r="T220" i="18"/>
  <c r="R220" i="18"/>
  <c r="P220" i="18"/>
  <c r="J220" i="18"/>
  <c r="BE220" i="18" s="1"/>
  <c r="BK219" i="18"/>
  <c r="BI219" i="18"/>
  <c r="BH219" i="18"/>
  <c r="BG219" i="18"/>
  <c r="BF219" i="18"/>
  <c r="T219" i="18"/>
  <c r="R219" i="18"/>
  <c r="P219" i="18"/>
  <c r="J219" i="18"/>
  <c r="BE219" i="18" s="1"/>
  <c r="BK218" i="18"/>
  <c r="BI218" i="18"/>
  <c r="BH218" i="18"/>
  <c r="BG218" i="18"/>
  <c r="BF218" i="18"/>
  <c r="T218" i="18"/>
  <c r="R218" i="18"/>
  <c r="P218" i="18"/>
  <c r="J218" i="18"/>
  <c r="BE218" i="18" s="1"/>
  <c r="BK216" i="18"/>
  <c r="BI216" i="18"/>
  <c r="BH216" i="18"/>
  <c r="BG216" i="18"/>
  <c r="BF216" i="18"/>
  <c r="T216" i="18"/>
  <c r="R216" i="18"/>
  <c r="P216" i="18"/>
  <c r="J216" i="18"/>
  <c r="BE216" i="18" s="1"/>
  <c r="BK215" i="18"/>
  <c r="BI215" i="18"/>
  <c r="BH215" i="18"/>
  <c r="BG215" i="18"/>
  <c r="BF215" i="18"/>
  <c r="T215" i="18"/>
  <c r="R215" i="18"/>
  <c r="P215" i="18"/>
  <c r="J215" i="18"/>
  <c r="BE215" i="18" s="1"/>
  <c r="BK214" i="18"/>
  <c r="BI214" i="18"/>
  <c r="BH214" i="18"/>
  <c r="BG214" i="18"/>
  <c r="BF214" i="18"/>
  <c r="T214" i="18"/>
  <c r="R214" i="18"/>
  <c r="P214" i="18"/>
  <c r="J214" i="18"/>
  <c r="BE214" i="18" s="1"/>
  <c r="BK213" i="18"/>
  <c r="BI213" i="18"/>
  <c r="BH213" i="18"/>
  <c r="BG213" i="18"/>
  <c r="BF213" i="18"/>
  <c r="T213" i="18"/>
  <c r="R213" i="18"/>
  <c r="P213" i="18"/>
  <c r="J213" i="18"/>
  <c r="BE213" i="18" s="1"/>
  <c r="BK212" i="18"/>
  <c r="BI212" i="18"/>
  <c r="BH212" i="18"/>
  <c r="BG212" i="18"/>
  <c r="BF212" i="18"/>
  <c r="T212" i="18"/>
  <c r="R212" i="18"/>
  <c r="P212" i="18"/>
  <c r="J212" i="18"/>
  <c r="BE212" i="18" s="1"/>
  <c r="BK211" i="18"/>
  <c r="BI211" i="18"/>
  <c r="BH211" i="18"/>
  <c r="BG211" i="18"/>
  <c r="BF211" i="18"/>
  <c r="T211" i="18"/>
  <c r="R211" i="18"/>
  <c r="P211" i="18"/>
  <c r="J211" i="18"/>
  <c r="BE211" i="18" s="1"/>
  <c r="BK210" i="18"/>
  <c r="BI210" i="18"/>
  <c r="BH210" i="18"/>
  <c r="BG210" i="18"/>
  <c r="BF210" i="18"/>
  <c r="T210" i="18"/>
  <c r="R210" i="18"/>
  <c r="P210" i="18"/>
  <c r="J210" i="18"/>
  <c r="BE210" i="18" s="1"/>
  <c r="BK209" i="18"/>
  <c r="BI209" i="18"/>
  <c r="BH209" i="18"/>
  <c r="BG209" i="18"/>
  <c r="BF209" i="18"/>
  <c r="T209" i="18"/>
  <c r="R209" i="18"/>
  <c r="P209" i="18"/>
  <c r="J209" i="18"/>
  <c r="BE209" i="18" s="1"/>
  <c r="BK208" i="18"/>
  <c r="BI208" i="18"/>
  <c r="BH208" i="18"/>
  <c r="BG208" i="18"/>
  <c r="BF208" i="18"/>
  <c r="T208" i="18"/>
  <c r="R208" i="18"/>
  <c r="P208" i="18"/>
  <c r="J208" i="18"/>
  <c r="BE208" i="18" s="1"/>
  <c r="BK207" i="18"/>
  <c r="BI207" i="18"/>
  <c r="BH207" i="18"/>
  <c r="BG207" i="18"/>
  <c r="BF207" i="18"/>
  <c r="T207" i="18"/>
  <c r="R207" i="18"/>
  <c r="P207" i="18"/>
  <c r="J207" i="18"/>
  <c r="BE207" i="18" s="1"/>
  <c r="BK206" i="18"/>
  <c r="BI206" i="18"/>
  <c r="BH206" i="18"/>
  <c r="BG206" i="18"/>
  <c r="BF206" i="18"/>
  <c r="T206" i="18"/>
  <c r="R206" i="18"/>
  <c r="P206" i="18"/>
  <c r="J206" i="18"/>
  <c r="BE206" i="18" s="1"/>
  <c r="BK204" i="18"/>
  <c r="BI204" i="18"/>
  <c r="BH204" i="18"/>
  <c r="BG204" i="18"/>
  <c r="BF204" i="18"/>
  <c r="T204" i="18"/>
  <c r="R204" i="18"/>
  <c r="P204" i="18"/>
  <c r="J204" i="18"/>
  <c r="BE204" i="18" s="1"/>
  <c r="BK201" i="18"/>
  <c r="BI201" i="18"/>
  <c r="BH201" i="18"/>
  <c r="BG201" i="18"/>
  <c r="BF201" i="18"/>
  <c r="T201" i="18"/>
  <c r="R201" i="18"/>
  <c r="P201" i="18"/>
  <c r="J201" i="18"/>
  <c r="BE201" i="18" s="1"/>
  <c r="BK200" i="18"/>
  <c r="BI200" i="18"/>
  <c r="BH200" i="18"/>
  <c r="BG200" i="18"/>
  <c r="BF200" i="18"/>
  <c r="T200" i="18"/>
  <c r="R200" i="18"/>
  <c r="P200" i="18"/>
  <c r="J200" i="18"/>
  <c r="BE200" i="18" s="1"/>
  <c r="BK199" i="18"/>
  <c r="BI199" i="18"/>
  <c r="BH199" i="18"/>
  <c r="BG199" i="18"/>
  <c r="BF199" i="18"/>
  <c r="T199" i="18"/>
  <c r="R199" i="18"/>
  <c r="P199" i="18"/>
  <c r="J199" i="18"/>
  <c r="BE199" i="18" s="1"/>
  <c r="BK198" i="18"/>
  <c r="BI198" i="18"/>
  <c r="BH198" i="18"/>
  <c r="BG198" i="18"/>
  <c r="BF198" i="18"/>
  <c r="T198" i="18"/>
  <c r="R198" i="18"/>
  <c r="P198" i="18"/>
  <c r="J198" i="18"/>
  <c r="BE198" i="18" s="1"/>
  <c r="BK197" i="18"/>
  <c r="BI197" i="18"/>
  <c r="BH197" i="18"/>
  <c r="BG197" i="18"/>
  <c r="BF197" i="18"/>
  <c r="T197" i="18"/>
  <c r="R197" i="18"/>
  <c r="P197" i="18"/>
  <c r="J197" i="18"/>
  <c r="BE197" i="18" s="1"/>
  <c r="BK196" i="18"/>
  <c r="BI196" i="18"/>
  <c r="BH196" i="18"/>
  <c r="BG196" i="18"/>
  <c r="BF196" i="18"/>
  <c r="T196" i="18"/>
  <c r="R196" i="18"/>
  <c r="P196" i="18"/>
  <c r="J196" i="18"/>
  <c r="BE196" i="18" s="1"/>
  <c r="BK195" i="18"/>
  <c r="BI195" i="18"/>
  <c r="BH195" i="18"/>
  <c r="BG195" i="18"/>
  <c r="BF195" i="18"/>
  <c r="T195" i="18"/>
  <c r="R195" i="18"/>
  <c r="P195" i="18"/>
  <c r="J195" i="18"/>
  <c r="BE195" i="18" s="1"/>
  <c r="BK194" i="18"/>
  <c r="BI194" i="18"/>
  <c r="BH194" i="18"/>
  <c r="BG194" i="18"/>
  <c r="BF194" i="18"/>
  <c r="T194" i="18"/>
  <c r="R194" i="18"/>
  <c r="P194" i="18"/>
  <c r="J194" i="18"/>
  <c r="BE194" i="18" s="1"/>
  <c r="BK193" i="18"/>
  <c r="BI193" i="18"/>
  <c r="BH193" i="18"/>
  <c r="BG193" i="18"/>
  <c r="BF193" i="18"/>
  <c r="T193" i="18"/>
  <c r="R193" i="18"/>
  <c r="P193" i="18"/>
  <c r="J193" i="18"/>
  <c r="BE193" i="18" s="1"/>
  <c r="BK192" i="18"/>
  <c r="BI192" i="18"/>
  <c r="BH192" i="18"/>
  <c r="BG192" i="18"/>
  <c r="BF192" i="18"/>
  <c r="T192" i="18"/>
  <c r="R192" i="18"/>
  <c r="P192" i="18"/>
  <c r="J192" i="18"/>
  <c r="BE192" i="18" s="1"/>
  <c r="BK191" i="18"/>
  <c r="BI191" i="18"/>
  <c r="BH191" i="18"/>
  <c r="BG191" i="18"/>
  <c r="BF191" i="18"/>
  <c r="T191" i="18"/>
  <c r="R191" i="18"/>
  <c r="P191" i="18"/>
  <c r="J191" i="18"/>
  <c r="BE191" i="18" s="1"/>
  <c r="BK190" i="18"/>
  <c r="BI190" i="18"/>
  <c r="BH190" i="18"/>
  <c r="BG190" i="18"/>
  <c r="BF190" i="18"/>
  <c r="T190" i="18"/>
  <c r="R190" i="18"/>
  <c r="P190" i="18"/>
  <c r="J190" i="18"/>
  <c r="BE190" i="18" s="1"/>
  <c r="BK189" i="18"/>
  <c r="BI189" i="18"/>
  <c r="BH189" i="18"/>
  <c r="BG189" i="18"/>
  <c r="BF189" i="18"/>
  <c r="T189" i="18"/>
  <c r="R189" i="18"/>
  <c r="P189" i="18"/>
  <c r="J189" i="18"/>
  <c r="BE189" i="18" s="1"/>
  <c r="BK188" i="18"/>
  <c r="BI188" i="18"/>
  <c r="BH188" i="18"/>
  <c r="BG188" i="18"/>
  <c r="BF188" i="18"/>
  <c r="T188" i="18"/>
  <c r="R188" i="18"/>
  <c r="P188" i="18"/>
  <c r="J188" i="18"/>
  <c r="BE188" i="18" s="1"/>
  <c r="BK187" i="18"/>
  <c r="BI187" i="18"/>
  <c r="BH187" i="18"/>
  <c r="BG187" i="18"/>
  <c r="BF187" i="18"/>
  <c r="T187" i="18"/>
  <c r="R187" i="18"/>
  <c r="P187" i="18"/>
  <c r="J187" i="18"/>
  <c r="BE187" i="18" s="1"/>
  <c r="BK186" i="18"/>
  <c r="BI186" i="18"/>
  <c r="BH186" i="18"/>
  <c r="BG186" i="18"/>
  <c r="BF186" i="18"/>
  <c r="T186" i="18"/>
  <c r="R186" i="18"/>
  <c r="P186" i="18"/>
  <c r="J186" i="18"/>
  <c r="BE186" i="18" s="1"/>
  <c r="BK185" i="18"/>
  <c r="BI185" i="18"/>
  <c r="BH185" i="18"/>
  <c r="BG185" i="18"/>
  <c r="BF185" i="18"/>
  <c r="T185" i="18"/>
  <c r="R185" i="18"/>
  <c r="P185" i="18"/>
  <c r="J185" i="18"/>
  <c r="BE185" i="18" s="1"/>
  <c r="BK184" i="18"/>
  <c r="BI184" i="18"/>
  <c r="BH184" i="18"/>
  <c r="BG184" i="18"/>
  <c r="BF184" i="18"/>
  <c r="T184" i="18"/>
  <c r="R184" i="18"/>
  <c r="P184" i="18"/>
  <c r="J184" i="18"/>
  <c r="BE184" i="18" s="1"/>
  <c r="BK183" i="18"/>
  <c r="BI183" i="18"/>
  <c r="BH183" i="18"/>
  <c r="BG183" i="18"/>
  <c r="BF183" i="18"/>
  <c r="T183" i="18"/>
  <c r="R183" i="18"/>
  <c r="P183" i="18"/>
  <c r="J183" i="18"/>
  <c r="BE183" i="18" s="1"/>
  <c r="BK182" i="18"/>
  <c r="BI182" i="18"/>
  <c r="BH182" i="18"/>
  <c r="BG182" i="18"/>
  <c r="BF182" i="18"/>
  <c r="T182" i="18"/>
  <c r="R182" i="18"/>
  <c r="P182" i="18"/>
  <c r="J182" i="18"/>
  <c r="BE182" i="18" s="1"/>
  <c r="BK181" i="18"/>
  <c r="BI181" i="18"/>
  <c r="BH181" i="18"/>
  <c r="BG181" i="18"/>
  <c r="BF181" i="18"/>
  <c r="T181" i="18"/>
  <c r="R181" i="18"/>
  <c r="P181" i="18"/>
  <c r="J181" i="18"/>
  <c r="BE181" i="18" s="1"/>
  <c r="BK180" i="18"/>
  <c r="BI180" i="18"/>
  <c r="BH180" i="18"/>
  <c r="BG180" i="18"/>
  <c r="BF180" i="18"/>
  <c r="T180" i="18"/>
  <c r="R180" i="18"/>
  <c r="P180" i="18"/>
  <c r="J180" i="18"/>
  <c r="BE180" i="18" s="1"/>
  <c r="BK179" i="18"/>
  <c r="BI179" i="18"/>
  <c r="BH179" i="18"/>
  <c r="BG179" i="18"/>
  <c r="BF179" i="18"/>
  <c r="T179" i="18"/>
  <c r="R179" i="18"/>
  <c r="P179" i="18"/>
  <c r="J179" i="18"/>
  <c r="BE179" i="18" s="1"/>
  <c r="BK178" i="18"/>
  <c r="BI178" i="18"/>
  <c r="BH178" i="18"/>
  <c r="BG178" i="18"/>
  <c r="BF178" i="18"/>
  <c r="T178" i="18"/>
  <c r="R178" i="18"/>
  <c r="P178" i="18"/>
  <c r="J178" i="18"/>
  <c r="BE178" i="18" s="1"/>
  <c r="BK177" i="18"/>
  <c r="BI177" i="18"/>
  <c r="BH177" i="18"/>
  <c r="BG177" i="18"/>
  <c r="BF177" i="18"/>
  <c r="T177" i="18"/>
  <c r="R177" i="18"/>
  <c r="P177" i="18"/>
  <c r="J177" i="18"/>
  <c r="BE177" i="18" s="1"/>
  <c r="BK176" i="18"/>
  <c r="BI176" i="18"/>
  <c r="BH176" i="18"/>
  <c r="BG176" i="18"/>
  <c r="BF176" i="18"/>
  <c r="T176" i="18"/>
  <c r="R176" i="18"/>
  <c r="P176" i="18"/>
  <c r="J176" i="18"/>
  <c r="BE176" i="18" s="1"/>
  <c r="BK175" i="18"/>
  <c r="BI175" i="18"/>
  <c r="BH175" i="18"/>
  <c r="BG175" i="18"/>
  <c r="BF175" i="18"/>
  <c r="T175" i="18"/>
  <c r="R175" i="18"/>
  <c r="P175" i="18"/>
  <c r="J175" i="18"/>
  <c r="BE175" i="18" s="1"/>
  <c r="BK174" i="18"/>
  <c r="BI174" i="18"/>
  <c r="BH174" i="18"/>
  <c r="BG174" i="18"/>
  <c r="BF174" i="18"/>
  <c r="T174" i="18"/>
  <c r="R174" i="18"/>
  <c r="P174" i="18"/>
  <c r="J174" i="18"/>
  <c r="BE174" i="18" s="1"/>
  <c r="BK173" i="18"/>
  <c r="BI173" i="18"/>
  <c r="BH173" i="18"/>
  <c r="BG173" i="18"/>
  <c r="BF173" i="18"/>
  <c r="T173" i="18"/>
  <c r="R173" i="18"/>
  <c r="P173" i="18"/>
  <c r="J173" i="18"/>
  <c r="BE173" i="18" s="1"/>
  <c r="BK172" i="18"/>
  <c r="BI172" i="18"/>
  <c r="BH172" i="18"/>
  <c r="BG172" i="18"/>
  <c r="BF172" i="18"/>
  <c r="T172" i="18"/>
  <c r="R172" i="18"/>
  <c r="P172" i="18"/>
  <c r="J172" i="18"/>
  <c r="BE172" i="18" s="1"/>
  <c r="BK171" i="18"/>
  <c r="BI171" i="18"/>
  <c r="BH171" i="18"/>
  <c r="BG171" i="18"/>
  <c r="BF171" i="18"/>
  <c r="T171" i="18"/>
  <c r="R171" i="18"/>
  <c r="P171" i="18"/>
  <c r="J171" i="18"/>
  <c r="BE171" i="18" s="1"/>
  <c r="BK170" i="18"/>
  <c r="BI170" i="18"/>
  <c r="BH170" i="18"/>
  <c r="BG170" i="18"/>
  <c r="BF170" i="18"/>
  <c r="T170" i="18"/>
  <c r="R170" i="18"/>
  <c r="P170" i="18"/>
  <c r="J170" i="18"/>
  <c r="BE170" i="18" s="1"/>
  <c r="BK169" i="18"/>
  <c r="BI169" i="18"/>
  <c r="BH169" i="18"/>
  <c r="BG169" i="18"/>
  <c r="BF169" i="18"/>
  <c r="T169" i="18"/>
  <c r="R169" i="18"/>
  <c r="P169" i="18"/>
  <c r="J169" i="18"/>
  <c r="BE169" i="18" s="1"/>
  <c r="BK168" i="18"/>
  <c r="BI168" i="18"/>
  <c r="BH168" i="18"/>
  <c r="BG168" i="18"/>
  <c r="BF168" i="18"/>
  <c r="T168" i="18"/>
  <c r="R168" i="18"/>
  <c r="P168" i="18"/>
  <c r="J168" i="18"/>
  <c r="BE168" i="18" s="1"/>
  <c r="BK167" i="18"/>
  <c r="BI167" i="18"/>
  <c r="BH167" i="18"/>
  <c r="BG167" i="18"/>
  <c r="BF167" i="18"/>
  <c r="T167" i="18"/>
  <c r="R167" i="18"/>
  <c r="P167" i="18"/>
  <c r="J167" i="18"/>
  <c r="BE167" i="18" s="1"/>
  <c r="BK166" i="18"/>
  <c r="BI166" i="18"/>
  <c r="BH166" i="18"/>
  <c r="BG166" i="18"/>
  <c r="BF166" i="18"/>
  <c r="T166" i="18"/>
  <c r="R166" i="18"/>
  <c r="P166" i="18"/>
  <c r="J166" i="18"/>
  <c r="BE166" i="18" s="1"/>
  <c r="BK165" i="18"/>
  <c r="BI165" i="18"/>
  <c r="BH165" i="18"/>
  <c r="BG165" i="18"/>
  <c r="BF165" i="18"/>
  <c r="T165" i="18"/>
  <c r="R165" i="18"/>
  <c r="P165" i="18"/>
  <c r="J165" i="18"/>
  <c r="BE165" i="18" s="1"/>
  <c r="BK164" i="18"/>
  <c r="BI164" i="18"/>
  <c r="BH164" i="18"/>
  <c r="BG164" i="18"/>
  <c r="BF164" i="18"/>
  <c r="T164" i="18"/>
  <c r="R164" i="18"/>
  <c r="P164" i="18"/>
  <c r="J164" i="18"/>
  <c r="BE164" i="18" s="1"/>
  <c r="BK163" i="18"/>
  <c r="BI163" i="18"/>
  <c r="BH163" i="18"/>
  <c r="BG163" i="18"/>
  <c r="BF163" i="18"/>
  <c r="T163" i="18"/>
  <c r="R163" i="18"/>
  <c r="P163" i="18"/>
  <c r="J163" i="18"/>
  <c r="BE163" i="18" s="1"/>
  <c r="BK162" i="18"/>
  <c r="BI162" i="18"/>
  <c r="BH162" i="18"/>
  <c r="BG162" i="18"/>
  <c r="BF162" i="18"/>
  <c r="T162" i="18"/>
  <c r="R162" i="18"/>
  <c r="P162" i="18"/>
  <c r="J162" i="18"/>
  <c r="BE162" i="18" s="1"/>
  <c r="BK161" i="18"/>
  <c r="BI161" i="18"/>
  <c r="BH161" i="18"/>
  <c r="BG161" i="18"/>
  <c r="BF161" i="18"/>
  <c r="T161" i="18"/>
  <c r="R161" i="18"/>
  <c r="P161" i="18"/>
  <c r="J161" i="18"/>
  <c r="BE161" i="18" s="1"/>
  <c r="BK160" i="18"/>
  <c r="BI160" i="18"/>
  <c r="BH160" i="18"/>
  <c r="BG160" i="18"/>
  <c r="BF160" i="18"/>
  <c r="T160" i="18"/>
  <c r="R160" i="18"/>
  <c r="P160" i="18"/>
  <c r="J160" i="18"/>
  <c r="BE160" i="18" s="1"/>
  <c r="BK159" i="18"/>
  <c r="BI159" i="18"/>
  <c r="BH159" i="18"/>
  <c r="BG159" i="18"/>
  <c r="BF159" i="18"/>
  <c r="T159" i="18"/>
  <c r="R159" i="18"/>
  <c r="P159" i="18"/>
  <c r="J159" i="18"/>
  <c r="BE159" i="18" s="1"/>
  <c r="BK158" i="18"/>
  <c r="BI158" i="18"/>
  <c r="BH158" i="18"/>
  <c r="BG158" i="18"/>
  <c r="BF158" i="18"/>
  <c r="T158" i="18"/>
  <c r="R158" i="18"/>
  <c r="P158" i="18"/>
  <c r="J158" i="18"/>
  <c r="BE158" i="18" s="1"/>
  <c r="BK157" i="18"/>
  <c r="BI157" i="18"/>
  <c r="BH157" i="18"/>
  <c r="BG157" i="18"/>
  <c r="BF157" i="18"/>
  <c r="T157" i="18"/>
  <c r="R157" i="18"/>
  <c r="P157" i="18"/>
  <c r="J157" i="18"/>
  <c r="BE157" i="18" s="1"/>
  <c r="BK156" i="18"/>
  <c r="BI156" i="18"/>
  <c r="BH156" i="18"/>
  <c r="BG156" i="18"/>
  <c r="BF156" i="18"/>
  <c r="T156" i="18"/>
  <c r="R156" i="18"/>
  <c r="P156" i="18"/>
  <c r="J156" i="18"/>
  <c r="BE156" i="18" s="1"/>
  <c r="BK155" i="18"/>
  <c r="BI155" i="18"/>
  <c r="BH155" i="18"/>
  <c r="BG155" i="18"/>
  <c r="BF155" i="18"/>
  <c r="T155" i="18"/>
  <c r="R155" i="18"/>
  <c r="P155" i="18"/>
  <c r="J155" i="18"/>
  <c r="BE155" i="18" s="1"/>
  <c r="BK154" i="18"/>
  <c r="BI154" i="18"/>
  <c r="BH154" i="18"/>
  <c r="BG154" i="18"/>
  <c r="BF154" i="18"/>
  <c r="T154" i="18"/>
  <c r="R154" i="18"/>
  <c r="P154" i="18"/>
  <c r="J154" i="18"/>
  <c r="BE154" i="18" s="1"/>
  <c r="BK153" i="18"/>
  <c r="BI153" i="18"/>
  <c r="BH153" i="18"/>
  <c r="BG153" i="18"/>
  <c r="BF153" i="18"/>
  <c r="T153" i="18"/>
  <c r="R153" i="18"/>
  <c r="P153" i="18"/>
  <c r="J153" i="18"/>
  <c r="BE153" i="18" s="1"/>
  <c r="BK152" i="18"/>
  <c r="BI152" i="18"/>
  <c r="BH152" i="18"/>
  <c r="BG152" i="18"/>
  <c r="BF152" i="18"/>
  <c r="T152" i="18"/>
  <c r="R152" i="18"/>
  <c r="P152" i="18"/>
  <c r="J152" i="18"/>
  <c r="BE152" i="18" s="1"/>
  <c r="BK151" i="18"/>
  <c r="BI151" i="18"/>
  <c r="BH151" i="18"/>
  <c r="BG151" i="18"/>
  <c r="BF151" i="18"/>
  <c r="T151" i="18"/>
  <c r="R151" i="18"/>
  <c r="P151" i="18"/>
  <c r="J151" i="18"/>
  <c r="BE151" i="18" s="1"/>
  <c r="BK150" i="18"/>
  <c r="BI150" i="18"/>
  <c r="BH150" i="18"/>
  <c r="BG150" i="18"/>
  <c r="BF150" i="18"/>
  <c r="T150" i="18"/>
  <c r="R150" i="18"/>
  <c r="P150" i="18"/>
  <c r="J150" i="18"/>
  <c r="BE150" i="18" s="1"/>
  <c r="BK149" i="18"/>
  <c r="BI149" i="18"/>
  <c r="BH149" i="18"/>
  <c r="BG149" i="18"/>
  <c r="BF149" i="18"/>
  <c r="T149" i="18"/>
  <c r="R149" i="18"/>
  <c r="P149" i="18"/>
  <c r="J149" i="18"/>
  <c r="BE149" i="18" s="1"/>
  <c r="BK148" i="18"/>
  <c r="BI148" i="18"/>
  <c r="BH148" i="18"/>
  <c r="BG148" i="18"/>
  <c r="BF148" i="18"/>
  <c r="T148" i="18"/>
  <c r="R148" i="18"/>
  <c r="P148" i="18"/>
  <c r="J148" i="18"/>
  <c r="BE148" i="18" s="1"/>
  <c r="BK147" i="18"/>
  <c r="BI147" i="18"/>
  <c r="BH147" i="18"/>
  <c r="BG147" i="18"/>
  <c r="BF147" i="18"/>
  <c r="T147" i="18"/>
  <c r="R147" i="18"/>
  <c r="P147" i="18"/>
  <c r="J147" i="18"/>
  <c r="BE147" i="18" s="1"/>
  <c r="BK146" i="18"/>
  <c r="BI146" i="18"/>
  <c r="BH146" i="18"/>
  <c r="BG146" i="18"/>
  <c r="BF146" i="18"/>
  <c r="T146" i="18"/>
  <c r="R146" i="18"/>
  <c r="P146" i="18"/>
  <c r="J146" i="18"/>
  <c r="BE146" i="18" s="1"/>
  <c r="BK145" i="18"/>
  <c r="BI145" i="18"/>
  <c r="BH145" i="18"/>
  <c r="BG145" i="18"/>
  <c r="BF145" i="18"/>
  <c r="T145" i="18"/>
  <c r="R145" i="18"/>
  <c r="P145" i="18"/>
  <c r="J145" i="18"/>
  <c r="BE145" i="18" s="1"/>
  <c r="BK144" i="18"/>
  <c r="BI144" i="18"/>
  <c r="BH144" i="18"/>
  <c r="BG144" i="18"/>
  <c r="BF144" i="18"/>
  <c r="T144" i="18"/>
  <c r="R144" i="18"/>
  <c r="P144" i="18"/>
  <c r="J144" i="18"/>
  <c r="BE144" i="18" s="1"/>
  <c r="BK143" i="18"/>
  <c r="BI143" i="18"/>
  <c r="BH143" i="18"/>
  <c r="BG143" i="18"/>
  <c r="BF143" i="18"/>
  <c r="T143" i="18"/>
  <c r="R143" i="18"/>
  <c r="P143" i="18"/>
  <c r="J143" i="18"/>
  <c r="BE143" i="18" s="1"/>
  <c r="BK142" i="18"/>
  <c r="BI142" i="18"/>
  <c r="BH142" i="18"/>
  <c r="BG142" i="18"/>
  <c r="BF142" i="18"/>
  <c r="T142" i="18"/>
  <c r="R142" i="18"/>
  <c r="P142" i="18"/>
  <c r="J142" i="18"/>
  <c r="BE142" i="18" s="1"/>
  <c r="BK141" i="18"/>
  <c r="BI141" i="18"/>
  <c r="BH141" i="18"/>
  <c r="BG141" i="18"/>
  <c r="BF141" i="18"/>
  <c r="T141" i="18"/>
  <c r="R141" i="18"/>
  <c r="P141" i="18"/>
  <c r="J141" i="18"/>
  <c r="BE141" i="18" s="1"/>
  <c r="J136" i="18"/>
  <c r="F136" i="18"/>
  <c r="J135" i="18"/>
  <c r="J133" i="18"/>
  <c r="E131" i="18"/>
  <c r="E125" i="18"/>
  <c r="J96" i="18"/>
  <c r="F96" i="18"/>
  <c r="J95" i="18"/>
  <c r="J93" i="18"/>
  <c r="F93" i="18"/>
  <c r="E91" i="18"/>
  <c r="E85" i="18"/>
  <c r="J41" i="18"/>
  <c r="J40" i="18"/>
  <c r="AY114" i="1" s="1"/>
  <c r="J39" i="18"/>
  <c r="AX114" i="1" s="1"/>
  <c r="BK187" i="17"/>
  <c r="BI187" i="17"/>
  <c r="BH187" i="17"/>
  <c r="BG187" i="17"/>
  <c r="BF187" i="17"/>
  <c r="T187" i="17"/>
  <c r="R187" i="17"/>
  <c r="P187" i="17"/>
  <c r="J187" i="17"/>
  <c r="BE187" i="17" s="1"/>
  <c r="BK186" i="17"/>
  <c r="BK185" i="17" s="1"/>
  <c r="J185" i="17" s="1"/>
  <c r="J105" i="17" s="1"/>
  <c r="BI186" i="17"/>
  <c r="BH186" i="17"/>
  <c r="BG186" i="17"/>
  <c r="BF186" i="17"/>
  <c r="T186" i="17"/>
  <c r="R186" i="17"/>
  <c r="P186" i="17"/>
  <c r="J186" i="17"/>
  <c r="BE186" i="17" s="1"/>
  <c r="BK184" i="17"/>
  <c r="BK183" i="17" s="1"/>
  <c r="BI184" i="17"/>
  <c r="BH184" i="17"/>
  <c r="BG184" i="17"/>
  <c r="BF184" i="17"/>
  <c r="T184" i="17"/>
  <c r="R184" i="17"/>
  <c r="R183" i="17" s="1"/>
  <c r="P184" i="17"/>
  <c r="P183" i="17" s="1"/>
  <c r="J184" i="17"/>
  <c r="BE184" i="17" s="1"/>
  <c r="T183" i="17"/>
  <c r="BK181" i="17"/>
  <c r="BK180" i="17" s="1"/>
  <c r="J180" i="17" s="1"/>
  <c r="J102" i="17" s="1"/>
  <c r="BI181" i="17"/>
  <c r="BH181" i="17"/>
  <c r="BG181" i="17"/>
  <c r="BF181" i="17"/>
  <c r="T181" i="17"/>
  <c r="T180" i="17" s="1"/>
  <c r="R181" i="17"/>
  <c r="R180" i="17" s="1"/>
  <c r="P181" i="17"/>
  <c r="P180" i="17" s="1"/>
  <c r="J181" i="17"/>
  <c r="BE181" i="17" s="1"/>
  <c r="BK179" i="17"/>
  <c r="BI179" i="17"/>
  <c r="BH179" i="17"/>
  <c r="BG179" i="17"/>
  <c r="BF179" i="17"/>
  <c r="T179" i="17"/>
  <c r="R179" i="17"/>
  <c r="P179" i="17"/>
  <c r="J179" i="17"/>
  <c r="BE179" i="17" s="1"/>
  <c r="BK178" i="17"/>
  <c r="BI178" i="17"/>
  <c r="BH178" i="17"/>
  <c r="BG178" i="17"/>
  <c r="BF178" i="17"/>
  <c r="T178" i="17"/>
  <c r="R178" i="17"/>
  <c r="P178" i="17"/>
  <c r="J178" i="17"/>
  <c r="BE178" i="17" s="1"/>
  <c r="BK177" i="17"/>
  <c r="BI177" i="17"/>
  <c r="BH177" i="17"/>
  <c r="BG177" i="17"/>
  <c r="BF177" i="17"/>
  <c r="T177" i="17"/>
  <c r="R177" i="17"/>
  <c r="P177" i="17"/>
  <c r="J177" i="17"/>
  <c r="BE177" i="17" s="1"/>
  <c r="BK176" i="17"/>
  <c r="BI176" i="17"/>
  <c r="BH176" i="17"/>
  <c r="BG176" i="17"/>
  <c r="BF176" i="17"/>
  <c r="T176" i="17"/>
  <c r="R176" i="17"/>
  <c r="P176" i="17"/>
  <c r="J176" i="17"/>
  <c r="BE176" i="17" s="1"/>
  <c r="BK175" i="17"/>
  <c r="BI175" i="17"/>
  <c r="BH175" i="17"/>
  <c r="BG175" i="17"/>
  <c r="BF175" i="17"/>
  <c r="T175" i="17"/>
  <c r="R175" i="17"/>
  <c r="P175" i="17"/>
  <c r="J175" i="17"/>
  <c r="BE175" i="17" s="1"/>
  <c r="BK174" i="17"/>
  <c r="BI174" i="17"/>
  <c r="BH174" i="17"/>
  <c r="BG174" i="17"/>
  <c r="BF174" i="17"/>
  <c r="T174" i="17"/>
  <c r="R174" i="17"/>
  <c r="P174" i="17"/>
  <c r="J174" i="17"/>
  <c r="BE174" i="17" s="1"/>
  <c r="BK173" i="17"/>
  <c r="BI173" i="17"/>
  <c r="BH173" i="17"/>
  <c r="BG173" i="17"/>
  <c r="BF173" i="17"/>
  <c r="T173" i="17"/>
  <c r="R173" i="17"/>
  <c r="P173" i="17"/>
  <c r="J173" i="17"/>
  <c r="BE173" i="17" s="1"/>
  <c r="BK172" i="17"/>
  <c r="BI172" i="17"/>
  <c r="BH172" i="17"/>
  <c r="BG172" i="17"/>
  <c r="BF172" i="17"/>
  <c r="BE172" i="17"/>
  <c r="T172" i="17"/>
  <c r="R172" i="17"/>
  <c r="P172" i="17"/>
  <c r="J172" i="17"/>
  <c r="BK171" i="17"/>
  <c r="BI171" i="17"/>
  <c r="BH171" i="17"/>
  <c r="BG171" i="17"/>
  <c r="BF171" i="17"/>
  <c r="T171" i="17"/>
  <c r="R171" i="17"/>
  <c r="P171" i="17"/>
  <c r="J171" i="17"/>
  <c r="BE171" i="17" s="1"/>
  <c r="BK170" i="17"/>
  <c r="BI170" i="17"/>
  <c r="BH170" i="17"/>
  <c r="BG170" i="17"/>
  <c r="BF170" i="17"/>
  <c r="T170" i="17"/>
  <c r="R170" i="17"/>
  <c r="P170" i="17"/>
  <c r="J170" i="17"/>
  <c r="BE170" i="17" s="1"/>
  <c r="BK169" i="17"/>
  <c r="BI169" i="17"/>
  <c r="BH169" i="17"/>
  <c r="BG169" i="17"/>
  <c r="BF169" i="17"/>
  <c r="T169" i="17"/>
  <c r="R169" i="17"/>
  <c r="P169" i="17"/>
  <c r="J169" i="17"/>
  <c r="BE169" i="17" s="1"/>
  <c r="BK168" i="17"/>
  <c r="BI168" i="17"/>
  <c r="BH168" i="17"/>
  <c r="BG168" i="17"/>
  <c r="BF168" i="17"/>
  <c r="T168" i="17"/>
  <c r="R168" i="17"/>
  <c r="P168" i="17"/>
  <c r="J168" i="17"/>
  <c r="BE168" i="17" s="1"/>
  <c r="BK167" i="17"/>
  <c r="BI167" i="17"/>
  <c r="BH167" i="17"/>
  <c r="BG167" i="17"/>
  <c r="BF167" i="17"/>
  <c r="T167" i="17"/>
  <c r="R167" i="17"/>
  <c r="P167" i="17"/>
  <c r="J167" i="17"/>
  <c r="BE167" i="17" s="1"/>
  <c r="BK166" i="17"/>
  <c r="BI166" i="17"/>
  <c r="BH166" i="17"/>
  <c r="BG166" i="17"/>
  <c r="BF166" i="17"/>
  <c r="T166" i="17"/>
  <c r="R166" i="17"/>
  <c r="P166" i="17"/>
  <c r="J166" i="17"/>
  <c r="BE166" i="17" s="1"/>
  <c r="BK165" i="17"/>
  <c r="BI165" i="17"/>
  <c r="BH165" i="17"/>
  <c r="BG165" i="17"/>
  <c r="BF165" i="17"/>
  <c r="T165" i="17"/>
  <c r="R165" i="17"/>
  <c r="P165" i="17"/>
  <c r="J165" i="17"/>
  <c r="BE165" i="17" s="1"/>
  <c r="BK163" i="17"/>
  <c r="BI163" i="17"/>
  <c r="BH163" i="17"/>
  <c r="BG163" i="17"/>
  <c r="BF163" i="17"/>
  <c r="T163" i="17"/>
  <c r="R163" i="17"/>
  <c r="P163" i="17"/>
  <c r="J163" i="17"/>
  <c r="BE163" i="17" s="1"/>
  <c r="BK162" i="17"/>
  <c r="BI162" i="17"/>
  <c r="BH162" i="17"/>
  <c r="BG162" i="17"/>
  <c r="BF162" i="17"/>
  <c r="T162" i="17"/>
  <c r="R162" i="17"/>
  <c r="P162" i="17"/>
  <c r="J162" i="17"/>
  <c r="BE162" i="17" s="1"/>
  <c r="BK161" i="17"/>
  <c r="BI161" i="17"/>
  <c r="BH161" i="17"/>
  <c r="BG161" i="17"/>
  <c r="BF161" i="17"/>
  <c r="T161" i="17"/>
  <c r="R161" i="17"/>
  <c r="P161" i="17"/>
  <c r="J161" i="17"/>
  <c r="BE161" i="17" s="1"/>
  <c r="BK159" i="17"/>
  <c r="BI159" i="17"/>
  <c r="BH159" i="17"/>
  <c r="BG159" i="17"/>
  <c r="BF159" i="17"/>
  <c r="T159" i="17"/>
  <c r="R159" i="17"/>
  <c r="P159" i="17"/>
  <c r="J159" i="17"/>
  <c r="BE159" i="17" s="1"/>
  <c r="BK157" i="17"/>
  <c r="BI157" i="17"/>
  <c r="BH157" i="17"/>
  <c r="BG157" i="17"/>
  <c r="BF157" i="17"/>
  <c r="T157" i="17"/>
  <c r="R157" i="17"/>
  <c r="P157" i="17"/>
  <c r="J157" i="17"/>
  <c r="BE157" i="17" s="1"/>
  <c r="BK155" i="17"/>
  <c r="BI155" i="17"/>
  <c r="BH155" i="17"/>
  <c r="BG155" i="17"/>
  <c r="BF155" i="17"/>
  <c r="T155" i="17"/>
  <c r="R155" i="17"/>
  <c r="P155" i="17"/>
  <c r="J155" i="17"/>
  <c r="BE155" i="17" s="1"/>
  <c r="BK153" i="17"/>
  <c r="BI153" i="17"/>
  <c r="BH153" i="17"/>
  <c r="BG153" i="17"/>
  <c r="BF153" i="17"/>
  <c r="T153" i="17"/>
  <c r="R153" i="17"/>
  <c r="P153" i="17"/>
  <c r="J153" i="17"/>
  <c r="BE153" i="17" s="1"/>
  <c r="BK151" i="17"/>
  <c r="BI151" i="17"/>
  <c r="BH151" i="17"/>
  <c r="BG151" i="17"/>
  <c r="BF151" i="17"/>
  <c r="T151" i="17"/>
  <c r="R151" i="17"/>
  <c r="P151" i="17"/>
  <c r="J151" i="17"/>
  <c r="BE151" i="17" s="1"/>
  <c r="BK150" i="17"/>
  <c r="BI150" i="17"/>
  <c r="BH150" i="17"/>
  <c r="BG150" i="17"/>
  <c r="BF150" i="17"/>
  <c r="T150" i="17"/>
  <c r="R150" i="17"/>
  <c r="P150" i="17"/>
  <c r="J150" i="17"/>
  <c r="BE150" i="17" s="1"/>
  <c r="BK149" i="17"/>
  <c r="BI149" i="17"/>
  <c r="BH149" i="17"/>
  <c r="BG149" i="17"/>
  <c r="BF149" i="17"/>
  <c r="T149" i="17"/>
  <c r="R149" i="17"/>
  <c r="P149" i="17"/>
  <c r="J149" i="17"/>
  <c r="BE149" i="17" s="1"/>
  <c r="BK148" i="17"/>
  <c r="BI148" i="17"/>
  <c r="BH148" i="17"/>
  <c r="BG148" i="17"/>
  <c r="BF148" i="17"/>
  <c r="T148" i="17"/>
  <c r="R148" i="17"/>
  <c r="P148" i="17"/>
  <c r="J148" i="17"/>
  <c r="BE148" i="17" s="1"/>
  <c r="BK147" i="17"/>
  <c r="BI147" i="17"/>
  <c r="BH147" i="17"/>
  <c r="BG147" i="17"/>
  <c r="BF147" i="17"/>
  <c r="T147" i="17"/>
  <c r="R147" i="17"/>
  <c r="P147" i="17"/>
  <c r="J147" i="17"/>
  <c r="BE147" i="17" s="1"/>
  <c r="BK146" i="17"/>
  <c r="BI146" i="17"/>
  <c r="BH146" i="17"/>
  <c r="BG146" i="17"/>
  <c r="BF146" i="17"/>
  <c r="T146" i="17"/>
  <c r="R146" i="17"/>
  <c r="P146" i="17"/>
  <c r="J146" i="17"/>
  <c r="BE146" i="17" s="1"/>
  <c r="BK145" i="17"/>
  <c r="BI145" i="17"/>
  <c r="BH145" i="17"/>
  <c r="BG145" i="17"/>
  <c r="BF145" i="17"/>
  <c r="T145" i="17"/>
  <c r="R145" i="17"/>
  <c r="P145" i="17"/>
  <c r="J145" i="17"/>
  <c r="BE145" i="17" s="1"/>
  <c r="BK144" i="17"/>
  <c r="BI144" i="17"/>
  <c r="BH144" i="17"/>
  <c r="BG144" i="17"/>
  <c r="BF144" i="17"/>
  <c r="T144" i="17"/>
  <c r="R144" i="17"/>
  <c r="P144" i="17"/>
  <c r="J144" i="17"/>
  <c r="BE144" i="17" s="1"/>
  <c r="BK143" i="17"/>
  <c r="BI143" i="17"/>
  <c r="BH143" i="17"/>
  <c r="BG143" i="17"/>
  <c r="BF143" i="17"/>
  <c r="T143" i="17"/>
  <c r="R143" i="17"/>
  <c r="P143" i="17"/>
  <c r="J143" i="17"/>
  <c r="BE143" i="17" s="1"/>
  <c r="BK142" i="17"/>
  <c r="BI142" i="17"/>
  <c r="BH142" i="17"/>
  <c r="BG142" i="17"/>
  <c r="BF142" i="17"/>
  <c r="T142" i="17"/>
  <c r="R142" i="17"/>
  <c r="P142" i="17"/>
  <c r="J142" i="17"/>
  <c r="BE142" i="17" s="1"/>
  <c r="BK141" i="17"/>
  <c r="BI141" i="17"/>
  <c r="BH141" i="17"/>
  <c r="BG141" i="17"/>
  <c r="BF141" i="17"/>
  <c r="T141" i="17"/>
  <c r="R141" i="17"/>
  <c r="P141" i="17"/>
  <c r="J141" i="17"/>
  <c r="BE141" i="17" s="1"/>
  <c r="J135" i="17"/>
  <c r="F135" i="17"/>
  <c r="J134" i="17"/>
  <c r="F134" i="17"/>
  <c r="E130" i="17"/>
  <c r="E126" i="17"/>
  <c r="J94" i="17"/>
  <c r="J93" i="17"/>
  <c r="F93" i="17"/>
  <c r="J91" i="17"/>
  <c r="F91" i="17"/>
  <c r="E89" i="17"/>
  <c r="E85" i="17"/>
  <c r="J39" i="17"/>
  <c r="J38" i="17"/>
  <c r="AY112" i="1" s="1"/>
  <c r="J37" i="17"/>
  <c r="AX112" i="1" s="1"/>
  <c r="BK271" i="16"/>
  <c r="BI271" i="16"/>
  <c r="BH271" i="16"/>
  <c r="BG271" i="16"/>
  <c r="BF271" i="16"/>
  <c r="T271" i="16"/>
  <c r="R271" i="16"/>
  <c r="P271" i="16"/>
  <c r="J271" i="16"/>
  <c r="BE271" i="16" s="1"/>
  <c r="BK270" i="16"/>
  <c r="BI270" i="16"/>
  <c r="BH270" i="16"/>
  <c r="BG270" i="16"/>
  <c r="BF270" i="16"/>
  <c r="T270" i="16"/>
  <c r="T269" i="16" s="1"/>
  <c r="R270" i="16"/>
  <c r="P270" i="16"/>
  <c r="J270" i="16"/>
  <c r="BE270" i="16" s="1"/>
  <c r="BK266" i="16"/>
  <c r="BK265" i="16" s="1"/>
  <c r="J265" i="16" s="1"/>
  <c r="J106" i="16" s="1"/>
  <c r="BI266" i="16"/>
  <c r="BH266" i="16"/>
  <c r="BG266" i="16"/>
  <c r="BF266" i="16"/>
  <c r="T266" i="16"/>
  <c r="T265" i="16" s="1"/>
  <c r="R266" i="16"/>
  <c r="R265" i="16" s="1"/>
  <c r="P266" i="16"/>
  <c r="P265" i="16" s="1"/>
  <c r="J266" i="16"/>
  <c r="BE266" i="16" s="1"/>
  <c r="BK264" i="16"/>
  <c r="BI264" i="16"/>
  <c r="BH264" i="16"/>
  <c r="BG264" i="16"/>
  <c r="BF264" i="16"/>
  <c r="T264" i="16"/>
  <c r="R264" i="16"/>
  <c r="P264" i="16"/>
  <c r="J264" i="16"/>
  <c r="BE264" i="16" s="1"/>
  <c r="BK263" i="16"/>
  <c r="BI263" i="16"/>
  <c r="BH263" i="16"/>
  <c r="BG263" i="16"/>
  <c r="BF263" i="16"/>
  <c r="T263" i="16"/>
  <c r="R263" i="16"/>
  <c r="P263" i="16"/>
  <c r="J263" i="16"/>
  <c r="BE263" i="16" s="1"/>
  <c r="BK262" i="16"/>
  <c r="BI262" i="16"/>
  <c r="BH262" i="16"/>
  <c r="BG262" i="16"/>
  <c r="BF262" i="16"/>
  <c r="T262" i="16"/>
  <c r="R262" i="16"/>
  <c r="P262" i="16"/>
  <c r="J262" i="16"/>
  <c r="BE262" i="16" s="1"/>
  <c r="BK260" i="16"/>
  <c r="BI260" i="16"/>
  <c r="BH260" i="16"/>
  <c r="BG260" i="16"/>
  <c r="BF260" i="16"/>
  <c r="T260" i="16"/>
  <c r="R260" i="16"/>
  <c r="P260" i="16"/>
  <c r="J260" i="16"/>
  <c r="BE260" i="16" s="1"/>
  <c r="BK259" i="16"/>
  <c r="BI259" i="16"/>
  <c r="BH259" i="16"/>
  <c r="BG259" i="16"/>
  <c r="BF259" i="16"/>
  <c r="T259" i="16"/>
  <c r="R259" i="16"/>
  <c r="P259" i="16"/>
  <c r="J259" i="16"/>
  <c r="BE259" i="16" s="1"/>
  <c r="BK258" i="16"/>
  <c r="BI258" i="16"/>
  <c r="BH258" i="16"/>
  <c r="BG258" i="16"/>
  <c r="BF258" i="16"/>
  <c r="T258" i="16"/>
  <c r="R258" i="16"/>
  <c r="P258" i="16"/>
  <c r="J258" i="16"/>
  <c r="BE258" i="16" s="1"/>
  <c r="BK257" i="16"/>
  <c r="BI257" i="16"/>
  <c r="BH257" i="16"/>
  <c r="BG257" i="16"/>
  <c r="BF257" i="16"/>
  <c r="T257" i="16"/>
  <c r="R257" i="16"/>
  <c r="P257" i="16"/>
  <c r="J257" i="16"/>
  <c r="BE257" i="16" s="1"/>
  <c r="BK256" i="16"/>
  <c r="BI256" i="16"/>
  <c r="BH256" i="16"/>
  <c r="BG256" i="16"/>
  <c r="BF256" i="16"/>
  <c r="T256" i="16"/>
  <c r="R256" i="16"/>
  <c r="P256" i="16"/>
  <c r="J256" i="16"/>
  <c r="BE256" i="16" s="1"/>
  <c r="BK255" i="16"/>
  <c r="BI255" i="16"/>
  <c r="BH255" i="16"/>
  <c r="BG255" i="16"/>
  <c r="BF255" i="16"/>
  <c r="T255" i="16"/>
  <c r="R255" i="16"/>
  <c r="P255" i="16"/>
  <c r="J255" i="16"/>
  <c r="BE255" i="16" s="1"/>
  <c r="BK254" i="16"/>
  <c r="BI254" i="16"/>
  <c r="BH254" i="16"/>
  <c r="BG254" i="16"/>
  <c r="BF254" i="16"/>
  <c r="T254" i="16"/>
  <c r="R254" i="16"/>
  <c r="P254" i="16"/>
  <c r="J254" i="16"/>
  <c r="BE254" i="16" s="1"/>
  <c r="BK253" i="16"/>
  <c r="BI253" i="16"/>
  <c r="BH253" i="16"/>
  <c r="BG253" i="16"/>
  <c r="BF253" i="16"/>
  <c r="T253" i="16"/>
  <c r="R253" i="16"/>
  <c r="P253" i="16"/>
  <c r="J253" i="16"/>
  <c r="BE253" i="16" s="1"/>
  <c r="BK252" i="16"/>
  <c r="BI252" i="16"/>
  <c r="BH252" i="16"/>
  <c r="BG252" i="16"/>
  <c r="BF252" i="16"/>
  <c r="T252" i="16"/>
  <c r="R252" i="16"/>
  <c r="P252" i="16"/>
  <c r="J252" i="16"/>
  <c r="BE252" i="16" s="1"/>
  <c r="BK251" i="16"/>
  <c r="BI251" i="16"/>
  <c r="BH251" i="16"/>
  <c r="BG251" i="16"/>
  <c r="BF251" i="16"/>
  <c r="T251" i="16"/>
  <c r="R251" i="16"/>
  <c r="P251" i="16"/>
  <c r="J251" i="16"/>
  <c r="BE251" i="16" s="1"/>
  <c r="BK250" i="16"/>
  <c r="BI250" i="16"/>
  <c r="BH250" i="16"/>
  <c r="BG250" i="16"/>
  <c r="BF250" i="16"/>
  <c r="T250" i="16"/>
  <c r="R250" i="16"/>
  <c r="P250" i="16"/>
  <c r="J250" i="16"/>
  <c r="BE250" i="16" s="1"/>
  <c r="BK249" i="16"/>
  <c r="BI249" i="16"/>
  <c r="BH249" i="16"/>
  <c r="BG249" i="16"/>
  <c r="BF249" i="16"/>
  <c r="T249" i="16"/>
  <c r="R249" i="16"/>
  <c r="P249" i="16"/>
  <c r="J249" i="16"/>
  <c r="BE249" i="16" s="1"/>
  <c r="BK248" i="16"/>
  <c r="BI248" i="16"/>
  <c r="BH248" i="16"/>
  <c r="BG248" i="16"/>
  <c r="BF248" i="16"/>
  <c r="T248" i="16"/>
  <c r="R248" i="16"/>
  <c r="P248" i="16"/>
  <c r="J248" i="16"/>
  <c r="BE248" i="16" s="1"/>
  <c r="BK247" i="16"/>
  <c r="BI247" i="16"/>
  <c r="BH247" i="16"/>
  <c r="BG247" i="16"/>
  <c r="BF247" i="16"/>
  <c r="T247" i="16"/>
  <c r="R247" i="16"/>
  <c r="P247" i="16"/>
  <c r="J247" i="16"/>
  <c r="BE247" i="16" s="1"/>
  <c r="BK246" i="16"/>
  <c r="BI246" i="16"/>
  <c r="BH246" i="16"/>
  <c r="BG246" i="16"/>
  <c r="BF246" i="16"/>
  <c r="T246" i="16"/>
  <c r="R246" i="16"/>
  <c r="P246" i="16"/>
  <c r="J246" i="16"/>
  <c r="BE246" i="16" s="1"/>
  <c r="BK245" i="16"/>
  <c r="BI245" i="16"/>
  <c r="BH245" i="16"/>
  <c r="BG245" i="16"/>
  <c r="BF245" i="16"/>
  <c r="T245" i="16"/>
  <c r="R245" i="16"/>
  <c r="P245" i="16"/>
  <c r="J245" i="16"/>
  <c r="BE245" i="16" s="1"/>
  <c r="BK244" i="16"/>
  <c r="BI244" i="16"/>
  <c r="BH244" i="16"/>
  <c r="BG244" i="16"/>
  <c r="BF244" i="16"/>
  <c r="T244" i="16"/>
  <c r="R244" i="16"/>
  <c r="P244" i="16"/>
  <c r="J244" i="16"/>
  <c r="BE244" i="16" s="1"/>
  <c r="BK243" i="16"/>
  <c r="BI243" i="16"/>
  <c r="BH243" i="16"/>
  <c r="BG243" i="16"/>
  <c r="BF243" i="16"/>
  <c r="T243" i="16"/>
  <c r="R243" i="16"/>
  <c r="P243" i="16"/>
  <c r="J243" i="16"/>
  <c r="BE243" i="16" s="1"/>
  <c r="BK242" i="16"/>
  <c r="BI242" i="16"/>
  <c r="BH242" i="16"/>
  <c r="BG242" i="16"/>
  <c r="BF242" i="16"/>
  <c r="T242" i="16"/>
  <c r="R242" i="16"/>
  <c r="P242" i="16"/>
  <c r="J242" i="16"/>
  <c r="BE242" i="16" s="1"/>
  <c r="BK241" i="16"/>
  <c r="BI241" i="16"/>
  <c r="BH241" i="16"/>
  <c r="BG241" i="16"/>
  <c r="BF241" i="16"/>
  <c r="T241" i="16"/>
  <c r="R241" i="16"/>
  <c r="P241" i="16"/>
  <c r="J241" i="16"/>
  <c r="BE241" i="16" s="1"/>
  <c r="BK240" i="16"/>
  <c r="BI240" i="16"/>
  <c r="BH240" i="16"/>
  <c r="BG240" i="16"/>
  <c r="BF240" i="16"/>
  <c r="T240" i="16"/>
  <c r="R240" i="16"/>
  <c r="P240" i="16"/>
  <c r="J240" i="16"/>
  <c r="BE240" i="16" s="1"/>
  <c r="BK239" i="16"/>
  <c r="BI239" i="16"/>
  <c r="BH239" i="16"/>
  <c r="BG239" i="16"/>
  <c r="BF239" i="16"/>
  <c r="T239" i="16"/>
  <c r="R239" i="16"/>
  <c r="P239" i="16"/>
  <c r="J239" i="16"/>
  <c r="BE239" i="16" s="1"/>
  <c r="BK238" i="16"/>
  <c r="BI238" i="16"/>
  <c r="BH238" i="16"/>
  <c r="BG238" i="16"/>
  <c r="BF238" i="16"/>
  <c r="T238" i="16"/>
  <c r="R238" i="16"/>
  <c r="P238" i="16"/>
  <c r="J238" i="16"/>
  <c r="BE238" i="16" s="1"/>
  <c r="BK237" i="16"/>
  <c r="BI237" i="16"/>
  <c r="BH237" i="16"/>
  <c r="BG237" i="16"/>
  <c r="BF237" i="16"/>
  <c r="T237" i="16"/>
  <c r="R237" i="16"/>
  <c r="P237" i="16"/>
  <c r="J237" i="16"/>
  <c r="BE237" i="16" s="1"/>
  <c r="BK236" i="16"/>
  <c r="BI236" i="16"/>
  <c r="BH236" i="16"/>
  <c r="BG236" i="16"/>
  <c r="BF236" i="16"/>
  <c r="T236" i="16"/>
  <c r="R236" i="16"/>
  <c r="P236" i="16"/>
  <c r="J236" i="16"/>
  <c r="BE236" i="16" s="1"/>
  <c r="BK235" i="16"/>
  <c r="BI235" i="16"/>
  <c r="BH235" i="16"/>
  <c r="BG235" i="16"/>
  <c r="BF235" i="16"/>
  <c r="T235" i="16"/>
  <c r="R235" i="16"/>
  <c r="P235" i="16"/>
  <c r="J235" i="16"/>
  <c r="BE235" i="16" s="1"/>
  <c r="BK234" i="16"/>
  <c r="BI234" i="16"/>
  <c r="BH234" i="16"/>
  <c r="BG234" i="16"/>
  <c r="BF234" i="16"/>
  <c r="T234" i="16"/>
  <c r="R234" i="16"/>
  <c r="P234" i="16"/>
  <c r="J234" i="16"/>
  <c r="BE234" i="16" s="1"/>
  <c r="BK233" i="16"/>
  <c r="BI233" i="16"/>
  <c r="BH233" i="16"/>
  <c r="BG233" i="16"/>
  <c r="BF233" i="16"/>
  <c r="T233" i="16"/>
  <c r="R233" i="16"/>
  <c r="P233" i="16"/>
  <c r="J233" i="16"/>
  <c r="BE233" i="16" s="1"/>
  <c r="BK232" i="16"/>
  <c r="BI232" i="16"/>
  <c r="BH232" i="16"/>
  <c r="BG232" i="16"/>
  <c r="BF232" i="16"/>
  <c r="T232" i="16"/>
  <c r="R232" i="16"/>
  <c r="P232" i="16"/>
  <c r="J232" i="16"/>
  <c r="BE232" i="16" s="1"/>
  <c r="BK231" i="16"/>
  <c r="BI231" i="16"/>
  <c r="BH231" i="16"/>
  <c r="BG231" i="16"/>
  <c r="BF231" i="16"/>
  <c r="T231" i="16"/>
  <c r="R231" i="16"/>
  <c r="P231" i="16"/>
  <c r="J231" i="16"/>
  <c r="BE231" i="16" s="1"/>
  <c r="BK230" i="16"/>
  <c r="BI230" i="16"/>
  <c r="BH230" i="16"/>
  <c r="BG230" i="16"/>
  <c r="BF230" i="16"/>
  <c r="T230" i="16"/>
  <c r="R230" i="16"/>
  <c r="P230" i="16"/>
  <c r="J230" i="16"/>
  <c r="BE230" i="16" s="1"/>
  <c r="BK229" i="16"/>
  <c r="BI229" i="16"/>
  <c r="BH229" i="16"/>
  <c r="BG229" i="16"/>
  <c r="BF229" i="16"/>
  <c r="T229" i="16"/>
  <c r="R229" i="16"/>
  <c r="P229" i="16"/>
  <c r="J229" i="16"/>
  <c r="BE229" i="16" s="1"/>
  <c r="BK228" i="16"/>
  <c r="BI228" i="16"/>
  <c r="BH228" i="16"/>
  <c r="BG228" i="16"/>
  <c r="BF228" i="16"/>
  <c r="T228" i="16"/>
  <c r="R228" i="16"/>
  <c r="P228" i="16"/>
  <c r="J228" i="16"/>
  <c r="BE228" i="16" s="1"/>
  <c r="BK227" i="16"/>
  <c r="BI227" i="16"/>
  <c r="BH227" i="16"/>
  <c r="BG227" i="16"/>
  <c r="BF227" i="16"/>
  <c r="T227" i="16"/>
  <c r="R227" i="16"/>
  <c r="P227" i="16"/>
  <c r="J227" i="16"/>
  <c r="BE227" i="16" s="1"/>
  <c r="BK226" i="16"/>
  <c r="BI226" i="16"/>
  <c r="BH226" i="16"/>
  <c r="BG226" i="16"/>
  <c r="BF226" i="16"/>
  <c r="T226" i="16"/>
  <c r="R226" i="16"/>
  <c r="P226" i="16"/>
  <c r="J226" i="16"/>
  <c r="BE226" i="16" s="1"/>
  <c r="BK225" i="16"/>
  <c r="BI225" i="16"/>
  <c r="BH225" i="16"/>
  <c r="BG225" i="16"/>
  <c r="BF225" i="16"/>
  <c r="T225" i="16"/>
  <c r="R225" i="16"/>
  <c r="P225" i="16"/>
  <c r="J225" i="16"/>
  <c r="BE225" i="16" s="1"/>
  <c r="BK224" i="16"/>
  <c r="BI224" i="16"/>
  <c r="BH224" i="16"/>
  <c r="BG224" i="16"/>
  <c r="BF224" i="16"/>
  <c r="T224" i="16"/>
  <c r="R224" i="16"/>
  <c r="P224" i="16"/>
  <c r="J224" i="16"/>
  <c r="BE224" i="16" s="1"/>
  <c r="BK223" i="16"/>
  <c r="BI223" i="16"/>
  <c r="BH223" i="16"/>
  <c r="BG223" i="16"/>
  <c r="BF223" i="16"/>
  <c r="T223" i="16"/>
  <c r="R223" i="16"/>
  <c r="P223" i="16"/>
  <c r="J223" i="16"/>
  <c r="BE223" i="16" s="1"/>
  <c r="BK221" i="16"/>
  <c r="BI221" i="16"/>
  <c r="BH221" i="16"/>
  <c r="BG221" i="16"/>
  <c r="BF221" i="16"/>
  <c r="T221" i="16"/>
  <c r="R221" i="16"/>
  <c r="P221" i="16"/>
  <c r="J221" i="16"/>
  <c r="BE221" i="16" s="1"/>
  <c r="BK220" i="16"/>
  <c r="BI220" i="16"/>
  <c r="BH220" i="16"/>
  <c r="BG220" i="16"/>
  <c r="BF220" i="16"/>
  <c r="T220" i="16"/>
  <c r="R220" i="16"/>
  <c r="P220" i="16"/>
  <c r="J220" i="16"/>
  <c r="BE220" i="16" s="1"/>
  <c r="BK219" i="16"/>
  <c r="BI219" i="16"/>
  <c r="BH219" i="16"/>
  <c r="BG219" i="16"/>
  <c r="BF219" i="16"/>
  <c r="T219" i="16"/>
  <c r="R219" i="16"/>
  <c r="P219" i="16"/>
  <c r="J219" i="16"/>
  <c r="BE219" i="16" s="1"/>
  <c r="BK218" i="16"/>
  <c r="BI218" i="16"/>
  <c r="BH218" i="16"/>
  <c r="BG218" i="16"/>
  <c r="BF218" i="16"/>
  <c r="T218" i="16"/>
  <c r="R218" i="16"/>
  <c r="P218" i="16"/>
  <c r="J218" i="16"/>
  <c r="BE218" i="16" s="1"/>
  <c r="BK217" i="16"/>
  <c r="BI217" i="16"/>
  <c r="BH217" i="16"/>
  <c r="BG217" i="16"/>
  <c r="BF217" i="16"/>
  <c r="T217" i="16"/>
  <c r="R217" i="16"/>
  <c r="P217" i="16"/>
  <c r="J217" i="16"/>
  <c r="BE217" i="16" s="1"/>
  <c r="BK216" i="16"/>
  <c r="BI216" i="16"/>
  <c r="BH216" i="16"/>
  <c r="BG216" i="16"/>
  <c r="BF216" i="16"/>
  <c r="T216" i="16"/>
  <c r="R216" i="16"/>
  <c r="P216" i="16"/>
  <c r="J216" i="16"/>
  <c r="BE216" i="16" s="1"/>
  <c r="BK215" i="16"/>
  <c r="BI215" i="16"/>
  <c r="BH215" i="16"/>
  <c r="BG215" i="16"/>
  <c r="BF215" i="16"/>
  <c r="T215" i="16"/>
  <c r="R215" i="16"/>
  <c r="P215" i="16"/>
  <c r="J215" i="16"/>
  <c r="BE215" i="16" s="1"/>
  <c r="BK214" i="16"/>
  <c r="BI214" i="16"/>
  <c r="BH214" i="16"/>
  <c r="BG214" i="16"/>
  <c r="BF214" i="16"/>
  <c r="T214" i="16"/>
  <c r="R214" i="16"/>
  <c r="P214" i="16"/>
  <c r="J214" i="16"/>
  <c r="BE214" i="16" s="1"/>
  <c r="BK213" i="16"/>
  <c r="BI213" i="16"/>
  <c r="BH213" i="16"/>
  <c r="BG213" i="16"/>
  <c r="BF213" i="16"/>
  <c r="T213" i="16"/>
  <c r="R213" i="16"/>
  <c r="P213" i="16"/>
  <c r="J213" i="16"/>
  <c r="BE213" i="16" s="1"/>
  <c r="BK212" i="16"/>
  <c r="BI212" i="16"/>
  <c r="BH212" i="16"/>
  <c r="BG212" i="16"/>
  <c r="BF212" i="16"/>
  <c r="T212" i="16"/>
  <c r="R212" i="16"/>
  <c r="P212" i="16"/>
  <c r="J212" i="16"/>
  <c r="BE212" i="16" s="1"/>
  <c r="BK211" i="16"/>
  <c r="BI211" i="16"/>
  <c r="BH211" i="16"/>
  <c r="BG211" i="16"/>
  <c r="BF211" i="16"/>
  <c r="T211" i="16"/>
  <c r="R211" i="16"/>
  <c r="P211" i="16"/>
  <c r="J211" i="16"/>
  <c r="BE211" i="16" s="1"/>
  <c r="BK210" i="16"/>
  <c r="BI210" i="16"/>
  <c r="BH210" i="16"/>
  <c r="BG210" i="16"/>
  <c r="BF210" i="16"/>
  <c r="T210" i="16"/>
  <c r="R210" i="16"/>
  <c r="P210" i="16"/>
  <c r="J210" i="16"/>
  <c r="BE210" i="16" s="1"/>
  <c r="BK209" i="16"/>
  <c r="BI209" i="16"/>
  <c r="BH209" i="16"/>
  <c r="BG209" i="16"/>
  <c r="BF209" i="16"/>
  <c r="T209" i="16"/>
  <c r="R209" i="16"/>
  <c r="P209" i="16"/>
  <c r="J209" i="16"/>
  <c r="BE209" i="16" s="1"/>
  <c r="BK208" i="16"/>
  <c r="BI208" i="16"/>
  <c r="BH208" i="16"/>
  <c r="BG208" i="16"/>
  <c r="BF208" i="16"/>
  <c r="T208" i="16"/>
  <c r="R208" i="16"/>
  <c r="P208" i="16"/>
  <c r="J208" i="16"/>
  <c r="BE208" i="16" s="1"/>
  <c r="BK207" i="16"/>
  <c r="BI207" i="16"/>
  <c r="BH207" i="16"/>
  <c r="BG207" i="16"/>
  <c r="BF207" i="16"/>
  <c r="T207" i="16"/>
  <c r="R207" i="16"/>
  <c r="P207" i="16"/>
  <c r="J207" i="16"/>
  <c r="BE207" i="16" s="1"/>
  <c r="BK206" i="16"/>
  <c r="BI206" i="16"/>
  <c r="BH206" i="16"/>
  <c r="BG206" i="16"/>
  <c r="BF206" i="16"/>
  <c r="T206" i="16"/>
  <c r="R206" i="16"/>
  <c r="P206" i="16"/>
  <c r="J206" i="16"/>
  <c r="BE206" i="16" s="1"/>
  <c r="BK205" i="16"/>
  <c r="BI205" i="16"/>
  <c r="BH205" i="16"/>
  <c r="BG205" i="16"/>
  <c r="BF205" i="16"/>
  <c r="T205" i="16"/>
  <c r="R205" i="16"/>
  <c r="P205" i="16"/>
  <c r="J205" i="16"/>
  <c r="BE205" i="16" s="1"/>
  <c r="BK204" i="16"/>
  <c r="BI204" i="16"/>
  <c r="BH204" i="16"/>
  <c r="BG204" i="16"/>
  <c r="BF204" i="16"/>
  <c r="T204" i="16"/>
  <c r="R204" i="16"/>
  <c r="P204" i="16"/>
  <c r="J204" i="16"/>
  <c r="BE204" i="16" s="1"/>
  <c r="BK203" i="16"/>
  <c r="BI203" i="16"/>
  <c r="BH203" i="16"/>
  <c r="BG203" i="16"/>
  <c r="BF203" i="16"/>
  <c r="T203" i="16"/>
  <c r="R203" i="16"/>
  <c r="P203" i="16"/>
  <c r="J203" i="16"/>
  <c r="BE203" i="16" s="1"/>
  <c r="BK202" i="16"/>
  <c r="BI202" i="16"/>
  <c r="BH202" i="16"/>
  <c r="BG202" i="16"/>
  <c r="BF202" i="16"/>
  <c r="T202" i="16"/>
  <c r="R202" i="16"/>
  <c r="P202" i="16"/>
  <c r="J202" i="16"/>
  <c r="BE202" i="16" s="1"/>
  <c r="BK201" i="16"/>
  <c r="BI201" i="16"/>
  <c r="BH201" i="16"/>
  <c r="BG201" i="16"/>
  <c r="BF201" i="16"/>
  <c r="BE201" i="16"/>
  <c r="T201" i="16"/>
  <c r="R201" i="16"/>
  <c r="P201" i="16"/>
  <c r="J201" i="16"/>
  <c r="BK200" i="16"/>
  <c r="BI200" i="16"/>
  <c r="BH200" i="16"/>
  <c r="BG200" i="16"/>
  <c r="BF200" i="16"/>
  <c r="T200" i="16"/>
  <c r="R200" i="16"/>
  <c r="P200" i="16"/>
  <c r="J200" i="16"/>
  <c r="BE200" i="16" s="1"/>
  <c r="BK199" i="16"/>
  <c r="BI199" i="16"/>
  <c r="BH199" i="16"/>
  <c r="BG199" i="16"/>
  <c r="BF199" i="16"/>
  <c r="T199" i="16"/>
  <c r="R199" i="16"/>
  <c r="P199" i="16"/>
  <c r="J199" i="16"/>
  <c r="BE199" i="16" s="1"/>
  <c r="BK198" i="16"/>
  <c r="BI198" i="16"/>
  <c r="BH198" i="16"/>
  <c r="BG198" i="16"/>
  <c r="BF198" i="16"/>
  <c r="T198" i="16"/>
  <c r="R198" i="16"/>
  <c r="P198" i="16"/>
  <c r="J198" i="16"/>
  <c r="BE198" i="16" s="1"/>
  <c r="BK197" i="16"/>
  <c r="BI197" i="16"/>
  <c r="BH197" i="16"/>
  <c r="BG197" i="16"/>
  <c r="BF197" i="16"/>
  <c r="T197" i="16"/>
  <c r="R197" i="16"/>
  <c r="P197" i="16"/>
  <c r="J197" i="16"/>
  <c r="BE197" i="16" s="1"/>
  <c r="BK196" i="16"/>
  <c r="BI196" i="16"/>
  <c r="BH196" i="16"/>
  <c r="BG196" i="16"/>
  <c r="BF196" i="16"/>
  <c r="T196" i="16"/>
  <c r="R196" i="16"/>
  <c r="P196" i="16"/>
  <c r="J196" i="16"/>
  <c r="BE196" i="16" s="1"/>
  <c r="BK195" i="16"/>
  <c r="BI195" i="16"/>
  <c r="BH195" i="16"/>
  <c r="BG195" i="16"/>
  <c r="BF195" i="16"/>
  <c r="T195" i="16"/>
  <c r="R195" i="16"/>
  <c r="P195" i="16"/>
  <c r="J195" i="16"/>
  <c r="BE195" i="16" s="1"/>
  <c r="BK194" i="16"/>
  <c r="BI194" i="16"/>
  <c r="BH194" i="16"/>
  <c r="BG194" i="16"/>
  <c r="BF194" i="16"/>
  <c r="T194" i="16"/>
  <c r="R194" i="16"/>
  <c r="P194" i="16"/>
  <c r="J194" i="16"/>
  <c r="BE194" i="16" s="1"/>
  <c r="BK193" i="16"/>
  <c r="BI193" i="16"/>
  <c r="BH193" i="16"/>
  <c r="BG193" i="16"/>
  <c r="BF193" i="16"/>
  <c r="T193" i="16"/>
  <c r="R193" i="16"/>
  <c r="P193" i="16"/>
  <c r="J193" i="16"/>
  <c r="BE193" i="16" s="1"/>
  <c r="BK192" i="16"/>
  <c r="BI192" i="16"/>
  <c r="BH192" i="16"/>
  <c r="BG192" i="16"/>
  <c r="BF192" i="16"/>
  <c r="T192" i="16"/>
  <c r="R192" i="16"/>
  <c r="P192" i="16"/>
  <c r="J192" i="16"/>
  <c r="BE192" i="16" s="1"/>
  <c r="BK191" i="16"/>
  <c r="BI191" i="16"/>
  <c r="BH191" i="16"/>
  <c r="BG191" i="16"/>
  <c r="BF191" i="16"/>
  <c r="T191" i="16"/>
  <c r="R191" i="16"/>
  <c r="P191" i="16"/>
  <c r="J191" i="16"/>
  <c r="BE191" i="16" s="1"/>
  <c r="BK190" i="16"/>
  <c r="BI190" i="16"/>
  <c r="BH190" i="16"/>
  <c r="BG190" i="16"/>
  <c r="BF190" i="16"/>
  <c r="T190" i="16"/>
  <c r="R190" i="16"/>
  <c r="P190" i="16"/>
  <c r="J190" i="16"/>
  <c r="BE190" i="16" s="1"/>
  <c r="BK189" i="16"/>
  <c r="BI189" i="16"/>
  <c r="BH189" i="16"/>
  <c r="BG189" i="16"/>
  <c r="BF189" i="16"/>
  <c r="T189" i="16"/>
  <c r="R189" i="16"/>
  <c r="P189" i="16"/>
  <c r="J189" i="16"/>
  <c r="BE189" i="16" s="1"/>
  <c r="BK188" i="16"/>
  <c r="BI188" i="16"/>
  <c r="BH188" i="16"/>
  <c r="BG188" i="16"/>
  <c r="BF188" i="16"/>
  <c r="T188" i="16"/>
  <c r="R188" i="16"/>
  <c r="P188" i="16"/>
  <c r="J188" i="16"/>
  <c r="BE188" i="16" s="1"/>
  <c r="BK187" i="16"/>
  <c r="BI187" i="16"/>
  <c r="BH187" i="16"/>
  <c r="BG187" i="16"/>
  <c r="BF187" i="16"/>
  <c r="T187" i="16"/>
  <c r="R187" i="16"/>
  <c r="P187" i="16"/>
  <c r="J187" i="16"/>
  <c r="BE187" i="16" s="1"/>
  <c r="BK186" i="16"/>
  <c r="BI186" i="16"/>
  <c r="BH186" i="16"/>
  <c r="BG186" i="16"/>
  <c r="BF186" i="16"/>
  <c r="T186" i="16"/>
  <c r="R186" i="16"/>
  <c r="P186" i="16"/>
  <c r="J186" i="16"/>
  <c r="BE186" i="16" s="1"/>
  <c r="BK184" i="16"/>
  <c r="BI184" i="16"/>
  <c r="BH184" i="16"/>
  <c r="BG184" i="16"/>
  <c r="BF184" i="16"/>
  <c r="T184" i="16"/>
  <c r="R184" i="16"/>
  <c r="P184" i="16"/>
  <c r="J184" i="16"/>
  <c r="BE184" i="16" s="1"/>
  <c r="BK183" i="16"/>
  <c r="BI183" i="16"/>
  <c r="BH183" i="16"/>
  <c r="BG183" i="16"/>
  <c r="BF183" i="16"/>
  <c r="T183" i="16"/>
  <c r="R183" i="16"/>
  <c r="P183" i="16"/>
  <c r="J183" i="16"/>
  <c r="BE183" i="16" s="1"/>
  <c r="BK182" i="16"/>
  <c r="BI182" i="16"/>
  <c r="BH182" i="16"/>
  <c r="BG182" i="16"/>
  <c r="BF182" i="16"/>
  <c r="T182" i="16"/>
  <c r="R182" i="16"/>
  <c r="P182" i="16"/>
  <c r="J182" i="16"/>
  <c r="BE182" i="16" s="1"/>
  <c r="BK181" i="16"/>
  <c r="BI181" i="16"/>
  <c r="BH181" i="16"/>
  <c r="BG181" i="16"/>
  <c r="BF181" i="16"/>
  <c r="T181" i="16"/>
  <c r="R181" i="16"/>
  <c r="P181" i="16"/>
  <c r="J181" i="16"/>
  <c r="BE181" i="16" s="1"/>
  <c r="BK180" i="16"/>
  <c r="BI180" i="16"/>
  <c r="BH180" i="16"/>
  <c r="BG180" i="16"/>
  <c r="BF180" i="16"/>
  <c r="T180" i="16"/>
  <c r="R180" i="16"/>
  <c r="P180" i="16"/>
  <c r="J180" i="16"/>
  <c r="BE180" i="16" s="1"/>
  <c r="BK179" i="16"/>
  <c r="BI179" i="16"/>
  <c r="BH179" i="16"/>
  <c r="BG179" i="16"/>
  <c r="BF179" i="16"/>
  <c r="T179" i="16"/>
  <c r="R179" i="16"/>
  <c r="P179" i="16"/>
  <c r="J179" i="16"/>
  <c r="BE179" i="16" s="1"/>
  <c r="BK178" i="16"/>
  <c r="BI178" i="16"/>
  <c r="BH178" i="16"/>
  <c r="BG178" i="16"/>
  <c r="BF178" i="16"/>
  <c r="T178" i="16"/>
  <c r="R178" i="16"/>
  <c r="P178" i="16"/>
  <c r="J178" i="16"/>
  <c r="BE178" i="16" s="1"/>
  <c r="BK177" i="16"/>
  <c r="BI177" i="16"/>
  <c r="BH177" i="16"/>
  <c r="BG177" i="16"/>
  <c r="BF177" i="16"/>
  <c r="T177" i="16"/>
  <c r="R177" i="16"/>
  <c r="P177" i="16"/>
  <c r="J177" i="16"/>
  <c r="BE177" i="16" s="1"/>
  <c r="BK176" i="16"/>
  <c r="BI176" i="16"/>
  <c r="BH176" i="16"/>
  <c r="BG176" i="16"/>
  <c r="BF176" i="16"/>
  <c r="T176" i="16"/>
  <c r="R176" i="16"/>
  <c r="P176" i="16"/>
  <c r="J176" i="16"/>
  <c r="BE176" i="16" s="1"/>
  <c r="BK174" i="16"/>
  <c r="BI174" i="16"/>
  <c r="BH174" i="16"/>
  <c r="BG174" i="16"/>
  <c r="BF174" i="16"/>
  <c r="T174" i="16"/>
  <c r="R174" i="16"/>
  <c r="P174" i="16"/>
  <c r="J174" i="16"/>
  <c r="BE174" i="16" s="1"/>
  <c r="BK173" i="16"/>
  <c r="BI173" i="16"/>
  <c r="BH173" i="16"/>
  <c r="BG173" i="16"/>
  <c r="BF173" i="16"/>
  <c r="T173" i="16"/>
  <c r="R173" i="16"/>
  <c r="P173" i="16"/>
  <c r="J173" i="16"/>
  <c r="BE173" i="16" s="1"/>
  <c r="BK172" i="16"/>
  <c r="BI172" i="16"/>
  <c r="BH172" i="16"/>
  <c r="BG172" i="16"/>
  <c r="BF172" i="16"/>
  <c r="T172" i="16"/>
  <c r="R172" i="16"/>
  <c r="P172" i="16"/>
  <c r="J172" i="16"/>
  <c r="BE172" i="16" s="1"/>
  <c r="BK171" i="16"/>
  <c r="BI171" i="16"/>
  <c r="BH171" i="16"/>
  <c r="BG171" i="16"/>
  <c r="BF171" i="16"/>
  <c r="T171" i="16"/>
  <c r="R171" i="16"/>
  <c r="P171" i="16"/>
  <c r="J171" i="16"/>
  <c r="BE171" i="16" s="1"/>
  <c r="BK170" i="16"/>
  <c r="BI170" i="16"/>
  <c r="BH170" i="16"/>
  <c r="BG170" i="16"/>
  <c r="BF170" i="16"/>
  <c r="T170" i="16"/>
  <c r="R170" i="16"/>
  <c r="P170" i="16"/>
  <c r="J170" i="16"/>
  <c r="BE170" i="16" s="1"/>
  <c r="BK169" i="16"/>
  <c r="BI169" i="16"/>
  <c r="BH169" i="16"/>
  <c r="BG169" i="16"/>
  <c r="BF169" i="16"/>
  <c r="T169" i="16"/>
  <c r="R169" i="16"/>
  <c r="P169" i="16"/>
  <c r="J169" i="16"/>
  <c r="BE169" i="16" s="1"/>
  <c r="BK168" i="16"/>
  <c r="BI168" i="16"/>
  <c r="BH168" i="16"/>
  <c r="BG168" i="16"/>
  <c r="BF168" i="16"/>
  <c r="T168" i="16"/>
  <c r="R168" i="16"/>
  <c r="P168" i="16"/>
  <c r="J168" i="16"/>
  <c r="BE168" i="16" s="1"/>
  <c r="BK167" i="16"/>
  <c r="BI167" i="16"/>
  <c r="BH167" i="16"/>
  <c r="BG167" i="16"/>
  <c r="BF167" i="16"/>
  <c r="T167" i="16"/>
  <c r="R167" i="16"/>
  <c r="P167" i="16"/>
  <c r="J167" i="16"/>
  <c r="BE167" i="16" s="1"/>
  <c r="BK166" i="16"/>
  <c r="BI166" i="16"/>
  <c r="BH166" i="16"/>
  <c r="BG166" i="16"/>
  <c r="BF166" i="16"/>
  <c r="T166" i="16"/>
  <c r="R166" i="16"/>
  <c r="P166" i="16"/>
  <c r="J166" i="16"/>
  <c r="BE166" i="16" s="1"/>
  <c r="BK165" i="16"/>
  <c r="BI165" i="16"/>
  <c r="BH165" i="16"/>
  <c r="BG165" i="16"/>
  <c r="BF165" i="16"/>
  <c r="T165" i="16"/>
  <c r="R165" i="16"/>
  <c r="P165" i="16"/>
  <c r="J165" i="16"/>
  <c r="BE165" i="16" s="1"/>
  <c r="BK164" i="16"/>
  <c r="BI164" i="16"/>
  <c r="BH164" i="16"/>
  <c r="BG164" i="16"/>
  <c r="BF164" i="16"/>
  <c r="T164" i="16"/>
  <c r="R164" i="16"/>
  <c r="P164" i="16"/>
  <c r="J164" i="16"/>
  <c r="BE164" i="16" s="1"/>
  <c r="BK163" i="16"/>
  <c r="BI163" i="16"/>
  <c r="BH163" i="16"/>
  <c r="BG163" i="16"/>
  <c r="BF163" i="16"/>
  <c r="T163" i="16"/>
  <c r="R163" i="16"/>
  <c r="P163" i="16"/>
  <c r="J163" i="16"/>
  <c r="BE163" i="16" s="1"/>
  <c r="BK162" i="16"/>
  <c r="BI162" i="16"/>
  <c r="BH162" i="16"/>
  <c r="BG162" i="16"/>
  <c r="BF162" i="16"/>
  <c r="T162" i="16"/>
  <c r="R162" i="16"/>
  <c r="P162" i="16"/>
  <c r="J162" i="16"/>
  <c r="BE162" i="16" s="1"/>
  <c r="BK161" i="16"/>
  <c r="BI161" i="16"/>
  <c r="BH161" i="16"/>
  <c r="BG161" i="16"/>
  <c r="BF161" i="16"/>
  <c r="T161" i="16"/>
  <c r="R161" i="16"/>
  <c r="P161" i="16"/>
  <c r="J161" i="16"/>
  <c r="BE161" i="16" s="1"/>
  <c r="BK160" i="16"/>
  <c r="BI160" i="16"/>
  <c r="BH160" i="16"/>
  <c r="BG160" i="16"/>
  <c r="BF160" i="16"/>
  <c r="T160" i="16"/>
  <c r="R160" i="16"/>
  <c r="P160" i="16"/>
  <c r="J160" i="16"/>
  <c r="BE160" i="16" s="1"/>
  <c r="BK158" i="16"/>
  <c r="BI158" i="16"/>
  <c r="BH158" i="16"/>
  <c r="BG158" i="16"/>
  <c r="BF158" i="16"/>
  <c r="T158" i="16"/>
  <c r="R158" i="16"/>
  <c r="P158" i="16"/>
  <c r="J158" i="16"/>
  <c r="BE158" i="16" s="1"/>
  <c r="BK157" i="16"/>
  <c r="BI157" i="16"/>
  <c r="BH157" i="16"/>
  <c r="BG157" i="16"/>
  <c r="BF157" i="16"/>
  <c r="T157" i="16"/>
  <c r="R157" i="16"/>
  <c r="P157" i="16"/>
  <c r="J157" i="16"/>
  <c r="BE157" i="16" s="1"/>
  <c r="BK155" i="16"/>
  <c r="BI155" i="16"/>
  <c r="BH155" i="16"/>
  <c r="BG155" i="16"/>
  <c r="BF155" i="16"/>
  <c r="T155" i="16"/>
  <c r="R155" i="16"/>
  <c r="P155" i="16"/>
  <c r="J155" i="16"/>
  <c r="BE155" i="16" s="1"/>
  <c r="BK154" i="16"/>
  <c r="BI154" i="16"/>
  <c r="BH154" i="16"/>
  <c r="BG154" i="16"/>
  <c r="BF154" i="16"/>
  <c r="T154" i="16"/>
  <c r="R154" i="16"/>
  <c r="P154" i="16"/>
  <c r="J154" i="16"/>
  <c r="BE154" i="16" s="1"/>
  <c r="BK153" i="16"/>
  <c r="BI153" i="16"/>
  <c r="BH153" i="16"/>
  <c r="BG153" i="16"/>
  <c r="BF153" i="16"/>
  <c r="T153" i="16"/>
  <c r="R153" i="16"/>
  <c r="P153" i="16"/>
  <c r="J153" i="16"/>
  <c r="BE153" i="16" s="1"/>
  <c r="BK152" i="16"/>
  <c r="BI152" i="16"/>
  <c r="BH152" i="16"/>
  <c r="BG152" i="16"/>
  <c r="BF152" i="16"/>
  <c r="T152" i="16"/>
  <c r="R152" i="16"/>
  <c r="P152" i="16"/>
  <c r="J152" i="16"/>
  <c r="BE152" i="16" s="1"/>
  <c r="BK151" i="16"/>
  <c r="BI151" i="16"/>
  <c r="BH151" i="16"/>
  <c r="BG151" i="16"/>
  <c r="BF151" i="16"/>
  <c r="T151" i="16"/>
  <c r="R151" i="16"/>
  <c r="P151" i="16"/>
  <c r="J151" i="16"/>
  <c r="BE151" i="16" s="1"/>
  <c r="BK150" i="16"/>
  <c r="BI150" i="16"/>
  <c r="BH150" i="16"/>
  <c r="BG150" i="16"/>
  <c r="BF150" i="16"/>
  <c r="T150" i="16"/>
  <c r="R150" i="16"/>
  <c r="P150" i="16"/>
  <c r="J150" i="16"/>
  <c r="BE150" i="16" s="1"/>
  <c r="BK149" i="16"/>
  <c r="BI149" i="16"/>
  <c r="BH149" i="16"/>
  <c r="BG149" i="16"/>
  <c r="BF149" i="16"/>
  <c r="T149" i="16"/>
  <c r="R149" i="16"/>
  <c r="P149" i="16"/>
  <c r="J149" i="16"/>
  <c r="BE149" i="16" s="1"/>
  <c r="BK148" i="16"/>
  <c r="BI148" i="16"/>
  <c r="BH148" i="16"/>
  <c r="BG148" i="16"/>
  <c r="BF148" i="16"/>
  <c r="T148" i="16"/>
  <c r="R148" i="16"/>
  <c r="P148" i="16"/>
  <c r="J148" i="16"/>
  <c r="BE148" i="16" s="1"/>
  <c r="BK147" i="16"/>
  <c r="BI147" i="16"/>
  <c r="BH147" i="16"/>
  <c r="BG147" i="16"/>
  <c r="BF147" i="16"/>
  <c r="T147" i="16"/>
  <c r="R147" i="16"/>
  <c r="P147" i="16"/>
  <c r="J147" i="16"/>
  <c r="BE147" i="16" s="1"/>
  <c r="BK146" i="16"/>
  <c r="BI146" i="16"/>
  <c r="BH146" i="16"/>
  <c r="BG146" i="16"/>
  <c r="BF146" i="16"/>
  <c r="T146" i="16"/>
  <c r="R146" i="16"/>
  <c r="P146" i="16"/>
  <c r="J146" i="16"/>
  <c r="BE146" i="16" s="1"/>
  <c r="BK145" i="16"/>
  <c r="BI145" i="16"/>
  <c r="BH145" i="16"/>
  <c r="BG145" i="16"/>
  <c r="BF145" i="16"/>
  <c r="T145" i="16"/>
  <c r="R145" i="16"/>
  <c r="P145" i="16"/>
  <c r="J145" i="16"/>
  <c r="BE145" i="16" s="1"/>
  <c r="BK144" i="16"/>
  <c r="BI144" i="16"/>
  <c r="BH144" i="16"/>
  <c r="BG144" i="16"/>
  <c r="BF144" i="16"/>
  <c r="T144" i="16"/>
  <c r="R144" i="16"/>
  <c r="P144" i="16"/>
  <c r="J144" i="16"/>
  <c r="BE144" i="16" s="1"/>
  <c r="BK143" i="16"/>
  <c r="BI143" i="16"/>
  <c r="BH143" i="16"/>
  <c r="BG143" i="16"/>
  <c r="BF143" i="16"/>
  <c r="T143" i="16"/>
  <c r="R143" i="16"/>
  <c r="P143" i="16"/>
  <c r="J143" i="16"/>
  <c r="BE143" i="16" s="1"/>
  <c r="BK142" i="16"/>
  <c r="BI142" i="16"/>
  <c r="BH142" i="16"/>
  <c r="BG142" i="16"/>
  <c r="BF142" i="16"/>
  <c r="T142" i="16"/>
  <c r="R142" i="16"/>
  <c r="P142" i="16"/>
  <c r="J142" i="16"/>
  <c r="BE142" i="16" s="1"/>
  <c r="BK141" i="16"/>
  <c r="BI141" i="16"/>
  <c r="BH141" i="16"/>
  <c r="BG141" i="16"/>
  <c r="BF141" i="16"/>
  <c r="T141" i="16"/>
  <c r="R141" i="16"/>
  <c r="P141" i="16"/>
  <c r="J141" i="16"/>
  <c r="BE141" i="16" s="1"/>
  <c r="F135" i="16"/>
  <c r="J134" i="16"/>
  <c r="E130" i="16"/>
  <c r="E126" i="16"/>
  <c r="F94" i="16"/>
  <c r="J93" i="16"/>
  <c r="J91" i="16"/>
  <c r="F91" i="16"/>
  <c r="E89" i="16"/>
  <c r="J39" i="16"/>
  <c r="J38" i="16"/>
  <c r="AY111" i="1" s="1"/>
  <c r="J37" i="16"/>
  <c r="AX111" i="1" s="1"/>
  <c r="BK256" i="15"/>
  <c r="BK255" i="15" s="1"/>
  <c r="J255" i="15" s="1"/>
  <c r="J107" i="15" s="1"/>
  <c r="BI256" i="15"/>
  <c r="BH256" i="15"/>
  <c r="BG256" i="15"/>
  <c r="BF256" i="15"/>
  <c r="T256" i="15"/>
  <c r="T255" i="15" s="1"/>
  <c r="R256" i="15"/>
  <c r="R255" i="15" s="1"/>
  <c r="P256" i="15"/>
  <c r="P255" i="15" s="1"/>
  <c r="J256" i="15"/>
  <c r="BE256" i="15" s="1"/>
  <c r="BK254" i="15"/>
  <c r="BK253" i="15" s="1"/>
  <c r="J253" i="15" s="1"/>
  <c r="J106" i="15" s="1"/>
  <c r="BI254" i="15"/>
  <c r="BH254" i="15"/>
  <c r="BG254" i="15"/>
  <c r="BF254" i="15"/>
  <c r="T254" i="15"/>
  <c r="T253" i="15" s="1"/>
  <c r="R254" i="15"/>
  <c r="R253" i="15" s="1"/>
  <c r="P254" i="15"/>
  <c r="P253" i="15" s="1"/>
  <c r="J254" i="15"/>
  <c r="BE254" i="15" s="1"/>
  <c r="BK251" i="15"/>
  <c r="BK250" i="15" s="1"/>
  <c r="J250" i="15" s="1"/>
  <c r="J105" i="15" s="1"/>
  <c r="BI251" i="15"/>
  <c r="BH251" i="15"/>
  <c r="BG251" i="15"/>
  <c r="BF251" i="15"/>
  <c r="T251" i="15"/>
  <c r="T250" i="15" s="1"/>
  <c r="R251" i="15"/>
  <c r="R250" i="15" s="1"/>
  <c r="P251" i="15"/>
  <c r="J251" i="15"/>
  <c r="BE251" i="15" s="1"/>
  <c r="P250" i="15"/>
  <c r="BK247" i="15"/>
  <c r="BI247" i="15"/>
  <c r="BH247" i="15"/>
  <c r="BG247" i="15"/>
  <c r="BF247" i="15"/>
  <c r="T247" i="15"/>
  <c r="R247" i="15"/>
  <c r="P247" i="15"/>
  <c r="J247" i="15"/>
  <c r="BE247" i="15" s="1"/>
  <c r="BK246" i="15"/>
  <c r="BI246" i="15"/>
  <c r="BH246" i="15"/>
  <c r="BG246" i="15"/>
  <c r="BF246" i="15"/>
  <c r="T246" i="15"/>
  <c r="R246" i="15"/>
  <c r="P246" i="15"/>
  <c r="J246" i="15"/>
  <c r="BE246" i="15" s="1"/>
  <c r="BK242" i="15"/>
  <c r="BI242" i="15"/>
  <c r="BH242" i="15"/>
  <c r="BG242" i="15"/>
  <c r="BF242" i="15"/>
  <c r="T242" i="15"/>
  <c r="R242" i="15"/>
  <c r="P242" i="15"/>
  <c r="J242" i="15"/>
  <c r="BE242" i="15" s="1"/>
  <c r="BK239" i="15"/>
  <c r="BI239" i="15"/>
  <c r="BH239" i="15"/>
  <c r="BG239" i="15"/>
  <c r="BF239" i="15"/>
  <c r="T239" i="15"/>
  <c r="R239" i="15"/>
  <c r="P239" i="15"/>
  <c r="J239" i="15"/>
  <c r="BE239" i="15" s="1"/>
  <c r="BK236" i="15"/>
  <c r="BI236" i="15"/>
  <c r="BH236" i="15"/>
  <c r="BG236" i="15"/>
  <c r="BF236" i="15"/>
  <c r="T236" i="15"/>
  <c r="R236" i="15"/>
  <c r="P236" i="15"/>
  <c r="J236" i="15"/>
  <c r="BE236" i="15" s="1"/>
  <c r="BK235" i="15"/>
  <c r="BI235" i="15"/>
  <c r="BH235" i="15"/>
  <c r="BG235" i="15"/>
  <c r="BF235" i="15"/>
  <c r="T235" i="15"/>
  <c r="R235" i="15"/>
  <c r="P235" i="15"/>
  <c r="J235" i="15"/>
  <c r="BE235" i="15" s="1"/>
  <c r="BK234" i="15"/>
  <c r="BI234" i="15"/>
  <c r="BH234" i="15"/>
  <c r="BG234" i="15"/>
  <c r="BF234" i="15"/>
  <c r="T234" i="15"/>
  <c r="R234" i="15"/>
  <c r="P234" i="15"/>
  <c r="J234" i="15"/>
  <c r="BE234" i="15" s="1"/>
  <c r="BK233" i="15"/>
  <c r="BI233" i="15"/>
  <c r="BH233" i="15"/>
  <c r="BG233" i="15"/>
  <c r="BF233" i="15"/>
  <c r="T233" i="15"/>
  <c r="R233" i="15"/>
  <c r="P233" i="15"/>
  <c r="J233" i="15"/>
  <c r="BE233" i="15" s="1"/>
  <c r="BK232" i="15"/>
  <c r="BI232" i="15"/>
  <c r="BH232" i="15"/>
  <c r="BG232" i="15"/>
  <c r="BF232" i="15"/>
  <c r="T232" i="15"/>
  <c r="R232" i="15"/>
  <c r="P232" i="15"/>
  <c r="J232" i="15"/>
  <c r="BE232" i="15" s="1"/>
  <c r="BK231" i="15"/>
  <c r="BI231" i="15"/>
  <c r="BH231" i="15"/>
  <c r="BG231" i="15"/>
  <c r="BF231" i="15"/>
  <c r="T231" i="15"/>
  <c r="R231" i="15"/>
  <c r="P231" i="15"/>
  <c r="J231" i="15"/>
  <c r="BE231" i="15" s="1"/>
  <c r="BK230" i="15"/>
  <c r="BI230" i="15"/>
  <c r="BH230" i="15"/>
  <c r="BG230" i="15"/>
  <c r="BF230" i="15"/>
  <c r="T230" i="15"/>
  <c r="R230" i="15"/>
  <c r="P230" i="15"/>
  <c r="J230" i="15"/>
  <c r="BE230" i="15" s="1"/>
  <c r="BK228" i="15"/>
  <c r="BI228" i="15"/>
  <c r="BH228" i="15"/>
  <c r="BG228" i="15"/>
  <c r="BF228" i="15"/>
  <c r="T228" i="15"/>
  <c r="R228" i="15"/>
  <c r="P228" i="15"/>
  <c r="J228" i="15"/>
  <c r="BE228" i="15" s="1"/>
  <c r="BK227" i="15"/>
  <c r="BI227" i="15"/>
  <c r="BH227" i="15"/>
  <c r="BG227" i="15"/>
  <c r="BF227" i="15"/>
  <c r="T227" i="15"/>
  <c r="R227" i="15"/>
  <c r="P227" i="15"/>
  <c r="J227" i="15"/>
  <c r="BE227" i="15" s="1"/>
  <c r="BK223" i="15"/>
  <c r="BK222" i="15" s="1"/>
  <c r="J222" i="15" s="1"/>
  <c r="J103" i="15" s="1"/>
  <c r="BI223" i="15"/>
  <c r="BH223" i="15"/>
  <c r="BG223" i="15"/>
  <c r="BF223" i="15"/>
  <c r="T223" i="15"/>
  <c r="T222" i="15" s="1"/>
  <c r="R223" i="15"/>
  <c r="R222" i="15" s="1"/>
  <c r="P223" i="15"/>
  <c r="P222" i="15" s="1"/>
  <c r="J223" i="15"/>
  <c r="BE223" i="15" s="1"/>
  <c r="BK219" i="15"/>
  <c r="BI219" i="15"/>
  <c r="BH219" i="15"/>
  <c r="BG219" i="15"/>
  <c r="BF219" i="15"/>
  <c r="T219" i="15"/>
  <c r="R219" i="15"/>
  <c r="P219" i="15"/>
  <c r="J219" i="15"/>
  <c r="BE219" i="15" s="1"/>
  <c r="BK215" i="15"/>
  <c r="BI215" i="15"/>
  <c r="BH215" i="15"/>
  <c r="BG215" i="15"/>
  <c r="BF215" i="15"/>
  <c r="T215" i="15"/>
  <c r="R215" i="15"/>
  <c r="P215" i="15"/>
  <c r="J215" i="15"/>
  <c r="BE215" i="15" s="1"/>
  <c r="BK213" i="15"/>
  <c r="BI213" i="15"/>
  <c r="BH213" i="15"/>
  <c r="BG213" i="15"/>
  <c r="BF213" i="15"/>
  <c r="T213" i="15"/>
  <c r="R213" i="15"/>
  <c r="P213" i="15"/>
  <c r="J213" i="15"/>
  <c r="BE213" i="15" s="1"/>
  <c r="BK212" i="15"/>
  <c r="BI212" i="15"/>
  <c r="BH212" i="15"/>
  <c r="BG212" i="15"/>
  <c r="BF212" i="15"/>
  <c r="T212" i="15"/>
  <c r="R212" i="15"/>
  <c r="P212" i="15"/>
  <c r="J212" i="15"/>
  <c r="BE212" i="15" s="1"/>
  <c r="BK211" i="15"/>
  <c r="BI211" i="15"/>
  <c r="BH211" i="15"/>
  <c r="BG211" i="15"/>
  <c r="BF211" i="15"/>
  <c r="T211" i="15"/>
  <c r="R211" i="15"/>
  <c r="P211" i="15"/>
  <c r="J211" i="15"/>
  <c r="BE211" i="15" s="1"/>
  <c r="BK210" i="15"/>
  <c r="BI210" i="15"/>
  <c r="BH210" i="15"/>
  <c r="BG210" i="15"/>
  <c r="BF210" i="15"/>
  <c r="T210" i="15"/>
  <c r="R210" i="15"/>
  <c r="P210" i="15"/>
  <c r="J210" i="15"/>
  <c r="BE210" i="15" s="1"/>
  <c r="BK209" i="15"/>
  <c r="BI209" i="15"/>
  <c r="BH209" i="15"/>
  <c r="BG209" i="15"/>
  <c r="BF209" i="15"/>
  <c r="T209" i="15"/>
  <c r="R209" i="15"/>
  <c r="P209" i="15"/>
  <c r="J209" i="15"/>
  <c r="BE209" i="15" s="1"/>
  <c r="BK206" i="15"/>
  <c r="BI206" i="15"/>
  <c r="BH206" i="15"/>
  <c r="BG206" i="15"/>
  <c r="BF206" i="15"/>
  <c r="T206" i="15"/>
  <c r="R206" i="15"/>
  <c r="P206" i="15"/>
  <c r="J206" i="15"/>
  <c r="BE206" i="15" s="1"/>
  <c r="BK205" i="15"/>
  <c r="BI205" i="15"/>
  <c r="BH205" i="15"/>
  <c r="BG205" i="15"/>
  <c r="BF205" i="15"/>
  <c r="T205" i="15"/>
  <c r="R205" i="15"/>
  <c r="P205" i="15"/>
  <c r="J205" i="15"/>
  <c r="BE205" i="15" s="1"/>
  <c r="BK202" i="15"/>
  <c r="BI202" i="15"/>
  <c r="BH202" i="15"/>
  <c r="BG202" i="15"/>
  <c r="BF202" i="15"/>
  <c r="T202" i="15"/>
  <c r="R202" i="15"/>
  <c r="P202" i="15"/>
  <c r="J202" i="15"/>
  <c r="BE202" i="15" s="1"/>
  <c r="BK201" i="15"/>
  <c r="BI201" i="15"/>
  <c r="BH201" i="15"/>
  <c r="BG201" i="15"/>
  <c r="BF201" i="15"/>
  <c r="T201" i="15"/>
  <c r="R201" i="15"/>
  <c r="P201" i="15"/>
  <c r="J201" i="15"/>
  <c r="BE201" i="15" s="1"/>
  <c r="BK190" i="15"/>
  <c r="BI190" i="15"/>
  <c r="BH190" i="15"/>
  <c r="BG190" i="15"/>
  <c r="BF190" i="15"/>
  <c r="T190" i="15"/>
  <c r="R190" i="15"/>
  <c r="P190" i="15"/>
  <c r="J190" i="15"/>
  <c r="BE190" i="15" s="1"/>
  <c r="BK187" i="15"/>
  <c r="BI187" i="15"/>
  <c r="BH187" i="15"/>
  <c r="BG187" i="15"/>
  <c r="BF187" i="15"/>
  <c r="T187" i="15"/>
  <c r="R187" i="15"/>
  <c r="P187" i="15"/>
  <c r="J187" i="15"/>
  <c r="BE187" i="15" s="1"/>
  <c r="BK185" i="15"/>
  <c r="BI185" i="15"/>
  <c r="BH185" i="15"/>
  <c r="BG185" i="15"/>
  <c r="BF185" i="15"/>
  <c r="T185" i="15"/>
  <c r="R185" i="15"/>
  <c r="P185" i="15"/>
  <c r="J185" i="15"/>
  <c r="BE185" i="15" s="1"/>
  <c r="BK183" i="15"/>
  <c r="BI183" i="15"/>
  <c r="BH183" i="15"/>
  <c r="BG183" i="15"/>
  <c r="BF183" i="15"/>
  <c r="T183" i="15"/>
  <c r="R183" i="15"/>
  <c r="P183" i="15"/>
  <c r="J183" i="15"/>
  <c r="BE183" i="15" s="1"/>
  <c r="BK174" i="15"/>
  <c r="BI174" i="15"/>
  <c r="BH174" i="15"/>
  <c r="BG174" i="15"/>
  <c r="BF174" i="15"/>
  <c r="T174" i="15"/>
  <c r="R174" i="15"/>
  <c r="P174" i="15"/>
  <c r="J174" i="15"/>
  <c r="BE174" i="15" s="1"/>
  <c r="BK173" i="15"/>
  <c r="BI173" i="15"/>
  <c r="BH173" i="15"/>
  <c r="BG173" i="15"/>
  <c r="BF173" i="15"/>
  <c r="T173" i="15"/>
  <c r="R173" i="15"/>
  <c r="P173" i="15"/>
  <c r="J173" i="15"/>
  <c r="BE173" i="15" s="1"/>
  <c r="BK167" i="15"/>
  <c r="BI167" i="15"/>
  <c r="BH167" i="15"/>
  <c r="BG167" i="15"/>
  <c r="BF167" i="15"/>
  <c r="T167" i="15"/>
  <c r="R167" i="15"/>
  <c r="P167" i="15"/>
  <c r="J167" i="15"/>
  <c r="BE167" i="15" s="1"/>
  <c r="BK166" i="15"/>
  <c r="BI166" i="15"/>
  <c r="BH166" i="15"/>
  <c r="BG166" i="15"/>
  <c r="BF166" i="15"/>
  <c r="T166" i="15"/>
  <c r="R166" i="15"/>
  <c r="P166" i="15"/>
  <c r="J166" i="15"/>
  <c r="BE166" i="15" s="1"/>
  <c r="BK160" i="15"/>
  <c r="BI160" i="15"/>
  <c r="BH160" i="15"/>
  <c r="BG160" i="15"/>
  <c r="BF160" i="15"/>
  <c r="T160" i="15"/>
  <c r="R160" i="15"/>
  <c r="P160" i="15"/>
  <c r="J160" i="15"/>
  <c r="BE160" i="15" s="1"/>
  <c r="BK159" i="15"/>
  <c r="BI159" i="15"/>
  <c r="BH159" i="15"/>
  <c r="BG159" i="15"/>
  <c r="BF159" i="15"/>
  <c r="T159" i="15"/>
  <c r="R159" i="15"/>
  <c r="P159" i="15"/>
  <c r="J159" i="15"/>
  <c r="BE159" i="15" s="1"/>
  <c r="BK156" i="15"/>
  <c r="BI156" i="15"/>
  <c r="BH156" i="15"/>
  <c r="BG156" i="15"/>
  <c r="BF156" i="15"/>
  <c r="T156" i="15"/>
  <c r="R156" i="15"/>
  <c r="P156" i="15"/>
  <c r="J156" i="15"/>
  <c r="BE156" i="15" s="1"/>
  <c r="BK152" i="15"/>
  <c r="BI152" i="15"/>
  <c r="BH152" i="15"/>
  <c r="BG152" i="15"/>
  <c r="BF152" i="15"/>
  <c r="T152" i="15"/>
  <c r="R152" i="15"/>
  <c r="P152" i="15"/>
  <c r="J152" i="15"/>
  <c r="BE152" i="15" s="1"/>
  <c r="BK148" i="15"/>
  <c r="BI148" i="15"/>
  <c r="BH148" i="15"/>
  <c r="BG148" i="15"/>
  <c r="BF148" i="15"/>
  <c r="T148" i="15"/>
  <c r="R148" i="15"/>
  <c r="P148" i="15"/>
  <c r="J148" i="15"/>
  <c r="BE148" i="15" s="1"/>
  <c r="BK141" i="15"/>
  <c r="BI141" i="15"/>
  <c r="BH141" i="15"/>
  <c r="BG141" i="15"/>
  <c r="BF141" i="15"/>
  <c r="T141" i="15"/>
  <c r="R141" i="15"/>
  <c r="P141" i="15"/>
  <c r="J141" i="15"/>
  <c r="BE141" i="15" s="1"/>
  <c r="J135" i="15"/>
  <c r="F135" i="15"/>
  <c r="J134" i="15"/>
  <c r="F134" i="15"/>
  <c r="J132" i="15"/>
  <c r="E130" i="15"/>
  <c r="E126" i="15"/>
  <c r="J94" i="15"/>
  <c r="F94" i="15"/>
  <c r="J93" i="15"/>
  <c r="F93" i="15"/>
  <c r="J91" i="15"/>
  <c r="F91" i="15"/>
  <c r="E89" i="15"/>
  <c r="E85" i="15"/>
  <c r="J39" i="15"/>
  <c r="J38" i="15"/>
  <c r="AY110" i="1" s="1"/>
  <c r="J37" i="15"/>
  <c r="AX110" i="1" s="1"/>
  <c r="BK287" i="14"/>
  <c r="BI287" i="14"/>
  <c r="BH287" i="14"/>
  <c r="BG287" i="14"/>
  <c r="BF287" i="14"/>
  <c r="T287" i="14"/>
  <c r="R287" i="14"/>
  <c r="P287" i="14"/>
  <c r="J287" i="14"/>
  <c r="BE287" i="14" s="1"/>
  <c r="BK286" i="14"/>
  <c r="BI286" i="14"/>
  <c r="BH286" i="14"/>
  <c r="BG286" i="14"/>
  <c r="BF286" i="14"/>
  <c r="T286" i="14"/>
  <c r="T285" i="14" s="1"/>
  <c r="R286" i="14"/>
  <c r="P286" i="14"/>
  <c r="J286" i="14"/>
  <c r="BE286" i="14" s="1"/>
  <c r="BK284" i="14"/>
  <c r="BK283" i="14" s="1"/>
  <c r="J283" i="14" s="1"/>
  <c r="J107" i="14" s="1"/>
  <c r="BI284" i="14"/>
  <c r="BH284" i="14"/>
  <c r="BG284" i="14"/>
  <c r="BF284" i="14"/>
  <c r="T284" i="14"/>
  <c r="T283" i="14" s="1"/>
  <c r="R284" i="14"/>
  <c r="R283" i="14" s="1"/>
  <c r="P284" i="14"/>
  <c r="P283" i="14" s="1"/>
  <c r="J284" i="14"/>
  <c r="BE284" i="14" s="1"/>
  <c r="BK282" i="14"/>
  <c r="BI282" i="14"/>
  <c r="BH282" i="14"/>
  <c r="BG282" i="14"/>
  <c r="BF282" i="14"/>
  <c r="T282" i="14"/>
  <c r="R282" i="14"/>
  <c r="P282" i="14"/>
  <c r="J282" i="14"/>
  <c r="BE282" i="14" s="1"/>
  <c r="BK281" i="14"/>
  <c r="BI281" i="14"/>
  <c r="BH281" i="14"/>
  <c r="BG281" i="14"/>
  <c r="BF281" i="14"/>
  <c r="T281" i="14"/>
  <c r="R281" i="14"/>
  <c r="P281" i="14"/>
  <c r="J281" i="14"/>
  <c r="BE281" i="14" s="1"/>
  <c r="BK280" i="14"/>
  <c r="BI280" i="14"/>
  <c r="BH280" i="14"/>
  <c r="BG280" i="14"/>
  <c r="BF280" i="14"/>
  <c r="T280" i="14"/>
  <c r="R280" i="14"/>
  <c r="P280" i="14"/>
  <c r="J280" i="14"/>
  <c r="BE280" i="14" s="1"/>
  <c r="BK279" i="14"/>
  <c r="BI279" i="14"/>
  <c r="BH279" i="14"/>
  <c r="BG279" i="14"/>
  <c r="BF279" i="14"/>
  <c r="T279" i="14"/>
  <c r="R279" i="14"/>
  <c r="P279" i="14"/>
  <c r="J279" i="14"/>
  <c r="BE279" i="14" s="1"/>
  <c r="BK278" i="14"/>
  <c r="BI278" i="14"/>
  <c r="BH278" i="14"/>
  <c r="BG278" i="14"/>
  <c r="BF278" i="14"/>
  <c r="T278" i="14"/>
  <c r="R278" i="14"/>
  <c r="P278" i="14"/>
  <c r="J278" i="14"/>
  <c r="BE278" i="14" s="1"/>
  <c r="BK276" i="14"/>
  <c r="BI276" i="14"/>
  <c r="BH276" i="14"/>
  <c r="BG276" i="14"/>
  <c r="BF276" i="14"/>
  <c r="T276" i="14"/>
  <c r="R276" i="14"/>
  <c r="P276" i="14"/>
  <c r="J276" i="14"/>
  <c r="BE276" i="14" s="1"/>
  <c r="BK275" i="14"/>
  <c r="BI275" i="14"/>
  <c r="BH275" i="14"/>
  <c r="BG275" i="14"/>
  <c r="BF275" i="14"/>
  <c r="T275" i="14"/>
  <c r="R275" i="14"/>
  <c r="P275" i="14"/>
  <c r="J275" i="14"/>
  <c r="BE275" i="14" s="1"/>
  <c r="BK273" i="14"/>
  <c r="BI273" i="14"/>
  <c r="BH273" i="14"/>
  <c r="BG273" i="14"/>
  <c r="BF273" i="14"/>
  <c r="T273" i="14"/>
  <c r="R273" i="14"/>
  <c r="P273" i="14"/>
  <c r="J273" i="14"/>
  <c r="BE273" i="14" s="1"/>
  <c r="BK272" i="14"/>
  <c r="BI272" i="14"/>
  <c r="BH272" i="14"/>
  <c r="BG272" i="14"/>
  <c r="BF272" i="14"/>
  <c r="T272" i="14"/>
  <c r="R272" i="14"/>
  <c r="P272" i="14"/>
  <c r="J272" i="14"/>
  <c r="BE272" i="14" s="1"/>
  <c r="BK271" i="14"/>
  <c r="BI271" i="14"/>
  <c r="BH271" i="14"/>
  <c r="BG271" i="14"/>
  <c r="BF271" i="14"/>
  <c r="T271" i="14"/>
  <c r="R271" i="14"/>
  <c r="P271" i="14"/>
  <c r="J271" i="14"/>
  <c r="BE271" i="14" s="1"/>
  <c r="BK270" i="14"/>
  <c r="BI270" i="14"/>
  <c r="BH270" i="14"/>
  <c r="BG270" i="14"/>
  <c r="BF270" i="14"/>
  <c r="T270" i="14"/>
  <c r="R270" i="14"/>
  <c r="P270" i="14"/>
  <c r="J270" i="14"/>
  <c r="BE270" i="14" s="1"/>
  <c r="BK269" i="14"/>
  <c r="BI269" i="14"/>
  <c r="BH269" i="14"/>
  <c r="BG269" i="14"/>
  <c r="BF269" i="14"/>
  <c r="T269" i="14"/>
  <c r="R269" i="14"/>
  <c r="P269" i="14"/>
  <c r="J269" i="14"/>
  <c r="BE269" i="14" s="1"/>
  <c r="BK268" i="14"/>
  <c r="BI268" i="14"/>
  <c r="BH268" i="14"/>
  <c r="BG268" i="14"/>
  <c r="BF268" i="14"/>
  <c r="T268" i="14"/>
  <c r="R268" i="14"/>
  <c r="P268" i="14"/>
  <c r="J268" i="14"/>
  <c r="BE268" i="14" s="1"/>
  <c r="BK267" i="14"/>
  <c r="BI267" i="14"/>
  <c r="BH267" i="14"/>
  <c r="BG267" i="14"/>
  <c r="BF267" i="14"/>
  <c r="T267" i="14"/>
  <c r="R267" i="14"/>
  <c r="P267" i="14"/>
  <c r="J267" i="14"/>
  <c r="BE267" i="14" s="1"/>
  <c r="BK266" i="14"/>
  <c r="BI266" i="14"/>
  <c r="BH266" i="14"/>
  <c r="BG266" i="14"/>
  <c r="BF266" i="14"/>
  <c r="T266" i="14"/>
  <c r="R266" i="14"/>
  <c r="P266" i="14"/>
  <c r="J266" i="14"/>
  <c r="BE266" i="14" s="1"/>
  <c r="BK265" i="14"/>
  <c r="BI265" i="14"/>
  <c r="BH265" i="14"/>
  <c r="BG265" i="14"/>
  <c r="BF265" i="14"/>
  <c r="T265" i="14"/>
  <c r="R265" i="14"/>
  <c r="P265" i="14"/>
  <c r="J265" i="14"/>
  <c r="BE265" i="14" s="1"/>
  <c r="BK264" i="14"/>
  <c r="BI264" i="14"/>
  <c r="BH264" i="14"/>
  <c r="BG264" i="14"/>
  <c r="BF264" i="14"/>
  <c r="T264" i="14"/>
  <c r="R264" i="14"/>
  <c r="P264" i="14"/>
  <c r="J264" i="14"/>
  <c r="BE264" i="14" s="1"/>
  <c r="BK261" i="14"/>
  <c r="BI261" i="14"/>
  <c r="BH261" i="14"/>
  <c r="BG261" i="14"/>
  <c r="BF261" i="14"/>
  <c r="T261" i="14"/>
  <c r="R261" i="14"/>
  <c r="P261" i="14"/>
  <c r="J261" i="14"/>
  <c r="BE261" i="14" s="1"/>
  <c r="BK258" i="14"/>
  <c r="BI258" i="14"/>
  <c r="BH258" i="14"/>
  <c r="BG258" i="14"/>
  <c r="BF258" i="14"/>
  <c r="T258" i="14"/>
  <c r="R258" i="14"/>
  <c r="P258" i="14"/>
  <c r="J258" i="14"/>
  <c r="BE258" i="14" s="1"/>
  <c r="BK257" i="14"/>
  <c r="BI257" i="14"/>
  <c r="BH257" i="14"/>
  <c r="BG257" i="14"/>
  <c r="BF257" i="14"/>
  <c r="T257" i="14"/>
  <c r="R257" i="14"/>
  <c r="P257" i="14"/>
  <c r="J257" i="14"/>
  <c r="BE257" i="14" s="1"/>
  <c r="BK256" i="14"/>
  <c r="BI256" i="14"/>
  <c r="BH256" i="14"/>
  <c r="BG256" i="14"/>
  <c r="BF256" i="14"/>
  <c r="T256" i="14"/>
  <c r="R256" i="14"/>
  <c r="P256" i="14"/>
  <c r="J256" i="14"/>
  <c r="BE256" i="14" s="1"/>
  <c r="BK255" i="14"/>
  <c r="BI255" i="14"/>
  <c r="BH255" i="14"/>
  <c r="BG255" i="14"/>
  <c r="BF255" i="14"/>
  <c r="T255" i="14"/>
  <c r="R255" i="14"/>
  <c r="P255" i="14"/>
  <c r="J255" i="14"/>
  <c r="BE255" i="14" s="1"/>
  <c r="BK254" i="14"/>
  <c r="BI254" i="14"/>
  <c r="BH254" i="14"/>
  <c r="BG254" i="14"/>
  <c r="BF254" i="14"/>
  <c r="T254" i="14"/>
  <c r="R254" i="14"/>
  <c r="P254" i="14"/>
  <c r="J254" i="14"/>
  <c r="BE254" i="14" s="1"/>
  <c r="BK253" i="14"/>
  <c r="BI253" i="14"/>
  <c r="BH253" i="14"/>
  <c r="BG253" i="14"/>
  <c r="BF253" i="14"/>
  <c r="T253" i="14"/>
  <c r="R253" i="14"/>
  <c r="P253" i="14"/>
  <c r="J253" i="14"/>
  <c r="BE253" i="14" s="1"/>
  <c r="BK252" i="14"/>
  <c r="BI252" i="14"/>
  <c r="BH252" i="14"/>
  <c r="BG252" i="14"/>
  <c r="BF252" i="14"/>
  <c r="T252" i="14"/>
  <c r="R252" i="14"/>
  <c r="P252" i="14"/>
  <c r="J252" i="14"/>
  <c r="BE252" i="14" s="1"/>
  <c r="BK251" i="14"/>
  <c r="BI251" i="14"/>
  <c r="BH251" i="14"/>
  <c r="BG251" i="14"/>
  <c r="BF251" i="14"/>
  <c r="T251" i="14"/>
  <c r="R251" i="14"/>
  <c r="P251" i="14"/>
  <c r="J251" i="14"/>
  <c r="BE251" i="14" s="1"/>
  <c r="BK250" i="14"/>
  <c r="BI250" i="14"/>
  <c r="BH250" i="14"/>
  <c r="BG250" i="14"/>
  <c r="BF250" i="14"/>
  <c r="T250" i="14"/>
  <c r="R250" i="14"/>
  <c r="P250" i="14"/>
  <c r="J250" i="14"/>
  <c r="BE250" i="14" s="1"/>
  <c r="BK249" i="14"/>
  <c r="BI249" i="14"/>
  <c r="BH249" i="14"/>
  <c r="BG249" i="14"/>
  <c r="BF249" i="14"/>
  <c r="T249" i="14"/>
  <c r="R249" i="14"/>
  <c r="P249" i="14"/>
  <c r="J249" i="14"/>
  <c r="BE249" i="14" s="1"/>
  <c r="BK248" i="14"/>
  <c r="BI248" i="14"/>
  <c r="BH248" i="14"/>
  <c r="BG248" i="14"/>
  <c r="BF248" i="14"/>
  <c r="T248" i="14"/>
  <c r="R248" i="14"/>
  <c r="P248" i="14"/>
  <c r="J248" i="14"/>
  <c r="BE248" i="14" s="1"/>
  <c r="BK247" i="14"/>
  <c r="BI247" i="14"/>
  <c r="BH247" i="14"/>
  <c r="BG247" i="14"/>
  <c r="BF247" i="14"/>
  <c r="T247" i="14"/>
  <c r="R247" i="14"/>
  <c r="P247" i="14"/>
  <c r="J247" i="14"/>
  <c r="BE247" i="14" s="1"/>
  <c r="BK246" i="14"/>
  <c r="BI246" i="14"/>
  <c r="BH246" i="14"/>
  <c r="BG246" i="14"/>
  <c r="BF246" i="14"/>
  <c r="T246" i="14"/>
  <c r="R246" i="14"/>
  <c r="P246" i="14"/>
  <c r="J246" i="14"/>
  <c r="BE246" i="14" s="1"/>
  <c r="BK245" i="14"/>
  <c r="BI245" i="14"/>
  <c r="BH245" i="14"/>
  <c r="BG245" i="14"/>
  <c r="BF245" i="14"/>
  <c r="T245" i="14"/>
  <c r="R245" i="14"/>
  <c r="P245" i="14"/>
  <c r="J245" i="14"/>
  <c r="BE245" i="14" s="1"/>
  <c r="BK244" i="14"/>
  <c r="BI244" i="14"/>
  <c r="BH244" i="14"/>
  <c r="BG244" i="14"/>
  <c r="BF244" i="14"/>
  <c r="T244" i="14"/>
  <c r="R244" i="14"/>
  <c r="P244" i="14"/>
  <c r="J244" i="14"/>
  <c r="BE244" i="14" s="1"/>
  <c r="BK242" i="14"/>
  <c r="BI242" i="14"/>
  <c r="BH242" i="14"/>
  <c r="BG242" i="14"/>
  <c r="BF242" i="14"/>
  <c r="T242" i="14"/>
  <c r="R242" i="14"/>
  <c r="P242" i="14"/>
  <c r="J242" i="14"/>
  <c r="BE242" i="14" s="1"/>
  <c r="BK240" i="14"/>
  <c r="BI240" i="14"/>
  <c r="BH240" i="14"/>
  <c r="BG240" i="14"/>
  <c r="BF240" i="14"/>
  <c r="T240" i="14"/>
  <c r="R240" i="14"/>
  <c r="P240" i="14"/>
  <c r="J240" i="14"/>
  <c r="BE240" i="14" s="1"/>
  <c r="BK239" i="14"/>
  <c r="BI239" i="14"/>
  <c r="BH239" i="14"/>
  <c r="BG239" i="14"/>
  <c r="BF239" i="14"/>
  <c r="T239" i="14"/>
  <c r="R239" i="14"/>
  <c r="P239" i="14"/>
  <c r="J239" i="14"/>
  <c r="BE239" i="14" s="1"/>
  <c r="BK238" i="14"/>
  <c r="BI238" i="14"/>
  <c r="BH238" i="14"/>
  <c r="BG238" i="14"/>
  <c r="BF238" i="14"/>
  <c r="T238" i="14"/>
  <c r="R238" i="14"/>
  <c r="P238" i="14"/>
  <c r="J238" i="14"/>
  <c r="BE238" i="14" s="1"/>
  <c r="BK237" i="14"/>
  <c r="BI237" i="14"/>
  <c r="BH237" i="14"/>
  <c r="BG237" i="14"/>
  <c r="BF237" i="14"/>
  <c r="T237" i="14"/>
  <c r="R237" i="14"/>
  <c r="P237" i="14"/>
  <c r="J237" i="14"/>
  <c r="BE237" i="14" s="1"/>
  <c r="BK236" i="14"/>
  <c r="BI236" i="14"/>
  <c r="BH236" i="14"/>
  <c r="BG236" i="14"/>
  <c r="BF236" i="14"/>
  <c r="T236" i="14"/>
  <c r="R236" i="14"/>
  <c r="P236" i="14"/>
  <c r="J236" i="14"/>
  <c r="BE236" i="14" s="1"/>
  <c r="BK235" i="14"/>
  <c r="BI235" i="14"/>
  <c r="BH235" i="14"/>
  <c r="BG235" i="14"/>
  <c r="BF235" i="14"/>
  <c r="BE235" i="14"/>
  <c r="T235" i="14"/>
  <c r="R235" i="14"/>
  <c r="P235" i="14"/>
  <c r="J235" i="14"/>
  <c r="BK234" i="14"/>
  <c r="BI234" i="14"/>
  <c r="BH234" i="14"/>
  <c r="BG234" i="14"/>
  <c r="BF234" i="14"/>
  <c r="T234" i="14"/>
  <c r="R234" i="14"/>
  <c r="P234" i="14"/>
  <c r="J234" i="14"/>
  <c r="BE234" i="14" s="1"/>
  <c r="BK233" i="14"/>
  <c r="BI233" i="14"/>
  <c r="BH233" i="14"/>
  <c r="BG233" i="14"/>
  <c r="BF233" i="14"/>
  <c r="T233" i="14"/>
  <c r="R233" i="14"/>
  <c r="P233" i="14"/>
  <c r="J233" i="14"/>
  <c r="BE233" i="14" s="1"/>
  <c r="BK232" i="14"/>
  <c r="BI232" i="14"/>
  <c r="BH232" i="14"/>
  <c r="BG232" i="14"/>
  <c r="BF232" i="14"/>
  <c r="T232" i="14"/>
  <c r="R232" i="14"/>
  <c r="P232" i="14"/>
  <c r="J232" i="14"/>
  <c r="BE232" i="14" s="1"/>
  <c r="BK230" i="14"/>
  <c r="BI230" i="14"/>
  <c r="BH230" i="14"/>
  <c r="BG230" i="14"/>
  <c r="BF230" i="14"/>
  <c r="T230" i="14"/>
  <c r="R230" i="14"/>
  <c r="P230" i="14"/>
  <c r="J230" i="14"/>
  <c r="BE230" i="14" s="1"/>
  <c r="BK229" i="14"/>
  <c r="BI229" i="14"/>
  <c r="BH229" i="14"/>
  <c r="BG229" i="14"/>
  <c r="BF229" i="14"/>
  <c r="T229" i="14"/>
  <c r="R229" i="14"/>
  <c r="P229" i="14"/>
  <c r="J229" i="14"/>
  <c r="BE229" i="14" s="1"/>
  <c r="BK228" i="14"/>
  <c r="BI228" i="14"/>
  <c r="BH228" i="14"/>
  <c r="BG228" i="14"/>
  <c r="BF228" i="14"/>
  <c r="T228" i="14"/>
  <c r="R228" i="14"/>
  <c r="P228" i="14"/>
  <c r="J228" i="14"/>
  <c r="BE228" i="14" s="1"/>
  <c r="BK227" i="14"/>
  <c r="BI227" i="14"/>
  <c r="BH227" i="14"/>
  <c r="BG227" i="14"/>
  <c r="BF227" i="14"/>
  <c r="T227" i="14"/>
  <c r="R227" i="14"/>
  <c r="P227" i="14"/>
  <c r="J227" i="14"/>
  <c r="BE227" i="14" s="1"/>
  <c r="BK226" i="14"/>
  <c r="BI226" i="14"/>
  <c r="BH226" i="14"/>
  <c r="BG226" i="14"/>
  <c r="BF226" i="14"/>
  <c r="T226" i="14"/>
  <c r="R226" i="14"/>
  <c r="P226" i="14"/>
  <c r="J226" i="14"/>
  <c r="BE226" i="14" s="1"/>
  <c r="BK225" i="14"/>
  <c r="BI225" i="14"/>
  <c r="BH225" i="14"/>
  <c r="BG225" i="14"/>
  <c r="BF225" i="14"/>
  <c r="T225" i="14"/>
  <c r="R225" i="14"/>
  <c r="P225" i="14"/>
  <c r="J225" i="14"/>
  <c r="BE225" i="14" s="1"/>
  <c r="BK224" i="14"/>
  <c r="BI224" i="14"/>
  <c r="BH224" i="14"/>
  <c r="BG224" i="14"/>
  <c r="BF224" i="14"/>
  <c r="T224" i="14"/>
  <c r="R224" i="14"/>
  <c r="P224" i="14"/>
  <c r="J224" i="14"/>
  <c r="BE224" i="14" s="1"/>
  <c r="BK223" i="14"/>
  <c r="BI223" i="14"/>
  <c r="BH223" i="14"/>
  <c r="BG223" i="14"/>
  <c r="BF223" i="14"/>
  <c r="T223" i="14"/>
  <c r="R223" i="14"/>
  <c r="P223" i="14"/>
  <c r="J223" i="14"/>
  <c r="BE223" i="14" s="1"/>
  <c r="BK222" i="14"/>
  <c r="BI222" i="14"/>
  <c r="BH222" i="14"/>
  <c r="BG222" i="14"/>
  <c r="BF222" i="14"/>
  <c r="T222" i="14"/>
  <c r="R222" i="14"/>
  <c r="P222" i="14"/>
  <c r="J222" i="14"/>
  <c r="BE222" i="14" s="1"/>
  <c r="BK221" i="14"/>
  <c r="BI221" i="14"/>
  <c r="BH221" i="14"/>
  <c r="BG221" i="14"/>
  <c r="BF221" i="14"/>
  <c r="T221" i="14"/>
  <c r="R221" i="14"/>
  <c r="P221" i="14"/>
  <c r="J221" i="14"/>
  <c r="BE221" i="14" s="1"/>
  <c r="BK220" i="14"/>
  <c r="BI220" i="14"/>
  <c r="BH220" i="14"/>
  <c r="BG220" i="14"/>
  <c r="BF220" i="14"/>
  <c r="T220" i="14"/>
  <c r="R220" i="14"/>
  <c r="P220" i="14"/>
  <c r="J220" i="14"/>
  <c r="BE220" i="14" s="1"/>
  <c r="BK219" i="14"/>
  <c r="BI219" i="14"/>
  <c r="BH219" i="14"/>
  <c r="BG219" i="14"/>
  <c r="BF219" i="14"/>
  <c r="T219" i="14"/>
  <c r="R219" i="14"/>
  <c r="P219" i="14"/>
  <c r="J219" i="14"/>
  <c r="BE219" i="14" s="1"/>
  <c r="BK218" i="14"/>
  <c r="BI218" i="14"/>
  <c r="BH218" i="14"/>
  <c r="BG218" i="14"/>
  <c r="BF218" i="14"/>
  <c r="T218" i="14"/>
  <c r="R218" i="14"/>
  <c r="P218" i="14"/>
  <c r="J218" i="14"/>
  <c r="BE218" i="14" s="1"/>
  <c r="BK217" i="14"/>
  <c r="BI217" i="14"/>
  <c r="BH217" i="14"/>
  <c r="BG217" i="14"/>
  <c r="BF217" i="14"/>
  <c r="BE217" i="14"/>
  <c r="T217" i="14"/>
  <c r="R217" i="14"/>
  <c r="P217" i="14"/>
  <c r="J217" i="14"/>
  <c r="BK216" i="14"/>
  <c r="BI216" i="14"/>
  <c r="BH216" i="14"/>
  <c r="BG216" i="14"/>
  <c r="BF216" i="14"/>
  <c r="T216" i="14"/>
  <c r="R216" i="14"/>
  <c r="P216" i="14"/>
  <c r="J216" i="14"/>
  <c r="BE216" i="14" s="1"/>
  <c r="BK215" i="14"/>
  <c r="BI215" i="14"/>
  <c r="BH215" i="14"/>
  <c r="BG215" i="14"/>
  <c r="BF215" i="14"/>
  <c r="T215" i="14"/>
  <c r="R215" i="14"/>
  <c r="P215" i="14"/>
  <c r="J215" i="14"/>
  <c r="BE215" i="14" s="1"/>
  <c r="BK214" i="14"/>
  <c r="BI214" i="14"/>
  <c r="BH214" i="14"/>
  <c r="BG214" i="14"/>
  <c r="BF214" i="14"/>
  <c r="T214" i="14"/>
  <c r="R214" i="14"/>
  <c r="P214" i="14"/>
  <c r="J214" i="14"/>
  <c r="BE214" i="14" s="1"/>
  <c r="BK213" i="14"/>
  <c r="BI213" i="14"/>
  <c r="BH213" i="14"/>
  <c r="BG213" i="14"/>
  <c r="BF213" i="14"/>
  <c r="T213" i="14"/>
  <c r="R213" i="14"/>
  <c r="P213" i="14"/>
  <c r="J213" i="14"/>
  <c r="BE213" i="14" s="1"/>
  <c r="BK212" i="14"/>
  <c r="BI212" i="14"/>
  <c r="BH212" i="14"/>
  <c r="BG212" i="14"/>
  <c r="BF212" i="14"/>
  <c r="T212" i="14"/>
  <c r="R212" i="14"/>
  <c r="P212" i="14"/>
  <c r="J212" i="14"/>
  <c r="BE212" i="14" s="1"/>
  <c r="BK211" i="14"/>
  <c r="BI211" i="14"/>
  <c r="BH211" i="14"/>
  <c r="BG211" i="14"/>
  <c r="BF211" i="14"/>
  <c r="T211" i="14"/>
  <c r="R211" i="14"/>
  <c r="P211" i="14"/>
  <c r="J211" i="14"/>
  <c r="BE211" i="14" s="1"/>
  <c r="BK210" i="14"/>
  <c r="BI210" i="14"/>
  <c r="BH210" i="14"/>
  <c r="BG210" i="14"/>
  <c r="BF210" i="14"/>
  <c r="BE210" i="14"/>
  <c r="T210" i="14"/>
  <c r="R210" i="14"/>
  <c r="P210" i="14"/>
  <c r="J210" i="14"/>
  <c r="BK209" i="14"/>
  <c r="BI209" i="14"/>
  <c r="BH209" i="14"/>
  <c r="BG209" i="14"/>
  <c r="BF209" i="14"/>
  <c r="T209" i="14"/>
  <c r="R209" i="14"/>
  <c r="P209" i="14"/>
  <c r="J209" i="14"/>
  <c r="BE209" i="14" s="1"/>
  <c r="BK208" i="14"/>
  <c r="BI208" i="14"/>
  <c r="BH208" i="14"/>
  <c r="BG208" i="14"/>
  <c r="BF208" i="14"/>
  <c r="T208" i="14"/>
  <c r="R208" i="14"/>
  <c r="P208" i="14"/>
  <c r="J208" i="14"/>
  <c r="BE208" i="14" s="1"/>
  <c r="BK207" i="14"/>
  <c r="BI207" i="14"/>
  <c r="BH207" i="14"/>
  <c r="BG207" i="14"/>
  <c r="BF207" i="14"/>
  <c r="T207" i="14"/>
  <c r="R207" i="14"/>
  <c r="P207" i="14"/>
  <c r="J207" i="14"/>
  <c r="BE207" i="14" s="1"/>
  <c r="BK206" i="14"/>
  <c r="BI206" i="14"/>
  <c r="BH206" i="14"/>
  <c r="BG206" i="14"/>
  <c r="BF206" i="14"/>
  <c r="T206" i="14"/>
  <c r="R206" i="14"/>
  <c r="P206" i="14"/>
  <c r="J206" i="14"/>
  <c r="BE206" i="14" s="1"/>
  <c r="BK205" i="14"/>
  <c r="BI205" i="14"/>
  <c r="BH205" i="14"/>
  <c r="BG205" i="14"/>
  <c r="BF205" i="14"/>
  <c r="T205" i="14"/>
  <c r="R205" i="14"/>
  <c r="P205" i="14"/>
  <c r="J205" i="14"/>
  <c r="BE205" i="14" s="1"/>
  <c r="BK204" i="14"/>
  <c r="BI204" i="14"/>
  <c r="BH204" i="14"/>
  <c r="BG204" i="14"/>
  <c r="BF204" i="14"/>
  <c r="T204" i="14"/>
  <c r="R204" i="14"/>
  <c r="P204" i="14"/>
  <c r="J204" i="14"/>
  <c r="BE204" i="14" s="1"/>
  <c r="BK203" i="14"/>
  <c r="BI203" i="14"/>
  <c r="BH203" i="14"/>
  <c r="BG203" i="14"/>
  <c r="BF203" i="14"/>
  <c r="T203" i="14"/>
  <c r="R203" i="14"/>
  <c r="P203" i="14"/>
  <c r="J203" i="14"/>
  <c r="BE203" i="14" s="1"/>
  <c r="BK201" i="14"/>
  <c r="BI201" i="14"/>
  <c r="BH201" i="14"/>
  <c r="BG201" i="14"/>
  <c r="BF201" i="14"/>
  <c r="T201" i="14"/>
  <c r="R201" i="14"/>
  <c r="P201" i="14"/>
  <c r="J201" i="14"/>
  <c r="BE201" i="14" s="1"/>
  <c r="BK200" i="14"/>
  <c r="BI200" i="14"/>
  <c r="BH200" i="14"/>
  <c r="BG200" i="14"/>
  <c r="BF200" i="14"/>
  <c r="T200" i="14"/>
  <c r="R200" i="14"/>
  <c r="P200" i="14"/>
  <c r="J200" i="14"/>
  <c r="BE200" i="14" s="1"/>
  <c r="BK199" i="14"/>
  <c r="BI199" i="14"/>
  <c r="BH199" i="14"/>
  <c r="BG199" i="14"/>
  <c r="BF199" i="14"/>
  <c r="T199" i="14"/>
  <c r="R199" i="14"/>
  <c r="P199" i="14"/>
  <c r="J199" i="14"/>
  <c r="BE199" i="14" s="1"/>
  <c r="BK198" i="14"/>
  <c r="BI198" i="14"/>
  <c r="BH198" i="14"/>
  <c r="BG198" i="14"/>
  <c r="BF198" i="14"/>
  <c r="T198" i="14"/>
  <c r="R198" i="14"/>
  <c r="P198" i="14"/>
  <c r="J198" i="14"/>
  <c r="BE198" i="14" s="1"/>
  <c r="BK197" i="14"/>
  <c r="BI197" i="14"/>
  <c r="BH197" i="14"/>
  <c r="BG197" i="14"/>
  <c r="BF197" i="14"/>
  <c r="T197" i="14"/>
  <c r="R197" i="14"/>
  <c r="P197" i="14"/>
  <c r="J197" i="14"/>
  <c r="BE197" i="14" s="1"/>
  <c r="BK196" i="14"/>
  <c r="BI196" i="14"/>
  <c r="BH196" i="14"/>
  <c r="BG196" i="14"/>
  <c r="BF196" i="14"/>
  <c r="T196" i="14"/>
  <c r="R196" i="14"/>
  <c r="P196" i="14"/>
  <c r="J196" i="14"/>
  <c r="BE196" i="14" s="1"/>
  <c r="BK195" i="14"/>
  <c r="BI195" i="14"/>
  <c r="BH195" i="14"/>
  <c r="BG195" i="14"/>
  <c r="BF195" i="14"/>
  <c r="T195" i="14"/>
  <c r="R195" i="14"/>
  <c r="P195" i="14"/>
  <c r="J195" i="14"/>
  <c r="BE195" i="14" s="1"/>
  <c r="BK193" i="14"/>
  <c r="BI193" i="14"/>
  <c r="BH193" i="14"/>
  <c r="BG193" i="14"/>
  <c r="BF193" i="14"/>
  <c r="T193" i="14"/>
  <c r="R193" i="14"/>
  <c r="P193" i="14"/>
  <c r="J193" i="14"/>
  <c r="BE193" i="14" s="1"/>
  <c r="BK192" i="14"/>
  <c r="BI192" i="14"/>
  <c r="BH192" i="14"/>
  <c r="BG192" i="14"/>
  <c r="BF192" i="14"/>
  <c r="T192" i="14"/>
  <c r="R192" i="14"/>
  <c r="P192" i="14"/>
  <c r="J192" i="14"/>
  <c r="BE192" i="14" s="1"/>
  <c r="BK191" i="14"/>
  <c r="BI191" i="14"/>
  <c r="BH191" i="14"/>
  <c r="BG191" i="14"/>
  <c r="BF191" i="14"/>
  <c r="T191" i="14"/>
  <c r="R191" i="14"/>
  <c r="P191" i="14"/>
  <c r="J191" i="14"/>
  <c r="BE191" i="14" s="1"/>
  <c r="BK190" i="14"/>
  <c r="BI190" i="14"/>
  <c r="BH190" i="14"/>
  <c r="BG190" i="14"/>
  <c r="BF190" i="14"/>
  <c r="T190" i="14"/>
  <c r="R190" i="14"/>
  <c r="P190" i="14"/>
  <c r="J190" i="14"/>
  <c r="BE190" i="14" s="1"/>
  <c r="BK189" i="14"/>
  <c r="BI189" i="14"/>
  <c r="BH189" i="14"/>
  <c r="BG189" i="14"/>
  <c r="BF189" i="14"/>
  <c r="T189" i="14"/>
  <c r="R189" i="14"/>
  <c r="P189" i="14"/>
  <c r="J189" i="14"/>
  <c r="BE189" i="14" s="1"/>
  <c r="BK188" i="14"/>
  <c r="BI188" i="14"/>
  <c r="BH188" i="14"/>
  <c r="BG188" i="14"/>
  <c r="BF188" i="14"/>
  <c r="T188" i="14"/>
  <c r="R188" i="14"/>
  <c r="P188" i="14"/>
  <c r="J188" i="14"/>
  <c r="BE188" i="14" s="1"/>
  <c r="BK187" i="14"/>
  <c r="BI187" i="14"/>
  <c r="BH187" i="14"/>
  <c r="BG187" i="14"/>
  <c r="BF187" i="14"/>
  <c r="T187" i="14"/>
  <c r="R187" i="14"/>
  <c r="P187" i="14"/>
  <c r="J187" i="14"/>
  <c r="BE187" i="14" s="1"/>
  <c r="BK186" i="14"/>
  <c r="BI186" i="14"/>
  <c r="BH186" i="14"/>
  <c r="BG186" i="14"/>
  <c r="BF186" i="14"/>
  <c r="T186" i="14"/>
  <c r="R186" i="14"/>
  <c r="P186" i="14"/>
  <c r="J186" i="14"/>
  <c r="BE186" i="14" s="1"/>
  <c r="BK185" i="14"/>
  <c r="BI185" i="14"/>
  <c r="BH185" i="14"/>
  <c r="BG185" i="14"/>
  <c r="BF185" i="14"/>
  <c r="T185" i="14"/>
  <c r="R185" i="14"/>
  <c r="P185" i="14"/>
  <c r="J185" i="14"/>
  <c r="BE185" i="14" s="1"/>
  <c r="BK184" i="14"/>
  <c r="BI184" i="14"/>
  <c r="BH184" i="14"/>
  <c r="BG184" i="14"/>
  <c r="BF184" i="14"/>
  <c r="T184" i="14"/>
  <c r="R184" i="14"/>
  <c r="P184" i="14"/>
  <c r="J184" i="14"/>
  <c r="BE184" i="14" s="1"/>
  <c r="BK183" i="14"/>
  <c r="BI183" i="14"/>
  <c r="BH183" i="14"/>
  <c r="BG183" i="14"/>
  <c r="BF183" i="14"/>
  <c r="T183" i="14"/>
  <c r="R183" i="14"/>
  <c r="P183" i="14"/>
  <c r="J183" i="14"/>
  <c r="BE183" i="14" s="1"/>
  <c r="BK182" i="14"/>
  <c r="BI182" i="14"/>
  <c r="BH182" i="14"/>
  <c r="BG182" i="14"/>
  <c r="BF182" i="14"/>
  <c r="T182" i="14"/>
  <c r="R182" i="14"/>
  <c r="P182" i="14"/>
  <c r="J182" i="14"/>
  <c r="BE182" i="14" s="1"/>
  <c r="BK181" i="14"/>
  <c r="BI181" i="14"/>
  <c r="BH181" i="14"/>
  <c r="BG181" i="14"/>
  <c r="BF181" i="14"/>
  <c r="T181" i="14"/>
  <c r="R181" i="14"/>
  <c r="P181" i="14"/>
  <c r="J181" i="14"/>
  <c r="BE181" i="14" s="1"/>
  <c r="BK180" i="14"/>
  <c r="BI180" i="14"/>
  <c r="BH180" i="14"/>
  <c r="BG180" i="14"/>
  <c r="BF180" i="14"/>
  <c r="T180" i="14"/>
  <c r="R180" i="14"/>
  <c r="P180" i="14"/>
  <c r="J180" i="14"/>
  <c r="BE180" i="14" s="1"/>
  <c r="BK179" i="14"/>
  <c r="BI179" i="14"/>
  <c r="BH179" i="14"/>
  <c r="BG179" i="14"/>
  <c r="BF179" i="14"/>
  <c r="T179" i="14"/>
  <c r="R179" i="14"/>
  <c r="P179" i="14"/>
  <c r="J179" i="14"/>
  <c r="BE179" i="14" s="1"/>
  <c r="BK178" i="14"/>
  <c r="BI178" i="14"/>
  <c r="BH178" i="14"/>
  <c r="BG178" i="14"/>
  <c r="BF178" i="14"/>
  <c r="T178" i="14"/>
  <c r="R178" i="14"/>
  <c r="P178" i="14"/>
  <c r="J178" i="14"/>
  <c r="BE178" i="14" s="1"/>
  <c r="BK177" i="14"/>
  <c r="BI177" i="14"/>
  <c r="BH177" i="14"/>
  <c r="BG177" i="14"/>
  <c r="BF177" i="14"/>
  <c r="T177" i="14"/>
  <c r="R177" i="14"/>
  <c r="P177" i="14"/>
  <c r="J177" i="14"/>
  <c r="BE177" i="14" s="1"/>
  <c r="BK176" i="14"/>
  <c r="BI176" i="14"/>
  <c r="BH176" i="14"/>
  <c r="BG176" i="14"/>
  <c r="BF176" i="14"/>
  <c r="T176" i="14"/>
  <c r="R176" i="14"/>
  <c r="P176" i="14"/>
  <c r="J176" i="14"/>
  <c r="BE176" i="14" s="1"/>
  <c r="BK175" i="14"/>
  <c r="BI175" i="14"/>
  <c r="BH175" i="14"/>
  <c r="BG175" i="14"/>
  <c r="BF175" i="14"/>
  <c r="T175" i="14"/>
  <c r="R175" i="14"/>
  <c r="P175" i="14"/>
  <c r="J175" i="14"/>
  <c r="BE175" i="14" s="1"/>
  <c r="BK174" i="14"/>
  <c r="BI174" i="14"/>
  <c r="BH174" i="14"/>
  <c r="BG174" i="14"/>
  <c r="BF174" i="14"/>
  <c r="T174" i="14"/>
  <c r="R174" i="14"/>
  <c r="P174" i="14"/>
  <c r="J174" i="14"/>
  <c r="BE174" i="14" s="1"/>
  <c r="BK173" i="14"/>
  <c r="BI173" i="14"/>
  <c r="BH173" i="14"/>
  <c r="BG173" i="14"/>
  <c r="BF173" i="14"/>
  <c r="T173" i="14"/>
  <c r="R173" i="14"/>
  <c r="P173" i="14"/>
  <c r="J173" i="14"/>
  <c r="BE173" i="14" s="1"/>
  <c r="BK172" i="14"/>
  <c r="BI172" i="14"/>
  <c r="BH172" i="14"/>
  <c r="BG172" i="14"/>
  <c r="BF172" i="14"/>
  <c r="T172" i="14"/>
  <c r="R172" i="14"/>
  <c r="P172" i="14"/>
  <c r="J172" i="14"/>
  <c r="BE172" i="14" s="1"/>
  <c r="BK171" i="14"/>
  <c r="BI171" i="14"/>
  <c r="BH171" i="14"/>
  <c r="BG171" i="14"/>
  <c r="BF171" i="14"/>
  <c r="T171" i="14"/>
  <c r="R171" i="14"/>
  <c r="P171" i="14"/>
  <c r="J171" i="14"/>
  <c r="BE171" i="14" s="1"/>
  <c r="BK170" i="14"/>
  <c r="BI170" i="14"/>
  <c r="BH170" i="14"/>
  <c r="BG170" i="14"/>
  <c r="BF170" i="14"/>
  <c r="T170" i="14"/>
  <c r="R170" i="14"/>
  <c r="P170" i="14"/>
  <c r="J170" i="14"/>
  <c r="BE170" i="14" s="1"/>
  <c r="BK169" i="14"/>
  <c r="BI169" i="14"/>
  <c r="BH169" i="14"/>
  <c r="BG169" i="14"/>
  <c r="BF169" i="14"/>
  <c r="T169" i="14"/>
  <c r="R169" i="14"/>
  <c r="P169" i="14"/>
  <c r="J169" i="14"/>
  <c r="BE169" i="14" s="1"/>
  <c r="BK168" i="14"/>
  <c r="BI168" i="14"/>
  <c r="BH168" i="14"/>
  <c r="BG168" i="14"/>
  <c r="BF168" i="14"/>
  <c r="T168" i="14"/>
  <c r="R168" i="14"/>
  <c r="P168" i="14"/>
  <c r="J168" i="14"/>
  <c r="BE168" i="14" s="1"/>
  <c r="BK167" i="14"/>
  <c r="BI167" i="14"/>
  <c r="BH167" i="14"/>
  <c r="BG167" i="14"/>
  <c r="BF167" i="14"/>
  <c r="T167" i="14"/>
  <c r="R167" i="14"/>
  <c r="P167" i="14"/>
  <c r="J167" i="14"/>
  <c r="BE167" i="14" s="1"/>
  <c r="BK165" i="14"/>
  <c r="BI165" i="14"/>
  <c r="BH165" i="14"/>
  <c r="BG165" i="14"/>
  <c r="BF165" i="14"/>
  <c r="T165" i="14"/>
  <c r="R165" i="14"/>
  <c r="P165" i="14"/>
  <c r="J165" i="14"/>
  <c r="BE165" i="14" s="1"/>
  <c r="BK164" i="14"/>
  <c r="BI164" i="14"/>
  <c r="BH164" i="14"/>
  <c r="BG164" i="14"/>
  <c r="BF164" i="14"/>
  <c r="T164" i="14"/>
  <c r="R164" i="14"/>
  <c r="P164" i="14"/>
  <c r="J164" i="14"/>
  <c r="BE164" i="14" s="1"/>
  <c r="BK162" i="14"/>
  <c r="BI162" i="14"/>
  <c r="BH162" i="14"/>
  <c r="BG162" i="14"/>
  <c r="BF162" i="14"/>
  <c r="T162" i="14"/>
  <c r="R162" i="14"/>
  <c r="P162" i="14"/>
  <c r="J162" i="14"/>
  <c r="BE162" i="14" s="1"/>
  <c r="BK161" i="14"/>
  <c r="BI161" i="14"/>
  <c r="BH161" i="14"/>
  <c r="BG161" i="14"/>
  <c r="BF161" i="14"/>
  <c r="T161" i="14"/>
  <c r="R161" i="14"/>
  <c r="P161" i="14"/>
  <c r="J161" i="14"/>
  <c r="BE161" i="14" s="1"/>
  <c r="BK160" i="14"/>
  <c r="BI160" i="14"/>
  <c r="BH160" i="14"/>
  <c r="BG160" i="14"/>
  <c r="BF160" i="14"/>
  <c r="T160" i="14"/>
  <c r="R160" i="14"/>
  <c r="P160" i="14"/>
  <c r="J160" i="14"/>
  <c r="BE160" i="14" s="1"/>
  <c r="BK159" i="14"/>
  <c r="BI159" i="14"/>
  <c r="BH159" i="14"/>
  <c r="BG159" i="14"/>
  <c r="BF159" i="14"/>
  <c r="T159" i="14"/>
  <c r="R159" i="14"/>
  <c r="P159" i="14"/>
  <c r="J159" i="14"/>
  <c r="BE159" i="14" s="1"/>
  <c r="BK158" i="14"/>
  <c r="BI158" i="14"/>
  <c r="BH158" i="14"/>
  <c r="BG158" i="14"/>
  <c r="BF158" i="14"/>
  <c r="T158" i="14"/>
  <c r="R158" i="14"/>
  <c r="P158" i="14"/>
  <c r="J158" i="14"/>
  <c r="BE158" i="14" s="1"/>
  <c r="BK157" i="14"/>
  <c r="BI157" i="14"/>
  <c r="BH157" i="14"/>
  <c r="BG157" i="14"/>
  <c r="BF157" i="14"/>
  <c r="T157" i="14"/>
  <c r="R157" i="14"/>
  <c r="P157" i="14"/>
  <c r="J157" i="14"/>
  <c r="BE157" i="14" s="1"/>
  <c r="BK156" i="14"/>
  <c r="BI156" i="14"/>
  <c r="BH156" i="14"/>
  <c r="BG156" i="14"/>
  <c r="BF156" i="14"/>
  <c r="T156" i="14"/>
  <c r="R156" i="14"/>
  <c r="P156" i="14"/>
  <c r="J156" i="14"/>
  <c r="BE156" i="14" s="1"/>
  <c r="BK155" i="14"/>
  <c r="BI155" i="14"/>
  <c r="BH155" i="14"/>
  <c r="BG155" i="14"/>
  <c r="BF155" i="14"/>
  <c r="T155" i="14"/>
  <c r="R155" i="14"/>
  <c r="P155" i="14"/>
  <c r="J155" i="14"/>
  <c r="BE155" i="14" s="1"/>
  <c r="BK154" i="14"/>
  <c r="BI154" i="14"/>
  <c r="BH154" i="14"/>
  <c r="BG154" i="14"/>
  <c r="BF154" i="14"/>
  <c r="T154" i="14"/>
  <c r="R154" i="14"/>
  <c r="P154" i="14"/>
  <c r="J154" i="14"/>
  <c r="BE154" i="14" s="1"/>
  <c r="BK153" i="14"/>
  <c r="BI153" i="14"/>
  <c r="BH153" i="14"/>
  <c r="BG153" i="14"/>
  <c r="BF153" i="14"/>
  <c r="T153" i="14"/>
  <c r="R153" i="14"/>
  <c r="P153" i="14"/>
  <c r="J153" i="14"/>
  <c r="BE153" i="14" s="1"/>
  <c r="BK152" i="14"/>
  <c r="BI152" i="14"/>
  <c r="BH152" i="14"/>
  <c r="BG152" i="14"/>
  <c r="BF152" i="14"/>
  <c r="T152" i="14"/>
  <c r="R152" i="14"/>
  <c r="P152" i="14"/>
  <c r="J152" i="14"/>
  <c r="BE152" i="14" s="1"/>
  <c r="BK151" i="14"/>
  <c r="BI151" i="14"/>
  <c r="BH151" i="14"/>
  <c r="BG151" i="14"/>
  <c r="BF151" i="14"/>
  <c r="T151" i="14"/>
  <c r="R151" i="14"/>
  <c r="P151" i="14"/>
  <c r="J151" i="14"/>
  <c r="BE151" i="14" s="1"/>
  <c r="BK150" i="14"/>
  <c r="BI150" i="14"/>
  <c r="BH150" i="14"/>
  <c r="BG150" i="14"/>
  <c r="BF150" i="14"/>
  <c r="T150" i="14"/>
  <c r="R150" i="14"/>
  <c r="P150" i="14"/>
  <c r="J150" i="14"/>
  <c r="BE150" i="14" s="1"/>
  <c r="BK149" i="14"/>
  <c r="BI149" i="14"/>
  <c r="BH149" i="14"/>
  <c r="BG149" i="14"/>
  <c r="BF149" i="14"/>
  <c r="T149" i="14"/>
  <c r="R149" i="14"/>
  <c r="P149" i="14"/>
  <c r="J149" i="14"/>
  <c r="BE149" i="14" s="1"/>
  <c r="BK148" i="14"/>
  <c r="BI148" i="14"/>
  <c r="BH148" i="14"/>
  <c r="BG148" i="14"/>
  <c r="BF148" i="14"/>
  <c r="T148" i="14"/>
  <c r="R148" i="14"/>
  <c r="P148" i="14"/>
  <c r="J148" i="14"/>
  <c r="BE148" i="14" s="1"/>
  <c r="BK147" i="14"/>
  <c r="BI147" i="14"/>
  <c r="BH147" i="14"/>
  <c r="BG147" i="14"/>
  <c r="BF147" i="14"/>
  <c r="T147" i="14"/>
  <c r="R147" i="14"/>
  <c r="P147" i="14"/>
  <c r="J147" i="14"/>
  <c r="BE147" i="14" s="1"/>
  <c r="BK146" i="14"/>
  <c r="BI146" i="14"/>
  <c r="BH146" i="14"/>
  <c r="BG146" i="14"/>
  <c r="BF146" i="14"/>
  <c r="BE146" i="14"/>
  <c r="T146" i="14"/>
  <c r="R146" i="14"/>
  <c r="P146" i="14"/>
  <c r="J146" i="14"/>
  <c r="BK145" i="14"/>
  <c r="BI145" i="14"/>
  <c r="BH145" i="14"/>
  <c r="BG145" i="14"/>
  <c r="BF145" i="14"/>
  <c r="T145" i="14"/>
  <c r="R145" i="14"/>
  <c r="P145" i="14"/>
  <c r="J145" i="14"/>
  <c r="BE145" i="14" s="1"/>
  <c r="BK142" i="14"/>
  <c r="BI142" i="14"/>
  <c r="BH142" i="14"/>
  <c r="BG142" i="14"/>
  <c r="BF142" i="14"/>
  <c r="T142" i="14"/>
  <c r="R142" i="14"/>
  <c r="P142" i="14"/>
  <c r="J142" i="14"/>
  <c r="BE142" i="14" s="1"/>
  <c r="BK141" i="14"/>
  <c r="BI141" i="14"/>
  <c r="BH141" i="14"/>
  <c r="BG141" i="14"/>
  <c r="BF141" i="14"/>
  <c r="T141" i="14"/>
  <c r="R141" i="14"/>
  <c r="P141" i="14"/>
  <c r="J141" i="14"/>
  <c r="BE141" i="14" s="1"/>
  <c r="J135" i="14"/>
  <c r="J134" i="14"/>
  <c r="F134" i="14"/>
  <c r="J132" i="14"/>
  <c r="E130" i="14"/>
  <c r="E126" i="14"/>
  <c r="J94" i="14"/>
  <c r="J93" i="14"/>
  <c r="F93" i="14"/>
  <c r="J91" i="14"/>
  <c r="F91" i="14"/>
  <c r="E89" i="14"/>
  <c r="E85" i="14"/>
  <c r="J39" i="14"/>
  <c r="J38" i="14"/>
  <c r="AY109" i="1" s="1"/>
  <c r="J37" i="14"/>
  <c r="AX109" i="1" s="1"/>
  <c r="BK1331" i="13"/>
  <c r="BK1330" i="13" s="1"/>
  <c r="J1330" i="13" s="1"/>
  <c r="J112" i="13" s="1"/>
  <c r="BI1331" i="13"/>
  <c r="BH1331" i="13"/>
  <c r="BG1331" i="13"/>
  <c r="BF1331" i="13"/>
  <c r="T1331" i="13"/>
  <c r="T1330" i="13" s="1"/>
  <c r="R1331" i="13"/>
  <c r="R1330" i="13" s="1"/>
  <c r="P1331" i="13"/>
  <c r="P1330" i="13" s="1"/>
  <c r="J1331" i="13"/>
  <c r="BE1331" i="13" s="1"/>
  <c r="BK1172" i="13"/>
  <c r="BK1171" i="13" s="1"/>
  <c r="J1171" i="13" s="1"/>
  <c r="J111" i="13" s="1"/>
  <c r="BI1172" i="13"/>
  <c r="BH1172" i="13"/>
  <c r="BG1172" i="13"/>
  <c r="BF1172" i="13"/>
  <c r="BE1172" i="13"/>
  <c r="T1172" i="13"/>
  <c r="T1171" i="13" s="1"/>
  <c r="R1172" i="13"/>
  <c r="R1171" i="13" s="1"/>
  <c r="P1172" i="13"/>
  <c r="P1171" i="13" s="1"/>
  <c r="J1172" i="13"/>
  <c r="BK1161" i="13"/>
  <c r="BK1160" i="13" s="1"/>
  <c r="J1160" i="13" s="1"/>
  <c r="BI1161" i="13"/>
  <c r="BH1161" i="13"/>
  <c r="BG1161" i="13"/>
  <c r="BF1161" i="13"/>
  <c r="T1161" i="13"/>
  <c r="T1160" i="13" s="1"/>
  <c r="R1161" i="13"/>
  <c r="R1160" i="13" s="1"/>
  <c r="P1161" i="13"/>
  <c r="P1160" i="13" s="1"/>
  <c r="J1161" i="13"/>
  <c r="BE1161" i="13" s="1"/>
  <c r="BK1149" i="13"/>
  <c r="BI1149" i="13"/>
  <c r="BH1149" i="13"/>
  <c r="BG1149" i="13"/>
  <c r="BF1149" i="13"/>
  <c r="T1149" i="13"/>
  <c r="R1149" i="13"/>
  <c r="P1149" i="13"/>
  <c r="J1149" i="13"/>
  <c r="BE1149" i="13" s="1"/>
  <c r="BK1138" i="13"/>
  <c r="BI1138" i="13"/>
  <c r="BH1138" i="13"/>
  <c r="BG1138" i="13"/>
  <c r="BF1138" i="13"/>
  <c r="T1138" i="13"/>
  <c r="R1138" i="13"/>
  <c r="P1138" i="13"/>
  <c r="J1138" i="13"/>
  <c r="BE1138" i="13" s="1"/>
  <c r="BK1133" i="13"/>
  <c r="BI1133" i="13"/>
  <c r="BH1133" i="13"/>
  <c r="BG1133" i="13"/>
  <c r="BF1133" i="13"/>
  <c r="T1133" i="13"/>
  <c r="R1133" i="13"/>
  <c r="P1133" i="13"/>
  <c r="J1133" i="13"/>
  <c r="BE1133" i="13" s="1"/>
  <c r="BK1066" i="13"/>
  <c r="BI1066" i="13"/>
  <c r="BH1066" i="13"/>
  <c r="BG1066" i="13"/>
  <c r="BF1066" i="13"/>
  <c r="T1066" i="13"/>
  <c r="R1066" i="13"/>
  <c r="P1066" i="13"/>
  <c r="J1066" i="13"/>
  <c r="BE1066" i="13" s="1"/>
  <c r="BK1065" i="13"/>
  <c r="BI1065" i="13"/>
  <c r="BH1065" i="13"/>
  <c r="BG1065" i="13"/>
  <c r="BF1065" i="13"/>
  <c r="T1065" i="13"/>
  <c r="R1065" i="13"/>
  <c r="P1065" i="13"/>
  <c r="J1065" i="13"/>
  <c r="BE1065" i="13" s="1"/>
  <c r="BK1060" i="13"/>
  <c r="BI1060" i="13"/>
  <c r="BH1060" i="13"/>
  <c r="BG1060" i="13"/>
  <c r="BF1060" i="13"/>
  <c r="T1060" i="13"/>
  <c r="R1060" i="13"/>
  <c r="P1060" i="13"/>
  <c r="J1060" i="13"/>
  <c r="BE1060" i="13" s="1"/>
  <c r="BK1059" i="13"/>
  <c r="BI1059" i="13"/>
  <c r="BH1059" i="13"/>
  <c r="BG1059" i="13"/>
  <c r="BF1059" i="13"/>
  <c r="T1059" i="13"/>
  <c r="R1059" i="13"/>
  <c r="P1059" i="13"/>
  <c r="J1059" i="13"/>
  <c r="BE1059" i="13" s="1"/>
  <c r="BK1052" i="13"/>
  <c r="BI1052" i="13"/>
  <c r="BH1052" i="13"/>
  <c r="BG1052" i="13"/>
  <c r="BF1052" i="13"/>
  <c r="T1052" i="13"/>
  <c r="R1052" i="13"/>
  <c r="P1052" i="13"/>
  <c r="J1052" i="13"/>
  <c r="BE1052" i="13" s="1"/>
  <c r="BK1042" i="13"/>
  <c r="BI1042" i="13"/>
  <c r="BH1042" i="13"/>
  <c r="BG1042" i="13"/>
  <c r="BF1042" i="13"/>
  <c r="T1042" i="13"/>
  <c r="R1042" i="13"/>
  <c r="P1042" i="13"/>
  <c r="J1042" i="13"/>
  <c r="BE1042" i="13" s="1"/>
  <c r="BK1031" i="13"/>
  <c r="BI1031" i="13"/>
  <c r="BH1031" i="13"/>
  <c r="BG1031" i="13"/>
  <c r="BF1031" i="13"/>
  <c r="T1031" i="13"/>
  <c r="R1031" i="13"/>
  <c r="P1031" i="13"/>
  <c r="J1031" i="13"/>
  <c r="BE1031" i="13" s="1"/>
  <c r="BK1020" i="13"/>
  <c r="BI1020" i="13"/>
  <c r="BH1020" i="13"/>
  <c r="BG1020" i="13"/>
  <c r="BF1020" i="13"/>
  <c r="T1020" i="13"/>
  <c r="R1020" i="13"/>
  <c r="P1020" i="13"/>
  <c r="J1020" i="13"/>
  <c r="BE1020" i="13" s="1"/>
  <c r="BK1015" i="13"/>
  <c r="BK1010" i="13" s="1"/>
  <c r="J1010" i="13" s="1"/>
  <c r="J106" i="13" s="1"/>
  <c r="BI1015" i="13"/>
  <c r="BH1015" i="13"/>
  <c r="BG1015" i="13"/>
  <c r="BF1015" i="13"/>
  <c r="T1015" i="13"/>
  <c r="R1015" i="13"/>
  <c r="P1015" i="13"/>
  <c r="J1015" i="13"/>
  <c r="BE1015" i="13" s="1"/>
  <c r="BK1011" i="13"/>
  <c r="BI1011" i="13"/>
  <c r="BH1011" i="13"/>
  <c r="BG1011" i="13"/>
  <c r="BF1011" i="13"/>
  <c r="T1011" i="13"/>
  <c r="R1011" i="13"/>
  <c r="P1011" i="13"/>
  <c r="P1010" i="13" s="1"/>
  <c r="J1011" i="13"/>
  <c r="BE1011" i="13" s="1"/>
  <c r="BK1006" i="13"/>
  <c r="BI1006" i="13"/>
  <c r="BH1006" i="13"/>
  <c r="BG1006" i="13"/>
  <c r="BF1006" i="13"/>
  <c r="T1006" i="13"/>
  <c r="R1006" i="13"/>
  <c r="P1006" i="13"/>
  <c r="J1006" i="13"/>
  <c r="BE1006" i="13" s="1"/>
  <c r="BK1002" i="13"/>
  <c r="BI1002" i="13"/>
  <c r="BH1002" i="13"/>
  <c r="BG1002" i="13"/>
  <c r="BF1002" i="13"/>
  <c r="T1002" i="13"/>
  <c r="R1002" i="13"/>
  <c r="P1002" i="13"/>
  <c r="J1002" i="13"/>
  <c r="BE1002" i="13" s="1"/>
  <c r="BK998" i="13"/>
  <c r="BI998" i="13"/>
  <c r="BH998" i="13"/>
  <c r="BG998" i="13"/>
  <c r="BF998" i="13"/>
  <c r="T998" i="13"/>
  <c r="R998" i="13"/>
  <c r="P998" i="13"/>
  <c r="J998" i="13"/>
  <c r="BE998" i="13" s="1"/>
  <c r="BK995" i="13"/>
  <c r="BI995" i="13"/>
  <c r="BH995" i="13"/>
  <c r="BG995" i="13"/>
  <c r="BF995" i="13"/>
  <c r="T995" i="13"/>
  <c r="R995" i="13"/>
  <c r="P995" i="13"/>
  <c r="J995" i="13"/>
  <c r="BE995" i="13" s="1"/>
  <c r="BK987" i="13"/>
  <c r="BI987" i="13"/>
  <c r="BH987" i="13"/>
  <c r="BG987" i="13"/>
  <c r="BF987" i="13"/>
  <c r="T987" i="13"/>
  <c r="R987" i="13"/>
  <c r="P987" i="13"/>
  <c r="J987" i="13"/>
  <c r="BE987" i="13" s="1"/>
  <c r="BK982" i="13"/>
  <c r="BK981" i="13" s="1"/>
  <c r="J981" i="13" s="1"/>
  <c r="J104" i="13" s="1"/>
  <c r="BI982" i="13"/>
  <c r="BH982" i="13"/>
  <c r="BG982" i="13"/>
  <c r="BF982" i="13"/>
  <c r="T982" i="13"/>
  <c r="T981" i="13" s="1"/>
  <c r="R982" i="13"/>
  <c r="R981" i="13" s="1"/>
  <c r="P982" i="13"/>
  <c r="P981" i="13" s="1"/>
  <c r="J982" i="13"/>
  <c r="BE982" i="13" s="1"/>
  <c r="BK974" i="13"/>
  <c r="BI974" i="13"/>
  <c r="BH974" i="13"/>
  <c r="BG974" i="13"/>
  <c r="BF974" i="13"/>
  <c r="T974" i="13"/>
  <c r="R974" i="13"/>
  <c r="P974" i="13"/>
  <c r="J974" i="13"/>
  <c r="BE974" i="13" s="1"/>
  <c r="BK965" i="13"/>
  <c r="BI965" i="13"/>
  <c r="BH965" i="13"/>
  <c r="BG965" i="13"/>
  <c r="BF965" i="13"/>
  <c r="T965" i="13"/>
  <c r="R965" i="13"/>
  <c r="P965" i="13"/>
  <c r="J965" i="13"/>
  <c r="BE965" i="13" s="1"/>
  <c r="BK961" i="13"/>
  <c r="BI961" i="13"/>
  <c r="BH961" i="13"/>
  <c r="BG961" i="13"/>
  <c r="BF961" i="13"/>
  <c r="T961" i="13"/>
  <c r="R961" i="13"/>
  <c r="P961" i="13"/>
  <c r="J961" i="13"/>
  <c r="BE961" i="13" s="1"/>
  <c r="BK957" i="13"/>
  <c r="BI957" i="13"/>
  <c r="BH957" i="13"/>
  <c r="BG957" i="13"/>
  <c r="BF957" i="13"/>
  <c r="T957" i="13"/>
  <c r="R957" i="13"/>
  <c r="P957" i="13"/>
  <c r="J957" i="13"/>
  <c r="BE957" i="13" s="1"/>
  <c r="BK943" i="13"/>
  <c r="BI943" i="13"/>
  <c r="BH943" i="13"/>
  <c r="BG943" i="13"/>
  <c r="BF943" i="13"/>
  <c r="T943" i="13"/>
  <c r="R943" i="13"/>
  <c r="P943" i="13"/>
  <c r="J943" i="13"/>
  <c r="BE943" i="13" s="1"/>
  <c r="BK933" i="13"/>
  <c r="BI933" i="13"/>
  <c r="BH933" i="13"/>
  <c r="BG933" i="13"/>
  <c r="BF933" i="13"/>
  <c r="T933" i="13"/>
  <c r="R933" i="13"/>
  <c r="P933" i="13"/>
  <c r="J933" i="13"/>
  <c r="BE933" i="13" s="1"/>
  <c r="BK923" i="13"/>
  <c r="BI923" i="13"/>
  <c r="BH923" i="13"/>
  <c r="BG923" i="13"/>
  <c r="BF923" i="13"/>
  <c r="T923" i="13"/>
  <c r="R923" i="13"/>
  <c r="P923" i="13"/>
  <c r="J923" i="13"/>
  <c r="BE923" i="13" s="1"/>
  <c r="BK922" i="13"/>
  <c r="BI922" i="13"/>
  <c r="BH922" i="13"/>
  <c r="BG922" i="13"/>
  <c r="BF922" i="13"/>
  <c r="T922" i="13"/>
  <c r="R922" i="13"/>
  <c r="P922" i="13"/>
  <c r="J922" i="13"/>
  <c r="BE922" i="13" s="1"/>
  <c r="BK916" i="13"/>
  <c r="BI916" i="13"/>
  <c r="BH916" i="13"/>
  <c r="BG916" i="13"/>
  <c r="BF916" i="13"/>
  <c r="T916" i="13"/>
  <c r="R916" i="13"/>
  <c r="P916" i="13"/>
  <c r="J916" i="13"/>
  <c r="BE916" i="13" s="1"/>
  <c r="BK912" i="13"/>
  <c r="BI912" i="13"/>
  <c r="BH912" i="13"/>
  <c r="BG912" i="13"/>
  <c r="BF912" i="13"/>
  <c r="T912" i="13"/>
  <c r="R912" i="13"/>
  <c r="P912" i="13"/>
  <c r="J912" i="13"/>
  <c r="BE912" i="13" s="1"/>
  <c r="BK910" i="13"/>
  <c r="BI910" i="13"/>
  <c r="BH910" i="13"/>
  <c r="BG910" i="13"/>
  <c r="BF910" i="13"/>
  <c r="T910" i="13"/>
  <c r="R910" i="13"/>
  <c r="P910" i="13"/>
  <c r="J910" i="13"/>
  <c r="BE910" i="13" s="1"/>
  <c r="BK909" i="13"/>
  <c r="BI909" i="13"/>
  <c r="BH909" i="13"/>
  <c r="BG909" i="13"/>
  <c r="BF909" i="13"/>
  <c r="T909" i="13"/>
  <c r="R909" i="13"/>
  <c r="P909" i="13"/>
  <c r="J909" i="13"/>
  <c r="BE909" i="13" s="1"/>
  <c r="BK908" i="13"/>
  <c r="BI908" i="13"/>
  <c r="BH908" i="13"/>
  <c r="BG908" i="13"/>
  <c r="BF908" i="13"/>
  <c r="BE908" i="13"/>
  <c r="T908" i="13"/>
  <c r="R908" i="13"/>
  <c r="P908" i="13"/>
  <c r="J908" i="13"/>
  <c r="BK907" i="13"/>
  <c r="BI907" i="13"/>
  <c r="BH907" i="13"/>
  <c r="BG907" i="13"/>
  <c r="BF907" i="13"/>
  <c r="T907" i="13"/>
  <c r="R907" i="13"/>
  <c r="P907" i="13"/>
  <c r="J907" i="13"/>
  <c r="BE907" i="13" s="1"/>
  <c r="BK904" i="13"/>
  <c r="BI904" i="13"/>
  <c r="BH904" i="13"/>
  <c r="BG904" i="13"/>
  <c r="BF904" i="13"/>
  <c r="T904" i="13"/>
  <c r="R904" i="13"/>
  <c r="P904" i="13"/>
  <c r="J904" i="13"/>
  <c r="BE904" i="13" s="1"/>
  <c r="BK864" i="13"/>
  <c r="BI864" i="13"/>
  <c r="BH864" i="13"/>
  <c r="BG864" i="13"/>
  <c r="BF864" i="13"/>
  <c r="T864" i="13"/>
  <c r="R864" i="13"/>
  <c r="P864" i="13"/>
  <c r="J864" i="13"/>
  <c r="BE864" i="13" s="1"/>
  <c r="BK847" i="13"/>
  <c r="BI847" i="13"/>
  <c r="BH847" i="13"/>
  <c r="BG847" i="13"/>
  <c r="BF847" i="13"/>
  <c r="T847" i="13"/>
  <c r="R847" i="13"/>
  <c r="P847" i="13"/>
  <c r="J847" i="13"/>
  <c r="BE847" i="13" s="1"/>
  <c r="BK838" i="13"/>
  <c r="BI838" i="13"/>
  <c r="BH838" i="13"/>
  <c r="BG838" i="13"/>
  <c r="BF838" i="13"/>
  <c r="T838" i="13"/>
  <c r="R838" i="13"/>
  <c r="P838" i="13"/>
  <c r="J838" i="13"/>
  <c r="BE838" i="13" s="1"/>
  <c r="BK825" i="13"/>
  <c r="BI825" i="13"/>
  <c r="BH825" i="13"/>
  <c r="BG825" i="13"/>
  <c r="BF825" i="13"/>
  <c r="T825" i="13"/>
  <c r="R825" i="13"/>
  <c r="P825" i="13"/>
  <c r="J825" i="13"/>
  <c r="BE825" i="13" s="1"/>
  <c r="BK810" i="13"/>
  <c r="BI810" i="13"/>
  <c r="BH810" i="13"/>
  <c r="BG810" i="13"/>
  <c r="BF810" i="13"/>
  <c r="T810" i="13"/>
  <c r="R810" i="13"/>
  <c r="P810" i="13"/>
  <c r="J810" i="13"/>
  <c r="BE810" i="13" s="1"/>
  <c r="BK791" i="13"/>
  <c r="BI791" i="13"/>
  <c r="BH791" i="13"/>
  <c r="BG791" i="13"/>
  <c r="BF791" i="13"/>
  <c r="T791" i="13"/>
  <c r="R791" i="13"/>
  <c r="P791" i="13"/>
  <c r="J791" i="13"/>
  <c r="BE791" i="13" s="1"/>
  <c r="BK788" i="13"/>
  <c r="BI788" i="13"/>
  <c r="BH788" i="13"/>
  <c r="BG788" i="13"/>
  <c r="BF788" i="13"/>
  <c r="T788" i="13"/>
  <c r="R788" i="13"/>
  <c r="P788" i="13"/>
  <c r="J788" i="13"/>
  <c r="BE788" i="13" s="1"/>
  <c r="BK785" i="13"/>
  <c r="BI785" i="13"/>
  <c r="BH785" i="13"/>
  <c r="BG785" i="13"/>
  <c r="BF785" i="13"/>
  <c r="T785" i="13"/>
  <c r="R785" i="13"/>
  <c r="P785" i="13"/>
  <c r="J785" i="13"/>
  <c r="BE785" i="13" s="1"/>
  <c r="BK774" i="13"/>
  <c r="BI774" i="13"/>
  <c r="BH774" i="13"/>
  <c r="BG774" i="13"/>
  <c r="BF774" i="13"/>
  <c r="T774" i="13"/>
  <c r="R774" i="13"/>
  <c r="P774" i="13"/>
  <c r="J774" i="13"/>
  <c r="BE774" i="13" s="1"/>
  <c r="BK761" i="13"/>
  <c r="BI761" i="13"/>
  <c r="BH761" i="13"/>
  <c r="BG761" i="13"/>
  <c r="BF761" i="13"/>
  <c r="T761" i="13"/>
  <c r="R761" i="13"/>
  <c r="P761" i="13"/>
  <c r="J761" i="13"/>
  <c r="BE761" i="13" s="1"/>
  <c r="BK760" i="13"/>
  <c r="BI760" i="13"/>
  <c r="BH760" i="13"/>
  <c r="BG760" i="13"/>
  <c r="BF760" i="13"/>
  <c r="T760" i="13"/>
  <c r="R760" i="13"/>
  <c r="P760" i="13"/>
  <c r="J760" i="13"/>
  <c r="BE760" i="13" s="1"/>
  <c r="BK748" i="13"/>
  <c r="BI748" i="13"/>
  <c r="BH748" i="13"/>
  <c r="BG748" i="13"/>
  <c r="BF748" i="13"/>
  <c r="BE748" i="13"/>
  <c r="T748" i="13"/>
  <c r="R748" i="13"/>
  <c r="P748" i="13"/>
  <c r="J748" i="13"/>
  <c r="BK747" i="13"/>
  <c r="BI747" i="13"/>
  <c r="BH747" i="13"/>
  <c r="BG747" i="13"/>
  <c r="BF747" i="13"/>
  <c r="T747" i="13"/>
  <c r="R747" i="13"/>
  <c r="P747" i="13"/>
  <c r="J747" i="13"/>
  <c r="BE747" i="13" s="1"/>
  <c r="BK733" i="13"/>
  <c r="BI733" i="13"/>
  <c r="BH733" i="13"/>
  <c r="BG733" i="13"/>
  <c r="BF733" i="13"/>
  <c r="T733" i="13"/>
  <c r="R733" i="13"/>
  <c r="P733" i="13"/>
  <c r="J733" i="13"/>
  <c r="BE733" i="13" s="1"/>
  <c r="BK730" i="13"/>
  <c r="BI730" i="13"/>
  <c r="BH730" i="13"/>
  <c r="BG730" i="13"/>
  <c r="BF730" i="13"/>
  <c r="T730" i="13"/>
  <c r="R730" i="13"/>
  <c r="P730" i="13"/>
  <c r="J730" i="13"/>
  <c r="BE730" i="13" s="1"/>
  <c r="BK724" i="13"/>
  <c r="BI724" i="13"/>
  <c r="BH724" i="13"/>
  <c r="BG724" i="13"/>
  <c r="BF724" i="13"/>
  <c r="T724" i="13"/>
  <c r="R724" i="13"/>
  <c r="P724" i="13"/>
  <c r="J724" i="13"/>
  <c r="BE724" i="13" s="1"/>
  <c r="BK678" i="13"/>
  <c r="BI678" i="13"/>
  <c r="BH678" i="13"/>
  <c r="BG678" i="13"/>
  <c r="BF678" i="13"/>
  <c r="T678" i="13"/>
  <c r="R678" i="13"/>
  <c r="P678" i="13"/>
  <c r="J678" i="13"/>
  <c r="BE678" i="13" s="1"/>
  <c r="BK608" i="13"/>
  <c r="BI608" i="13"/>
  <c r="BH608" i="13"/>
  <c r="BG608" i="13"/>
  <c r="BF608" i="13"/>
  <c r="T608" i="13"/>
  <c r="R608" i="13"/>
  <c r="P608" i="13"/>
  <c r="J608" i="13"/>
  <c r="BE608" i="13" s="1"/>
  <c r="BK598" i="13"/>
  <c r="BI598" i="13"/>
  <c r="BH598" i="13"/>
  <c r="BG598" i="13"/>
  <c r="BF598" i="13"/>
  <c r="T598" i="13"/>
  <c r="R598" i="13"/>
  <c r="P598" i="13"/>
  <c r="J598" i="13"/>
  <c r="BE598" i="13" s="1"/>
  <c r="BK595" i="13"/>
  <c r="BI595" i="13"/>
  <c r="BH595" i="13"/>
  <c r="BG595" i="13"/>
  <c r="BF595" i="13"/>
  <c r="T595" i="13"/>
  <c r="R595" i="13"/>
  <c r="P595" i="13"/>
  <c r="J595" i="13"/>
  <c r="BE595" i="13" s="1"/>
  <c r="BK592" i="13"/>
  <c r="BI592" i="13"/>
  <c r="BH592" i="13"/>
  <c r="BG592" i="13"/>
  <c r="BF592" i="13"/>
  <c r="T592" i="13"/>
  <c r="R592" i="13"/>
  <c r="P592" i="13"/>
  <c r="J592" i="13"/>
  <c r="BE592" i="13" s="1"/>
  <c r="BK588" i="13"/>
  <c r="BI588" i="13"/>
  <c r="BH588" i="13"/>
  <c r="BG588" i="13"/>
  <c r="BF588" i="13"/>
  <c r="T588" i="13"/>
  <c r="R588" i="13"/>
  <c r="P588" i="13"/>
  <c r="J588" i="13"/>
  <c r="BE588" i="13" s="1"/>
  <c r="BK510" i="13"/>
  <c r="BI510" i="13"/>
  <c r="BH510" i="13"/>
  <c r="BG510" i="13"/>
  <c r="BF510" i="13"/>
  <c r="T510" i="13"/>
  <c r="R510" i="13"/>
  <c r="P510" i="13"/>
  <c r="J510" i="13"/>
  <c r="BE510" i="13" s="1"/>
  <c r="BK481" i="13"/>
  <c r="BI481" i="13"/>
  <c r="BH481" i="13"/>
  <c r="BG481" i="13"/>
  <c r="BF481" i="13"/>
  <c r="T481" i="13"/>
  <c r="R481" i="13"/>
  <c r="P481" i="13"/>
  <c r="J481" i="13"/>
  <c r="BE481" i="13" s="1"/>
  <c r="BK474" i="13"/>
  <c r="BI474" i="13"/>
  <c r="BH474" i="13"/>
  <c r="BG474" i="13"/>
  <c r="BF474" i="13"/>
  <c r="T474" i="13"/>
  <c r="R474" i="13"/>
  <c r="P474" i="13"/>
  <c r="J474" i="13"/>
  <c r="BE474" i="13" s="1"/>
  <c r="BK462" i="13"/>
  <c r="BI462" i="13"/>
  <c r="BH462" i="13"/>
  <c r="BG462" i="13"/>
  <c r="BF462" i="13"/>
  <c r="T462" i="13"/>
  <c r="R462" i="13"/>
  <c r="P462" i="13"/>
  <c r="J462" i="13"/>
  <c r="BE462" i="13" s="1"/>
  <c r="BK263" i="13"/>
  <c r="BI263" i="13"/>
  <c r="BH263" i="13"/>
  <c r="BG263" i="13"/>
  <c r="BF263" i="13"/>
  <c r="T263" i="13"/>
  <c r="R263" i="13"/>
  <c r="P263" i="13"/>
  <c r="J263" i="13"/>
  <c r="BE263" i="13" s="1"/>
  <c r="BK165" i="13"/>
  <c r="BI165" i="13"/>
  <c r="BH165" i="13"/>
  <c r="BG165" i="13"/>
  <c r="BF165" i="13"/>
  <c r="T165" i="13"/>
  <c r="R165" i="13"/>
  <c r="P165" i="13"/>
  <c r="J165" i="13"/>
  <c r="BE165" i="13" s="1"/>
  <c r="BK162" i="13"/>
  <c r="BI162" i="13"/>
  <c r="BH162" i="13"/>
  <c r="BG162" i="13"/>
  <c r="BF162" i="13"/>
  <c r="T162" i="13"/>
  <c r="R162" i="13"/>
  <c r="P162" i="13"/>
  <c r="J162" i="13"/>
  <c r="BE162" i="13" s="1"/>
  <c r="BK155" i="13"/>
  <c r="BI155" i="13"/>
  <c r="BH155" i="13"/>
  <c r="BG155" i="13"/>
  <c r="BF155" i="13"/>
  <c r="T155" i="13"/>
  <c r="R155" i="13"/>
  <c r="P155" i="13"/>
  <c r="J155" i="13"/>
  <c r="BE155" i="13" s="1"/>
  <c r="BK153" i="13"/>
  <c r="BI153" i="13"/>
  <c r="BH153" i="13"/>
  <c r="BG153" i="13"/>
  <c r="BF153" i="13"/>
  <c r="T153" i="13"/>
  <c r="R153" i="13"/>
  <c r="P153" i="13"/>
  <c r="J153" i="13"/>
  <c r="BE153" i="13" s="1"/>
  <c r="BK152" i="13"/>
  <c r="BI152" i="13"/>
  <c r="BH152" i="13"/>
  <c r="BG152" i="13"/>
  <c r="BF152" i="13"/>
  <c r="T152" i="13"/>
  <c r="R152" i="13"/>
  <c r="P152" i="13"/>
  <c r="J152" i="13"/>
  <c r="BE152" i="13" s="1"/>
  <c r="BK151" i="13"/>
  <c r="BI151" i="13"/>
  <c r="BH151" i="13"/>
  <c r="BG151" i="13"/>
  <c r="BF151" i="13"/>
  <c r="T151" i="13"/>
  <c r="R151" i="13"/>
  <c r="P151" i="13"/>
  <c r="J151" i="13"/>
  <c r="BE151" i="13" s="1"/>
  <c r="BK144" i="13"/>
  <c r="BI144" i="13"/>
  <c r="BH144" i="13"/>
  <c r="BG144" i="13"/>
  <c r="BF144" i="13"/>
  <c r="T144" i="13"/>
  <c r="R144" i="13"/>
  <c r="P144" i="13"/>
  <c r="J144" i="13"/>
  <c r="BE144" i="13" s="1"/>
  <c r="BK141" i="13"/>
  <c r="BI141" i="13"/>
  <c r="BH141" i="13"/>
  <c r="BG141" i="13"/>
  <c r="BF141" i="13"/>
  <c r="T141" i="13"/>
  <c r="R141" i="13"/>
  <c r="P141" i="13"/>
  <c r="J141" i="13"/>
  <c r="BE141" i="13" s="1"/>
  <c r="J135" i="13"/>
  <c r="J134" i="13"/>
  <c r="F134" i="13"/>
  <c r="J132" i="13"/>
  <c r="F132" i="13"/>
  <c r="E130" i="13"/>
  <c r="E126" i="13"/>
  <c r="J110" i="13"/>
  <c r="J94" i="13"/>
  <c r="J93" i="13"/>
  <c r="F93" i="13"/>
  <c r="J91" i="13"/>
  <c r="F91" i="13"/>
  <c r="E89" i="13"/>
  <c r="E85" i="13"/>
  <c r="J39" i="13"/>
  <c r="J38" i="13"/>
  <c r="AY108" i="1" s="1"/>
  <c r="J37" i="13"/>
  <c r="AX108" i="1" s="1"/>
  <c r="BK417" i="12"/>
  <c r="BI417" i="12"/>
  <c r="BH417" i="12"/>
  <c r="BG417" i="12"/>
  <c r="BF417" i="12"/>
  <c r="T417" i="12"/>
  <c r="R417" i="12"/>
  <c r="P417" i="12"/>
  <c r="J417" i="12"/>
  <c r="BE417" i="12" s="1"/>
  <c r="BK416" i="12"/>
  <c r="BI416" i="12"/>
  <c r="BH416" i="12"/>
  <c r="BG416" i="12"/>
  <c r="BF416" i="12"/>
  <c r="T416" i="12"/>
  <c r="R416" i="12"/>
  <c r="P416" i="12"/>
  <c r="J416" i="12"/>
  <c r="BE416" i="12" s="1"/>
  <c r="BK415" i="12"/>
  <c r="BI415" i="12"/>
  <c r="BH415" i="12"/>
  <c r="BG415" i="12"/>
  <c r="BF415" i="12"/>
  <c r="T415" i="12"/>
  <c r="R415" i="12"/>
  <c r="P415" i="12"/>
  <c r="J415" i="12"/>
  <c r="BE415" i="12" s="1"/>
  <c r="BK414" i="12"/>
  <c r="BI414" i="12"/>
  <c r="BH414" i="12"/>
  <c r="BG414" i="12"/>
  <c r="BF414" i="12"/>
  <c r="T414" i="12"/>
  <c r="R414" i="12"/>
  <c r="P414" i="12"/>
  <c r="J414" i="12"/>
  <c r="BE414" i="12" s="1"/>
  <c r="BK413" i="12"/>
  <c r="BI413" i="12"/>
  <c r="BH413" i="12"/>
  <c r="BG413" i="12"/>
  <c r="BF413" i="12"/>
  <c r="T413" i="12"/>
  <c r="R413" i="12"/>
  <c r="P413" i="12"/>
  <c r="J413" i="12"/>
  <c r="BE413" i="12" s="1"/>
  <c r="BK412" i="12"/>
  <c r="BI412" i="12"/>
  <c r="BH412" i="12"/>
  <c r="BG412" i="12"/>
  <c r="BF412" i="12"/>
  <c r="BE412" i="12"/>
  <c r="T412" i="12"/>
  <c r="R412" i="12"/>
  <c r="P412" i="12"/>
  <c r="J412" i="12"/>
  <c r="BK408" i="12"/>
  <c r="BI408" i="12"/>
  <c r="BH408" i="12"/>
  <c r="BG408" i="12"/>
  <c r="BF408" i="12"/>
  <c r="T408" i="12"/>
  <c r="R408" i="12"/>
  <c r="P408" i="12"/>
  <c r="J408" i="12"/>
  <c r="BE408" i="12" s="1"/>
  <c r="BK405" i="12"/>
  <c r="BI405" i="12"/>
  <c r="BH405" i="12"/>
  <c r="BG405" i="12"/>
  <c r="BF405" i="12"/>
  <c r="T405" i="12"/>
  <c r="R405" i="12"/>
  <c r="P405" i="12"/>
  <c r="J405" i="12"/>
  <c r="BE405" i="12" s="1"/>
  <c r="BK385" i="12"/>
  <c r="BI385" i="12"/>
  <c r="BH385" i="12"/>
  <c r="BG385" i="12"/>
  <c r="BF385" i="12"/>
  <c r="T385" i="12"/>
  <c r="R385" i="12"/>
  <c r="P385" i="12"/>
  <c r="J385" i="12"/>
  <c r="BE385" i="12" s="1"/>
  <c r="BK384" i="12"/>
  <c r="BI384" i="12"/>
  <c r="BH384" i="12"/>
  <c r="BG384" i="12"/>
  <c r="BF384" i="12"/>
  <c r="T384" i="12"/>
  <c r="R384" i="12"/>
  <c r="P384" i="12"/>
  <c r="J384" i="12"/>
  <c r="BE384" i="12" s="1"/>
  <c r="BK352" i="12"/>
  <c r="BI352" i="12"/>
  <c r="BH352" i="12"/>
  <c r="BG352" i="12"/>
  <c r="BF352" i="12"/>
  <c r="T352" i="12"/>
  <c r="R352" i="12"/>
  <c r="P352" i="12"/>
  <c r="J352" i="12"/>
  <c r="BE352" i="12" s="1"/>
  <c r="BK261" i="12"/>
  <c r="BI261" i="12"/>
  <c r="BH261" i="12"/>
  <c r="BG261" i="12"/>
  <c r="BF261" i="12"/>
  <c r="BE261" i="12"/>
  <c r="T261" i="12"/>
  <c r="R261" i="12"/>
  <c r="P261" i="12"/>
  <c r="J261" i="12"/>
  <c r="BK252" i="12"/>
  <c r="BI252" i="12"/>
  <c r="BH252" i="12"/>
  <c r="BG252" i="12"/>
  <c r="BF252" i="12"/>
  <c r="T252" i="12"/>
  <c r="R252" i="12"/>
  <c r="P252" i="12"/>
  <c r="J252" i="12"/>
  <c r="BE252" i="12" s="1"/>
  <c r="BK221" i="12"/>
  <c r="BI221" i="12"/>
  <c r="BH221" i="12"/>
  <c r="BG221" i="12"/>
  <c r="BF221" i="12"/>
  <c r="T221" i="12"/>
  <c r="R221" i="12"/>
  <c r="P221" i="12"/>
  <c r="J221" i="12"/>
  <c r="BE221" i="12" s="1"/>
  <c r="BK220" i="12"/>
  <c r="BI220" i="12"/>
  <c r="BH220" i="12"/>
  <c r="BG220" i="12"/>
  <c r="BF220" i="12"/>
  <c r="T220" i="12"/>
  <c r="R220" i="12"/>
  <c r="P220" i="12"/>
  <c r="J220" i="12"/>
  <c r="BE220" i="12" s="1"/>
  <c r="BK218" i="12"/>
  <c r="BI218" i="12"/>
  <c r="BH218" i="12"/>
  <c r="BG218" i="12"/>
  <c r="BF218" i="12"/>
  <c r="T218" i="12"/>
  <c r="R218" i="12"/>
  <c r="P218" i="12"/>
  <c r="J218" i="12"/>
  <c r="BE218" i="12" s="1"/>
  <c r="BK217" i="12"/>
  <c r="BI217" i="12"/>
  <c r="BH217" i="12"/>
  <c r="BG217" i="12"/>
  <c r="BF217" i="12"/>
  <c r="T217" i="12"/>
  <c r="R217" i="12"/>
  <c r="P217" i="12"/>
  <c r="J217" i="12"/>
  <c r="BE217" i="12" s="1"/>
  <c r="BK216" i="12"/>
  <c r="BI216" i="12"/>
  <c r="BH216" i="12"/>
  <c r="BG216" i="12"/>
  <c r="BF216" i="12"/>
  <c r="T216" i="12"/>
  <c r="R216" i="12"/>
  <c r="P216" i="12"/>
  <c r="J216" i="12"/>
  <c r="BE216" i="12" s="1"/>
  <c r="BK212" i="12"/>
  <c r="BI212" i="12"/>
  <c r="BH212" i="12"/>
  <c r="BG212" i="12"/>
  <c r="BF212" i="12"/>
  <c r="BE212" i="12"/>
  <c r="T212" i="12"/>
  <c r="R212" i="12"/>
  <c r="P212" i="12"/>
  <c r="J212" i="12"/>
  <c r="BK208" i="12"/>
  <c r="BI208" i="12"/>
  <c r="BH208" i="12"/>
  <c r="BG208" i="12"/>
  <c r="BF208" i="12"/>
  <c r="T208" i="12"/>
  <c r="R208" i="12"/>
  <c r="P208" i="12"/>
  <c r="J208" i="12"/>
  <c r="BE208" i="12" s="1"/>
  <c r="BK206" i="12"/>
  <c r="BI206" i="12"/>
  <c r="BH206" i="12"/>
  <c r="BG206" i="12"/>
  <c r="BF206" i="12"/>
  <c r="T206" i="12"/>
  <c r="R206" i="12"/>
  <c r="P206" i="12"/>
  <c r="J206" i="12"/>
  <c r="BE206" i="12" s="1"/>
  <c r="BK205" i="12"/>
  <c r="BI205" i="12"/>
  <c r="BH205" i="12"/>
  <c r="BG205" i="12"/>
  <c r="BF205" i="12"/>
  <c r="T205" i="12"/>
  <c r="R205" i="12"/>
  <c r="P205" i="12"/>
  <c r="J205" i="12"/>
  <c r="BE205" i="12" s="1"/>
  <c r="BK203" i="12"/>
  <c r="BI203" i="12"/>
  <c r="BH203" i="12"/>
  <c r="BG203" i="12"/>
  <c r="BF203" i="12"/>
  <c r="T203" i="12"/>
  <c r="R203" i="12"/>
  <c r="P203" i="12"/>
  <c r="J203" i="12"/>
  <c r="BE203" i="12" s="1"/>
  <c r="BK201" i="12"/>
  <c r="BI201" i="12"/>
  <c r="BH201" i="12"/>
  <c r="BG201" i="12"/>
  <c r="BF201" i="12"/>
  <c r="T201" i="12"/>
  <c r="R201" i="12"/>
  <c r="P201" i="12"/>
  <c r="J201" i="12"/>
  <c r="BE201" i="12" s="1"/>
  <c r="BK152" i="12"/>
  <c r="BI152" i="12"/>
  <c r="BH152" i="12"/>
  <c r="BG152" i="12"/>
  <c r="BF152" i="12"/>
  <c r="T152" i="12"/>
  <c r="R152" i="12"/>
  <c r="P152" i="12"/>
  <c r="J152" i="12"/>
  <c r="BE152" i="12" s="1"/>
  <c r="BK144" i="12"/>
  <c r="BI144" i="12"/>
  <c r="BH144" i="12"/>
  <c r="BG144" i="12"/>
  <c r="BF144" i="12"/>
  <c r="T144" i="12"/>
  <c r="R144" i="12"/>
  <c r="P144" i="12"/>
  <c r="J144" i="12"/>
  <c r="BE144" i="12" s="1"/>
  <c r="BK141" i="12"/>
  <c r="BI141" i="12"/>
  <c r="BH141" i="12"/>
  <c r="BG141" i="12"/>
  <c r="BF141" i="12"/>
  <c r="T141" i="12"/>
  <c r="R141" i="12"/>
  <c r="P141" i="12"/>
  <c r="J141" i="12"/>
  <c r="BE141" i="12" s="1"/>
  <c r="J135" i="12"/>
  <c r="F135" i="12"/>
  <c r="J134" i="12"/>
  <c r="F134" i="12"/>
  <c r="J132" i="12"/>
  <c r="F132" i="12"/>
  <c r="E130" i="12"/>
  <c r="E126" i="12"/>
  <c r="J94" i="12"/>
  <c r="F94" i="12"/>
  <c r="J93" i="12"/>
  <c r="F93" i="12"/>
  <c r="J91" i="12"/>
  <c r="F91" i="12"/>
  <c r="E89" i="12"/>
  <c r="E85" i="12"/>
  <c r="J39" i="12"/>
  <c r="J38" i="12"/>
  <c r="AY107" i="1" s="1"/>
  <c r="J37" i="12"/>
  <c r="AX107" i="1" s="1"/>
  <c r="BK232" i="11"/>
  <c r="BI232" i="11"/>
  <c r="BH232" i="11"/>
  <c r="BG232" i="11"/>
  <c r="BF232" i="11"/>
  <c r="T232" i="11"/>
  <c r="R232" i="11"/>
  <c r="P232" i="11"/>
  <c r="J232" i="11"/>
  <c r="BE232" i="11" s="1"/>
  <c r="BK230" i="11"/>
  <c r="BI230" i="11"/>
  <c r="BH230" i="11"/>
  <c r="BG230" i="11"/>
  <c r="BF230" i="11"/>
  <c r="T230" i="11"/>
  <c r="R230" i="11"/>
  <c r="P230" i="11"/>
  <c r="J230" i="11"/>
  <c r="BE230" i="11" s="1"/>
  <c r="BK221" i="11"/>
  <c r="BI221" i="11"/>
  <c r="BH221" i="11"/>
  <c r="BG221" i="11"/>
  <c r="BF221" i="11"/>
  <c r="T221" i="11"/>
  <c r="R221" i="11"/>
  <c r="P221" i="11"/>
  <c r="J221" i="11"/>
  <c r="BE221" i="11" s="1"/>
  <c r="BK219" i="11"/>
  <c r="BI219" i="11"/>
  <c r="BH219" i="11"/>
  <c r="BG219" i="11"/>
  <c r="BF219" i="11"/>
  <c r="T219" i="11"/>
  <c r="R219" i="11"/>
  <c r="P219" i="11"/>
  <c r="J219" i="11"/>
  <c r="BE219" i="11" s="1"/>
  <c r="BK217" i="11"/>
  <c r="BI217" i="11"/>
  <c r="BH217" i="11"/>
  <c r="BG217" i="11"/>
  <c r="BF217" i="11"/>
  <c r="T217" i="11"/>
  <c r="T211" i="11" s="1"/>
  <c r="T210" i="11" s="1"/>
  <c r="R217" i="11"/>
  <c r="P217" i="11"/>
  <c r="J217" i="11"/>
  <c r="BE217" i="11" s="1"/>
  <c r="BK215" i="11"/>
  <c r="BI215" i="11"/>
  <c r="BH215" i="11"/>
  <c r="BG215" i="11"/>
  <c r="BF215" i="11"/>
  <c r="T215" i="11"/>
  <c r="R215" i="11"/>
  <c r="P215" i="11"/>
  <c r="J215" i="11"/>
  <c r="BE215" i="11" s="1"/>
  <c r="BK212" i="11"/>
  <c r="BI212" i="11"/>
  <c r="BH212" i="11"/>
  <c r="BG212" i="11"/>
  <c r="BF212" i="11"/>
  <c r="T212" i="11"/>
  <c r="R212" i="11"/>
  <c r="P212" i="11"/>
  <c r="J212" i="11"/>
  <c r="BE212" i="11" s="1"/>
  <c r="BK209" i="11"/>
  <c r="BK208" i="11" s="1"/>
  <c r="J208" i="11" s="1"/>
  <c r="J107" i="11" s="1"/>
  <c r="BI209" i="11"/>
  <c r="BH209" i="11"/>
  <c r="BG209" i="11"/>
  <c r="BF209" i="11"/>
  <c r="T209" i="11"/>
  <c r="R209" i="11"/>
  <c r="R208" i="11" s="1"/>
  <c r="P209" i="11"/>
  <c r="P208" i="11" s="1"/>
  <c r="J209" i="11"/>
  <c r="BE209" i="11" s="1"/>
  <c r="T208" i="11"/>
  <c r="BK207" i="11"/>
  <c r="BI207" i="11"/>
  <c r="BH207" i="11"/>
  <c r="BG207" i="11"/>
  <c r="BF207" i="11"/>
  <c r="BE207" i="11"/>
  <c r="T207" i="11"/>
  <c r="R207" i="11"/>
  <c r="P207" i="11"/>
  <c r="J207" i="11"/>
  <c r="BK205" i="11"/>
  <c r="BI205" i="11"/>
  <c r="BH205" i="11"/>
  <c r="BG205" i="11"/>
  <c r="BF205" i="11"/>
  <c r="T205" i="11"/>
  <c r="R205" i="11"/>
  <c r="P205" i="11"/>
  <c r="J205" i="11"/>
  <c r="BE205" i="11" s="1"/>
  <c r="BK204" i="11"/>
  <c r="BI204" i="11"/>
  <c r="BH204" i="11"/>
  <c r="BG204" i="11"/>
  <c r="BF204" i="11"/>
  <c r="T204" i="11"/>
  <c r="R204" i="11"/>
  <c r="P204" i="11"/>
  <c r="J204" i="11"/>
  <c r="BE204" i="11" s="1"/>
  <c r="BK202" i="11"/>
  <c r="BI202" i="11"/>
  <c r="BH202" i="11"/>
  <c r="BG202" i="11"/>
  <c r="BF202" i="11"/>
  <c r="T202" i="11"/>
  <c r="R202" i="11"/>
  <c r="P202" i="11"/>
  <c r="J202" i="11"/>
  <c r="BE202" i="11" s="1"/>
  <c r="BK199" i="11"/>
  <c r="BI199" i="11"/>
  <c r="BH199" i="11"/>
  <c r="BG199" i="11"/>
  <c r="BF199" i="11"/>
  <c r="T199" i="11"/>
  <c r="R199" i="11"/>
  <c r="P199" i="11"/>
  <c r="J199" i="11"/>
  <c r="BE199" i="11" s="1"/>
  <c r="BK195" i="11"/>
  <c r="BI195" i="11"/>
  <c r="BH195" i="11"/>
  <c r="BG195" i="11"/>
  <c r="BF195" i="11"/>
  <c r="T195" i="11"/>
  <c r="R195" i="11"/>
  <c r="P195" i="11"/>
  <c r="J195" i="11"/>
  <c r="BE195" i="11" s="1"/>
  <c r="BK193" i="11"/>
  <c r="BI193" i="11"/>
  <c r="BH193" i="11"/>
  <c r="BG193" i="11"/>
  <c r="BF193" i="11"/>
  <c r="T193" i="11"/>
  <c r="R193" i="11"/>
  <c r="P193" i="11"/>
  <c r="J193" i="11"/>
  <c r="BE193" i="11" s="1"/>
  <c r="BK190" i="11"/>
  <c r="BI190" i="11"/>
  <c r="BH190" i="11"/>
  <c r="BG190" i="11"/>
  <c r="BF190" i="11"/>
  <c r="BE190" i="11"/>
  <c r="T190" i="11"/>
  <c r="R190" i="11"/>
  <c r="P190" i="11"/>
  <c r="J190" i="11"/>
  <c r="BK183" i="11"/>
  <c r="BK182" i="11" s="1"/>
  <c r="J182" i="11" s="1"/>
  <c r="J103" i="11" s="1"/>
  <c r="BI183" i="11"/>
  <c r="BH183" i="11"/>
  <c r="BG183" i="11"/>
  <c r="BF183" i="11"/>
  <c r="T183" i="11"/>
  <c r="T182" i="11" s="1"/>
  <c r="R183" i="11"/>
  <c r="R182" i="11" s="1"/>
  <c r="P183" i="11"/>
  <c r="P182" i="11" s="1"/>
  <c r="J183" i="11"/>
  <c r="BE183" i="11" s="1"/>
  <c r="BK177" i="11"/>
  <c r="BI177" i="11"/>
  <c r="BH177" i="11"/>
  <c r="BG177" i="11"/>
  <c r="BF177" i="11"/>
  <c r="T177" i="11"/>
  <c r="R177" i="11"/>
  <c r="P177" i="11"/>
  <c r="J177" i="11"/>
  <c r="BE177" i="11" s="1"/>
  <c r="BK174" i="11"/>
  <c r="BI174" i="11"/>
  <c r="BH174" i="11"/>
  <c r="BG174" i="11"/>
  <c r="BF174" i="11"/>
  <c r="T174" i="11"/>
  <c r="R174" i="11"/>
  <c r="P174" i="11"/>
  <c r="J174" i="11"/>
  <c r="BE174" i="11" s="1"/>
  <c r="BK170" i="11"/>
  <c r="BI170" i="11"/>
  <c r="BH170" i="11"/>
  <c r="BG170" i="11"/>
  <c r="BF170" i="11"/>
  <c r="T170" i="11"/>
  <c r="R170" i="11"/>
  <c r="P170" i="11"/>
  <c r="J170" i="11"/>
  <c r="BE170" i="11" s="1"/>
  <c r="BK169" i="11"/>
  <c r="BI169" i="11"/>
  <c r="BH169" i="11"/>
  <c r="BG169" i="11"/>
  <c r="BF169" i="11"/>
  <c r="T169" i="11"/>
  <c r="R169" i="11"/>
  <c r="P169" i="11"/>
  <c r="J169" i="11"/>
  <c r="BE169" i="11" s="1"/>
  <c r="BK168" i="11"/>
  <c r="BI168" i="11"/>
  <c r="BH168" i="11"/>
  <c r="BG168" i="11"/>
  <c r="BF168" i="11"/>
  <c r="T168" i="11"/>
  <c r="R168" i="11"/>
  <c r="P168" i="11"/>
  <c r="J168" i="11"/>
  <c r="BE168" i="11" s="1"/>
  <c r="BK165" i="11"/>
  <c r="BI165" i="11"/>
  <c r="BH165" i="11"/>
  <c r="BG165" i="11"/>
  <c r="BF165" i="11"/>
  <c r="T165" i="11"/>
  <c r="R165" i="11"/>
  <c r="P165" i="11"/>
  <c r="J165" i="11"/>
  <c r="BE165" i="11" s="1"/>
  <c r="BK164" i="11"/>
  <c r="BI164" i="11"/>
  <c r="BH164" i="11"/>
  <c r="BG164" i="11"/>
  <c r="BF164" i="11"/>
  <c r="T164" i="11"/>
  <c r="R164" i="11"/>
  <c r="P164" i="11"/>
  <c r="J164" i="11"/>
  <c r="BE164" i="11" s="1"/>
  <c r="BK162" i="11"/>
  <c r="BI162" i="11"/>
  <c r="BH162" i="11"/>
  <c r="BG162" i="11"/>
  <c r="BF162" i="11"/>
  <c r="T162" i="11"/>
  <c r="R162" i="11"/>
  <c r="P162" i="11"/>
  <c r="J162" i="11"/>
  <c r="BE162" i="11" s="1"/>
  <c r="BK160" i="11"/>
  <c r="BI160" i="11"/>
  <c r="BH160" i="11"/>
  <c r="BG160" i="11"/>
  <c r="BF160" i="11"/>
  <c r="T160" i="11"/>
  <c r="R160" i="11"/>
  <c r="P160" i="11"/>
  <c r="J160" i="11"/>
  <c r="BE160" i="11" s="1"/>
  <c r="BK159" i="11"/>
  <c r="BI159" i="11"/>
  <c r="BH159" i="11"/>
  <c r="BG159" i="11"/>
  <c r="BF159" i="11"/>
  <c r="T159" i="11"/>
  <c r="R159" i="11"/>
  <c r="P159" i="11"/>
  <c r="J159" i="11"/>
  <c r="BE159" i="11" s="1"/>
  <c r="BK157" i="11"/>
  <c r="BI157" i="11"/>
  <c r="BH157" i="11"/>
  <c r="BG157" i="11"/>
  <c r="BF157" i="11"/>
  <c r="T157" i="11"/>
  <c r="R157" i="11"/>
  <c r="P157" i="11"/>
  <c r="J157" i="11"/>
  <c r="BE157" i="11" s="1"/>
  <c r="BK156" i="11"/>
  <c r="BI156" i="11"/>
  <c r="BH156" i="11"/>
  <c r="BG156" i="11"/>
  <c r="BF156" i="11"/>
  <c r="T156" i="11"/>
  <c r="R156" i="11"/>
  <c r="P156" i="11"/>
  <c r="J156" i="11"/>
  <c r="BE156" i="11" s="1"/>
  <c r="BK155" i="11"/>
  <c r="BI155" i="11"/>
  <c r="BH155" i="11"/>
  <c r="BG155" i="11"/>
  <c r="BF155" i="11"/>
  <c r="T155" i="11"/>
  <c r="R155" i="11"/>
  <c r="P155" i="11"/>
  <c r="J155" i="11"/>
  <c r="BE155" i="11" s="1"/>
  <c r="BK154" i="11"/>
  <c r="BI154" i="11"/>
  <c r="BH154" i="11"/>
  <c r="BG154" i="11"/>
  <c r="BF154" i="11"/>
  <c r="T154" i="11"/>
  <c r="R154" i="11"/>
  <c r="P154" i="11"/>
  <c r="J154" i="11"/>
  <c r="BE154" i="11" s="1"/>
  <c r="BK152" i="11"/>
  <c r="BI152" i="11"/>
  <c r="BH152" i="11"/>
  <c r="BG152" i="11"/>
  <c r="BF152" i="11"/>
  <c r="T152" i="11"/>
  <c r="R152" i="11"/>
  <c r="P152" i="11"/>
  <c r="J152" i="11"/>
  <c r="BE152" i="11" s="1"/>
  <c r="BK150" i="11"/>
  <c r="BI150" i="11"/>
  <c r="BH150" i="11"/>
  <c r="BG150" i="11"/>
  <c r="BF150" i="11"/>
  <c r="T150" i="11"/>
  <c r="R150" i="11"/>
  <c r="P150" i="11"/>
  <c r="J150" i="11"/>
  <c r="BE150" i="11" s="1"/>
  <c r="BK149" i="11"/>
  <c r="BI149" i="11"/>
  <c r="BH149" i="11"/>
  <c r="BG149" i="11"/>
  <c r="BF149" i="11"/>
  <c r="T149" i="11"/>
  <c r="R149" i="11"/>
  <c r="P149" i="11"/>
  <c r="J149" i="11"/>
  <c r="BE149" i="11" s="1"/>
  <c r="BK147" i="11"/>
  <c r="BI147" i="11"/>
  <c r="BH147" i="11"/>
  <c r="BG147" i="11"/>
  <c r="BF147" i="11"/>
  <c r="T147" i="11"/>
  <c r="R147" i="11"/>
  <c r="P147" i="11"/>
  <c r="J147" i="11"/>
  <c r="BE147" i="11" s="1"/>
  <c r="BK146" i="11"/>
  <c r="BI146" i="11"/>
  <c r="BH146" i="11"/>
  <c r="BG146" i="11"/>
  <c r="BF146" i="11"/>
  <c r="T146" i="11"/>
  <c r="R146" i="11"/>
  <c r="P146" i="11"/>
  <c r="J146" i="11"/>
  <c r="BE146" i="11" s="1"/>
  <c r="BK145" i="11"/>
  <c r="BI145" i="11"/>
  <c r="BH145" i="11"/>
  <c r="BG145" i="11"/>
  <c r="BF145" i="11"/>
  <c r="T145" i="11"/>
  <c r="R145" i="11"/>
  <c r="P145" i="11"/>
  <c r="J145" i="11"/>
  <c r="BE145" i="11" s="1"/>
  <c r="BK144" i="11"/>
  <c r="BI144" i="11"/>
  <c r="BH144" i="11"/>
  <c r="BG144" i="11"/>
  <c r="BF144" i="11"/>
  <c r="T144" i="11"/>
  <c r="R144" i="11"/>
  <c r="P144" i="11"/>
  <c r="J144" i="11"/>
  <c r="BE144" i="11" s="1"/>
  <c r="BK143" i="11"/>
  <c r="BI143" i="11"/>
  <c r="BH143" i="11"/>
  <c r="BG143" i="11"/>
  <c r="BF143" i="11"/>
  <c r="T143" i="11"/>
  <c r="R143" i="11"/>
  <c r="P143" i="11"/>
  <c r="J143" i="11"/>
  <c r="BE143" i="11" s="1"/>
  <c r="BK141" i="11"/>
  <c r="BI141" i="11"/>
  <c r="BH141" i="11"/>
  <c r="BG141" i="11"/>
  <c r="BF141" i="11"/>
  <c r="T141" i="11"/>
  <c r="R141" i="11"/>
  <c r="P141" i="11"/>
  <c r="J141" i="11"/>
  <c r="BE141" i="11" s="1"/>
  <c r="J136" i="11"/>
  <c r="J135" i="11"/>
  <c r="F135" i="11"/>
  <c r="J133" i="11"/>
  <c r="E131" i="11"/>
  <c r="E125" i="11"/>
  <c r="J96" i="11"/>
  <c r="J95" i="11"/>
  <c r="F95" i="11"/>
  <c r="J93" i="11"/>
  <c r="F93" i="11"/>
  <c r="E91" i="11"/>
  <c r="E85" i="11"/>
  <c r="J41" i="11"/>
  <c r="J40" i="11"/>
  <c r="AY106" i="1" s="1"/>
  <c r="J39" i="11"/>
  <c r="AX106" i="1" s="1"/>
  <c r="BK231" i="10"/>
  <c r="BI231" i="10"/>
  <c r="BH231" i="10"/>
  <c r="BG231" i="10"/>
  <c r="BF231" i="10"/>
  <c r="T231" i="10"/>
  <c r="R231" i="10"/>
  <c r="P231" i="10"/>
  <c r="J231" i="10"/>
  <c r="BE231" i="10" s="1"/>
  <c r="BK230" i="10"/>
  <c r="BI230" i="10"/>
  <c r="BH230" i="10"/>
  <c r="BG230" i="10"/>
  <c r="BF230" i="10"/>
  <c r="T230" i="10"/>
  <c r="R230" i="10"/>
  <c r="P230" i="10"/>
  <c r="J230" i="10"/>
  <c r="BE230" i="10" s="1"/>
  <c r="BK229" i="10"/>
  <c r="BI229" i="10"/>
  <c r="BH229" i="10"/>
  <c r="BG229" i="10"/>
  <c r="BF229" i="10"/>
  <c r="T229" i="10"/>
  <c r="R229" i="10"/>
  <c r="P229" i="10"/>
  <c r="J229" i="10"/>
  <c r="BE229" i="10" s="1"/>
  <c r="BK228" i="10"/>
  <c r="BI228" i="10"/>
  <c r="BH228" i="10"/>
  <c r="BG228" i="10"/>
  <c r="BF228" i="10"/>
  <c r="T228" i="10"/>
  <c r="R228" i="10"/>
  <c r="P228" i="10"/>
  <c r="J228" i="10"/>
  <c r="BE228" i="10" s="1"/>
  <c r="BK227" i="10"/>
  <c r="BI227" i="10"/>
  <c r="BH227" i="10"/>
  <c r="BG227" i="10"/>
  <c r="BF227" i="10"/>
  <c r="T227" i="10"/>
  <c r="R227" i="10"/>
  <c r="P227" i="10"/>
  <c r="J227" i="10"/>
  <c r="BE227" i="10" s="1"/>
  <c r="BK226" i="10"/>
  <c r="BI226" i="10"/>
  <c r="BH226" i="10"/>
  <c r="BG226" i="10"/>
  <c r="BF226" i="10"/>
  <c r="T226" i="10"/>
  <c r="R226" i="10"/>
  <c r="P226" i="10"/>
  <c r="J226" i="10"/>
  <c r="BE226" i="10" s="1"/>
  <c r="BK225" i="10"/>
  <c r="BI225" i="10"/>
  <c r="BH225" i="10"/>
  <c r="BG225" i="10"/>
  <c r="BF225" i="10"/>
  <c r="T225" i="10"/>
  <c r="R225" i="10"/>
  <c r="P225" i="10"/>
  <c r="J225" i="10"/>
  <c r="BE225" i="10" s="1"/>
  <c r="BK224" i="10"/>
  <c r="BI224" i="10"/>
  <c r="BH224" i="10"/>
  <c r="BG224" i="10"/>
  <c r="BF224" i="10"/>
  <c r="T224" i="10"/>
  <c r="R224" i="10"/>
  <c r="P224" i="10"/>
  <c r="J224" i="10"/>
  <c r="BE224" i="10" s="1"/>
  <c r="BK223" i="10"/>
  <c r="BI223" i="10"/>
  <c r="BH223" i="10"/>
  <c r="BG223" i="10"/>
  <c r="BF223" i="10"/>
  <c r="T223" i="10"/>
  <c r="R223" i="10"/>
  <c r="P223" i="10"/>
  <c r="J223" i="10"/>
  <c r="BE223" i="10" s="1"/>
  <c r="BK222" i="10"/>
  <c r="BI222" i="10"/>
  <c r="BH222" i="10"/>
  <c r="BG222" i="10"/>
  <c r="BF222" i="10"/>
  <c r="T222" i="10"/>
  <c r="R222" i="10"/>
  <c r="P222" i="10"/>
  <c r="J222" i="10"/>
  <c r="BE222" i="10" s="1"/>
  <c r="BK221" i="10"/>
  <c r="BI221" i="10"/>
  <c r="BH221" i="10"/>
  <c r="BG221" i="10"/>
  <c r="BF221" i="10"/>
  <c r="T221" i="10"/>
  <c r="R221" i="10"/>
  <c r="P221" i="10"/>
  <c r="J221" i="10"/>
  <c r="BE221" i="10" s="1"/>
  <c r="BK220" i="10"/>
  <c r="BI220" i="10"/>
  <c r="BH220" i="10"/>
  <c r="BG220" i="10"/>
  <c r="BF220" i="10"/>
  <c r="T220" i="10"/>
  <c r="R220" i="10"/>
  <c r="P220" i="10"/>
  <c r="J220" i="10"/>
  <c r="BE220" i="10" s="1"/>
  <c r="BK219" i="10"/>
  <c r="BI219" i="10"/>
  <c r="BH219" i="10"/>
  <c r="BG219" i="10"/>
  <c r="BF219" i="10"/>
  <c r="T219" i="10"/>
  <c r="R219" i="10"/>
  <c r="P219" i="10"/>
  <c r="J219" i="10"/>
  <c r="BE219" i="10" s="1"/>
  <c r="BK218" i="10"/>
  <c r="BI218" i="10"/>
  <c r="BH218" i="10"/>
  <c r="BG218" i="10"/>
  <c r="BF218" i="10"/>
  <c r="T218" i="10"/>
  <c r="R218" i="10"/>
  <c r="P218" i="10"/>
  <c r="J218" i="10"/>
  <c r="BE218" i="10" s="1"/>
  <c r="BK204" i="10"/>
  <c r="BI204" i="10"/>
  <c r="BH204" i="10"/>
  <c r="BG204" i="10"/>
  <c r="BF204" i="10"/>
  <c r="T204" i="10"/>
  <c r="R204" i="10"/>
  <c r="P204" i="10"/>
  <c r="J204" i="10"/>
  <c r="BE204" i="10" s="1"/>
  <c r="BK202" i="10"/>
  <c r="BI202" i="10"/>
  <c r="BH202" i="10"/>
  <c r="BG202" i="10"/>
  <c r="BF202" i="10"/>
  <c r="T202" i="10"/>
  <c r="R202" i="10"/>
  <c r="P202" i="10"/>
  <c r="J202" i="10"/>
  <c r="BE202" i="10" s="1"/>
  <c r="BK199" i="10"/>
  <c r="BI199" i="10"/>
  <c r="BH199" i="10"/>
  <c r="BG199" i="10"/>
  <c r="BF199" i="10"/>
  <c r="T199" i="10"/>
  <c r="R199" i="10"/>
  <c r="P199" i="10"/>
  <c r="J199" i="10"/>
  <c r="BE199" i="10" s="1"/>
  <c r="BK196" i="10"/>
  <c r="BI196" i="10"/>
  <c r="BH196" i="10"/>
  <c r="BG196" i="10"/>
  <c r="BF196" i="10"/>
  <c r="T196" i="10"/>
  <c r="R196" i="10"/>
  <c r="P196" i="10"/>
  <c r="J196" i="10"/>
  <c r="BE196" i="10" s="1"/>
  <c r="BK193" i="10"/>
  <c r="BI193" i="10"/>
  <c r="BH193" i="10"/>
  <c r="BG193" i="10"/>
  <c r="BF193" i="10"/>
  <c r="T193" i="10"/>
  <c r="R193" i="10"/>
  <c r="P193" i="10"/>
  <c r="J193" i="10"/>
  <c r="BE193" i="10" s="1"/>
  <c r="BK190" i="10"/>
  <c r="BI190" i="10"/>
  <c r="BH190" i="10"/>
  <c r="BG190" i="10"/>
  <c r="BF190" i="10"/>
  <c r="T190" i="10"/>
  <c r="R190" i="10"/>
  <c r="P190" i="10"/>
  <c r="J190" i="10"/>
  <c r="BE190" i="10" s="1"/>
  <c r="BK187" i="10"/>
  <c r="BI187" i="10"/>
  <c r="BH187" i="10"/>
  <c r="BG187" i="10"/>
  <c r="BF187" i="10"/>
  <c r="T187" i="10"/>
  <c r="R187" i="10"/>
  <c r="P187" i="10"/>
  <c r="J187" i="10"/>
  <c r="BE187" i="10" s="1"/>
  <c r="BK184" i="10"/>
  <c r="BI184" i="10"/>
  <c r="BH184" i="10"/>
  <c r="BG184" i="10"/>
  <c r="BF184" i="10"/>
  <c r="T184" i="10"/>
  <c r="R184" i="10"/>
  <c r="P184" i="10"/>
  <c r="J184" i="10"/>
  <c r="BE184" i="10" s="1"/>
  <c r="BK183" i="10"/>
  <c r="BI183" i="10"/>
  <c r="BH183" i="10"/>
  <c r="BG183" i="10"/>
  <c r="BF183" i="10"/>
  <c r="T183" i="10"/>
  <c r="R183" i="10"/>
  <c r="P183" i="10"/>
  <c r="J183" i="10"/>
  <c r="BE183" i="10" s="1"/>
  <c r="BK181" i="10"/>
  <c r="BI181" i="10"/>
  <c r="BH181" i="10"/>
  <c r="BG181" i="10"/>
  <c r="BF181" i="10"/>
  <c r="T181" i="10"/>
  <c r="R181" i="10"/>
  <c r="P181" i="10"/>
  <c r="J181" i="10"/>
  <c r="BE181" i="10" s="1"/>
  <c r="BK179" i="10"/>
  <c r="BI179" i="10"/>
  <c r="BH179" i="10"/>
  <c r="BG179" i="10"/>
  <c r="BF179" i="10"/>
  <c r="T179" i="10"/>
  <c r="R179" i="10"/>
  <c r="P179" i="10"/>
  <c r="J179" i="10"/>
  <c r="BE179" i="10" s="1"/>
  <c r="BK178" i="10"/>
  <c r="BI178" i="10"/>
  <c r="BH178" i="10"/>
  <c r="BG178" i="10"/>
  <c r="BF178" i="10"/>
  <c r="T178" i="10"/>
  <c r="R178" i="10"/>
  <c r="P178" i="10"/>
  <c r="J178" i="10"/>
  <c r="BE178" i="10" s="1"/>
  <c r="BK177" i="10"/>
  <c r="BI177" i="10"/>
  <c r="BH177" i="10"/>
  <c r="BG177" i="10"/>
  <c r="BF177" i="10"/>
  <c r="T177" i="10"/>
  <c r="R177" i="10"/>
  <c r="P177" i="10"/>
  <c r="J177" i="10"/>
  <c r="BE177" i="10" s="1"/>
  <c r="BK176" i="10"/>
  <c r="BI176" i="10"/>
  <c r="BH176" i="10"/>
  <c r="BG176" i="10"/>
  <c r="BF176" i="10"/>
  <c r="T176" i="10"/>
  <c r="R176" i="10"/>
  <c r="P176" i="10"/>
  <c r="J176" i="10"/>
  <c r="BE176" i="10" s="1"/>
  <c r="BK175" i="10"/>
  <c r="BI175" i="10"/>
  <c r="BH175" i="10"/>
  <c r="BG175" i="10"/>
  <c r="BF175" i="10"/>
  <c r="T175" i="10"/>
  <c r="R175" i="10"/>
  <c r="P175" i="10"/>
  <c r="J175" i="10"/>
  <c r="BE175" i="10" s="1"/>
  <c r="BK174" i="10"/>
  <c r="BI174" i="10"/>
  <c r="BH174" i="10"/>
  <c r="BG174" i="10"/>
  <c r="BF174" i="10"/>
  <c r="T174" i="10"/>
  <c r="R174" i="10"/>
  <c r="P174" i="10"/>
  <c r="J174" i="10"/>
  <c r="BE174" i="10" s="1"/>
  <c r="BK173" i="10"/>
  <c r="BI173" i="10"/>
  <c r="BH173" i="10"/>
  <c r="BG173" i="10"/>
  <c r="BF173" i="10"/>
  <c r="T173" i="10"/>
  <c r="R173" i="10"/>
  <c r="P173" i="10"/>
  <c r="J173" i="10"/>
  <c r="BE173" i="10" s="1"/>
  <c r="BK172" i="10"/>
  <c r="BI172" i="10"/>
  <c r="BH172" i="10"/>
  <c r="BG172" i="10"/>
  <c r="BF172" i="10"/>
  <c r="T172" i="10"/>
  <c r="R172" i="10"/>
  <c r="P172" i="10"/>
  <c r="J172" i="10"/>
  <c r="BE172" i="10" s="1"/>
  <c r="BK171" i="10"/>
  <c r="BI171" i="10"/>
  <c r="BH171" i="10"/>
  <c r="BG171" i="10"/>
  <c r="BF171" i="10"/>
  <c r="T171" i="10"/>
  <c r="R171" i="10"/>
  <c r="P171" i="10"/>
  <c r="J171" i="10"/>
  <c r="BE171" i="10" s="1"/>
  <c r="BK170" i="10"/>
  <c r="BI170" i="10"/>
  <c r="BH170" i="10"/>
  <c r="BG170" i="10"/>
  <c r="BF170" i="10"/>
  <c r="T170" i="10"/>
  <c r="R170" i="10"/>
  <c r="P170" i="10"/>
  <c r="J170" i="10"/>
  <c r="BE170" i="10" s="1"/>
  <c r="BK169" i="10"/>
  <c r="BI169" i="10"/>
  <c r="BH169" i="10"/>
  <c r="BG169" i="10"/>
  <c r="BF169" i="10"/>
  <c r="T169" i="10"/>
  <c r="R169" i="10"/>
  <c r="P169" i="10"/>
  <c r="J169" i="10"/>
  <c r="BE169" i="10" s="1"/>
  <c r="BK168" i="10"/>
  <c r="BI168" i="10"/>
  <c r="BH168" i="10"/>
  <c r="BG168" i="10"/>
  <c r="BF168" i="10"/>
  <c r="T168" i="10"/>
  <c r="R168" i="10"/>
  <c r="P168" i="10"/>
  <c r="J168" i="10"/>
  <c r="BE168" i="10" s="1"/>
  <c r="BK167" i="10"/>
  <c r="BI167" i="10"/>
  <c r="BH167" i="10"/>
  <c r="BG167" i="10"/>
  <c r="BF167" i="10"/>
  <c r="T167" i="10"/>
  <c r="R167" i="10"/>
  <c r="P167" i="10"/>
  <c r="J167" i="10"/>
  <c r="BE167" i="10" s="1"/>
  <c r="BK166" i="10"/>
  <c r="BI166" i="10"/>
  <c r="BH166" i="10"/>
  <c r="BG166" i="10"/>
  <c r="BF166" i="10"/>
  <c r="T166" i="10"/>
  <c r="R166" i="10"/>
  <c r="P166" i="10"/>
  <c r="J166" i="10"/>
  <c r="BE166" i="10" s="1"/>
  <c r="BK165" i="10"/>
  <c r="BI165" i="10"/>
  <c r="BH165" i="10"/>
  <c r="BG165" i="10"/>
  <c r="BF165" i="10"/>
  <c r="T165" i="10"/>
  <c r="R165" i="10"/>
  <c r="P165" i="10"/>
  <c r="J165" i="10"/>
  <c r="BE165" i="10" s="1"/>
  <c r="BK164" i="10"/>
  <c r="BI164" i="10"/>
  <c r="BH164" i="10"/>
  <c r="BG164" i="10"/>
  <c r="BF164" i="10"/>
  <c r="T164" i="10"/>
  <c r="R164" i="10"/>
  <c r="P164" i="10"/>
  <c r="J164" i="10"/>
  <c r="BE164" i="10" s="1"/>
  <c r="BK163" i="10"/>
  <c r="BI163" i="10"/>
  <c r="BH163" i="10"/>
  <c r="BG163" i="10"/>
  <c r="BF163" i="10"/>
  <c r="T163" i="10"/>
  <c r="R163" i="10"/>
  <c r="P163" i="10"/>
  <c r="J163" i="10"/>
  <c r="BE163" i="10" s="1"/>
  <c r="BK162" i="10"/>
  <c r="BI162" i="10"/>
  <c r="BH162" i="10"/>
  <c r="BG162" i="10"/>
  <c r="BF162" i="10"/>
  <c r="T162" i="10"/>
  <c r="R162" i="10"/>
  <c r="P162" i="10"/>
  <c r="J162" i="10"/>
  <c r="BE162" i="10" s="1"/>
  <c r="BK161" i="10"/>
  <c r="BI161" i="10"/>
  <c r="BH161" i="10"/>
  <c r="BG161" i="10"/>
  <c r="BF161" i="10"/>
  <c r="T161" i="10"/>
  <c r="R161" i="10"/>
  <c r="P161" i="10"/>
  <c r="J161" i="10"/>
  <c r="BE161" i="10" s="1"/>
  <c r="BK160" i="10"/>
  <c r="BI160" i="10"/>
  <c r="BH160" i="10"/>
  <c r="BG160" i="10"/>
  <c r="BF160" i="10"/>
  <c r="T160" i="10"/>
  <c r="R160" i="10"/>
  <c r="P160" i="10"/>
  <c r="J160" i="10"/>
  <c r="BE160" i="10" s="1"/>
  <c r="BK159" i="10"/>
  <c r="BI159" i="10"/>
  <c r="BH159" i="10"/>
  <c r="BG159" i="10"/>
  <c r="BF159" i="10"/>
  <c r="T159" i="10"/>
  <c r="R159" i="10"/>
  <c r="P159" i="10"/>
  <c r="J159" i="10"/>
  <c r="BE159" i="10" s="1"/>
  <c r="BK158" i="10"/>
  <c r="BI158" i="10"/>
  <c r="BH158" i="10"/>
  <c r="BG158" i="10"/>
  <c r="BF158" i="10"/>
  <c r="T158" i="10"/>
  <c r="R158" i="10"/>
  <c r="P158" i="10"/>
  <c r="J158" i="10"/>
  <c r="BE158" i="10" s="1"/>
  <c r="BK157" i="10"/>
  <c r="BI157" i="10"/>
  <c r="BH157" i="10"/>
  <c r="BG157" i="10"/>
  <c r="BF157" i="10"/>
  <c r="T157" i="10"/>
  <c r="R157" i="10"/>
  <c r="P157" i="10"/>
  <c r="J157" i="10"/>
  <c r="BE157" i="10" s="1"/>
  <c r="BK156" i="10"/>
  <c r="BI156" i="10"/>
  <c r="BH156" i="10"/>
  <c r="BG156" i="10"/>
  <c r="BF156" i="10"/>
  <c r="T156" i="10"/>
  <c r="R156" i="10"/>
  <c r="P156" i="10"/>
  <c r="J156" i="10"/>
  <c r="BE156" i="10" s="1"/>
  <c r="BK155" i="10"/>
  <c r="BI155" i="10"/>
  <c r="BH155" i="10"/>
  <c r="BG155" i="10"/>
  <c r="BF155" i="10"/>
  <c r="T155" i="10"/>
  <c r="R155" i="10"/>
  <c r="P155" i="10"/>
  <c r="J155" i="10"/>
  <c r="BE155" i="10" s="1"/>
  <c r="BK154" i="10"/>
  <c r="BI154" i="10"/>
  <c r="BH154" i="10"/>
  <c r="BG154" i="10"/>
  <c r="BF154" i="10"/>
  <c r="T154" i="10"/>
  <c r="R154" i="10"/>
  <c r="P154" i="10"/>
  <c r="J154" i="10"/>
  <c r="BE154" i="10" s="1"/>
  <c r="BK153" i="10"/>
  <c r="BI153" i="10"/>
  <c r="BH153" i="10"/>
  <c r="BG153" i="10"/>
  <c r="BF153" i="10"/>
  <c r="T153" i="10"/>
  <c r="R153" i="10"/>
  <c r="P153" i="10"/>
  <c r="J153" i="10"/>
  <c r="BE153" i="10" s="1"/>
  <c r="BK152" i="10"/>
  <c r="BI152" i="10"/>
  <c r="BH152" i="10"/>
  <c r="BG152" i="10"/>
  <c r="BF152" i="10"/>
  <c r="T152" i="10"/>
  <c r="R152" i="10"/>
  <c r="P152" i="10"/>
  <c r="J152" i="10"/>
  <c r="BE152" i="10" s="1"/>
  <c r="BK151" i="10"/>
  <c r="BI151" i="10"/>
  <c r="BH151" i="10"/>
  <c r="BG151" i="10"/>
  <c r="BF151" i="10"/>
  <c r="T151" i="10"/>
  <c r="R151" i="10"/>
  <c r="P151" i="10"/>
  <c r="J151" i="10"/>
  <c r="BE151" i="10" s="1"/>
  <c r="BK150" i="10"/>
  <c r="BI150" i="10"/>
  <c r="BH150" i="10"/>
  <c r="BG150" i="10"/>
  <c r="BF150" i="10"/>
  <c r="T150" i="10"/>
  <c r="R150" i="10"/>
  <c r="P150" i="10"/>
  <c r="J150" i="10"/>
  <c r="BE150" i="10" s="1"/>
  <c r="BK149" i="10"/>
  <c r="BI149" i="10"/>
  <c r="BH149" i="10"/>
  <c r="BG149" i="10"/>
  <c r="BF149" i="10"/>
  <c r="T149" i="10"/>
  <c r="R149" i="10"/>
  <c r="P149" i="10"/>
  <c r="J149" i="10"/>
  <c r="BE149" i="10" s="1"/>
  <c r="BK148" i="10"/>
  <c r="BI148" i="10"/>
  <c r="BH148" i="10"/>
  <c r="BG148" i="10"/>
  <c r="BF148" i="10"/>
  <c r="T148" i="10"/>
  <c r="R148" i="10"/>
  <c r="P148" i="10"/>
  <c r="J148" i="10"/>
  <c r="BE148" i="10" s="1"/>
  <c r="BK146" i="10"/>
  <c r="BI146" i="10"/>
  <c r="BH146" i="10"/>
  <c r="BG146" i="10"/>
  <c r="BF146" i="10"/>
  <c r="T146" i="10"/>
  <c r="R146" i="10"/>
  <c r="P146" i="10"/>
  <c r="J146" i="10"/>
  <c r="BE146" i="10" s="1"/>
  <c r="BK144" i="10"/>
  <c r="BI144" i="10"/>
  <c r="BH144" i="10"/>
  <c r="BG144" i="10"/>
  <c r="BF144" i="10"/>
  <c r="T144" i="10"/>
  <c r="R144" i="10"/>
  <c r="P144" i="10"/>
  <c r="J144" i="10"/>
  <c r="BE144" i="10" s="1"/>
  <c r="BK143" i="10"/>
  <c r="BI143" i="10"/>
  <c r="BH143" i="10"/>
  <c r="BG143" i="10"/>
  <c r="BF143" i="10"/>
  <c r="T143" i="10"/>
  <c r="R143" i="10"/>
  <c r="P143" i="10"/>
  <c r="J143" i="10"/>
  <c r="BE143" i="10" s="1"/>
  <c r="BK141" i="10"/>
  <c r="BI141" i="10"/>
  <c r="BH141" i="10"/>
  <c r="BG141" i="10"/>
  <c r="BF141" i="10"/>
  <c r="T141" i="10"/>
  <c r="R141" i="10"/>
  <c r="P141" i="10"/>
  <c r="J141" i="10"/>
  <c r="BE141" i="10" s="1"/>
  <c r="F136" i="10"/>
  <c r="J135" i="10"/>
  <c r="J133" i="10"/>
  <c r="E131" i="10"/>
  <c r="E125" i="10"/>
  <c r="F96" i="10"/>
  <c r="J95" i="10"/>
  <c r="J93" i="10"/>
  <c r="F93" i="10"/>
  <c r="E91" i="10"/>
  <c r="E85" i="10"/>
  <c r="J41" i="10"/>
  <c r="J40" i="10"/>
  <c r="AY105" i="1" s="1"/>
  <c r="J39" i="10"/>
  <c r="AX105" i="1" s="1"/>
  <c r="BK200" i="9"/>
  <c r="BI200" i="9"/>
  <c r="BH200" i="9"/>
  <c r="BG200" i="9"/>
  <c r="BF200" i="9"/>
  <c r="T200" i="9"/>
  <c r="R200" i="9"/>
  <c r="P200" i="9"/>
  <c r="J200" i="9"/>
  <c r="BE200" i="9" s="1"/>
  <c r="BK199" i="9"/>
  <c r="BI199" i="9"/>
  <c r="BH199" i="9"/>
  <c r="BG199" i="9"/>
  <c r="BF199" i="9"/>
  <c r="T199" i="9"/>
  <c r="R199" i="9"/>
  <c r="P199" i="9"/>
  <c r="J199" i="9"/>
  <c r="BE199" i="9" s="1"/>
  <c r="BK197" i="9"/>
  <c r="BI197" i="9"/>
  <c r="BH197" i="9"/>
  <c r="BG197" i="9"/>
  <c r="BF197" i="9"/>
  <c r="T197" i="9"/>
  <c r="R197" i="9"/>
  <c r="P197" i="9"/>
  <c r="J197" i="9"/>
  <c r="BE197" i="9" s="1"/>
  <c r="BK196" i="9"/>
  <c r="BI196" i="9"/>
  <c r="BH196" i="9"/>
  <c r="BG196" i="9"/>
  <c r="BF196" i="9"/>
  <c r="T196" i="9"/>
  <c r="R196" i="9"/>
  <c r="P196" i="9"/>
  <c r="J196" i="9"/>
  <c r="BE196" i="9" s="1"/>
  <c r="BK195" i="9"/>
  <c r="BI195" i="9"/>
  <c r="BH195" i="9"/>
  <c r="BG195" i="9"/>
  <c r="BF195" i="9"/>
  <c r="T195" i="9"/>
  <c r="R195" i="9"/>
  <c r="P195" i="9"/>
  <c r="J195" i="9"/>
  <c r="BE195" i="9" s="1"/>
  <c r="BK194" i="9"/>
  <c r="BI194" i="9"/>
  <c r="BH194" i="9"/>
  <c r="BG194" i="9"/>
  <c r="BF194" i="9"/>
  <c r="T194" i="9"/>
  <c r="R194" i="9"/>
  <c r="P194" i="9"/>
  <c r="J194" i="9"/>
  <c r="BE194" i="9" s="1"/>
  <c r="BK193" i="9"/>
  <c r="BI193" i="9"/>
  <c r="BH193" i="9"/>
  <c r="BG193" i="9"/>
  <c r="BF193" i="9"/>
  <c r="T193" i="9"/>
  <c r="R193" i="9"/>
  <c r="P193" i="9"/>
  <c r="J193" i="9"/>
  <c r="BE193" i="9" s="1"/>
  <c r="BK192" i="9"/>
  <c r="BI192" i="9"/>
  <c r="BH192" i="9"/>
  <c r="BG192" i="9"/>
  <c r="BF192" i="9"/>
  <c r="T192" i="9"/>
  <c r="R192" i="9"/>
  <c r="P192" i="9"/>
  <c r="J192" i="9"/>
  <c r="BE192" i="9" s="1"/>
  <c r="BK191" i="9"/>
  <c r="BI191" i="9"/>
  <c r="BH191" i="9"/>
  <c r="BG191" i="9"/>
  <c r="BF191" i="9"/>
  <c r="T191" i="9"/>
  <c r="R191" i="9"/>
  <c r="P191" i="9"/>
  <c r="J191" i="9"/>
  <c r="BE191" i="9" s="1"/>
  <c r="BK190" i="9"/>
  <c r="BI190" i="9"/>
  <c r="BH190" i="9"/>
  <c r="BG190" i="9"/>
  <c r="BF190" i="9"/>
  <c r="T190" i="9"/>
  <c r="R190" i="9"/>
  <c r="P190" i="9"/>
  <c r="J190" i="9"/>
  <c r="BE190" i="9" s="1"/>
  <c r="BK189" i="9"/>
  <c r="BI189" i="9"/>
  <c r="BH189" i="9"/>
  <c r="BG189" i="9"/>
  <c r="BF189" i="9"/>
  <c r="T189" i="9"/>
  <c r="R189" i="9"/>
  <c r="P189" i="9"/>
  <c r="J189" i="9"/>
  <c r="BE189" i="9" s="1"/>
  <c r="BK188" i="9"/>
  <c r="BI188" i="9"/>
  <c r="BH188" i="9"/>
  <c r="BG188" i="9"/>
  <c r="BF188" i="9"/>
  <c r="T188" i="9"/>
  <c r="R188" i="9"/>
  <c r="P188" i="9"/>
  <c r="J188" i="9"/>
  <c r="BE188" i="9" s="1"/>
  <c r="BK187" i="9"/>
  <c r="BI187" i="9"/>
  <c r="BH187" i="9"/>
  <c r="BG187" i="9"/>
  <c r="BF187" i="9"/>
  <c r="T187" i="9"/>
  <c r="R187" i="9"/>
  <c r="P187" i="9"/>
  <c r="J187" i="9"/>
  <c r="BE187" i="9" s="1"/>
  <c r="BK186" i="9"/>
  <c r="BI186" i="9"/>
  <c r="BH186" i="9"/>
  <c r="BG186" i="9"/>
  <c r="BF186" i="9"/>
  <c r="T186" i="9"/>
  <c r="R186" i="9"/>
  <c r="P186" i="9"/>
  <c r="J186" i="9"/>
  <c r="BE186" i="9" s="1"/>
  <c r="BK185" i="9"/>
  <c r="BI185" i="9"/>
  <c r="BH185" i="9"/>
  <c r="BG185" i="9"/>
  <c r="BF185" i="9"/>
  <c r="T185" i="9"/>
  <c r="R185" i="9"/>
  <c r="P185" i="9"/>
  <c r="J185" i="9"/>
  <c r="BE185" i="9" s="1"/>
  <c r="BK184" i="9"/>
  <c r="BI184" i="9"/>
  <c r="BH184" i="9"/>
  <c r="BG184" i="9"/>
  <c r="BF184" i="9"/>
  <c r="T184" i="9"/>
  <c r="R184" i="9"/>
  <c r="P184" i="9"/>
  <c r="J184" i="9"/>
  <c r="BE184" i="9" s="1"/>
  <c r="BK183" i="9"/>
  <c r="BI183" i="9"/>
  <c r="BH183" i="9"/>
  <c r="BG183" i="9"/>
  <c r="BF183" i="9"/>
  <c r="T183" i="9"/>
  <c r="R183" i="9"/>
  <c r="P183" i="9"/>
  <c r="J183" i="9"/>
  <c r="BE183" i="9" s="1"/>
  <c r="BK182" i="9"/>
  <c r="BI182" i="9"/>
  <c r="BH182" i="9"/>
  <c r="BG182" i="9"/>
  <c r="BF182" i="9"/>
  <c r="T182" i="9"/>
  <c r="R182" i="9"/>
  <c r="P182" i="9"/>
  <c r="J182" i="9"/>
  <c r="BE182" i="9" s="1"/>
  <c r="BK181" i="9"/>
  <c r="BI181" i="9"/>
  <c r="BH181" i="9"/>
  <c r="BG181" i="9"/>
  <c r="BF181" i="9"/>
  <c r="T181" i="9"/>
  <c r="R181" i="9"/>
  <c r="P181" i="9"/>
  <c r="J181" i="9"/>
  <c r="BE181" i="9" s="1"/>
  <c r="BK180" i="9"/>
  <c r="BI180" i="9"/>
  <c r="BH180" i="9"/>
  <c r="BG180" i="9"/>
  <c r="BF180" i="9"/>
  <c r="T180" i="9"/>
  <c r="R180" i="9"/>
  <c r="P180" i="9"/>
  <c r="J180" i="9"/>
  <c r="BE180" i="9" s="1"/>
  <c r="BK179" i="9"/>
  <c r="BI179" i="9"/>
  <c r="BH179" i="9"/>
  <c r="BG179" i="9"/>
  <c r="BF179" i="9"/>
  <c r="T179" i="9"/>
  <c r="R179" i="9"/>
  <c r="P179" i="9"/>
  <c r="J179" i="9"/>
  <c r="BE179" i="9" s="1"/>
  <c r="BK178" i="9"/>
  <c r="BI178" i="9"/>
  <c r="BH178" i="9"/>
  <c r="BG178" i="9"/>
  <c r="BF178" i="9"/>
  <c r="T178" i="9"/>
  <c r="R178" i="9"/>
  <c r="P178" i="9"/>
  <c r="J178" i="9"/>
  <c r="BE178" i="9" s="1"/>
  <c r="BK177" i="9"/>
  <c r="BI177" i="9"/>
  <c r="BH177" i="9"/>
  <c r="BG177" i="9"/>
  <c r="BF177" i="9"/>
  <c r="T177" i="9"/>
  <c r="R177" i="9"/>
  <c r="P177" i="9"/>
  <c r="J177" i="9"/>
  <c r="BE177" i="9" s="1"/>
  <c r="BK176" i="9"/>
  <c r="BI176" i="9"/>
  <c r="BH176" i="9"/>
  <c r="BG176" i="9"/>
  <c r="BF176" i="9"/>
  <c r="T176" i="9"/>
  <c r="R176" i="9"/>
  <c r="P176" i="9"/>
  <c r="J176" i="9"/>
  <c r="BE176" i="9" s="1"/>
  <c r="BK175" i="9"/>
  <c r="BI175" i="9"/>
  <c r="BH175" i="9"/>
  <c r="BG175" i="9"/>
  <c r="BF175" i="9"/>
  <c r="T175" i="9"/>
  <c r="R175" i="9"/>
  <c r="P175" i="9"/>
  <c r="J175" i="9"/>
  <c r="BE175" i="9" s="1"/>
  <c r="BK174" i="9"/>
  <c r="BI174" i="9"/>
  <c r="BH174" i="9"/>
  <c r="BG174" i="9"/>
  <c r="BF174" i="9"/>
  <c r="T174" i="9"/>
  <c r="R174" i="9"/>
  <c r="P174" i="9"/>
  <c r="J174" i="9"/>
  <c r="BE174" i="9" s="1"/>
  <c r="BK173" i="9"/>
  <c r="BI173" i="9"/>
  <c r="BH173" i="9"/>
  <c r="BG173" i="9"/>
  <c r="BF173" i="9"/>
  <c r="T173" i="9"/>
  <c r="R173" i="9"/>
  <c r="P173" i="9"/>
  <c r="J173" i="9"/>
  <c r="BE173" i="9" s="1"/>
  <c r="BK172" i="9"/>
  <c r="BI172" i="9"/>
  <c r="BH172" i="9"/>
  <c r="BG172" i="9"/>
  <c r="BF172" i="9"/>
  <c r="T172" i="9"/>
  <c r="R172" i="9"/>
  <c r="P172" i="9"/>
  <c r="J172" i="9"/>
  <c r="BE172" i="9" s="1"/>
  <c r="BK171" i="9"/>
  <c r="BI171" i="9"/>
  <c r="BH171" i="9"/>
  <c r="BG171" i="9"/>
  <c r="BF171" i="9"/>
  <c r="T171" i="9"/>
  <c r="R171" i="9"/>
  <c r="P171" i="9"/>
  <c r="J171" i="9"/>
  <c r="BE171" i="9" s="1"/>
  <c r="BK170" i="9"/>
  <c r="BI170" i="9"/>
  <c r="BH170" i="9"/>
  <c r="BG170" i="9"/>
  <c r="BF170" i="9"/>
  <c r="T170" i="9"/>
  <c r="R170" i="9"/>
  <c r="P170" i="9"/>
  <c r="J170" i="9"/>
  <c r="BE170" i="9" s="1"/>
  <c r="BK169" i="9"/>
  <c r="BI169" i="9"/>
  <c r="BH169" i="9"/>
  <c r="BG169" i="9"/>
  <c r="BF169" i="9"/>
  <c r="T169" i="9"/>
  <c r="R169" i="9"/>
  <c r="P169" i="9"/>
  <c r="J169" i="9"/>
  <c r="BE169" i="9" s="1"/>
  <c r="BK168" i="9"/>
  <c r="BI168" i="9"/>
  <c r="BH168" i="9"/>
  <c r="BG168" i="9"/>
  <c r="BF168" i="9"/>
  <c r="T168" i="9"/>
  <c r="R168" i="9"/>
  <c r="P168" i="9"/>
  <c r="J168" i="9"/>
  <c r="BE168" i="9" s="1"/>
  <c r="BK167" i="9"/>
  <c r="BI167" i="9"/>
  <c r="BH167" i="9"/>
  <c r="BG167" i="9"/>
  <c r="BF167" i="9"/>
  <c r="T167" i="9"/>
  <c r="R167" i="9"/>
  <c r="P167" i="9"/>
  <c r="J167" i="9"/>
  <c r="BE167" i="9" s="1"/>
  <c r="BK166" i="9"/>
  <c r="BI166" i="9"/>
  <c r="BH166" i="9"/>
  <c r="BG166" i="9"/>
  <c r="BF166" i="9"/>
  <c r="T166" i="9"/>
  <c r="R166" i="9"/>
  <c r="P166" i="9"/>
  <c r="J166" i="9"/>
  <c r="BE166" i="9" s="1"/>
  <c r="BK165" i="9"/>
  <c r="BI165" i="9"/>
  <c r="BH165" i="9"/>
  <c r="BG165" i="9"/>
  <c r="BF165" i="9"/>
  <c r="T165" i="9"/>
  <c r="R165" i="9"/>
  <c r="P165" i="9"/>
  <c r="J165" i="9"/>
  <c r="BE165" i="9" s="1"/>
  <c r="BK164" i="9"/>
  <c r="BI164" i="9"/>
  <c r="BH164" i="9"/>
  <c r="BG164" i="9"/>
  <c r="BF164" i="9"/>
  <c r="T164" i="9"/>
  <c r="R164" i="9"/>
  <c r="P164" i="9"/>
  <c r="J164" i="9"/>
  <c r="BE164" i="9" s="1"/>
  <c r="BK163" i="9"/>
  <c r="BI163" i="9"/>
  <c r="BH163" i="9"/>
  <c r="BG163" i="9"/>
  <c r="BF163" i="9"/>
  <c r="T163" i="9"/>
  <c r="R163" i="9"/>
  <c r="P163" i="9"/>
  <c r="J163" i="9"/>
  <c r="BE163" i="9" s="1"/>
  <c r="BK162" i="9"/>
  <c r="BI162" i="9"/>
  <c r="BH162" i="9"/>
  <c r="BG162" i="9"/>
  <c r="BF162" i="9"/>
  <c r="T162" i="9"/>
  <c r="R162" i="9"/>
  <c r="P162" i="9"/>
  <c r="J162" i="9"/>
  <c r="BE162" i="9" s="1"/>
  <c r="BK161" i="9"/>
  <c r="BI161" i="9"/>
  <c r="BH161" i="9"/>
  <c r="BG161" i="9"/>
  <c r="BF161" i="9"/>
  <c r="T161" i="9"/>
  <c r="R161" i="9"/>
  <c r="P161" i="9"/>
  <c r="J161" i="9"/>
  <c r="BE161" i="9" s="1"/>
  <c r="BK160" i="9"/>
  <c r="BI160" i="9"/>
  <c r="BH160" i="9"/>
  <c r="BG160" i="9"/>
  <c r="BF160" i="9"/>
  <c r="T160" i="9"/>
  <c r="R160" i="9"/>
  <c r="P160" i="9"/>
  <c r="J160" i="9"/>
  <c r="BE160" i="9" s="1"/>
  <c r="BK159" i="9"/>
  <c r="BI159" i="9"/>
  <c r="BH159" i="9"/>
  <c r="BG159" i="9"/>
  <c r="BF159" i="9"/>
  <c r="T159" i="9"/>
  <c r="R159" i="9"/>
  <c r="P159" i="9"/>
  <c r="J159" i="9"/>
  <c r="BE159" i="9" s="1"/>
  <c r="BK158" i="9"/>
  <c r="BI158" i="9"/>
  <c r="BH158" i="9"/>
  <c r="BG158" i="9"/>
  <c r="BF158" i="9"/>
  <c r="T158" i="9"/>
  <c r="R158" i="9"/>
  <c r="P158" i="9"/>
  <c r="J158" i="9"/>
  <c r="BE158" i="9" s="1"/>
  <c r="BK157" i="9"/>
  <c r="BI157" i="9"/>
  <c r="BH157" i="9"/>
  <c r="BG157" i="9"/>
  <c r="BF157" i="9"/>
  <c r="T157" i="9"/>
  <c r="R157" i="9"/>
  <c r="P157" i="9"/>
  <c r="J157" i="9"/>
  <c r="BE157" i="9" s="1"/>
  <c r="BK156" i="9"/>
  <c r="BI156" i="9"/>
  <c r="BH156" i="9"/>
  <c r="BG156" i="9"/>
  <c r="BF156" i="9"/>
  <c r="T156" i="9"/>
  <c r="R156" i="9"/>
  <c r="P156" i="9"/>
  <c r="J156" i="9"/>
  <c r="BE156" i="9" s="1"/>
  <c r="BK155" i="9"/>
  <c r="BI155" i="9"/>
  <c r="BH155" i="9"/>
  <c r="BG155" i="9"/>
  <c r="BF155" i="9"/>
  <c r="T155" i="9"/>
  <c r="R155" i="9"/>
  <c r="P155" i="9"/>
  <c r="J155" i="9"/>
  <c r="BE155" i="9" s="1"/>
  <c r="BK154" i="9"/>
  <c r="BI154" i="9"/>
  <c r="BH154" i="9"/>
  <c r="BG154" i="9"/>
  <c r="BF154" i="9"/>
  <c r="T154" i="9"/>
  <c r="R154" i="9"/>
  <c r="P154" i="9"/>
  <c r="J154" i="9"/>
  <c r="BE154" i="9" s="1"/>
  <c r="BK153" i="9"/>
  <c r="BI153" i="9"/>
  <c r="BH153" i="9"/>
  <c r="BG153" i="9"/>
  <c r="BF153" i="9"/>
  <c r="T153" i="9"/>
  <c r="R153" i="9"/>
  <c r="P153" i="9"/>
  <c r="J153" i="9"/>
  <c r="BE153" i="9" s="1"/>
  <c r="BK152" i="9"/>
  <c r="BI152" i="9"/>
  <c r="BH152" i="9"/>
  <c r="BG152" i="9"/>
  <c r="BF152" i="9"/>
  <c r="T152" i="9"/>
  <c r="R152" i="9"/>
  <c r="P152" i="9"/>
  <c r="J152" i="9"/>
  <c r="BE152" i="9" s="1"/>
  <c r="BK151" i="9"/>
  <c r="BI151" i="9"/>
  <c r="BH151" i="9"/>
  <c r="BG151" i="9"/>
  <c r="BF151" i="9"/>
  <c r="T151" i="9"/>
  <c r="R151" i="9"/>
  <c r="P151" i="9"/>
  <c r="J151" i="9"/>
  <c r="BE151" i="9" s="1"/>
  <c r="BK150" i="9"/>
  <c r="BI150" i="9"/>
  <c r="BH150" i="9"/>
  <c r="BG150" i="9"/>
  <c r="BF150" i="9"/>
  <c r="T150" i="9"/>
  <c r="R150" i="9"/>
  <c r="P150" i="9"/>
  <c r="J150" i="9"/>
  <c r="BE150" i="9" s="1"/>
  <c r="BK149" i="9"/>
  <c r="BI149" i="9"/>
  <c r="BH149" i="9"/>
  <c r="BG149" i="9"/>
  <c r="BF149" i="9"/>
  <c r="T149" i="9"/>
  <c r="R149" i="9"/>
  <c r="P149" i="9"/>
  <c r="J149" i="9"/>
  <c r="BE149" i="9" s="1"/>
  <c r="BK148" i="9"/>
  <c r="BI148" i="9"/>
  <c r="BH148" i="9"/>
  <c r="BG148" i="9"/>
  <c r="BF148" i="9"/>
  <c r="T148" i="9"/>
  <c r="R148" i="9"/>
  <c r="P148" i="9"/>
  <c r="J148" i="9"/>
  <c r="BE148" i="9" s="1"/>
  <c r="BK147" i="9"/>
  <c r="BI147" i="9"/>
  <c r="BH147" i="9"/>
  <c r="BG147" i="9"/>
  <c r="BF147" i="9"/>
  <c r="T147" i="9"/>
  <c r="R147" i="9"/>
  <c r="P147" i="9"/>
  <c r="J147" i="9"/>
  <c r="BE147" i="9" s="1"/>
  <c r="BK146" i="9"/>
  <c r="BI146" i="9"/>
  <c r="BH146" i="9"/>
  <c r="BG146" i="9"/>
  <c r="BF146" i="9"/>
  <c r="T146" i="9"/>
  <c r="R146" i="9"/>
  <c r="P146" i="9"/>
  <c r="J146" i="9"/>
  <c r="BE146" i="9" s="1"/>
  <c r="BK145" i="9"/>
  <c r="BI145" i="9"/>
  <c r="BH145" i="9"/>
  <c r="BG145" i="9"/>
  <c r="BF145" i="9"/>
  <c r="T145" i="9"/>
  <c r="R145" i="9"/>
  <c r="P145" i="9"/>
  <c r="J145" i="9"/>
  <c r="BE145" i="9" s="1"/>
  <c r="BK144" i="9"/>
  <c r="BI144" i="9"/>
  <c r="BH144" i="9"/>
  <c r="BG144" i="9"/>
  <c r="BF144" i="9"/>
  <c r="T144" i="9"/>
  <c r="R144" i="9"/>
  <c r="P144" i="9"/>
  <c r="J144" i="9"/>
  <c r="BE144" i="9" s="1"/>
  <c r="BK143" i="9"/>
  <c r="BI143" i="9"/>
  <c r="BH143" i="9"/>
  <c r="BG143" i="9"/>
  <c r="BF143" i="9"/>
  <c r="T143" i="9"/>
  <c r="R143" i="9"/>
  <c r="P143" i="9"/>
  <c r="J143" i="9"/>
  <c r="BE143" i="9" s="1"/>
  <c r="BK141" i="9"/>
  <c r="BI141" i="9"/>
  <c r="BH141" i="9"/>
  <c r="BG141" i="9"/>
  <c r="BF141" i="9"/>
  <c r="T141" i="9"/>
  <c r="R141" i="9"/>
  <c r="P141" i="9"/>
  <c r="J141" i="9"/>
  <c r="BE141" i="9" s="1"/>
  <c r="J136" i="9"/>
  <c r="J135" i="9"/>
  <c r="E131" i="9"/>
  <c r="E125" i="9"/>
  <c r="J96" i="9"/>
  <c r="J95" i="9"/>
  <c r="F93" i="9"/>
  <c r="E91" i="9"/>
  <c r="E85" i="9"/>
  <c r="J41" i="9"/>
  <c r="J40" i="9"/>
  <c r="AY104" i="1" s="1"/>
  <c r="J39" i="9"/>
  <c r="AX104" i="1" s="1"/>
  <c r="BK145" i="8"/>
  <c r="BI145" i="8"/>
  <c r="BH145" i="8"/>
  <c r="BG145" i="8"/>
  <c r="BF145" i="8"/>
  <c r="T145" i="8"/>
  <c r="R145" i="8"/>
  <c r="P145" i="8"/>
  <c r="J145" i="8"/>
  <c r="BE145" i="8" s="1"/>
  <c r="BK144" i="8"/>
  <c r="BI144" i="8"/>
  <c r="BH144" i="8"/>
  <c r="BG144" i="8"/>
  <c r="BF144" i="8"/>
  <c r="T144" i="8"/>
  <c r="R144" i="8"/>
  <c r="P144" i="8"/>
  <c r="J144" i="8"/>
  <c r="BE144" i="8" s="1"/>
  <c r="BK143" i="8"/>
  <c r="BI143" i="8"/>
  <c r="BH143" i="8"/>
  <c r="F40" i="8" s="1"/>
  <c r="BC103" i="1" s="1"/>
  <c r="BG143" i="8"/>
  <c r="BF143" i="8"/>
  <c r="T143" i="8"/>
  <c r="R143" i="8"/>
  <c r="P143" i="8"/>
  <c r="J143" i="8"/>
  <c r="BE143" i="8" s="1"/>
  <c r="BK141" i="8"/>
  <c r="BI141" i="8"/>
  <c r="F41" i="8" s="1"/>
  <c r="BD103" i="1" s="1"/>
  <c r="BH141" i="8"/>
  <c r="BG141" i="8"/>
  <c r="BF141" i="8"/>
  <c r="T141" i="8"/>
  <c r="R141" i="8"/>
  <c r="P141" i="8"/>
  <c r="J141" i="8"/>
  <c r="BE141" i="8" s="1"/>
  <c r="J136" i="8"/>
  <c r="J135" i="8"/>
  <c r="F135" i="8"/>
  <c r="J133" i="8"/>
  <c r="E131" i="8"/>
  <c r="E125" i="8"/>
  <c r="J96" i="8"/>
  <c r="J95" i="8"/>
  <c r="F95" i="8"/>
  <c r="J93" i="8"/>
  <c r="F93" i="8"/>
  <c r="E91" i="8"/>
  <c r="E85" i="8"/>
  <c r="J41" i="8"/>
  <c r="J40" i="8"/>
  <c r="AY103" i="1" s="1"/>
  <c r="J39" i="8"/>
  <c r="AX103" i="1" s="1"/>
  <c r="BK157" i="7"/>
  <c r="BI157" i="7"/>
  <c r="BH157" i="7"/>
  <c r="BG157" i="7"/>
  <c r="BF157" i="7"/>
  <c r="T157" i="7"/>
  <c r="R157" i="7"/>
  <c r="P157" i="7"/>
  <c r="J157" i="7"/>
  <c r="BE157" i="7" s="1"/>
  <c r="BK156" i="7"/>
  <c r="BI156" i="7"/>
  <c r="BH156" i="7"/>
  <c r="BG156" i="7"/>
  <c r="BF156" i="7"/>
  <c r="T156" i="7"/>
  <c r="R156" i="7"/>
  <c r="P156" i="7"/>
  <c r="J156" i="7"/>
  <c r="BE156" i="7" s="1"/>
  <c r="BK155" i="7"/>
  <c r="BI155" i="7"/>
  <c r="BH155" i="7"/>
  <c r="BG155" i="7"/>
  <c r="BF155" i="7"/>
  <c r="T155" i="7"/>
  <c r="R155" i="7"/>
  <c r="P155" i="7"/>
  <c r="J155" i="7"/>
  <c r="BE155" i="7" s="1"/>
  <c r="BK154" i="7"/>
  <c r="BI154" i="7"/>
  <c r="BH154" i="7"/>
  <c r="BG154" i="7"/>
  <c r="BF154" i="7"/>
  <c r="T154" i="7"/>
  <c r="R154" i="7"/>
  <c r="P154" i="7"/>
  <c r="J154" i="7"/>
  <c r="BE154" i="7" s="1"/>
  <c r="BK153" i="7"/>
  <c r="BI153" i="7"/>
  <c r="BH153" i="7"/>
  <c r="BG153" i="7"/>
  <c r="BF153" i="7"/>
  <c r="T153" i="7"/>
  <c r="R153" i="7"/>
  <c r="P153" i="7"/>
  <c r="J153" i="7"/>
  <c r="BE153" i="7" s="1"/>
  <c r="BK152" i="7"/>
  <c r="BI152" i="7"/>
  <c r="BH152" i="7"/>
  <c r="BG152" i="7"/>
  <c r="BF152" i="7"/>
  <c r="T152" i="7"/>
  <c r="R152" i="7"/>
  <c r="P152" i="7"/>
  <c r="J152" i="7"/>
  <c r="BE152" i="7" s="1"/>
  <c r="BK151" i="7"/>
  <c r="BI151" i="7"/>
  <c r="BH151" i="7"/>
  <c r="BG151" i="7"/>
  <c r="BF151" i="7"/>
  <c r="T151" i="7"/>
  <c r="R151" i="7"/>
  <c r="P151" i="7"/>
  <c r="J151" i="7"/>
  <c r="BE151" i="7" s="1"/>
  <c r="BK150" i="7"/>
  <c r="BI150" i="7"/>
  <c r="BH150" i="7"/>
  <c r="BG150" i="7"/>
  <c r="BF150" i="7"/>
  <c r="T150" i="7"/>
  <c r="R150" i="7"/>
  <c r="P150" i="7"/>
  <c r="J150" i="7"/>
  <c r="BE150" i="7" s="1"/>
  <c r="BK149" i="7"/>
  <c r="BI149" i="7"/>
  <c r="BH149" i="7"/>
  <c r="BG149" i="7"/>
  <c r="BF149" i="7"/>
  <c r="T149" i="7"/>
  <c r="R149" i="7"/>
  <c r="P149" i="7"/>
  <c r="J149" i="7"/>
  <c r="BE149" i="7" s="1"/>
  <c r="BK148" i="7"/>
  <c r="BI148" i="7"/>
  <c r="BH148" i="7"/>
  <c r="BG148" i="7"/>
  <c r="BF148" i="7"/>
  <c r="T148" i="7"/>
  <c r="R148" i="7"/>
  <c r="P148" i="7"/>
  <c r="J148" i="7"/>
  <c r="BE148" i="7" s="1"/>
  <c r="BK147" i="7"/>
  <c r="BI147" i="7"/>
  <c r="BH147" i="7"/>
  <c r="BG147" i="7"/>
  <c r="BF147" i="7"/>
  <c r="T147" i="7"/>
  <c r="R147" i="7"/>
  <c r="P147" i="7"/>
  <c r="J147" i="7"/>
  <c r="BE147" i="7" s="1"/>
  <c r="BK146" i="7"/>
  <c r="BI146" i="7"/>
  <c r="BH146" i="7"/>
  <c r="BG146" i="7"/>
  <c r="BF146" i="7"/>
  <c r="T146" i="7"/>
  <c r="R146" i="7"/>
  <c r="P146" i="7"/>
  <c r="J146" i="7"/>
  <c r="BE146" i="7" s="1"/>
  <c r="BK145" i="7"/>
  <c r="BI145" i="7"/>
  <c r="BH145" i="7"/>
  <c r="BG145" i="7"/>
  <c r="BF145" i="7"/>
  <c r="T145" i="7"/>
  <c r="R145" i="7"/>
  <c r="P145" i="7"/>
  <c r="J145" i="7"/>
  <c r="BE145" i="7" s="1"/>
  <c r="BK144" i="7"/>
  <c r="BI144" i="7"/>
  <c r="BH144" i="7"/>
  <c r="BG144" i="7"/>
  <c r="BF144" i="7"/>
  <c r="T144" i="7"/>
  <c r="R144" i="7"/>
  <c r="P144" i="7"/>
  <c r="J144" i="7"/>
  <c r="BE144" i="7" s="1"/>
  <c r="BK143" i="7"/>
  <c r="BI143" i="7"/>
  <c r="BH143" i="7"/>
  <c r="BG143" i="7"/>
  <c r="BF143" i="7"/>
  <c r="T143" i="7"/>
  <c r="R143" i="7"/>
  <c r="P143" i="7"/>
  <c r="J143" i="7"/>
  <c r="BE143" i="7" s="1"/>
  <c r="BK141" i="7"/>
  <c r="BI141" i="7"/>
  <c r="BH141" i="7"/>
  <c r="BG141" i="7"/>
  <c r="BF141" i="7"/>
  <c r="T141" i="7"/>
  <c r="R141" i="7"/>
  <c r="P141" i="7"/>
  <c r="J141" i="7"/>
  <c r="BE141" i="7" s="1"/>
  <c r="J136" i="7"/>
  <c r="J135" i="7"/>
  <c r="F135" i="7"/>
  <c r="J133" i="7"/>
  <c r="F133" i="7"/>
  <c r="E131" i="7"/>
  <c r="E125" i="7"/>
  <c r="J96" i="7"/>
  <c r="J95" i="7"/>
  <c r="F95" i="7"/>
  <c r="J93" i="7"/>
  <c r="F93" i="7"/>
  <c r="E91" i="7"/>
  <c r="E85" i="7"/>
  <c r="J41" i="7"/>
  <c r="J40" i="7"/>
  <c r="AY102" i="1" s="1"/>
  <c r="J39" i="7"/>
  <c r="AX102" i="1" s="1"/>
  <c r="BK145" i="6"/>
  <c r="BI145" i="6"/>
  <c r="BH145" i="6"/>
  <c r="BG145" i="6"/>
  <c r="BF145" i="6"/>
  <c r="T145" i="6"/>
  <c r="R145" i="6"/>
  <c r="P145" i="6"/>
  <c r="J145" i="6"/>
  <c r="BE145" i="6" s="1"/>
  <c r="BK144" i="6"/>
  <c r="BI144" i="6"/>
  <c r="BH144" i="6"/>
  <c r="BG144" i="6"/>
  <c r="BF144" i="6"/>
  <c r="T144" i="6"/>
  <c r="R144" i="6"/>
  <c r="P144" i="6"/>
  <c r="J144" i="6"/>
  <c r="BE144" i="6" s="1"/>
  <c r="BK142" i="6"/>
  <c r="BI142" i="6"/>
  <c r="BH142" i="6"/>
  <c r="BG142" i="6"/>
  <c r="BF142" i="6"/>
  <c r="T142" i="6"/>
  <c r="R142" i="6"/>
  <c r="R140" i="6" s="1"/>
  <c r="R139" i="6" s="1"/>
  <c r="P142" i="6"/>
  <c r="J142" i="6"/>
  <c r="BE142" i="6" s="1"/>
  <c r="BK141" i="6"/>
  <c r="BI141" i="6"/>
  <c r="BH141" i="6"/>
  <c r="BG141" i="6"/>
  <c r="BF141" i="6"/>
  <c r="T141" i="6"/>
  <c r="R141" i="6"/>
  <c r="P141" i="6"/>
  <c r="J141" i="6"/>
  <c r="BE141" i="6" s="1"/>
  <c r="J35" i="6" s="1"/>
  <c r="AV100" i="1" s="1"/>
  <c r="J136" i="6"/>
  <c r="J135" i="6"/>
  <c r="F135" i="6"/>
  <c r="J133" i="6"/>
  <c r="F133" i="6"/>
  <c r="E131" i="6"/>
  <c r="E127" i="6"/>
  <c r="J94" i="6"/>
  <c r="J93" i="6"/>
  <c r="F93" i="6"/>
  <c r="J91" i="6"/>
  <c r="F91" i="6"/>
  <c r="E89" i="6"/>
  <c r="E85" i="6"/>
  <c r="J39" i="6"/>
  <c r="J38" i="6"/>
  <c r="AY100" i="1" s="1"/>
  <c r="J37" i="6"/>
  <c r="AX100" i="1" s="1"/>
  <c r="BK591" i="5"/>
  <c r="BI591" i="5"/>
  <c r="BH591" i="5"/>
  <c r="BG591" i="5"/>
  <c r="BF591" i="5"/>
  <c r="T591" i="5"/>
  <c r="R591" i="5"/>
  <c r="P591" i="5"/>
  <c r="J591" i="5"/>
  <c r="BE591" i="5" s="1"/>
  <c r="BK586" i="5"/>
  <c r="BI586" i="5"/>
  <c r="BH586" i="5"/>
  <c r="BG586" i="5"/>
  <c r="BF586" i="5"/>
  <c r="T586" i="5"/>
  <c r="R586" i="5"/>
  <c r="P586" i="5"/>
  <c r="J586" i="5"/>
  <c r="BE586" i="5" s="1"/>
  <c r="BK579" i="5"/>
  <c r="BI579" i="5"/>
  <c r="BH579" i="5"/>
  <c r="BG579" i="5"/>
  <c r="BF579" i="5"/>
  <c r="T579" i="5"/>
  <c r="R579" i="5"/>
  <c r="P579" i="5"/>
  <c r="J579" i="5"/>
  <c r="BE579" i="5" s="1"/>
  <c r="BK576" i="5"/>
  <c r="BI576" i="5"/>
  <c r="BH576" i="5"/>
  <c r="BG576" i="5"/>
  <c r="BF576" i="5"/>
  <c r="BE576" i="5"/>
  <c r="T576" i="5"/>
  <c r="R576" i="5"/>
  <c r="P576" i="5"/>
  <c r="J576" i="5"/>
  <c r="BK561" i="5"/>
  <c r="BI561" i="5"/>
  <c r="BH561" i="5"/>
  <c r="BG561" i="5"/>
  <c r="BF561" i="5"/>
  <c r="T561" i="5"/>
  <c r="R561" i="5"/>
  <c r="P561" i="5"/>
  <c r="J561" i="5"/>
  <c r="BE561" i="5" s="1"/>
  <c r="BK559" i="5"/>
  <c r="BI559" i="5"/>
  <c r="BH559" i="5"/>
  <c r="BG559" i="5"/>
  <c r="BF559" i="5"/>
  <c r="T559" i="5"/>
  <c r="R559" i="5"/>
  <c r="P559" i="5"/>
  <c r="J559" i="5"/>
  <c r="BE559" i="5" s="1"/>
  <c r="BK553" i="5"/>
  <c r="BI553" i="5"/>
  <c r="BH553" i="5"/>
  <c r="BG553" i="5"/>
  <c r="BF553" i="5"/>
  <c r="T553" i="5"/>
  <c r="R553" i="5"/>
  <c r="P553" i="5"/>
  <c r="J553" i="5"/>
  <c r="BE553" i="5" s="1"/>
  <c r="BK548" i="5"/>
  <c r="BI548" i="5"/>
  <c r="BH548" i="5"/>
  <c r="BG548" i="5"/>
  <c r="BF548" i="5"/>
  <c r="BE548" i="5"/>
  <c r="T548" i="5"/>
  <c r="R548" i="5"/>
  <c r="P548" i="5"/>
  <c r="J548" i="5"/>
  <c r="BK545" i="5"/>
  <c r="BI545" i="5"/>
  <c r="BH545" i="5"/>
  <c r="BG545" i="5"/>
  <c r="BF545" i="5"/>
  <c r="T545" i="5"/>
  <c r="R545" i="5"/>
  <c r="P545" i="5"/>
  <c r="J545" i="5"/>
  <c r="BE545" i="5" s="1"/>
  <c r="BK541" i="5"/>
  <c r="BI541" i="5"/>
  <c r="BH541" i="5"/>
  <c r="BG541" i="5"/>
  <c r="BF541" i="5"/>
  <c r="T541" i="5"/>
  <c r="R541" i="5"/>
  <c r="P541" i="5"/>
  <c r="J541" i="5"/>
  <c r="BE541" i="5" s="1"/>
  <c r="BK532" i="5"/>
  <c r="BI532" i="5"/>
  <c r="BH532" i="5"/>
  <c r="BG532" i="5"/>
  <c r="BF532" i="5"/>
  <c r="T532" i="5"/>
  <c r="R532" i="5"/>
  <c r="P532" i="5"/>
  <c r="J532" i="5"/>
  <c r="BE532" i="5" s="1"/>
  <c r="BK525" i="5"/>
  <c r="BI525" i="5"/>
  <c r="BH525" i="5"/>
  <c r="BG525" i="5"/>
  <c r="BF525" i="5"/>
  <c r="T525" i="5"/>
  <c r="R525" i="5"/>
  <c r="P525" i="5"/>
  <c r="J525" i="5"/>
  <c r="BE525" i="5" s="1"/>
  <c r="BK524" i="5"/>
  <c r="BI524" i="5"/>
  <c r="BH524" i="5"/>
  <c r="BG524" i="5"/>
  <c r="BF524" i="5"/>
  <c r="T524" i="5"/>
  <c r="R524" i="5"/>
  <c r="P524" i="5"/>
  <c r="J524" i="5"/>
  <c r="BE524" i="5" s="1"/>
  <c r="BK521" i="5"/>
  <c r="BI521" i="5"/>
  <c r="BH521" i="5"/>
  <c r="BG521" i="5"/>
  <c r="BF521" i="5"/>
  <c r="T521" i="5"/>
  <c r="R521" i="5"/>
  <c r="P521" i="5"/>
  <c r="J521" i="5"/>
  <c r="BE521" i="5" s="1"/>
  <c r="BK519" i="5"/>
  <c r="BI519" i="5"/>
  <c r="BH519" i="5"/>
  <c r="BG519" i="5"/>
  <c r="BF519" i="5"/>
  <c r="T519" i="5"/>
  <c r="R519" i="5"/>
  <c r="P519" i="5"/>
  <c r="J519" i="5"/>
  <c r="BE519" i="5" s="1"/>
  <c r="BK504" i="5"/>
  <c r="BI504" i="5"/>
  <c r="BH504" i="5"/>
  <c r="BG504" i="5"/>
  <c r="BF504" i="5"/>
  <c r="T504" i="5"/>
  <c r="R504" i="5"/>
  <c r="P504" i="5"/>
  <c r="J504" i="5"/>
  <c r="BE504" i="5" s="1"/>
  <c r="BK501" i="5"/>
  <c r="BI501" i="5"/>
  <c r="BH501" i="5"/>
  <c r="BG501" i="5"/>
  <c r="BF501" i="5"/>
  <c r="T501" i="5"/>
  <c r="R501" i="5"/>
  <c r="P501" i="5"/>
  <c r="J501" i="5"/>
  <c r="BE501" i="5" s="1"/>
  <c r="BK498" i="5"/>
  <c r="BI498" i="5"/>
  <c r="BH498" i="5"/>
  <c r="BG498" i="5"/>
  <c r="BF498" i="5"/>
  <c r="T498" i="5"/>
  <c r="R498" i="5"/>
  <c r="P498" i="5"/>
  <c r="J498" i="5"/>
  <c r="BE498" i="5" s="1"/>
  <c r="BK493" i="5"/>
  <c r="BI493" i="5"/>
  <c r="BH493" i="5"/>
  <c r="BG493" i="5"/>
  <c r="BF493" i="5"/>
  <c r="T493" i="5"/>
  <c r="R493" i="5"/>
  <c r="P493" i="5"/>
  <c r="J493" i="5"/>
  <c r="BE493" i="5" s="1"/>
  <c r="BK491" i="5"/>
  <c r="BI491" i="5"/>
  <c r="BH491" i="5"/>
  <c r="BG491" i="5"/>
  <c r="BF491" i="5"/>
  <c r="T491" i="5"/>
  <c r="R491" i="5"/>
  <c r="P491" i="5"/>
  <c r="J491" i="5"/>
  <c r="BE491" i="5" s="1"/>
  <c r="BK490" i="5"/>
  <c r="BI490" i="5"/>
  <c r="BH490" i="5"/>
  <c r="BG490" i="5"/>
  <c r="BF490" i="5"/>
  <c r="T490" i="5"/>
  <c r="R490" i="5"/>
  <c r="P490" i="5"/>
  <c r="J490" i="5"/>
  <c r="BE490" i="5" s="1"/>
  <c r="BK487" i="5"/>
  <c r="BI487" i="5"/>
  <c r="BH487" i="5"/>
  <c r="BG487" i="5"/>
  <c r="BF487" i="5"/>
  <c r="T487" i="5"/>
  <c r="R487" i="5"/>
  <c r="P487" i="5"/>
  <c r="J487" i="5"/>
  <c r="BE487" i="5" s="1"/>
  <c r="BK482" i="5"/>
  <c r="BI482" i="5"/>
  <c r="BH482" i="5"/>
  <c r="BG482" i="5"/>
  <c r="BF482" i="5"/>
  <c r="BE482" i="5"/>
  <c r="T482" i="5"/>
  <c r="R482" i="5"/>
  <c r="P482" i="5"/>
  <c r="J482" i="5"/>
  <c r="BK480" i="5"/>
  <c r="BI480" i="5"/>
  <c r="BH480" i="5"/>
  <c r="BG480" i="5"/>
  <c r="BF480" i="5"/>
  <c r="T480" i="5"/>
  <c r="R480" i="5"/>
  <c r="P480" i="5"/>
  <c r="J480" i="5"/>
  <c r="BE480" i="5" s="1"/>
  <c r="BK474" i="5"/>
  <c r="BI474" i="5"/>
  <c r="BH474" i="5"/>
  <c r="BG474" i="5"/>
  <c r="BF474" i="5"/>
  <c r="T474" i="5"/>
  <c r="R474" i="5"/>
  <c r="P474" i="5"/>
  <c r="J474" i="5"/>
  <c r="BE474" i="5" s="1"/>
  <c r="BK454" i="5"/>
  <c r="BI454" i="5"/>
  <c r="BH454" i="5"/>
  <c r="BG454" i="5"/>
  <c r="BF454" i="5"/>
  <c r="T454" i="5"/>
  <c r="R454" i="5"/>
  <c r="P454" i="5"/>
  <c r="J454" i="5"/>
  <c r="BE454" i="5" s="1"/>
  <c r="BK450" i="5"/>
  <c r="BI450" i="5"/>
  <c r="BH450" i="5"/>
  <c r="BG450" i="5"/>
  <c r="BF450" i="5"/>
  <c r="BE450" i="5"/>
  <c r="T450" i="5"/>
  <c r="R450" i="5"/>
  <c r="P450" i="5"/>
  <c r="J450" i="5"/>
  <c r="BK448" i="5"/>
  <c r="BI448" i="5"/>
  <c r="BH448" i="5"/>
  <c r="BG448" i="5"/>
  <c r="BF448" i="5"/>
  <c r="T448" i="5"/>
  <c r="R448" i="5"/>
  <c r="P448" i="5"/>
  <c r="J448" i="5"/>
  <c r="BE448" i="5" s="1"/>
  <c r="BK445" i="5"/>
  <c r="BI445" i="5"/>
  <c r="BH445" i="5"/>
  <c r="BG445" i="5"/>
  <c r="BF445" i="5"/>
  <c r="T445" i="5"/>
  <c r="R445" i="5"/>
  <c r="P445" i="5"/>
  <c r="J445" i="5"/>
  <c r="BE445" i="5" s="1"/>
  <c r="BK433" i="5"/>
  <c r="BI433" i="5"/>
  <c r="BH433" i="5"/>
  <c r="BG433" i="5"/>
  <c r="BF433" i="5"/>
  <c r="T433" i="5"/>
  <c r="R433" i="5"/>
  <c r="P433" i="5"/>
  <c r="J433" i="5"/>
  <c r="BE433" i="5" s="1"/>
  <c r="BK426" i="5"/>
  <c r="BI426" i="5"/>
  <c r="BH426" i="5"/>
  <c r="BG426" i="5"/>
  <c r="BF426" i="5"/>
  <c r="BE426" i="5"/>
  <c r="T426" i="5"/>
  <c r="R426" i="5"/>
  <c r="P426" i="5"/>
  <c r="J426" i="5"/>
  <c r="BK423" i="5"/>
  <c r="BI423" i="5"/>
  <c r="BH423" i="5"/>
  <c r="BG423" i="5"/>
  <c r="BF423" i="5"/>
  <c r="T423" i="5"/>
  <c r="R423" i="5"/>
  <c r="P423" i="5"/>
  <c r="J423" i="5"/>
  <c r="BE423" i="5" s="1"/>
  <c r="BK417" i="5"/>
  <c r="BI417" i="5"/>
  <c r="BH417" i="5"/>
  <c r="BG417" i="5"/>
  <c r="BF417" i="5"/>
  <c r="T417" i="5"/>
  <c r="R417" i="5"/>
  <c r="P417" i="5"/>
  <c r="J417" i="5"/>
  <c r="BE417" i="5" s="1"/>
  <c r="BK412" i="5"/>
  <c r="BI412" i="5"/>
  <c r="BH412" i="5"/>
  <c r="BG412" i="5"/>
  <c r="BF412" i="5"/>
  <c r="T412" i="5"/>
  <c r="R412" i="5"/>
  <c r="P412" i="5"/>
  <c r="J412" i="5"/>
  <c r="BE412" i="5" s="1"/>
  <c r="BK408" i="5"/>
  <c r="BI408" i="5"/>
  <c r="BH408" i="5"/>
  <c r="BG408" i="5"/>
  <c r="BF408" i="5"/>
  <c r="T408" i="5"/>
  <c r="R408" i="5"/>
  <c r="P408" i="5"/>
  <c r="J408" i="5"/>
  <c r="BE408" i="5" s="1"/>
  <c r="BK402" i="5"/>
  <c r="BI402" i="5"/>
  <c r="BH402" i="5"/>
  <c r="BG402" i="5"/>
  <c r="BF402" i="5"/>
  <c r="T402" i="5"/>
  <c r="R402" i="5"/>
  <c r="P402" i="5"/>
  <c r="J402" i="5"/>
  <c r="BE402" i="5" s="1"/>
  <c r="BK393" i="5"/>
  <c r="BI393" i="5"/>
  <c r="BH393" i="5"/>
  <c r="BG393" i="5"/>
  <c r="BF393" i="5"/>
  <c r="T393" i="5"/>
  <c r="R393" i="5"/>
  <c r="P393" i="5"/>
  <c r="J393" i="5"/>
  <c r="BE393" i="5" s="1"/>
  <c r="BK386" i="5"/>
  <c r="BI386" i="5"/>
  <c r="BH386" i="5"/>
  <c r="BG386" i="5"/>
  <c r="BF386" i="5"/>
  <c r="T386" i="5"/>
  <c r="R386" i="5"/>
  <c r="P386" i="5"/>
  <c r="J386" i="5"/>
  <c r="BE386" i="5" s="1"/>
  <c r="BK350" i="5"/>
  <c r="BI350" i="5"/>
  <c r="BH350" i="5"/>
  <c r="BG350" i="5"/>
  <c r="BF350" i="5"/>
  <c r="T350" i="5"/>
  <c r="R350" i="5"/>
  <c r="P350" i="5"/>
  <c r="J350" i="5"/>
  <c r="BE350" i="5" s="1"/>
  <c r="BK341" i="5"/>
  <c r="BI341" i="5"/>
  <c r="BH341" i="5"/>
  <c r="BG341" i="5"/>
  <c r="BF341" i="5"/>
  <c r="T341" i="5"/>
  <c r="R341" i="5"/>
  <c r="P341" i="5"/>
  <c r="J341" i="5"/>
  <c r="BE341" i="5" s="1"/>
  <c r="BK339" i="5"/>
  <c r="BI339" i="5"/>
  <c r="BH339" i="5"/>
  <c r="BG339" i="5"/>
  <c r="BF339" i="5"/>
  <c r="T339" i="5"/>
  <c r="R339" i="5"/>
  <c r="P339" i="5"/>
  <c r="J339" i="5"/>
  <c r="BE339" i="5" s="1"/>
  <c r="BK338" i="5"/>
  <c r="BI338" i="5"/>
  <c r="BH338" i="5"/>
  <c r="BG338" i="5"/>
  <c r="BF338" i="5"/>
  <c r="T338" i="5"/>
  <c r="R338" i="5"/>
  <c r="P338" i="5"/>
  <c r="J338" i="5"/>
  <c r="BE338" i="5" s="1"/>
  <c r="BK337" i="5"/>
  <c r="BI337" i="5"/>
  <c r="BH337" i="5"/>
  <c r="BG337" i="5"/>
  <c r="BF337" i="5"/>
  <c r="T337" i="5"/>
  <c r="R337" i="5"/>
  <c r="P337" i="5"/>
  <c r="J337" i="5"/>
  <c r="BE337" i="5" s="1"/>
  <c r="BK325" i="5"/>
  <c r="BI325" i="5"/>
  <c r="BH325" i="5"/>
  <c r="BG325" i="5"/>
  <c r="BF325" i="5"/>
  <c r="BE325" i="5"/>
  <c r="T325" i="5"/>
  <c r="R325" i="5"/>
  <c r="P325" i="5"/>
  <c r="J325" i="5"/>
  <c r="BK314" i="5"/>
  <c r="BI314" i="5"/>
  <c r="BH314" i="5"/>
  <c r="BG314" i="5"/>
  <c r="BF314" i="5"/>
  <c r="T314" i="5"/>
  <c r="R314" i="5"/>
  <c r="P314" i="5"/>
  <c r="J314" i="5"/>
  <c r="BE314" i="5" s="1"/>
  <c r="BK301" i="5"/>
  <c r="BI301" i="5"/>
  <c r="BH301" i="5"/>
  <c r="BG301" i="5"/>
  <c r="BF301" i="5"/>
  <c r="T301" i="5"/>
  <c r="R301" i="5"/>
  <c r="P301" i="5"/>
  <c r="J301" i="5"/>
  <c r="BE301" i="5" s="1"/>
  <c r="BK288" i="5"/>
  <c r="BI288" i="5"/>
  <c r="BH288" i="5"/>
  <c r="BG288" i="5"/>
  <c r="BF288" i="5"/>
  <c r="T288" i="5"/>
  <c r="R288" i="5"/>
  <c r="P288" i="5"/>
  <c r="J288" i="5"/>
  <c r="BE288" i="5" s="1"/>
  <c r="BK241" i="5"/>
  <c r="BI241" i="5"/>
  <c r="BH241" i="5"/>
  <c r="BG241" i="5"/>
  <c r="BF241" i="5"/>
  <c r="BE241" i="5"/>
  <c r="T241" i="5"/>
  <c r="R241" i="5"/>
  <c r="P241" i="5"/>
  <c r="J241" i="5"/>
  <c r="BK239" i="5"/>
  <c r="BI239" i="5"/>
  <c r="BH239" i="5"/>
  <c r="BG239" i="5"/>
  <c r="BF239" i="5"/>
  <c r="T239" i="5"/>
  <c r="R239" i="5"/>
  <c r="P239" i="5"/>
  <c r="J239" i="5"/>
  <c r="BE239" i="5" s="1"/>
  <c r="BK232" i="5"/>
  <c r="BI232" i="5"/>
  <c r="BH232" i="5"/>
  <c r="BG232" i="5"/>
  <c r="BF232" i="5"/>
  <c r="T232" i="5"/>
  <c r="R232" i="5"/>
  <c r="P232" i="5"/>
  <c r="J232" i="5"/>
  <c r="BE232" i="5" s="1"/>
  <c r="BK230" i="5"/>
  <c r="BI230" i="5"/>
  <c r="BH230" i="5"/>
  <c r="BG230" i="5"/>
  <c r="BF230" i="5"/>
  <c r="T230" i="5"/>
  <c r="R230" i="5"/>
  <c r="P230" i="5"/>
  <c r="J230" i="5"/>
  <c r="BE230" i="5" s="1"/>
  <c r="BK227" i="5"/>
  <c r="BI227" i="5"/>
  <c r="BH227" i="5"/>
  <c r="BG227" i="5"/>
  <c r="BF227" i="5"/>
  <c r="T227" i="5"/>
  <c r="R227" i="5"/>
  <c r="P227" i="5"/>
  <c r="J227" i="5"/>
  <c r="BE227" i="5" s="1"/>
  <c r="BK218" i="5"/>
  <c r="BI218" i="5"/>
  <c r="BH218" i="5"/>
  <c r="BG218" i="5"/>
  <c r="BF218" i="5"/>
  <c r="T218" i="5"/>
  <c r="R218" i="5"/>
  <c r="P218" i="5"/>
  <c r="J218" i="5"/>
  <c r="BE218" i="5" s="1"/>
  <c r="BK183" i="5"/>
  <c r="BI183" i="5"/>
  <c r="BH183" i="5"/>
  <c r="BG183" i="5"/>
  <c r="BF183" i="5"/>
  <c r="T183" i="5"/>
  <c r="R183" i="5"/>
  <c r="P183" i="5"/>
  <c r="J183" i="5"/>
  <c r="BE183" i="5" s="1"/>
  <c r="BK177" i="5"/>
  <c r="BI177" i="5"/>
  <c r="BH177" i="5"/>
  <c r="BG177" i="5"/>
  <c r="BF177" i="5"/>
  <c r="T177" i="5"/>
  <c r="R177" i="5"/>
  <c r="P177" i="5"/>
  <c r="J177" i="5"/>
  <c r="BE177" i="5" s="1"/>
  <c r="BK171" i="5"/>
  <c r="BI171" i="5"/>
  <c r="BH171" i="5"/>
  <c r="BG171" i="5"/>
  <c r="BF171" i="5"/>
  <c r="T171" i="5"/>
  <c r="R171" i="5"/>
  <c r="P171" i="5"/>
  <c r="J171" i="5"/>
  <c r="BE171" i="5" s="1"/>
  <c r="BK164" i="5"/>
  <c r="BI164" i="5"/>
  <c r="BH164" i="5"/>
  <c r="BG164" i="5"/>
  <c r="BF164" i="5"/>
  <c r="T164" i="5"/>
  <c r="R164" i="5"/>
  <c r="P164" i="5"/>
  <c r="J164" i="5"/>
  <c r="BE164" i="5" s="1"/>
  <c r="BK161" i="5"/>
  <c r="BK160" i="5" s="1"/>
  <c r="J160" i="5" s="1"/>
  <c r="J102" i="5" s="1"/>
  <c r="BI161" i="5"/>
  <c r="BH161" i="5"/>
  <c r="BG161" i="5"/>
  <c r="BF161" i="5"/>
  <c r="T161" i="5"/>
  <c r="T160" i="5" s="1"/>
  <c r="R161" i="5"/>
  <c r="R160" i="5" s="1"/>
  <c r="P161" i="5"/>
  <c r="P160" i="5" s="1"/>
  <c r="J161" i="5"/>
  <c r="BE161" i="5" s="1"/>
  <c r="BK159" i="5"/>
  <c r="BI159" i="5"/>
  <c r="BH159" i="5"/>
  <c r="BG159" i="5"/>
  <c r="BF159" i="5"/>
  <c r="BE159" i="5"/>
  <c r="T159" i="5"/>
  <c r="R159" i="5"/>
  <c r="P159" i="5"/>
  <c r="J159" i="5"/>
  <c r="BK153" i="5"/>
  <c r="BI153" i="5"/>
  <c r="BH153" i="5"/>
  <c r="BG153" i="5"/>
  <c r="BF153" i="5"/>
  <c r="T153" i="5"/>
  <c r="R153" i="5"/>
  <c r="P153" i="5"/>
  <c r="J153" i="5"/>
  <c r="BE153" i="5" s="1"/>
  <c r="BK145" i="5"/>
  <c r="BI145" i="5"/>
  <c r="BH145" i="5"/>
  <c r="BG145" i="5"/>
  <c r="BF145" i="5"/>
  <c r="T145" i="5"/>
  <c r="R145" i="5"/>
  <c r="P145" i="5"/>
  <c r="J145" i="5"/>
  <c r="BE145" i="5" s="1"/>
  <c r="BK141" i="5"/>
  <c r="BK140" i="5" s="1"/>
  <c r="BI141" i="5"/>
  <c r="BH141" i="5"/>
  <c r="BG141" i="5"/>
  <c r="BF141" i="5"/>
  <c r="T141" i="5"/>
  <c r="T140" i="5" s="1"/>
  <c r="R141" i="5"/>
  <c r="R140" i="5" s="1"/>
  <c r="P141" i="5"/>
  <c r="P140" i="5" s="1"/>
  <c r="J141" i="5"/>
  <c r="BE141" i="5" s="1"/>
  <c r="J135" i="5"/>
  <c r="J134" i="5"/>
  <c r="F134" i="5"/>
  <c r="J132" i="5"/>
  <c r="F132" i="5"/>
  <c r="E130" i="5"/>
  <c r="E126" i="5"/>
  <c r="J94" i="5"/>
  <c r="J93" i="5"/>
  <c r="F93" i="5"/>
  <c r="J91" i="5"/>
  <c r="F91" i="5"/>
  <c r="E89" i="5"/>
  <c r="E85" i="5"/>
  <c r="J39" i="5"/>
  <c r="J38" i="5"/>
  <c r="AY99" i="1" s="1"/>
  <c r="J37" i="5"/>
  <c r="AX99" i="1" s="1"/>
  <c r="BK1350" i="4"/>
  <c r="BI1350" i="4"/>
  <c r="BH1350" i="4"/>
  <c r="BG1350" i="4"/>
  <c r="BF1350" i="4"/>
  <c r="T1350" i="4"/>
  <c r="R1350" i="4"/>
  <c r="P1350" i="4"/>
  <c r="J1350" i="4"/>
  <c r="BE1350" i="4" s="1"/>
  <c r="BK1349" i="4"/>
  <c r="BI1349" i="4"/>
  <c r="BH1349" i="4"/>
  <c r="BG1349" i="4"/>
  <c r="BF1349" i="4"/>
  <c r="T1349" i="4"/>
  <c r="R1349" i="4"/>
  <c r="P1349" i="4"/>
  <c r="J1349" i="4"/>
  <c r="BE1349" i="4" s="1"/>
  <c r="BK1348" i="4"/>
  <c r="BI1348" i="4"/>
  <c r="BH1348" i="4"/>
  <c r="BG1348" i="4"/>
  <c r="BF1348" i="4"/>
  <c r="T1348" i="4"/>
  <c r="R1348" i="4"/>
  <c r="P1348" i="4"/>
  <c r="J1348" i="4"/>
  <c r="BE1348" i="4" s="1"/>
  <c r="BK1346" i="4"/>
  <c r="BI1346" i="4"/>
  <c r="BH1346" i="4"/>
  <c r="BG1346" i="4"/>
  <c r="BF1346" i="4"/>
  <c r="T1346" i="4"/>
  <c r="R1346" i="4"/>
  <c r="P1346" i="4"/>
  <c r="J1346" i="4"/>
  <c r="BE1346" i="4" s="1"/>
  <c r="BK1342" i="4"/>
  <c r="BI1342" i="4"/>
  <c r="BH1342" i="4"/>
  <c r="BG1342" i="4"/>
  <c r="BF1342" i="4"/>
  <c r="T1342" i="4"/>
  <c r="R1342" i="4"/>
  <c r="P1342" i="4"/>
  <c r="J1342" i="4"/>
  <c r="BE1342" i="4" s="1"/>
  <c r="BK1339" i="4"/>
  <c r="BI1339" i="4"/>
  <c r="BH1339" i="4"/>
  <c r="BG1339" i="4"/>
  <c r="BF1339" i="4"/>
  <c r="T1339" i="4"/>
  <c r="R1339" i="4"/>
  <c r="P1339" i="4"/>
  <c r="J1339" i="4"/>
  <c r="BE1339" i="4" s="1"/>
  <c r="BK1333" i="4"/>
  <c r="BI1333" i="4"/>
  <c r="BH1333" i="4"/>
  <c r="BG1333" i="4"/>
  <c r="BF1333" i="4"/>
  <c r="T1333" i="4"/>
  <c r="R1333" i="4"/>
  <c r="P1333" i="4"/>
  <c r="J1333" i="4"/>
  <c r="BE1333" i="4" s="1"/>
  <c r="BK1283" i="4"/>
  <c r="BI1283" i="4"/>
  <c r="BH1283" i="4"/>
  <c r="BG1283" i="4"/>
  <c r="BF1283" i="4"/>
  <c r="T1283" i="4"/>
  <c r="R1283" i="4"/>
  <c r="P1283" i="4"/>
  <c r="J1283" i="4"/>
  <c r="BE1283" i="4" s="1"/>
  <c r="BK1281" i="4"/>
  <c r="BI1281" i="4"/>
  <c r="BH1281" i="4"/>
  <c r="BG1281" i="4"/>
  <c r="BF1281" i="4"/>
  <c r="T1281" i="4"/>
  <c r="R1281" i="4"/>
  <c r="P1281" i="4"/>
  <c r="J1281" i="4"/>
  <c r="BE1281" i="4" s="1"/>
  <c r="BK1280" i="4"/>
  <c r="BI1280" i="4"/>
  <c r="BH1280" i="4"/>
  <c r="BG1280" i="4"/>
  <c r="BF1280" i="4"/>
  <c r="T1280" i="4"/>
  <c r="R1280" i="4"/>
  <c r="P1280" i="4"/>
  <c r="J1280" i="4"/>
  <c r="BE1280" i="4" s="1"/>
  <c r="BK1278" i="4"/>
  <c r="BI1278" i="4"/>
  <c r="BH1278" i="4"/>
  <c r="BG1278" i="4"/>
  <c r="BF1278" i="4"/>
  <c r="T1278" i="4"/>
  <c r="R1278" i="4"/>
  <c r="P1278" i="4"/>
  <c r="J1278" i="4"/>
  <c r="BE1278" i="4" s="1"/>
  <c r="BK1272" i="4"/>
  <c r="BI1272" i="4"/>
  <c r="BH1272" i="4"/>
  <c r="BG1272" i="4"/>
  <c r="BF1272" i="4"/>
  <c r="T1272" i="4"/>
  <c r="R1272" i="4"/>
  <c r="P1272" i="4"/>
  <c r="J1272" i="4"/>
  <c r="BE1272" i="4" s="1"/>
  <c r="BK1270" i="4"/>
  <c r="BI1270" i="4"/>
  <c r="BH1270" i="4"/>
  <c r="BG1270" i="4"/>
  <c r="BF1270" i="4"/>
  <c r="T1270" i="4"/>
  <c r="R1270" i="4"/>
  <c r="P1270" i="4"/>
  <c r="J1270" i="4"/>
  <c r="BE1270" i="4" s="1"/>
  <c r="BK1269" i="4"/>
  <c r="BI1269" i="4"/>
  <c r="BH1269" i="4"/>
  <c r="BG1269" i="4"/>
  <c r="BF1269" i="4"/>
  <c r="T1269" i="4"/>
  <c r="R1269" i="4"/>
  <c r="P1269" i="4"/>
  <c r="J1269" i="4"/>
  <c r="BE1269" i="4" s="1"/>
  <c r="BK1256" i="4"/>
  <c r="BI1256" i="4"/>
  <c r="BH1256" i="4"/>
  <c r="BG1256" i="4"/>
  <c r="BF1256" i="4"/>
  <c r="T1256" i="4"/>
  <c r="R1256" i="4"/>
  <c r="P1256" i="4"/>
  <c r="J1256" i="4"/>
  <c r="BE1256" i="4" s="1"/>
  <c r="BK1251" i="4"/>
  <c r="BI1251" i="4"/>
  <c r="BH1251" i="4"/>
  <c r="BG1251" i="4"/>
  <c r="BF1251" i="4"/>
  <c r="T1251" i="4"/>
  <c r="R1251" i="4"/>
  <c r="P1251" i="4"/>
  <c r="J1251" i="4"/>
  <c r="BE1251" i="4" s="1"/>
  <c r="BK1246" i="4"/>
  <c r="BI1246" i="4"/>
  <c r="BH1246" i="4"/>
  <c r="BG1246" i="4"/>
  <c r="BF1246" i="4"/>
  <c r="T1246" i="4"/>
  <c r="R1246" i="4"/>
  <c r="P1246" i="4"/>
  <c r="J1246" i="4"/>
  <c r="BE1246" i="4" s="1"/>
  <c r="BK1230" i="4"/>
  <c r="BI1230" i="4"/>
  <c r="BH1230" i="4"/>
  <c r="BG1230" i="4"/>
  <c r="BF1230" i="4"/>
  <c r="T1230" i="4"/>
  <c r="R1230" i="4"/>
  <c r="P1230" i="4"/>
  <c r="J1230" i="4"/>
  <c r="BE1230" i="4" s="1"/>
  <c r="BK1217" i="4"/>
  <c r="BI1217" i="4"/>
  <c r="BH1217" i="4"/>
  <c r="BG1217" i="4"/>
  <c r="BF1217" i="4"/>
  <c r="T1217" i="4"/>
  <c r="R1217" i="4"/>
  <c r="P1217" i="4"/>
  <c r="J1217" i="4"/>
  <c r="BE1217" i="4" s="1"/>
  <c r="BK1193" i="4"/>
  <c r="BI1193" i="4"/>
  <c r="BH1193" i="4"/>
  <c r="BG1193" i="4"/>
  <c r="BF1193" i="4"/>
  <c r="T1193" i="4"/>
  <c r="R1193" i="4"/>
  <c r="P1193" i="4"/>
  <c r="J1193" i="4"/>
  <c r="BE1193" i="4" s="1"/>
  <c r="BK1187" i="4"/>
  <c r="BI1187" i="4"/>
  <c r="BH1187" i="4"/>
  <c r="BG1187" i="4"/>
  <c r="BF1187" i="4"/>
  <c r="T1187" i="4"/>
  <c r="R1187" i="4"/>
  <c r="P1187" i="4"/>
  <c r="J1187" i="4"/>
  <c r="BE1187" i="4" s="1"/>
  <c r="BK1177" i="4"/>
  <c r="BI1177" i="4"/>
  <c r="BH1177" i="4"/>
  <c r="BG1177" i="4"/>
  <c r="BF1177" i="4"/>
  <c r="T1177" i="4"/>
  <c r="R1177" i="4"/>
  <c r="P1177" i="4"/>
  <c r="J1177" i="4"/>
  <c r="BE1177" i="4" s="1"/>
  <c r="BK1167" i="4"/>
  <c r="BI1167" i="4"/>
  <c r="BH1167" i="4"/>
  <c r="BG1167" i="4"/>
  <c r="BF1167" i="4"/>
  <c r="T1167" i="4"/>
  <c r="R1167" i="4"/>
  <c r="P1167" i="4"/>
  <c r="J1167" i="4"/>
  <c r="BE1167" i="4" s="1"/>
  <c r="BK1144" i="4"/>
  <c r="BI1144" i="4"/>
  <c r="BH1144" i="4"/>
  <c r="BG1144" i="4"/>
  <c r="BF1144" i="4"/>
  <c r="T1144" i="4"/>
  <c r="R1144" i="4"/>
  <c r="P1144" i="4"/>
  <c r="J1144" i="4"/>
  <c r="BE1144" i="4" s="1"/>
  <c r="BK1142" i="4"/>
  <c r="BI1142" i="4"/>
  <c r="BH1142" i="4"/>
  <c r="BG1142" i="4"/>
  <c r="BF1142" i="4"/>
  <c r="T1142" i="4"/>
  <c r="R1142" i="4"/>
  <c r="P1142" i="4"/>
  <c r="J1142" i="4"/>
  <c r="BE1142" i="4" s="1"/>
  <c r="BK1133" i="4"/>
  <c r="BI1133" i="4"/>
  <c r="BH1133" i="4"/>
  <c r="BG1133" i="4"/>
  <c r="BF1133" i="4"/>
  <c r="T1133" i="4"/>
  <c r="R1133" i="4"/>
  <c r="P1133" i="4"/>
  <c r="J1133" i="4"/>
  <c r="BE1133" i="4" s="1"/>
  <c r="BK1130" i="4"/>
  <c r="BK1129" i="4" s="1"/>
  <c r="J1129" i="4" s="1"/>
  <c r="J105" i="4" s="1"/>
  <c r="BI1130" i="4"/>
  <c r="BH1130" i="4"/>
  <c r="BG1130" i="4"/>
  <c r="BF1130" i="4"/>
  <c r="T1130" i="4"/>
  <c r="T1129" i="4" s="1"/>
  <c r="R1130" i="4"/>
  <c r="R1129" i="4" s="1"/>
  <c r="P1130" i="4"/>
  <c r="P1129" i="4" s="1"/>
  <c r="J1130" i="4"/>
  <c r="BE1130" i="4" s="1"/>
  <c r="BK1123" i="4"/>
  <c r="BI1123" i="4"/>
  <c r="BH1123" i="4"/>
  <c r="BG1123" i="4"/>
  <c r="BF1123" i="4"/>
  <c r="T1123" i="4"/>
  <c r="R1123" i="4"/>
  <c r="P1123" i="4"/>
  <c r="J1123" i="4"/>
  <c r="BE1123" i="4" s="1"/>
  <c r="BK1121" i="4"/>
  <c r="BI1121" i="4"/>
  <c r="BH1121" i="4"/>
  <c r="BG1121" i="4"/>
  <c r="BF1121" i="4"/>
  <c r="T1121" i="4"/>
  <c r="R1121" i="4"/>
  <c r="P1121" i="4"/>
  <c r="J1121" i="4"/>
  <c r="BE1121" i="4" s="1"/>
  <c r="BK1112" i="4"/>
  <c r="BI1112" i="4"/>
  <c r="BH1112" i="4"/>
  <c r="BG1112" i="4"/>
  <c r="BF1112" i="4"/>
  <c r="T1112" i="4"/>
  <c r="R1112" i="4"/>
  <c r="P1112" i="4"/>
  <c r="J1112" i="4"/>
  <c r="BE1112" i="4" s="1"/>
  <c r="BK1104" i="4"/>
  <c r="BI1104" i="4"/>
  <c r="BH1104" i="4"/>
  <c r="BG1104" i="4"/>
  <c r="BF1104" i="4"/>
  <c r="T1104" i="4"/>
  <c r="R1104" i="4"/>
  <c r="P1104" i="4"/>
  <c r="J1104" i="4"/>
  <c r="BE1104" i="4" s="1"/>
  <c r="BK1091" i="4"/>
  <c r="BI1091" i="4"/>
  <c r="BH1091" i="4"/>
  <c r="BG1091" i="4"/>
  <c r="BF1091" i="4"/>
  <c r="T1091" i="4"/>
  <c r="R1091" i="4"/>
  <c r="P1091" i="4"/>
  <c r="J1091" i="4"/>
  <c r="BE1091" i="4" s="1"/>
  <c r="BK1063" i="4"/>
  <c r="BI1063" i="4"/>
  <c r="BH1063" i="4"/>
  <c r="BG1063" i="4"/>
  <c r="BF1063" i="4"/>
  <c r="T1063" i="4"/>
  <c r="R1063" i="4"/>
  <c r="P1063" i="4"/>
  <c r="J1063" i="4"/>
  <c r="BE1063" i="4" s="1"/>
  <c r="BK1058" i="4"/>
  <c r="BI1058" i="4"/>
  <c r="BH1058" i="4"/>
  <c r="BG1058" i="4"/>
  <c r="BF1058" i="4"/>
  <c r="T1058" i="4"/>
  <c r="R1058" i="4"/>
  <c r="P1058" i="4"/>
  <c r="J1058" i="4"/>
  <c r="BE1058" i="4" s="1"/>
  <c r="BK1054" i="4"/>
  <c r="BI1054" i="4"/>
  <c r="BH1054" i="4"/>
  <c r="BG1054" i="4"/>
  <c r="BF1054" i="4"/>
  <c r="T1054" i="4"/>
  <c r="R1054" i="4"/>
  <c r="P1054" i="4"/>
  <c r="J1054" i="4"/>
  <c r="BE1054" i="4" s="1"/>
  <c r="BK1053" i="4"/>
  <c r="BI1053" i="4"/>
  <c r="BH1053" i="4"/>
  <c r="BG1053" i="4"/>
  <c r="BF1053" i="4"/>
  <c r="T1053" i="4"/>
  <c r="R1053" i="4"/>
  <c r="P1053" i="4"/>
  <c r="J1053" i="4"/>
  <c r="BE1053" i="4" s="1"/>
  <c r="BK1050" i="4"/>
  <c r="BI1050" i="4"/>
  <c r="BH1050" i="4"/>
  <c r="BG1050" i="4"/>
  <c r="BF1050" i="4"/>
  <c r="T1050" i="4"/>
  <c r="R1050" i="4"/>
  <c r="P1050" i="4"/>
  <c r="J1050" i="4"/>
  <c r="BE1050" i="4" s="1"/>
  <c r="BK1047" i="4"/>
  <c r="BI1047" i="4"/>
  <c r="BH1047" i="4"/>
  <c r="BG1047" i="4"/>
  <c r="BF1047" i="4"/>
  <c r="T1047" i="4"/>
  <c r="R1047" i="4"/>
  <c r="P1047" i="4"/>
  <c r="J1047" i="4"/>
  <c r="BE1047" i="4" s="1"/>
  <c r="BK1033" i="4"/>
  <c r="BI1033" i="4"/>
  <c r="BH1033" i="4"/>
  <c r="BG1033" i="4"/>
  <c r="BF1033" i="4"/>
  <c r="T1033" i="4"/>
  <c r="R1033" i="4"/>
  <c r="P1033" i="4"/>
  <c r="J1033" i="4"/>
  <c r="BE1033" i="4" s="1"/>
  <c r="BK913" i="4"/>
  <c r="BI913" i="4"/>
  <c r="BH913" i="4"/>
  <c r="BG913" i="4"/>
  <c r="BF913" i="4"/>
  <c r="T913" i="4"/>
  <c r="R913" i="4"/>
  <c r="P913" i="4"/>
  <c r="J913" i="4"/>
  <c r="BE913" i="4" s="1"/>
  <c r="BK910" i="4"/>
  <c r="BI910" i="4"/>
  <c r="BH910" i="4"/>
  <c r="BG910" i="4"/>
  <c r="BF910" i="4"/>
  <c r="T910" i="4"/>
  <c r="R910" i="4"/>
  <c r="P910" i="4"/>
  <c r="J910" i="4"/>
  <c r="BE910" i="4" s="1"/>
  <c r="BK901" i="4"/>
  <c r="BI901" i="4"/>
  <c r="BH901" i="4"/>
  <c r="BG901" i="4"/>
  <c r="BF901" i="4"/>
  <c r="T901" i="4"/>
  <c r="R901" i="4"/>
  <c r="P901" i="4"/>
  <c r="J901" i="4"/>
  <c r="BE901" i="4" s="1"/>
  <c r="BK898" i="4"/>
  <c r="BI898" i="4"/>
  <c r="BH898" i="4"/>
  <c r="BG898" i="4"/>
  <c r="BF898" i="4"/>
  <c r="T898" i="4"/>
  <c r="R898" i="4"/>
  <c r="P898" i="4"/>
  <c r="J898" i="4"/>
  <c r="BE898" i="4" s="1"/>
  <c r="BK891" i="4"/>
  <c r="BI891" i="4"/>
  <c r="BH891" i="4"/>
  <c r="BG891" i="4"/>
  <c r="BF891" i="4"/>
  <c r="T891" i="4"/>
  <c r="R891" i="4"/>
  <c r="P891" i="4"/>
  <c r="J891" i="4"/>
  <c r="BE891" i="4" s="1"/>
  <c r="BK846" i="4"/>
  <c r="BI846" i="4"/>
  <c r="BH846" i="4"/>
  <c r="BG846" i="4"/>
  <c r="BF846" i="4"/>
  <c r="T846" i="4"/>
  <c r="R846" i="4"/>
  <c r="P846" i="4"/>
  <c r="J846" i="4"/>
  <c r="BE846" i="4" s="1"/>
  <c r="BK844" i="4"/>
  <c r="BI844" i="4"/>
  <c r="BH844" i="4"/>
  <c r="BG844" i="4"/>
  <c r="BF844" i="4"/>
  <c r="T844" i="4"/>
  <c r="R844" i="4"/>
  <c r="P844" i="4"/>
  <c r="J844" i="4"/>
  <c r="BE844" i="4" s="1"/>
  <c r="BK842" i="4"/>
  <c r="BI842" i="4"/>
  <c r="BH842" i="4"/>
  <c r="BG842" i="4"/>
  <c r="BF842" i="4"/>
  <c r="T842" i="4"/>
  <c r="R842" i="4"/>
  <c r="P842" i="4"/>
  <c r="J842" i="4"/>
  <c r="BE842" i="4" s="1"/>
  <c r="BK840" i="4"/>
  <c r="BI840" i="4"/>
  <c r="BH840" i="4"/>
  <c r="BG840" i="4"/>
  <c r="BF840" i="4"/>
  <c r="T840" i="4"/>
  <c r="R840" i="4"/>
  <c r="P840" i="4"/>
  <c r="J840" i="4"/>
  <c r="BE840" i="4" s="1"/>
  <c r="BK821" i="4"/>
  <c r="BI821" i="4"/>
  <c r="BH821" i="4"/>
  <c r="BG821" i="4"/>
  <c r="BF821" i="4"/>
  <c r="T821" i="4"/>
  <c r="R821" i="4"/>
  <c r="P821" i="4"/>
  <c r="J821" i="4"/>
  <c r="BE821" i="4" s="1"/>
  <c r="BK818" i="4"/>
  <c r="BI818" i="4"/>
  <c r="BH818" i="4"/>
  <c r="BG818" i="4"/>
  <c r="BF818" i="4"/>
  <c r="T818" i="4"/>
  <c r="R818" i="4"/>
  <c r="P818" i="4"/>
  <c r="J818" i="4"/>
  <c r="BE818" i="4" s="1"/>
  <c r="BK748" i="4"/>
  <c r="BI748" i="4"/>
  <c r="BH748" i="4"/>
  <c r="BG748" i="4"/>
  <c r="BF748" i="4"/>
  <c r="T748" i="4"/>
  <c r="R748" i="4"/>
  <c r="P748" i="4"/>
  <c r="J748" i="4"/>
  <c r="BE748" i="4" s="1"/>
  <c r="BK746" i="4"/>
  <c r="BI746" i="4"/>
  <c r="BH746" i="4"/>
  <c r="BG746" i="4"/>
  <c r="BF746" i="4"/>
  <c r="T746" i="4"/>
  <c r="R746" i="4"/>
  <c r="P746" i="4"/>
  <c r="J746" i="4"/>
  <c r="BE746" i="4" s="1"/>
  <c r="BK712" i="4"/>
  <c r="BI712" i="4"/>
  <c r="BH712" i="4"/>
  <c r="BG712" i="4"/>
  <c r="BF712" i="4"/>
  <c r="T712" i="4"/>
  <c r="R712" i="4"/>
  <c r="P712" i="4"/>
  <c r="J712" i="4"/>
  <c r="BE712" i="4" s="1"/>
  <c r="BK575" i="4"/>
  <c r="BI575" i="4"/>
  <c r="BH575" i="4"/>
  <c r="BG575" i="4"/>
  <c r="BF575" i="4"/>
  <c r="T575" i="4"/>
  <c r="R575" i="4"/>
  <c r="P575" i="4"/>
  <c r="J575" i="4"/>
  <c r="BE575" i="4" s="1"/>
  <c r="BK573" i="4"/>
  <c r="BI573" i="4"/>
  <c r="BH573" i="4"/>
  <c r="BG573" i="4"/>
  <c r="BF573" i="4"/>
  <c r="T573" i="4"/>
  <c r="R573" i="4"/>
  <c r="P573" i="4"/>
  <c r="J573" i="4"/>
  <c r="BE573" i="4" s="1"/>
  <c r="BK565" i="4"/>
  <c r="BI565" i="4"/>
  <c r="BH565" i="4"/>
  <c r="BG565" i="4"/>
  <c r="BF565" i="4"/>
  <c r="T565" i="4"/>
  <c r="R565" i="4"/>
  <c r="P565" i="4"/>
  <c r="J565" i="4"/>
  <c r="BE565" i="4" s="1"/>
  <c r="BK563" i="4"/>
  <c r="BI563" i="4"/>
  <c r="BH563" i="4"/>
  <c r="BG563" i="4"/>
  <c r="BF563" i="4"/>
  <c r="T563" i="4"/>
  <c r="R563" i="4"/>
  <c r="P563" i="4"/>
  <c r="J563" i="4"/>
  <c r="BE563" i="4" s="1"/>
  <c r="BK561" i="4"/>
  <c r="BI561" i="4"/>
  <c r="BH561" i="4"/>
  <c r="BG561" i="4"/>
  <c r="BF561" i="4"/>
  <c r="T561" i="4"/>
  <c r="R561" i="4"/>
  <c r="P561" i="4"/>
  <c r="J561" i="4"/>
  <c r="BE561" i="4" s="1"/>
  <c r="BK548" i="4"/>
  <c r="BI548" i="4"/>
  <c r="BH548" i="4"/>
  <c r="BG548" i="4"/>
  <c r="BF548" i="4"/>
  <c r="T548" i="4"/>
  <c r="R548" i="4"/>
  <c r="P548" i="4"/>
  <c r="J548" i="4"/>
  <c r="BE548" i="4" s="1"/>
  <c r="BK546" i="4"/>
  <c r="BI546" i="4"/>
  <c r="BH546" i="4"/>
  <c r="BG546" i="4"/>
  <c r="BF546" i="4"/>
  <c r="T546" i="4"/>
  <c r="R546" i="4"/>
  <c r="P546" i="4"/>
  <c r="J546" i="4"/>
  <c r="BE546" i="4" s="1"/>
  <c r="BK537" i="4"/>
  <c r="BI537" i="4"/>
  <c r="BH537" i="4"/>
  <c r="BG537" i="4"/>
  <c r="BF537" i="4"/>
  <c r="T537" i="4"/>
  <c r="R537" i="4"/>
  <c r="P537" i="4"/>
  <c r="J537" i="4"/>
  <c r="BE537" i="4" s="1"/>
  <c r="BK534" i="4"/>
  <c r="BI534" i="4"/>
  <c r="BH534" i="4"/>
  <c r="BG534" i="4"/>
  <c r="BF534" i="4"/>
  <c r="T534" i="4"/>
  <c r="R534" i="4"/>
  <c r="P534" i="4"/>
  <c r="J534" i="4"/>
  <c r="BE534" i="4" s="1"/>
  <c r="BK483" i="4"/>
  <c r="BI483" i="4"/>
  <c r="BH483" i="4"/>
  <c r="BG483" i="4"/>
  <c r="BF483" i="4"/>
  <c r="T483" i="4"/>
  <c r="R483" i="4"/>
  <c r="P483" i="4"/>
  <c r="J483" i="4"/>
  <c r="BE483" i="4" s="1"/>
  <c r="BK482" i="4"/>
  <c r="BI482" i="4"/>
  <c r="BH482" i="4"/>
  <c r="BG482" i="4"/>
  <c r="BF482" i="4"/>
  <c r="T482" i="4"/>
  <c r="R482" i="4"/>
  <c r="P482" i="4"/>
  <c r="J482" i="4"/>
  <c r="BE482" i="4" s="1"/>
  <c r="BK477" i="4"/>
  <c r="BI477" i="4"/>
  <c r="BH477" i="4"/>
  <c r="BG477" i="4"/>
  <c r="BF477" i="4"/>
  <c r="T477" i="4"/>
  <c r="R477" i="4"/>
  <c r="P477" i="4"/>
  <c r="J477" i="4"/>
  <c r="BE477" i="4" s="1"/>
  <c r="BK467" i="4"/>
  <c r="BI467" i="4"/>
  <c r="BH467" i="4"/>
  <c r="BG467" i="4"/>
  <c r="BF467" i="4"/>
  <c r="T467" i="4"/>
  <c r="R467" i="4"/>
  <c r="P467" i="4"/>
  <c r="J467" i="4"/>
  <c r="BE467" i="4" s="1"/>
  <c r="BK463" i="4"/>
  <c r="BI463" i="4"/>
  <c r="BH463" i="4"/>
  <c r="BG463" i="4"/>
  <c r="BF463" i="4"/>
  <c r="T463" i="4"/>
  <c r="R463" i="4"/>
  <c r="P463" i="4"/>
  <c r="J463" i="4"/>
  <c r="BE463" i="4" s="1"/>
  <c r="BK456" i="4"/>
  <c r="BI456" i="4"/>
  <c r="BH456" i="4"/>
  <c r="BG456" i="4"/>
  <c r="BF456" i="4"/>
  <c r="T456" i="4"/>
  <c r="R456" i="4"/>
  <c r="P456" i="4"/>
  <c r="J456" i="4"/>
  <c r="BE456" i="4" s="1"/>
  <c r="BK447" i="4"/>
  <c r="BI447" i="4"/>
  <c r="BH447" i="4"/>
  <c r="BG447" i="4"/>
  <c r="BF447" i="4"/>
  <c r="T447" i="4"/>
  <c r="R447" i="4"/>
  <c r="P447" i="4"/>
  <c r="J447" i="4"/>
  <c r="BE447" i="4" s="1"/>
  <c r="BK441" i="4"/>
  <c r="BI441" i="4"/>
  <c r="BH441" i="4"/>
  <c r="BG441" i="4"/>
  <c r="BF441" i="4"/>
  <c r="T441" i="4"/>
  <c r="R441" i="4"/>
  <c r="P441" i="4"/>
  <c r="J441" i="4"/>
  <c r="BE441" i="4" s="1"/>
  <c r="BK439" i="4"/>
  <c r="BI439" i="4"/>
  <c r="BH439" i="4"/>
  <c r="BG439" i="4"/>
  <c r="BF439" i="4"/>
  <c r="T439" i="4"/>
  <c r="R439" i="4"/>
  <c r="P439" i="4"/>
  <c r="J439" i="4"/>
  <c r="BE439" i="4" s="1"/>
  <c r="BK424" i="4"/>
  <c r="BI424" i="4"/>
  <c r="BH424" i="4"/>
  <c r="BG424" i="4"/>
  <c r="BF424" i="4"/>
  <c r="T424" i="4"/>
  <c r="R424" i="4"/>
  <c r="P424" i="4"/>
  <c r="J424" i="4"/>
  <c r="BE424" i="4" s="1"/>
  <c r="BK422" i="4"/>
  <c r="BI422" i="4"/>
  <c r="BH422" i="4"/>
  <c r="BG422" i="4"/>
  <c r="BF422" i="4"/>
  <c r="T422" i="4"/>
  <c r="R422" i="4"/>
  <c r="P422" i="4"/>
  <c r="J422" i="4"/>
  <c r="BE422" i="4" s="1"/>
  <c r="BK414" i="4"/>
  <c r="BI414" i="4"/>
  <c r="BH414" i="4"/>
  <c r="BG414" i="4"/>
  <c r="BF414" i="4"/>
  <c r="T414" i="4"/>
  <c r="R414" i="4"/>
  <c r="P414" i="4"/>
  <c r="J414" i="4"/>
  <c r="BE414" i="4" s="1"/>
  <c r="BK409" i="4"/>
  <c r="BI409" i="4"/>
  <c r="BH409" i="4"/>
  <c r="BG409" i="4"/>
  <c r="BF409" i="4"/>
  <c r="T409" i="4"/>
  <c r="R409" i="4"/>
  <c r="P409" i="4"/>
  <c r="J409" i="4"/>
  <c r="BE409" i="4" s="1"/>
  <c r="BK404" i="4"/>
  <c r="BI404" i="4"/>
  <c r="BH404" i="4"/>
  <c r="BG404" i="4"/>
  <c r="BF404" i="4"/>
  <c r="T404" i="4"/>
  <c r="R404" i="4"/>
  <c r="P404" i="4"/>
  <c r="J404" i="4"/>
  <c r="BE404" i="4" s="1"/>
  <c r="BK401" i="4"/>
  <c r="BI401" i="4"/>
  <c r="BH401" i="4"/>
  <c r="BG401" i="4"/>
  <c r="BF401" i="4"/>
  <c r="T401" i="4"/>
  <c r="R401" i="4"/>
  <c r="P401" i="4"/>
  <c r="J401" i="4"/>
  <c r="BE401" i="4" s="1"/>
  <c r="BK399" i="4"/>
  <c r="BI399" i="4"/>
  <c r="BH399" i="4"/>
  <c r="BG399" i="4"/>
  <c r="BF399" i="4"/>
  <c r="T399" i="4"/>
  <c r="R399" i="4"/>
  <c r="P399" i="4"/>
  <c r="J399" i="4"/>
  <c r="BE399" i="4" s="1"/>
  <c r="BK397" i="4"/>
  <c r="BI397" i="4"/>
  <c r="BH397" i="4"/>
  <c r="BG397" i="4"/>
  <c r="BF397" i="4"/>
  <c r="T397" i="4"/>
  <c r="R397" i="4"/>
  <c r="P397" i="4"/>
  <c r="J397" i="4"/>
  <c r="BE397" i="4" s="1"/>
  <c r="BK395" i="4"/>
  <c r="BI395" i="4"/>
  <c r="BH395" i="4"/>
  <c r="BG395" i="4"/>
  <c r="BF395" i="4"/>
  <c r="T395" i="4"/>
  <c r="R395" i="4"/>
  <c r="P395" i="4"/>
  <c r="J395" i="4"/>
  <c r="BE395" i="4" s="1"/>
  <c r="BK393" i="4"/>
  <c r="BI393" i="4"/>
  <c r="BH393" i="4"/>
  <c r="BG393" i="4"/>
  <c r="BF393" i="4"/>
  <c r="T393" i="4"/>
  <c r="R393" i="4"/>
  <c r="P393" i="4"/>
  <c r="J393" i="4"/>
  <c r="BE393" i="4" s="1"/>
  <c r="BK381" i="4"/>
  <c r="BI381" i="4"/>
  <c r="BH381" i="4"/>
  <c r="BG381" i="4"/>
  <c r="BF381" i="4"/>
  <c r="T381" i="4"/>
  <c r="R381" i="4"/>
  <c r="P381" i="4"/>
  <c r="J381" i="4"/>
  <c r="BE381" i="4" s="1"/>
  <c r="BK379" i="4"/>
  <c r="BI379" i="4"/>
  <c r="BH379" i="4"/>
  <c r="BG379" i="4"/>
  <c r="BF379" i="4"/>
  <c r="T379" i="4"/>
  <c r="R379" i="4"/>
  <c r="P379" i="4"/>
  <c r="J379" i="4"/>
  <c r="BE379" i="4" s="1"/>
  <c r="BK377" i="4"/>
  <c r="BI377" i="4"/>
  <c r="BH377" i="4"/>
  <c r="BG377" i="4"/>
  <c r="BF377" i="4"/>
  <c r="T377" i="4"/>
  <c r="R377" i="4"/>
  <c r="P377" i="4"/>
  <c r="J377" i="4"/>
  <c r="BE377" i="4" s="1"/>
  <c r="BK368" i="4"/>
  <c r="BI368" i="4"/>
  <c r="BH368" i="4"/>
  <c r="BG368" i="4"/>
  <c r="BF368" i="4"/>
  <c r="T368" i="4"/>
  <c r="R368" i="4"/>
  <c r="P368" i="4"/>
  <c r="J368" i="4"/>
  <c r="BE368" i="4" s="1"/>
  <c r="BK359" i="4"/>
  <c r="BI359" i="4"/>
  <c r="BH359" i="4"/>
  <c r="BG359" i="4"/>
  <c r="BF359" i="4"/>
  <c r="T359" i="4"/>
  <c r="R359" i="4"/>
  <c r="P359" i="4"/>
  <c r="J359" i="4"/>
  <c r="BE359" i="4" s="1"/>
  <c r="BK337" i="4"/>
  <c r="BI337" i="4"/>
  <c r="BH337" i="4"/>
  <c r="BG337" i="4"/>
  <c r="BF337" i="4"/>
  <c r="T337" i="4"/>
  <c r="R337" i="4"/>
  <c r="P337" i="4"/>
  <c r="J337" i="4"/>
  <c r="BE337" i="4" s="1"/>
  <c r="BK334" i="4"/>
  <c r="BI334" i="4"/>
  <c r="BH334" i="4"/>
  <c r="BG334" i="4"/>
  <c r="BF334" i="4"/>
  <c r="T334" i="4"/>
  <c r="R334" i="4"/>
  <c r="P334" i="4"/>
  <c r="J334" i="4"/>
  <c r="BE334" i="4" s="1"/>
  <c r="BK332" i="4"/>
  <c r="BI332" i="4"/>
  <c r="BH332" i="4"/>
  <c r="BG332" i="4"/>
  <c r="BF332" i="4"/>
  <c r="T332" i="4"/>
  <c r="R332" i="4"/>
  <c r="P332" i="4"/>
  <c r="J332" i="4"/>
  <c r="BE332" i="4" s="1"/>
  <c r="BK330" i="4"/>
  <c r="BI330" i="4"/>
  <c r="BH330" i="4"/>
  <c r="BG330" i="4"/>
  <c r="BF330" i="4"/>
  <c r="T330" i="4"/>
  <c r="R330" i="4"/>
  <c r="P330" i="4"/>
  <c r="J330" i="4"/>
  <c r="BE330" i="4" s="1"/>
  <c r="BK328" i="4"/>
  <c r="BI328" i="4"/>
  <c r="BH328" i="4"/>
  <c r="BG328" i="4"/>
  <c r="BF328" i="4"/>
  <c r="T328" i="4"/>
  <c r="R328" i="4"/>
  <c r="P328" i="4"/>
  <c r="J328" i="4"/>
  <c r="BE328" i="4" s="1"/>
  <c r="BK327" i="4"/>
  <c r="BI327" i="4"/>
  <c r="BH327" i="4"/>
  <c r="BG327" i="4"/>
  <c r="BF327" i="4"/>
  <c r="T327" i="4"/>
  <c r="R327" i="4"/>
  <c r="P327" i="4"/>
  <c r="J327" i="4"/>
  <c r="BE327" i="4" s="1"/>
  <c r="BK325" i="4"/>
  <c r="BI325" i="4"/>
  <c r="BH325" i="4"/>
  <c r="BG325" i="4"/>
  <c r="BF325" i="4"/>
  <c r="T325" i="4"/>
  <c r="R325" i="4"/>
  <c r="P325" i="4"/>
  <c r="J325" i="4"/>
  <c r="BE325" i="4" s="1"/>
  <c r="BK319" i="4"/>
  <c r="BI319" i="4"/>
  <c r="BH319" i="4"/>
  <c r="BG319" i="4"/>
  <c r="BF319" i="4"/>
  <c r="T319" i="4"/>
  <c r="R319" i="4"/>
  <c r="P319" i="4"/>
  <c r="J319" i="4"/>
  <c r="BE319" i="4" s="1"/>
  <c r="BK317" i="4"/>
  <c r="BI317" i="4"/>
  <c r="BH317" i="4"/>
  <c r="BG317" i="4"/>
  <c r="BF317" i="4"/>
  <c r="T317" i="4"/>
  <c r="R317" i="4"/>
  <c r="P317" i="4"/>
  <c r="J317" i="4"/>
  <c r="BE317" i="4" s="1"/>
  <c r="BK314" i="4"/>
  <c r="BI314" i="4"/>
  <c r="BH314" i="4"/>
  <c r="BG314" i="4"/>
  <c r="BF314" i="4"/>
  <c r="T314" i="4"/>
  <c r="R314" i="4"/>
  <c r="P314" i="4"/>
  <c r="J314" i="4"/>
  <c r="BE314" i="4" s="1"/>
  <c r="BK304" i="4"/>
  <c r="BI304" i="4"/>
  <c r="BH304" i="4"/>
  <c r="BG304" i="4"/>
  <c r="BF304" i="4"/>
  <c r="T304" i="4"/>
  <c r="R304" i="4"/>
  <c r="P304" i="4"/>
  <c r="J304" i="4"/>
  <c r="BE304" i="4" s="1"/>
  <c r="BK298" i="4"/>
  <c r="BI298" i="4"/>
  <c r="BH298" i="4"/>
  <c r="BG298" i="4"/>
  <c r="BF298" i="4"/>
  <c r="T298" i="4"/>
  <c r="R298" i="4"/>
  <c r="P298" i="4"/>
  <c r="J298" i="4"/>
  <c r="BE298" i="4" s="1"/>
  <c r="BK288" i="4"/>
  <c r="BI288" i="4"/>
  <c r="BH288" i="4"/>
  <c r="BG288" i="4"/>
  <c r="BF288" i="4"/>
  <c r="T288" i="4"/>
  <c r="R288" i="4"/>
  <c r="P288" i="4"/>
  <c r="J288" i="4"/>
  <c r="BE288" i="4" s="1"/>
  <c r="BK282" i="4"/>
  <c r="BI282" i="4"/>
  <c r="BH282" i="4"/>
  <c r="BG282" i="4"/>
  <c r="BF282" i="4"/>
  <c r="T282" i="4"/>
  <c r="R282" i="4"/>
  <c r="P282" i="4"/>
  <c r="J282" i="4"/>
  <c r="BE282" i="4" s="1"/>
  <c r="BK280" i="4"/>
  <c r="BI280" i="4"/>
  <c r="BH280" i="4"/>
  <c r="BG280" i="4"/>
  <c r="BF280" i="4"/>
  <c r="T280" i="4"/>
  <c r="R280" i="4"/>
  <c r="P280" i="4"/>
  <c r="J280" i="4"/>
  <c r="BE280" i="4" s="1"/>
  <c r="BK277" i="4"/>
  <c r="BI277" i="4"/>
  <c r="BH277" i="4"/>
  <c r="BG277" i="4"/>
  <c r="BF277" i="4"/>
  <c r="T277" i="4"/>
  <c r="R277" i="4"/>
  <c r="P277" i="4"/>
  <c r="J277" i="4"/>
  <c r="BE277" i="4" s="1"/>
  <c r="BK274" i="4"/>
  <c r="BI274" i="4"/>
  <c r="BH274" i="4"/>
  <c r="BG274" i="4"/>
  <c r="BF274" i="4"/>
  <c r="T274" i="4"/>
  <c r="R274" i="4"/>
  <c r="P274" i="4"/>
  <c r="J274" i="4"/>
  <c r="BE274" i="4" s="1"/>
  <c r="BK272" i="4"/>
  <c r="BI272" i="4"/>
  <c r="BH272" i="4"/>
  <c r="BG272" i="4"/>
  <c r="BF272" i="4"/>
  <c r="T272" i="4"/>
  <c r="R272" i="4"/>
  <c r="P272" i="4"/>
  <c r="J272" i="4"/>
  <c r="BE272" i="4" s="1"/>
  <c r="BK263" i="4"/>
  <c r="BI263" i="4"/>
  <c r="BH263" i="4"/>
  <c r="BG263" i="4"/>
  <c r="BF263" i="4"/>
  <c r="T263" i="4"/>
  <c r="R263" i="4"/>
  <c r="P263" i="4"/>
  <c r="J263" i="4"/>
  <c r="BE263" i="4" s="1"/>
  <c r="BK256" i="4"/>
  <c r="BI256" i="4"/>
  <c r="BH256" i="4"/>
  <c r="BG256" i="4"/>
  <c r="BF256" i="4"/>
  <c r="T256" i="4"/>
  <c r="R256" i="4"/>
  <c r="P256" i="4"/>
  <c r="J256" i="4"/>
  <c r="BE256" i="4" s="1"/>
  <c r="BK247" i="4"/>
  <c r="BI247" i="4"/>
  <c r="BH247" i="4"/>
  <c r="BG247" i="4"/>
  <c r="BF247" i="4"/>
  <c r="T247" i="4"/>
  <c r="R247" i="4"/>
  <c r="P247" i="4"/>
  <c r="J247" i="4"/>
  <c r="BE247" i="4" s="1"/>
  <c r="BK246" i="4"/>
  <c r="BI246" i="4"/>
  <c r="BH246" i="4"/>
  <c r="BG246" i="4"/>
  <c r="BF246" i="4"/>
  <c r="T246" i="4"/>
  <c r="R246" i="4"/>
  <c r="P246" i="4"/>
  <c r="J246" i="4"/>
  <c r="BE246" i="4" s="1"/>
  <c r="BK243" i="4"/>
  <c r="BI243" i="4"/>
  <c r="BH243" i="4"/>
  <c r="BG243" i="4"/>
  <c r="BF243" i="4"/>
  <c r="T243" i="4"/>
  <c r="R243" i="4"/>
  <c r="P243" i="4"/>
  <c r="J243" i="4"/>
  <c r="BE243" i="4" s="1"/>
  <c r="BK237" i="4"/>
  <c r="BI237" i="4"/>
  <c r="BH237" i="4"/>
  <c r="BG237" i="4"/>
  <c r="BF237" i="4"/>
  <c r="T237" i="4"/>
  <c r="R237" i="4"/>
  <c r="P237" i="4"/>
  <c r="J237" i="4"/>
  <c r="BE237" i="4" s="1"/>
  <c r="BK234" i="4"/>
  <c r="BI234" i="4"/>
  <c r="BH234" i="4"/>
  <c r="BG234" i="4"/>
  <c r="BF234" i="4"/>
  <c r="T234" i="4"/>
  <c r="R234" i="4"/>
  <c r="P234" i="4"/>
  <c r="J234" i="4"/>
  <c r="BE234" i="4" s="1"/>
  <c r="BK231" i="4"/>
  <c r="BI231" i="4"/>
  <c r="BH231" i="4"/>
  <c r="BG231" i="4"/>
  <c r="BF231" i="4"/>
  <c r="T231" i="4"/>
  <c r="R231" i="4"/>
  <c r="P231" i="4"/>
  <c r="J231" i="4"/>
  <c r="BE231" i="4" s="1"/>
  <c r="BK228" i="4"/>
  <c r="BI228" i="4"/>
  <c r="BH228" i="4"/>
  <c r="BG228" i="4"/>
  <c r="BF228" i="4"/>
  <c r="T228" i="4"/>
  <c r="R228" i="4"/>
  <c r="P228" i="4"/>
  <c r="J228" i="4"/>
  <c r="BE228" i="4" s="1"/>
  <c r="BK225" i="4"/>
  <c r="BI225" i="4"/>
  <c r="BH225" i="4"/>
  <c r="BG225" i="4"/>
  <c r="BF225" i="4"/>
  <c r="T225" i="4"/>
  <c r="R225" i="4"/>
  <c r="P225" i="4"/>
  <c r="J225" i="4"/>
  <c r="BE225" i="4" s="1"/>
  <c r="BK187" i="4"/>
  <c r="BI187" i="4"/>
  <c r="BH187" i="4"/>
  <c r="BG187" i="4"/>
  <c r="BF187" i="4"/>
  <c r="T187" i="4"/>
  <c r="R187" i="4"/>
  <c r="P187" i="4"/>
  <c r="J187" i="4"/>
  <c r="BE187" i="4" s="1"/>
  <c r="BK177" i="4"/>
  <c r="BI177" i="4"/>
  <c r="BH177" i="4"/>
  <c r="BG177" i="4"/>
  <c r="BF177" i="4"/>
  <c r="T177" i="4"/>
  <c r="R177" i="4"/>
  <c r="P177" i="4"/>
  <c r="J177" i="4"/>
  <c r="BE177" i="4" s="1"/>
  <c r="BK174" i="4"/>
  <c r="BI174" i="4"/>
  <c r="BH174" i="4"/>
  <c r="BG174" i="4"/>
  <c r="BF174" i="4"/>
  <c r="T174" i="4"/>
  <c r="R174" i="4"/>
  <c r="P174" i="4"/>
  <c r="J174" i="4"/>
  <c r="BE174" i="4" s="1"/>
  <c r="BK171" i="4"/>
  <c r="BI171" i="4"/>
  <c r="BH171" i="4"/>
  <c r="BG171" i="4"/>
  <c r="BF171" i="4"/>
  <c r="T171" i="4"/>
  <c r="R171" i="4"/>
  <c r="P171" i="4"/>
  <c r="J171" i="4"/>
  <c r="BE171" i="4" s="1"/>
  <c r="BK168" i="4"/>
  <c r="BI168" i="4"/>
  <c r="BH168" i="4"/>
  <c r="BG168" i="4"/>
  <c r="BF168" i="4"/>
  <c r="T168" i="4"/>
  <c r="R168" i="4"/>
  <c r="P168" i="4"/>
  <c r="J168" i="4"/>
  <c r="BE168" i="4" s="1"/>
  <c r="BK154" i="4"/>
  <c r="BI154" i="4"/>
  <c r="BH154" i="4"/>
  <c r="BG154" i="4"/>
  <c r="BF154" i="4"/>
  <c r="T154" i="4"/>
  <c r="R154" i="4"/>
  <c r="P154" i="4"/>
  <c r="J154" i="4"/>
  <c r="BE154" i="4" s="1"/>
  <c r="BK143" i="4"/>
  <c r="BI143" i="4"/>
  <c r="BH143" i="4"/>
  <c r="BG143" i="4"/>
  <c r="BF143" i="4"/>
  <c r="T143" i="4"/>
  <c r="R143" i="4"/>
  <c r="P143" i="4"/>
  <c r="J143" i="4"/>
  <c r="BE143" i="4" s="1"/>
  <c r="BK142" i="4"/>
  <c r="BI142" i="4"/>
  <c r="BH142" i="4"/>
  <c r="BG142" i="4"/>
  <c r="BF142" i="4"/>
  <c r="T142" i="4"/>
  <c r="R142" i="4"/>
  <c r="P142" i="4"/>
  <c r="J142" i="4"/>
  <c r="BE142" i="4" s="1"/>
  <c r="BK141" i="4"/>
  <c r="BI141" i="4"/>
  <c r="BH141" i="4"/>
  <c r="BG141" i="4"/>
  <c r="BF141" i="4"/>
  <c r="T141" i="4"/>
  <c r="R141" i="4"/>
  <c r="P141" i="4"/>
  <c r="J141" i="4"/>
  <c r="BE141" i="4" s="1"/>
  <c r="J135" i="4"/>
  <c r="F135" i="4"/>
  <c r="J134" i="4"/>
  <c r="F134" i="4"/>
  <c r="J132" i="4"/>
  <c r="F132" i="4"/>
  <c r="E130" i="4"/>
  <c r="J94" i="4"/>
  <c r="F94" i="4"/>
  <c r="J93" i="4"/>
  <c r="F93" i="4"/>
  <c r="J91" i="4"/>
  <c r="F91" i="4"/>
  <c r="E89" i="4"/>
  <c r="J39" i="4"/>
  <c r="J38" i="4"/>
  <c r="AY98" i="1" s="1"/>
  <c r="J37" i="4"/>
  <c r="AX98" i="1" s="1"/>
  <c r="BK795" i="3"/>
  <c r="BI795" i="3"/>
  <c r="BH795" i="3"/>
  <c r="BG795" i="3"/>
  <c r="BF795" i="3"/>
  <c r="T795" i="3"/>
  <c r="R795" i="3"/>
  <c r="P795" i="3"/>
  <c r="J795" i="3"/>
  <c r="BE795" i="3" s="1"/>
  <c r="BK793" i="3"/>
  <c r="BI793" i="3"/>
  <c r="BH793" i="3"/>
  <c r="BG793" i="3"/>
  <c r="BF793" i="3"/>
  <c r="T793" i="3"/>
  <c r="R793" i="3"/>
  <c r="P793" i="3"/>
  <c r="J793" i="3"/>
  <c r="BE793" i="3" s="1"/>
  <c r="BK791" i="3"/>
  <c r="BI791" i="3"/>
  <c r="BH791" i="3"/>
  <c r="BG791" i="3"/>
  <c r="BF791" i="3"/>
  <c r="T791" i="3"/>
  <c r="R791" i="3"/>
  <c r="P791" i="3"/>
  <c r="J791" i="3"/>
  <c r="BE791" i="3" s="1"/>
  <c r="BK743" i="3"/>
  <c r="BI743" i="3"/>
  <c r="BH743" i="3"/>
  <c r="BG743" i="3"/>
  <c r="BF743" i="3"/>
  <c r="T743" i="3"/>
  <c r="R743" i="3"/>
  <c r="P743" i="3"/>
  <c r="J743" i="3"/>
  <c r="BE743" i="3" s="1"/>
  <c r="BK741" i="3"/>
  <c r="BI741" i="3"/>
  <c r="BH741" i="3"/>
  <c r="BG741" i="3"/>
  <c r="BF741" i="3"/>
  <c r="BE741" i="3"/>
  <c r="T741" i="3"/>
  <c r="R741" i="3"/>
  <c r="P741" i="3"/>
  <c r="J741" i="3"/>
  <c r="BK706" i="3"/>
  <c r="BI706" i="3"/>
  <c r="BH706" i="3"/>
  <c r="BG706" i="3"/>
  <c r="BF706" i="3"/>
  <c r="T706" i="3"/>
  <c r="R706" i="3"/>
  <c r="P706" i="3"/>
  <c r="J706" i="3"/>
  <c r="BE706" i="3" s="1"/>
  <c r="BK676" i="3"/>
  <c r="BI676" i="3"/>
  <c r="BH676" i="3"/>
  <c r="BG676" i="3"/>
  <c r="BF676" i="3"/>
  <c r="T676" i="3"/>
  <c r="R676" i="3"/>
  <c r="P676" i="3"/>
  <c r="J676" i="3"/>
  <c r="BE676" i="3" s="1"/>
  <c r="BK657" i="3"/>
  <c r="BI657" i="3"/>
  <c r="BH657" i="3"/>
  <c r="BG657" i="3"/>
  <c r="BF657" i="3"/>
  <c r="T657" i="3"/>
  <c r="R657" i="3"/>
  <c r="P657" i="3"/>
  <c r="J657" i="3"/>
  <c r="BE657" i="3" s="1"/>
  <c r="BK638" i="3"/>
  <c r="BI638" i="3"/>
  <c r="BH638" i="3"/>
  <c r="BG638" i="3"/>
  <c r="BF638" i="3"/>
  <c r="T638" i="3"/>
  <c r="R638" i="3"/>
  <c r="P638" i="3"/>
  <c r="J638" i="3"/>
  <c r="BE638" i="3" s="1"/>
  <c r="BK619" i="3"/>
  <c r="BI619" i="3"/>
  <c r="BH619" i="3"/>
  <c r="BG619" i="3"/>
  <c r="BF619" i="3"/>
  <c r="T619" i="3"/>
  <c r="R619" i="3"/>
  <c r="P619" i="3"/>
  <c r="J619" i="3"/>
  <c r="BE619" i="3" s="1"/>
  <c r="BK600" i="3"/>
  <c r="BI600" i="3"/>
  <c r="BH600" i="3"/>
  <c r="BG600" i="3"/>
  <c r="BF600" i="3"/>
  <c r="T600" i="3"/>
  <c r="R600" i="3"/>
  <c r="P600" i="3"/>
  <c r="J600" i="3"/>
  <c r="BE600" i="3" s="1"/>
  <c r="BK573" i="3"/>
  <c r="BI573" i="3"/>
  <c r="BH573" i="3"/>
  <c r="BG573" i="3"/>
  <c r="BF573" i="3"/>
  <c r="BE573" i="3"/>
  <c r="T573" i="3"/>
  <c r="R573" i="3"/>
  <c r="P573" i="3"/>
  <c r="J573" i="3"/>
  <c r="BK543" i="3"/>
  <c r="BI543" i="3"/>
  <c r="BH543" i="3"/>
  <c r="BG543" i="3"/>
  <c r="BF543" i="3"/>
  <c r="T543" i="3"/>
  <c r="R543" i="3"/>
  <c r="P543" i="3"/>
  <c r="J543" i="3"/>
  <c r="BE543" i="3" s="1"/>
  <c r="BK357" i="3"/>
  <c r="BI357" i="3"/>
  <c r="BH357" i="3"/>
  <c r="BG357" i="3"/>
  <c r="BF357" i="3"/>
  <c r="T357" i="3"/>
  <c r="R357" i="3"/>
  <c r="P357" i="3"/>
  <c r="J357" i="3"/>
  <c r="BE357" i="3" s="1"/>
  <c r="BK339" i="3"/>
  <c r="BI339" i="3"/>
  <c r="BH339" i="3"/>
  <c r="BG339" i="3"/>
  <c r="BF339" i="3"/>
  <c r="T339" i="3"/>
  <c r="R339" i="3"/>
  <c r="P339" i="3"/>
  <c r="J339" i="3"/>
  <c r="BE339" i="3" s="1"/>
  <c r="BK319" i="3"/>
  <c r="BI319" i="3"/>
  <c r="BH319" i="3"/>
  <c r="BG319" i="3"/>
  <c r="BF319" i="3"/>
  <c r="BE319" i="3"/>
  <c r="T319" i="3"/>
  <c r="R319" i="3"/>
  <c r="P319" i="3"/>
  <c r="J319" i="3"/>
  <c r="BK315" i="3"/>
  <c r="BI315" i="3"/>
  <c r="BH315" i="3"/>
  <c r="BG315" i="3"/>
  <c r="BF315" i="3"/>
  <c r="T315" i="3"/>
  <c r="R315" i="3"/>
  <c r="P315" i="3"/>
  <c r="J315" i="3"/>
  <c r="BE315" i="3" s="1"/>
  <c r="BK277" i="3"/>
  <c r="BI277" i="3"/>
  <c r="BH277" i="3"/>
  <c r="BG277" i="3"/>
  <c r="BF277" i="3"/>
  <c r="T277" i="3"/>
  <c r="R277" i="3"/>
  <c r="P277" i="3"/>
  <c r="J277" i="3"/>
  <c r="BE277" i="3" s="1"/>
  <c r="BK274" i="3"/>
  <c r="BK273" i="3" s="1"/>
  <c r="J273" i="3" s="1"/>
  <c r="J105" i="3" s="1"/>
  <c r="BI274" i="3"/>
  <c r="BH274" i="3"/>
  <c r="BG274" i="3"/>
  <c r="BF274" i="3"/>
  <c r="T274" i="3"/>
  <c r="T273" i="3" s="1"/>
  <c r="R274" i="3"/>
  <c r="R273" i="3" s="1"/>
  <c r="P274" i="3"/>
  <c r="P273" i="3" s="1"/>
  <c r="J274" i="3"/>
  <c r="BE274" i="3" s="1"/>
  <c r="BK269" i="3"/>
  <c r="BK268" i="3" s="1"/>
  <c r="J268" i="3" s="1"/>
  <c r="J104" i="3" s="1"/>
  <c r="BI269" i="3"/>
  <c r="BH269" i="3"/>
  <c r="BG269" i="3"/>
  <c r="BF269" i="3"/>
  <c r="BE269" i="3"/>
  <c r="T269" i="3"/>
  <c r="T268" i="3" s="1"/>
  <c r="R269" i="3"/>
  <c r="R268" i="3" s="1"/>
  <c r="P269" i="3"/>
  <c r="P268" i="3" s="1"/>
  <c r="J269" i="3"/>
  <c r="BK261" i="3"/>
  <c r="BI261" i="3"/>
  <c r="BH261" i="3"/>
  <c r="BG261" i="3"/>
  <c r="BF261" i="3"/>
  <c r="T261" i="3"/>
  <c r="R261" i="3"/>
  <c r="P261" i="3"/>
  <c r="J261" i="3"/>
  <c r="BE261" i="3" s="1"/>
  <c r="BK249" i="3"/>
  <c r="BI249" i="3"/>
  <c r="BH249" i="3"/>
  <c r="BG249" i="3"/>
  <c r="BF249" i="3"/>
  <c r="T249" i="3"/>
  <c r="R249" i="3"/>
  <c r="P249" i="3"/>
  <c r="J249" i="3"/>
  <c r="BE249" i="3" s="1"/>
  <c r="BK248" i="3"/>
  <c r="BI248" i="3"/>
  <c r="BH248" i="3"/>
  <c r="BG248" i="3"/>
  <c r="BF248" i="3"/>
  <c r="T248" i="3"/>
  <c r="R248" i="3"/>
  <c r="P248" i="3"/>
  <c r="J248" i="3"/>
  <c r="BE248" i="3" s="1"/>
  <c r="BK240" i="3"/>
  <c r="BI240" i="3"/>
  <c r="BH240" i="3"/>
  <c r="BG240" i="3"/>
  <c r="BF240" i="3"/>
  <c r="T240" i="3"/>
  <c r="R240" i="3"/>
  <c r="P240" i="3"/>
  <c r="J240" i="3"/>
  <c r="BE240" i="3" s="1"/>
  <c r="BK232" i="3"/>
  <c r="BI232" i="3"/>
  <c r="BH232" i="3"/>
  <c r="BG232" i="3"/>
  <c r="BF232" i="3"/>
  <c r="T232" i="3"/>
  <c r="R232" i="3"/>
  <c r="P232" i="3"/>
  <c r="J232" i="3"/>
  <c r="BE232" i="3" s="1"/>
  <c r="BK231" i="3"/>
  <c r="BI231" i="3"/>
  <c r="BH231" i="3"/>
  <c r="BG231" i="3"/>
  <c r="BF231" i="3"/>
  <c r="T231" i="3"/>
  <c r="R231" i="3"/>
  <c r="P231" i="3"/>
  <c r="J231" i="3"/>
  <c r="BE231" i="3" s="1"/>
  <c r="BK223" i="3"/>
  <c r="BI223" i="3"/>
  <c r="BH223" i="3"/>
  <c r="BG223" i="3"/>
  <c r="BF223" i="3"/>
  <c r="T223" i="3"/>
  <c r="R223" i="3"/>
  <c r="P223" i="3"/>
  <c r="J223" i="3"/>
  <c r="BE223" i="3" s="1"/>
  <c r="BK222" i="3"/>
  <c r="BI222" i="3"/>
  <c r="BH222" i="3"/>
  <c r="BG222" i="3"/>
  <c r="BF222" i="3"/>
  <c r="T222" i="3"/>
  <c r="R222" i="3"/>
  <c r="P222" i="3"/>
  <c r="J222" i="3"/>
  <c r="BE222" i="3" s="1"/>
  <c r="BK219" i="3"/>
  <c r="BI219" i="3"/>
  <c r="BH219" i="3"/>
  <c r="BG219" i="3"/>
  <c r="BF219" i="3"/>
  <c r="T219" i="3"/>
  <c r="R219" i="3"/>
  <c r="P219" i="3"/>
  <c r="J219" i="3"/>
  <c r="BE219" i="3" s="1"/>
  <c r="BK216" i="3"/>
  <c r="BI216" i="3"/>
  <c r="BH216" i="3"/>
  <c r="BG216" i="3"/>
  <c r="BF216" i="3"/>
  <c r="T216" i="3"/>
  <c r="R216" i="3"/>
  <c r="P216" i="3"/>
  <c r="J216" i="3"/>
  <c r="BE216" i="3" s="1"/>
  <c r="BK215" i="3"/>
  <c r="BI215" i="3"/>
  <c r="BH215" i="3"/>
  <c r="BG215" i="3"/>
  <c r="BF215" i="3"/>
  <c r="BE215" i="3"/>
  <c r="T215" i="3"/>
  <c r="R215" i="3"/>
  <c r="P215" i="3"/>
  <c r="J215" i="3"/>
  <c r="BK206" i="3"/>
  <c r="BI206" i="3"/>
  <c r="BH206" i="3"/>
  <c r="BG206" i="3"/>
  <c r="BF206" i="3"/>
  <c r="T206" i="3"/>
  <c r="R206" i="3"/>
  <c r="P206" i="3"/>
  <c r="J206" i="3"/>
  <c r="BE206" i="3" s="1"/>
  <c r="BK202" i="3"/>
  <c r="BI202" i="3"/>
  <c r="BH202" i="3"/>
  <c r="BG202" i="3"/>
  <c r="BF202" i="3"/>
  <c r="T202" i="3"/>
  <c r="R202" i="3"/>
  <c r="P202" i="3"/>
  <c r="J202" i="3"/>
  <c r="BE202" i="3" s="1"/>
  <c r="BK194" i="3"/>
  <c r="BI194" i="3"/>
  <c r="BH194" i="3"/>
  <c r="BG194" i="3"/>
  <c r="BF194" i="3"/>
  <c r="T194" i="3"/>
  <c r="R194" i="3"/>
  <c r="P194" i="3"/>
  <c r="J194" i="3"/>
  <c r="BE194" i="3" s="1"/>
  <c r="BK193" i="3"/>
  <c r="BI193" i="3"/>
  <c r="BH193" i="3"/>
  <c r="BG193" i="3"/>
  <c r="BF193" i="3"/>
  <c r="T193" i="3"/>
  <c r="R193" i="3"/>
  <c r="P193" i="3"/>
  <c r="J193" i="3"/>
  <c r="BE193" i="3" s="1"/>
  <c r="BK189" i="3"/>
  <c r="BI189" i="3"/>
  <c r="BH189" i="3"/>
  <c r="BG189" i="3"/>
  <c r="BF189" i="3"/>
  <c r="T189" i="3"/>
  <c r="R189" i="3"/>
  <c r="P189" i="3"/>
  <c r="J189" i="3"/>
  <c r="BE189" i="3" s="1"/>
  <c r="BK184" i="3"/>
  <c r="BI184" i="3"/>
  <c r="BH184" i="3"/>
  <c r="BG184" i="3"/>
  <c r="BF184" i="3"/>
  <c r="BE184" i="3"/>
  <c r="T184" i="3"/>
  <c r="R184" i="3"/>
  <c r="P184" i="3"/>
  <c r="J184" i="3"/>
  <c r="BK181" i="3"/>
  <c r="BI181" i="3"/>
  <c r="BH181" i="3"/>
  <c r="BG181" i="3"/>
  <c r="BF181" i="3"/>
  <c r="T181" i="3"/>
  <c r="R181" i="3"/>
  <c r="P181" i="3"/>
  <c r="J181" i="3"/>
  <c r="BE181" i="3" s="1"/>
  <c r="BK168" i="3"/>
  <c r="BI168" i="3"/>
  <c r="BH168" i="3"/>
  <c r="BG168" i="3"/>
  <c r="BF168" i="3"/>
  <c r="T168" i="3"/>
  <c r="R168" i="3"/>
  <c r="P168" i="3"/>
  <c r="J168" i="3"/>
  <c r="BE168" i="3" s="1"/>
  <c r="BK159" i="3"/>
  <c r="BI159" i="3"/>
  <c r="BH159" i="3"/>
  <c r="BG159" i="3"/>
  <c r="BF159" i="3"/>
  <c r="T159" i="3"/>
  <c r="R159" i="3"/>
  <c r="P159" i="3"/>
  <c r="J159" i="3"/>
  <c r="BE159" i="3" s="1"/>
  <c r="BK155" i="3"/>
  <c r="BI155" i="3"/>
  <c r="BH155" i="3"/>
  <c r="BG155" i="3"/>
  <c r="BF155" i="3"/>
  <c r="T155" i="3"/>
  <c r="R155" i="3"/>
  <c r="P155" i="3"/>
  <c r="J155" i="3"/>
  <c r="BE155" i="3" s="1"/>
  <c r="BK152" i="3"/>
  <c r="BI152" i="3"/>
  <c r="BH152" i="3"/>
  <c r="BG152" i="3"/>
  <c r="BF152" i="3"/>
  <c r="T152" i="3"/>
  <c r="R152" i="3"/>
  <c r="P152" i="3"/>
  <c r="J152" i="3"/>
  <c r="BE152" i="3" s="1"/>
  <c r="BK151" i="3"/>
  <c r="BI151" i="3"/>
  <c r="BH151" i="3"/>
  <c r="BG151" i="3"/>
  <c r="BF151" i="3"/>
  <c r="T151" i="3"/>
  <c r="R151" i="3"/>
  <c r="P151" i="3"/>
  <c r="J151" i="3"/>
  <c r="BE151" i="3" s="1"/>
  <c r="BK147" i="3"/>
  <c r="BI147" i="3"/>
  <c r="BH147" i="3"/>
  <c r="BG147" i="3"/>
  <c r="BF147" i="3"/>
  <c r="T147" i="3"/>
  <c r="R147" i="3"/>
  <c r="P147" i="3"/>
  <c r="J147" i="3"/>
  <c r="BE147" i="3" s="1"/>
  <c r="BK141" i="3"/>
  <c r="BI141" i="3"/>
  <c r="BH141" i="3"/>
  <c r="BG141" i="3"/>
  <c r="BF141" i="3"/>
  <c r="BE141" i="3"/>
  <c r="T141" i="3"/>
  <c r="R141" i="3"/>
  <c r="P141" i="3"/>
  <c r="J141" i="3"/>
  <c r="J135" i="3"/>
  <c r="F135" i="3"/>
  <c r="J134" i="3"/>
  <c r="F134" i="3"/>
  <c r="F132" i="3"/>
  <c r="E130" i="3"/>
  <c r="E126" i="3"/>
  <c r="J94" i="3"/>
  <c r="J93" i="3"/>
  <c r="F93" i="3"/>
  <c r="F91" i="3"/>
  <c r="E89" i="3"/>
  <c r="E85" i="3"/>
  <c r="J39" i="3"/>
  <c r="J38" i="3"/>
  <c r="AY97" i="1" s="1"/>
  <c r="J37" i="3"/>
  <c r="AX97" i="1" s="1"/>
  <c r="BK2979" i="2"/>
  <c r="BI2979" i="2"/>
  <c r="BH2979" i="2"/>
  <c r="BG2979" i="2"/>
  <c r="BF2979" i="2"/>
  <c r="T2979" i="2"/>
  <c r="R2979" i="2"/>
  <c r="P2979" i="2"/>
  <c r="J2979" i="2"/>
  <c r="BE2979" i="2" s="1"/>
  <c r="BK2868" i="2"/>
  <c r="BI2868" i="2"/>
  <c r="BH2868" i="2"/>
  <c r="BG2868" i="2"/>
  <c r="BF2868" i="2"/>
  <c r="T2868" i="2"/>
  <c r="R2868" i="2"/>
  <c r="P2868" i="2"/>
  <c r="J2868" i="2"/>
  <c r="BE2868" i="2" s="1"/>
  <c r="BK2865" i="2"/>
  <c r="BI2865" i="2"/>
  <c r="BH2865" i="2"/>
  <c r="BG2865" i="2"/>
  <c r="BF2865" i="2"/>
  <c r="T2865" i="2"/>
  <c r="R2865" i="2"/>
  <c r="P2865" i="2"/>
  <c r="J2865" i="2"/>
  <c r="BE2865" i="2" s="1"/>
  <c r="BK2864" i="2"/>
  <c r="BI2864" i="2"/>
  <c r="BH2864" i="2"/>
  <c r="BG2864" i="2"/>
  <c r="BF2864" i="2"/>
  <c r="T2864" i="2"/>
  <c r="R2864" i="2"/>
  <c r="P2864" i="2"/>
  <c r="J2864" i="2"/>
  <c r="BE2864" i="2" s="1"/>
  <c r="BK2860" i="2"/>
  <c r="BI2860" i="2"/>
  <c r="BH2860" i="2"/>
  <c r="BG2860" i="2"/>
  <c r="BF2860" i="2"/>
  <c r="T2860" i="2"/>
  <c r="T2859" i="2" s="1"/>
  <c r="R2860" i="2"/>
  <c r="P2860" i="2"/>
  <c r="J2860" i="2"/>
  <c r="BE2860" i="2" s="1"/>
  <c r="BK2847" i="2"/>
  <c r="BI2847" i="2"/>
  <c r="BH2847" i="2"/>
  <c r="BG2847" i="2"/>
  <c r="BF2847" i="2"/>
  <c r="T2847" i="2"/>
  <c r="R2847" i="2"/>
  <c r="P2847" i="2"/>
  <c r="J2847" i="2"/>
  <c r="BE2847" i="2" s="1"/>
  <c r="BK2846" i="2"/>
  <c r="BI2846" i="2"/>
  <c r="BH2846" i="2"/>
  <c r="BG2846" i="2"/>
  <c r="BF2846" i="2"/>
  <c r="BE2846" i="2"/>
  <c r="T2846" i="2"/>
  <c r="R2846" i="2"/>
  <c r="P2846" i="2"/>
  <c r="J2846" i="2"/>
  <c r="BK2844" i="2"/>
  <c r="BI2844" i="2"/>
  <c r="BH2844" i="2"/>
  <c r="BG2844" i="2"/>
  <c r="BF2844" i="2"/>
  <c r="T2844" i="2"/>
  <c r="R2844" i="2"/>
  <c r="P2844" i="2"/>
  <c r="J2844" i="2"/>
  <c r="BE2844" i="2" s="1"/>
  <c r="BK2842" i="2"/>
  <c r="BI2842" i="2"/>
  <c r="BH2842" i="2"/>
  <c r="BG2842" i="2"/>
  <c r="BF2842" i="2"/>
  <c r="T2842" i="2"/>
  <c r="R2842" i="2"/>
  <c r="P2842" i="2"/>
  <c r="J2842" i="2"/>
  <c r="BE2842" i="2" s="1"/>
  <c r="BK2841" i="2"/>
  <c r="BI2841" i="2"/>
  <c r="BH2841" i="2"/>
  <c r="BG2841" i="2"/>
  <c r="BF2841" i="2"/>
  <c r="T2841" i="2"/>
  <c r="R2841" i="2"/>
  <c r="P2841" i="2"/>
  <c r="J2841" i="2"/>
  <c r="BE2841" i="2" s="1"/>
  <c r="BK2832" i="2"/>
  <c r="BI2832" i="2"/>
  <c r="BH2832" i="2"/>
  <c r="BG2832" i="2"/>
  <c r="BF2832" i="2"/>
  <c r="T2832" i="2"/>
  <c r="R2832" i="2"/>
  <c r="P2832" i="2"/>
  <c r="J2832" i="2"/>
  <c r="BE2832" i="2" s="1"/>
  <c r="BK2830" i="2"/>
  <c r="BI2830" i="2"/>
  <c r="BH2830" i="2"/>
  <c r="BG2830" i="2"/>
  <c r="BF2830" i="2"/>
  <c r="BE2830" i="2"/>
  <c r="T2830" i="2"/>
  <c r="R2830" i="2"/>
  <c r="P2830" i="2"/>
  <c r="J2830" i="2"/>
  <c r="BK2828" i="2"/>
  <c r="BI2828" i="2"/>
  <c r="BH2828" i="2"/>
  <c r="BG2828" i="2"/>
  <c r="BF2828" i="2"/>
  <c r="BE2828" i="2"/>
  <c r="T2828" i="2"/>
  <c r="R2828" i="2"/>
  <c r="P2828" i="2"/>
  <c r="J2828" i="2"/>
  <c r="BK2816" i="2"/>
  <c r="BI2816" i="2"/>
  <c r="BH2816" i="2"/>
  <c r="BG2816" i="2"/>
  <c r="BF2816" i="2"/>
  <c r="T2816" i="2"/>
  <c r="R2816" i="2"/>
  <c r="P2816" i="2"/>
  <c r="J2816" i="2"/>
  <c r="BE2816" i="2" s="1"/>
  <c r="BK2794" i="2"/>
  <c r="BI2794" i="2"/>
  <c r="BH2794" i="2"/>
  <c r="BG2794" i="2"/>
  <c r="BF2794" i="2"/>
  <c r="T2794" i="2"/>
  <c r="R2794" i="2"/>
  <c r="P2794" i="2"/>
  <c r="J2794" i="2"/>
  <c r="BE2794" i="2" s="1"/>
  <c r="BK2771" i="2"/>
  <c r="BI2771" i="2"/>
  <c r="BH2771" i="2"/>
  <c r="BG2771" i="2"/>
  <c r="BF2771" i="2"/>
  <c r="T2771" i="2"/>
  <c r="R2771" i="2"/>
  <c r="P2771" i="2"/>
  <c r="J2771" i="2"/>
  <c r="BE2771" i="2" s="1"/>
  <c r="BK2764" i="2"/>
  <c r="BI2764" i="2"/>
  <c r="BH2764" i="2"/>
  <c r="BG2764" i="2"/>
  <c r="BF2764" i="2"/>
  <c r="BE2764" i="2"/>
  <c r="T2764" i="2"/>
  <c r="R2764" i="2"/>
  <c r="P2764" i="2"/>
  <c r="J2764" i="2"/>
  <c r="BK2762" i="2"/>
  <c r="BI2762" i="2"/>
  <c r="BH2762" i="2"/>
  <c r="BG2762" i="2"/>
  <c r="BF2762" i="2"/>
  <c r="T2762" i="2"/>
  <c r="R2762" i="2"/>
  <c r="P2762" i="2"/>
  <c r="J2762" i="2"/>
  <c r="BE2762" i="2" s="1"/>
  <c r="BK2755" i="2"/>
  <c r="BI2755" i="2"/>
  <c r="BH2755" i="2"/>
  <c r="BG2755" i="2"/>
  <c r="BF2755" i="2"/>
  <c r="T2755" i="2"/>
  <c r="R2755" i="2"/>
  <c r="P2755" i="2"/>
  <c r="J2755" i="2"/>
  <c r="BE2755" i="2" s="1"/>
  <c r="BK2753" i="2"/>
  <c r="BI2753" i="2"/>
  <c r="BH2753" i="2"/>
  <c r="BG2753" i="2"/>
  <c r="BF2753" i="2"/>
  <c r="T2753" i="2"/>
  <c r="R2753" i="2"/>
  <c r="P2753" i="2"/>
  <c r="J2753" i="2"/>
  <c r="BE2753" i="2" s="1"/>
  <c r="BK2737" i="2"/>
  <c r="BI2737" i="2"/>
  <c r="BH2737" i="2"/>
  <c r="BG2737" i="2"/>
  <c r="BF2737" i="2"/>
  <c r="T2737" i="2"/>
  <c r="R2737" i="2"/>
  <c r="P2737" i="2"/>
  <c r="J2737" i="2"/>
  <c r="BE2737" i="2" s="1"/>
  <c r="BK2725" i="2"/>
  <c r="BI2725" i="2"/>
  <c r="BH2725" i="2"/>
  <c r="BG2725" i="2"/>
  <c r="BF2725" i="2"/>
  <c r="T2725" i="2"/>
  <c r="R2725" i="2"/>
  <c r="P2725" i="2"/>
  <c r="J2725" i="2"/>
  <c r="BE2725" i="2" s="1"/>
  <c r="BK2710" i="2"/>
  <c r="BI2710" i="2"/>
  <c r="BH2710" i="2"/>
  <c r="BG2710" i="2"/>
  <c r="BF2710" i="2"/>
  <c r="T2710" i="2"/>
  <c r="R2710" i="2"/>
  <c r="P2710" i="2"/>
  <c r="J2710" i="2"/>
  <c r="BE2710" i="2" s="1"/>
  <c r="BK2454" i="2"/>
  <c r="BI2454" i="2"/>
  <c r="BH2454" i="2"/>
  <c r="BG2454" i="2"/>
  <c r="BF2454" i="2"/>
  <c r="BE2454" i="2"/>
  <c r="T2454" i="2"/>
  <c r="R2454" i="2"/>
  <c r="P2454" i="2"/>
  <c r="J2454" i="2"/>
  <c r="BK2448" i="2"/>
  <c r="BI2448" i="2"/>
  <c r="BH2448" i="2"/>
  <c r="BG2448" i="2"/>
  <c r="BF2448" i="2"/>
  <c r="BE2448" i="2"/>
  <c r="T2448" i="2"/>
  <c r="R2448" i="2"/>
  <c r="P2448" i="2"/>
  <c r="J2448" i="2"/>
  <c r="BK2431" i="2"/>
  <c r="BI2431" i="2"/>
  <c r="BH2431" i="2"/>
  <c r="BG2431" i="2"/>
  <c r="BF2431" i="2"/>
  <c r="T2431" i="2"/>
  <c r="R2431" i="2"/>
  <c r="P2431" i="2"/>
  <c r="J2431" i="2"/>
  <c r="BE2431" i="2" s="1"/>
  <c r="BK2429" i="2"/>
  <c r="BI2429" i="2"/>
  <c r="BH2429" i="2"/>
  <c r="BG2429" i="2"/>
  <c r="BF2429" i="2"/>
  <c r="T2429" i="2"/>
  <c r="R2429" i="2"/>
  <c r="P2429" i="2"/>
  <c r="J2429" i="2"/>
  <c r="BE2429" i="2" s="1"/>
  <c r="BK2424" i="2"/>
  <c r="BI2424" i="2"/>
  <c r="BH2424" i="2"/>
  <c r="BG2424" i="2"/>
  <c r="BF2424" i="2"/>
  <c r="T2424" i="2"/>
  <c r="R2424" i="2"/>
  <c r="P2424" i="2"/>
  <c r="J2424" i="2"/>
  <c r="BE2424" i="2" s="1"/>
  <c r="BK2415" i="2"/>
  <c r="BI2415" i="2"/>
  <c r="BH2415" i="2"/>
  <c r="BG2415" i="2"/>
  <c r="BF2415" i="2"/>
  <c r="T2415" i="2"/>
  <c r="R2415" i="2"/>
  <c r="P2415" i="2"/>
  <c r="J2415" i="2"/>
  <c r="BE2415" i="2" s="1"/>
  <c r="BK2413" i="2"/>
  <c r="BI2413" i="2"/>
  <c r="BH2413" i="2"/>
  <c r="BG2413" i="2"/>
  <c r="BF2413" i="2"/>
  <c r="BE2413" i="2"/>
  <c r="T2413" i="2"/>
  <c r="R2413" i="2"/>
  <c r="P2413" i="2"/>
  <c r="J2413" i="2"/>
  <c r="BK2371" i="2"/>
  <c r="BI2371" i="2"/>
  <c r="BH2371" i="2"/>
  <c r="BG2371" i="2"/>
  <c r="BF2371" i="2"/>
  <c r="BE2371" i="2"/>
  <c r="T2371" i="2"/>
  <c r="R2371" i="2"/>
  <c r="P2371" i="2"/>
  <c r="J2371" i="2"/>
  <c r="BK2366" i="2"/>
  <c r="BI2366" i="2"/>
  <c r="BH2366" i="2"/>
  <c r="BG2366" i="2"/>
  <c r="BF2366" i="2"/>
  <c r="T2366" i="2"/>
  <c r="R2366" i="2"/>
  <c r="P2366" i="2"/>
  <c r="J2366" i="2"/>
  <c r="BE2366" i="2" s="1"/>
  <c r="BK2361" i="2"/>
  <c r="BI2361" i="2"/>
  <c r="BH2361" i="2"/>
  <c r="BG2361" i="2"/>
  <c r="BF2361" i="2"/>
  <c r="T2361" i="2"/>
  <c r="R2361" i="2"/>
  <c r="P2361" i="2"/>
  <c r="J2361" i="2"/>
  <c r="BE2361" i="2" s="1"/>
  <c r="BK2359" i="2"/>
  <c r="BI2359" i="2"/>
  <c r="BH2359" i="2"/>
  <c r="BG2359" i="2"/>
  <c r="BF2359" i="2"/>
  <c r="T2359" i="2"/>
  <c r="R2359" i="2"/>
  <c r="P2359" i="2"/>
  <c r="J2359" i="2"/>
  <c r="BE2359" i="2" s="1"/>
  <c r="BK2357" i="2"/>
  <c r="BI2357" i="2"/>
  <c r="BH2357" i="2"/>
  <c r="BG2357" i="2"/>
  <c r="BF2357" i="2"/>
  <c r="T2357" i="2"/>
  <c r="R2357" i="2"/>
  <c r="P2357" i="2"/>
  <c r="J2357" i="2"/>
  <c r="BE2357" i="2" s="1"/>
  <c r="BK2352" i="2"/>
  <c r="BI2352" i="2"/>
  <c r="BH2352" i="2"/>
  <c r="BG2352" i="2"/>
  <c r="BF2352" i="2"/>
  <c r="T2352" i="2"/>
  <c r="R2352" i="2"/>
  <c r="P2352" i="2"/>
  <c r="J2352" i="2"/>
  <c r="BE2352" i="2" s="1"/>
  <c r="BK2348" i="2"/>
  <c r="BI2348" i="2"/>
  <c r="BH2348" i="2"/>
  <c r="BG2348" i="2"/>
  <c r="BF2348" i="2"/>
  <c r="T2348" i="2"/>
  <c r="R2348" i="2"/>
  <c r="P2348" i="2"/>
  <c r="J2348" i="2"/>
  <c r="BE2348" i="2" s="1"/>
  <c r="BK2346" i="2"/>
  <c r="BI2346" i="2"/>
  <c r="BH2346" i="2"/>
  <c r="BG2346" i="2"/>
  <c r="BF2346" i="2"/>
  <c r="T2346" i="2"/>
  <c r="R2346" i="2"/>
  <c r="P2346" i="2"/>
  <c r="J2346" i="2"/>
  <c r="BE2346" i="2" s="1"/>
  <c r="BK2062" i="2"/>
  <c r="BI2062" i="2"/>
  <c r="BH2062" i="2"/>
  <c r="BG2062" i="2"/>
  <c r="BF2062" i="2"/>
  <c r="BE2062" i="2"/>
  <c r="T2062" i="2"/>
  <c r="R2062" i="2"/>
  <c r="P2062" i="2"/>
  <c r="J2062" i="2"/>
  <c r="BK2056" i="2"/>
  <c r="BI2056" i="2"/>
  <c r="BH2056" i="2"/>
  <c r="BG2056" i="2"/>
  <c r="BF2056" i="2"/>
  <c r="T2056" i="2"/>
  <c r="R2056" i="2"/>
  <c r="P2056" i="2"/>
  <c r="J2056" i="2"/>
  <c r="BE2056" i="2" s="1"/>
  <c r="BK2050" i="2"/>
  <c r="BI2050" i="2"/>
  <c r="BH2050" i="2"/>
  <c r="BG2050" i="2"/>
  <c r="BF2050" i="2"/>
  <c r="T2050" i="2"/>
  <c r="R2050" i="2"/>
  <c r="P2050" i="2"/>
  <c r="J2050" i="2"/>
  <c r="BE2050" i="2" s="1"/>
  <c r="BK2041" i="2"/>
  <c r="BI2041" i="2"/>
  <c r="BH2041" i="2"/>
  <c r="BG2041" i="2"/>
  <c r="BF2041" i="2"/>
  <c r="T2041" i="2"/>
  <c r="R2041" i="2"/>
  <c r="P2041" i="2"/>
  <c r="J2041" i="2"/>
  <c r="BE2041" i="2" s="1"/>
  <c r="BK2034" i="2"/>
  <c r="BI2034" i="2"/>
  <c r="BH2034" i="2"/>
  <c r="BG2034" i="2"/>
  <c r="BF2034" i="2"/>
  <c r="T2034" i="2"/>
  <c r="R2034" i="2"/>
  <c r="P2034" i="2"/>
  <c r="J2034" i="2"/>
  <c r="BE2034" i="2" s="1"/>
  <c r="BK2033" i="2"/>
  <c r="BI2033" i="2"/>
  <c r="BH2033" i="2"/>
  <c r="BG2033" i="2"/>
  <c r="BF2033" i="2"/>
  <c r="BE2033" i="2"/>
  <c r="T2033" i="2"/>
  <c r="R2033" i="2"/>
  <c r="P2033" i="2"/>
  <c r="J2033" i="2"/>
  <c r="BK2031" i="2"/>
  <c r="BI2031" i="2"/>
  <c r="BH2031" i="2"/>
  <c r="BG2031" i="2"/>
  <c r="BF2031" i="2"/>
  <c r="BE2031" i="2"/>
  <c r="T2031" i="2"/>
  <c r="R2031" i="2"/>
  <c r="P2031" i="2"/>
  <c r="J2031" i="2"/>
  <c r="BK2029" i="2"/>
  <c r="BI2029" i="2"/>
  <c r="BH2029" i="2"/>
  <c r="BG2029" i="2"/>
  <c r="BF2029" i="2"/>
  <c r="T2029" i="2"/>
  <c r="R2029" i="2"/>
  <c r="P2029" i="2"/>
  <c r="J2029" i="2"/>
  <c r="BE2029" i="2" s="1"/>
  <c r="BK2027" i="2"/>
  <c r="BI2027" i="2"/>
  <c r="BH2027" i="2"/>
  <c r="BG2027" i="2"/>
  <c r="BF2027" i="2"/>
  <c r="T2027" i="2"/>
  <c r="R2027" i="2"/>
  <c r="P2027" i="2"/>
  <c r="J2027" i="2"/>
  <c r="BE2027" i="2" s="1"/>
  <c r="BK2025" i="2"/>
  <c r="BI2025" i="2"/>
  <c r="BH2025" i="2"/>
  <c r="BG2025" i="2"/>
  <c r="BF2025" i="2"/>
  <c r="T2025" i="2"/>
  <c r="R2025" i="2"/>
  <c r="P2025" i="2"/>
  <c r="J2025" i="2"/>
  <c r="BE2025" i="2" s="1"/>
  <c r="BK2013" i="2"/>
  <c r="BI2013" i="2"/>
  <c r="BH2013" i="2"/>
  <c r="BG2013" i="2"/>
  <c r="BF2013" i="2"/>
  <c r="T2013" i="2"/>
  <c r="R2013" i="2"/>
  <c r="P2013" i="2"/>
  <c r="J2013" i="2"/>
  <c r="BE2013" i="2" s="1"/>
  <c r="BK2011" i="2"/>
  <c r="BI2011" i="2"/>
  <c r="BH2011" i="2"/>
  <c r="BG2011" i="2"/>
  <c r="BF2011" i="2"/>
  <c r="BE2011" i="2"/>
  <c r="T2011" i="2"/>
  <c r="R2011" i="2"/>
  <c r="P2011" i="2"/>
  <c r="J2011" i="2"/>
  <c r="BK2006" i="2"/>
  <c r="BI2006" i="2"/>
  <c r="BH2006" i="2"/>
  <c r="BG2006" i="2"/>
  <c r="BF2006" i="2"/>
  <c r="T2006" i="2"/>
  <c r="R2006" i="2"/>
  <c r="P2006" i="2"/>
  <c r="J2006" i="2"/>
  <c r="BE2006" i="2" s="1"/>
  <c r="BK2003" i="2"/>
  <c r="BI2003" i="2"/>
  <c r="BH2003" i="2"/>
  <c r="BG2003" i="2"/>
  <c r="BF2003" i="2"/>
  <c r="T2003" i="2"/>
  <c r="R2003" i="2"/>
  <c r="P2003" i="2"/>
  <c r="J2003" i="2"/>
  <c r="BE2003" i="2" s="1"/>
  <c r="BK1998" i="2"/>
  <c r="BI1998" i="2"/>
  <c r="BH1998" i="2"/>
  <c r="BG1998" i="2"/>
  <c r="BF1998" i="2"/>
  <c r="T1998" i="2"/>
  <c r="R1998" i="2"/>
  <c r="P1998" i="2"/>
  <c r="J1998" i="2"/>
  <c r="BE1998" i="2" s="1"/>
  <c r="BK1996" i="2"/>
  <c r="BI1996" i="2"/>
  <c r="BH1996" i="2"/>
  <c r="BG1996" i="2"/>
  <c r="BF1996" i="2"/>
  <c r="T1996" i="2"/>
  <c r="R1996" i="2"/>
  <c r="P1996" i="2"/>
  <c r="J1996" i="2"/>
  <c r="BE1996" i="2" s="1"/>
  <c r="BK1984" i="2"/>
  <c r="BI1984" i="2"/>
  <c r="BH1984" i="2"/>
  <c r="BG1984" i="2"/>
  <c r="BF1984" i="2"/>
  <c r="T1984" i="2"/>
  <c r="R1984" i="2"/>
  <c r="P1984" i="2"/>
  <c r="J1984" i="2"/>
  <c r="BE1984" i="2" s="1"/>
  <c r="BK1972" i="2"/>
  <c r="BI1972" i="2"/>
  <c r="BH1972" i="2"/>
  <c r="BG1972" i="2"/>
  <c r="BF1972" i="2"/>
  <c r="T1972" i="2"/>
  <c r="R1972" i="2"/>
  <c r="P1972" i="2"/>
  <c r="J1972" i="2"/>
  <c r="BE1972" i="2" s="1"/>
  <c r="BK1958" i="2"/>
  <c r="BI1958" i="2"/>
  <c r="BH1958" i="2"/>
  <c r="BG1958" i="2"/>
  <c r="BF1958" i="2"/>
  <c r="T1958" i="2"/>
  <c r="R1958" i="2"/>
  <c r="P1958" i="2"/>
  <c r="J1958" i="2"/>
  <c r="BE1958" i="2" s="1"/>
  <c r="BK1950" i="2"/>
  <c r="BI1950" i="2"/>
  <c r="BH1950" i="2"/>
  <c r="BG1950" i="2"/>
  <c r="BF1950" i="2"/>
  <c r="T1950" i="2"/>
  <c r="R1950" i="2"/>
  <c r="P1950" i="2"/>
  <c r="J1950" i="2"/>
  <c r="BE1950" i="2" s="1"/>
  <c r="BK1939" i="2"/>
  <c r="BI1939" i="2"/>
  <c r="BH1939" i="2"/>
  <c r="BG1939" i="2"/>
  <c r="BF1939" i="2"/>
  <c r="BE1939" i="2"/>
  <c r="T1939" i="2"/>
  <c r="R1939" i="2"/>
  <c r="P1939" i="2"/>
  <c r="J1939" i="2"/>
  <c r="BK1936" i="2"/>
  <c r="BI1936" i="2"/>
  <c r="BH1936" i="2"/>
  <c r="BG1936" i="2"/>
  <c r="BF1936" i="2"/>
  <c r="T1936" i="2"/>
  <c r="R1936" i="2"/>
  <c r="P1936" i="2"/>
  <c r="J1936" i="2"/>
  <c r="BE1936" i="2" s="1"/>
  <c r="BK1933" i="2"/>
  <c r="BI1933" i="2"/>
  <c r="BH1933" i="2"/>
  <c r="BG1933" i="2"/>
  <c r="BF1933" i="2"/>
  <c r="T1933" i="2"/>
  <c r="R1933" i="2"/>
  <c r="P1933" i="2"/>
  <c r="J1933" i="2"/>
  <c r="BE1933" i="2" s="1"/>
  <c r="BK1924" i="2"/>
  <c r="BI1924" i="2"/>
  <c r="BH1924" i="2"/>
  <c r="BG1924" i="2"/>
  <c r="BF1924" i="2"/>
  <c r="T1924" i="2"/>
  <c r="R1924" i="2"/>
  <c r="P1924" i="2"/>
  <c r="J1924" i="2"/>
  <c r="BE1924" i="2" s="1"/>
  <c r="BK1915" i="2"/>
  <c r="BI1915" i="2"/>
  <c r="BH1915" i="2"/>
  <c r="BG1915" i="2"/>
  <c r="BF1915" i="2"/>
  <c r="T1915" i="2"/>
  <c r="R1915" i="2"/>
  <c r="P1915" i="2"/>
  <c r="J1915" i="2"/>
  <c r="BE1915" i="2" s="1"/>
  <c r="BK1908" i="2"/>
  <c r="BI1908" i="2"/>
  <c r="BH1908" i="2"/>
  <c r="BG1908" i="2"/>
  <c r="BF1908" i="2"/>
  <c r="T1908" i="2"/>
  <c r="R1908" i="2"/>
  <c r="P1908" i="2"/>
  <c r="J1908" i="2"/>
  <c r="BE1908" i="2" s="1"/>
  <c r="BK1906" i="2"/>
  <c r="BI1906" i="2"/>
  <c r="BH1906" i="2"/>
  <c r="BG1906" i="2"/>
  <c r="BF1906" i="2"/>
  <c r="T1906" i="2"/>
  <c r="R1906" i="2"/>
  <c r="P1906" i="2"/>
  <c r="J1906" i="2"/>
  <c r="BE1906" i="2" s="1"/>
  <c r="BK1883" i="2"/>
  <c r="BI1883" i="2"/>
  <c r="BH1883" i="2"/>
  <c r="BG1883" i="2"/>
  <c r="BF1883" i="2"/>
  <c r="BE1883" i="2"/>
  <c r="T1883" i="2"/>
  <c r="R1883" i="2"/>
  <c r="P1883" i="2"/>
  <c r="J1883" i="2"/>
  <c r="BK1880" i="2"/>
  <c r="BI1880" i="2"/>
  <c r="BH1880" i="2"/>
  <c r="BG1880" i="2"/>
  <c r="BF1880" i="2"/>
  <c r="T1880" i="2"/>
  <c r="R1880" i="2"/>
  <c r="P1880" i="2"/>
  <c r="J1880" i="2"/>
  <c r="BE1880" i="2" s="1"/>
  <c r="BK1877" i="2"/>
  <c r="BI1877" i="2"/>
  <c r="BH1877" i="2"/>
  <c r="BG1877" i="2"/>
  <c r="BF1877" i="2"/>
  <c r="T1877" i="2"/>
  <c r="R1877" i="2"/>
  <c r="P1877" i="2"/>
  <c r="J1877" i="2"/>
  <c r="BE1877" i="2" s="1"/>
  <c r="BK1766" i="2"/>
  <c r="BI1766" i="2"/>
  <c r="BH1766" i="2"/>
  <c r="BG1766" i="2"/>
  <c r="BF1766" i="2"/>
  <c r="T1766" i="2"/>
  <c r="R1766" i="2"/>
  <c r="P1766" i="2"/>
  <c r="J1766" i="2"/>
  <c r="BE1766" i="2" s="1"/>
  <c r="BK1765" i="2"/>
  <c r="BI1765" i="2"/>
  <c r="BH1765" i="2"/>
  <c r="BG1765" i="2"/>
  <c r="BF1765" i="2"/>
  <c r="T1765" i="2"/>
  <c r="R1765" i="2"/>
  <c r="P1765" i="2"/>
  <c r="J1765" i="2"/>
  <c r="BE1765" i="2" s="1"/>
  <c r="BK1742" i="2"/>
  <c r="BI1742" i="2"/>
  <c r="BH1742" i="2"/>
  <c r="BG1742" i="2"/>
  <c r="BF1742" i="2"/>
  <c r="T1742" i="2"/>
  <c r="R1742" i="2"/>
  <c r="P1742" i="2"/>
  <c r="J1742" i="2"/>
  <c r="BE1742" i="2" s="1"/>
  <c r="BK1739" i="2"/>
  <c r="BI1739" i="2"/>
  <c r="BH1739" i="2"/>
  <c r="BG1739" i="2"/>
  <c r="BF1739" i="2"/>
  <c r="T1739" i="2"/>
  <c r="R1739" i="2"/>
  <c r="P1739" i="2"/>
  <c r="J1739" i="2"/>
  <c r="BE1739" i="2" s="1"/>
  <c r="BK1736" i="2"/>
  <c r="BI1736" i="2"/>
  <c r="BH1736" i="2"/>
  <c r="BG1736" i="2"/>
  <c r="BF1736" i="2"/>
  <c r="T1736" i="2"/>
  <c r="R1736" i="2"/>
  <c r="P1736" i="2"/>
  <c r="J1736" i="2"/>
  <c r="BE1736" i="2" s="1"/>
  <c r="BK1722" i="2"/>
  <c r="BI1722" i="2"/>
  <c r="BH1722" i="2"/>
  <c r="BG1722" i="2"/>
  <c r="BF1722" i="2"/>
  <c r="T1722" i="2"/>
  <c r="R1722" i="2"/>
  <c r="P1722" i="2"/>
  <c r="J1722" i="2"/>
  <c r="BE1722" i="2" s="1"/>
  <c r="BK1713" i="2"/>
  <c r="BI1713" i="2"/>
  <c r="BH1713" i="2"/>
  <c r="BG1713" i="2"/>
  <c r="BF1713" i="2"/>
  <c r="T1713" i="2"/>
  <c r="R1713" i="2"/>
  <c r="P1713" i="2"/>
  <c r="J1713" i="2"/>
  <c r="BE1713" i="2" s="1"/>
  <c r="BK1704" i="2"/>
  <c r="BI1704" i="2"/>
  <c r="BH1704" i="2"/>
  <c r="BG1704" i="2"/>
  <c r="BF1704" i="2"/>
  <c r="T1704" i="2"/>
  <c r="R1704" i="2"/>
  <c r="P1704" i="2"/>
  <c r="J1704" i="2"/>
  <c r="BE1704" i="2" s="1"/>
  <c r="BK1702" i="2"/>
  <c r="BI1702" i="2"/>
  <c r="BH1702" i="2"/>
  <c r="BG1702" i="2"/>
  <c r="BF1702" i="2"/>
  <c r="T1702" i="2"/>
  <c r="R1702" i="2"/>
  <c r="P1702" i="2"/>
  <c r="J1702" i="2"/>
  <c r="BE1702" i="2" s="1"/>
  <c r="BK1699" i="2"/>
  <c r="BI1699" i="2"/>
  <c r="BH1699" i="2"/>
  <c r="BG1699" i="2"/>
  <c r="BF1699" i="2"/>
  <c r="T1699" i="2"/>
  <c r="R1699" i="2"/>
  <c r="P1699" i="2"/>
  <c r="J1699" i="2"/>
  <c r="BE1699" i="2" s="1"/>
  <c r="BK1649" i="2"/>
  <c r="BI1649" i="2"/>
  <c r="BH1649" i="2"/>
  <c r="BG1649" i="2"/>
  <c r="BF1649" i="2"/>
  <c r="T1649" i="2"/>
  <c r="R1649" i="2"/>
  <c r="P1649" i="2"/>
  <c r="J1649" i="2"/>
  <c r="BE1649" i="2" s="1"/>
  <c r="BK1648" i="2"/>
  <c r="BI1648" i="2"/>
  <c r="BH1648" i="2"/>
  <c r="BG1648" i="2"/>
  <c r="BF1648" i="2"/>
  <c r="T1648" i="2"/>
  <c r="R1648" i="2"/>
  <c r="P1648" i="2"/>
  <c r="J1648" i="2"/>
  <c r="BE1648" i="2" s="1"/>
  <c r="BK1647" i="2"/>
  <c r="BI1647" i="2"/>
  <c r="BH1647" i="2"/>
  <c r="BG1647" i="2"/>
  <c r="BF1647" i="2"/>
  <c r="T1647" i="2"/>
  <c r="R1647" i="2"/>
  <c r="P1647" i="2"/>
  <c r="J1647" i="2"/>
  <c r="BE1647" i="2" s="1"/>
  <c r="BK1646" i="2"/>
  <c r="BI1646" i="2"/>
  <c r="BH1646" i="2"/>
  <c r="BG1646" i="2"/>
  <c r="BF1646" i="2"/>
  <c r="T1646" i="2"/>
  <c r="R1646" i="2"/>
  <c r="P1646" i="2"/>
  <c r="J1646" i="2"/>
  <c r="BE1646" i="2" s="1"/>
  <c r="BK1591" i="2"/>
  <c r="BI1591" i="2"/>
  <c r="BH1591" i="2"/>
  <c r="BG1591" i="2"/>
  <c r="BF1591" i="2"/>
  <c r="T1591" i="2"/>
  <c r="R1591" i="2"/>
  <c r="P1591" i="2"/>
  <c r="J1591" i="2"/>
  <c r="BE1591" i="2" s="1"/>
  <c r="BK1576" i="2"/>
  <c r="BI1576" i="2"/>
  <c r="BH1576" i="2"/>
  <c r="BG1576" i="2"/>
  <c r="BF1576" i="2"/>
  <c r="T1576" i="2"/>
  <c r="R1576" i="2"/>
  <c r="P1576" i="2"/>
  <c r="J1576" i="2"/>
  <c r="BE1576" i="2" s="1"/>
  <c r="BK1557" i="2"/>
  <c r="BI1557" i="2"/>
  <c r="BH1557" i="2"/>
  <c r="BG1557" i="2"/>
  <c r="BF1557" i="2"/>
  <c r="T1557" i="2"/>
  <c r="R1557" i="2"/>
  <c r="P1557" i="2"/>
  <c r="J1557" i="2"/>
  <c r="BE1557" i="2" s="1"/>
  <c r="BK1526" i="2"/>
  <c r="BI1526" i="2"/>
  <c r="BH1526" i="2"/>
  <c r="BG1526" i="2"/>
  <c r="BF1526" i="2"/>
  <c r="T1526" i="2"/>
  <c r="R1526" i="2"/>
  <c r="P1526" i="2"/>
  <c r="J1526" i="2"/>
  <c r="BE1526" i="2" s="1"/>
  <c r="BK1479" i="2"/>
  <c r="BI1479" i="2"/>
  <c r="BH1479" i="2"/>
  <c r="BG1479" i="2"/>
  <c r="BF1479" i="2"/>
  <c r="T1479" i="2"/>
  <c r="R1479" i="2"/>
  <c r="P1479" i="2"/>
  <c r="J1479" i="2"/>
  <c r="BE1479" i="2" s="1"/>
  <c r="BK1457" i="2"/>
  <c r="BI1457" i="2"/>
  <c r="BH1457" i="2"/>
  <c r="BG1457" i="2"/>
  <c r="BF1457" i="2"/>
  <c r="BE1457" i="2"/>
  <c r="T1457" i="2"/>
  <c r="R1457" i="2"/>
  <c r="P1457" i="2"/>
  <c r="J1457" i="2"/>
  <c r="BK1421" i="2"/>
  <c r="BI1421" i="2"/>
  <c r="BH1421" i="2"/>
  <c r="BG1421" i="2"/>
  <c r="BF1421" i="2"/>
  <c r="T1421" i="2"/>
  <c r="R1421" i="2"/>
  <c r="P1421" i="2"/>
  <c r="J1421" i="2"/>
  <c r="BE1421" i="2" s="1"/>
  <c r="BK1394" i="2"/>
  <c r="BI1394" i="2"/>
  <c r="BH1394" i="2"/>
  <c r="BG1394" i="2"/>
  <c r="BF1394" i="2"/>
  <c r="T1394" i="2"/>
  <c r="R1394" i="2"/>
  <c r="P1394" i="2"/>
  <c r="J1394" i="2"/>
  <c r="BE1394" i="2" s="1"/>
  <c r="BK1389" i="2"/>
  <c r="BI1389" i="2"/>
  <c r="BH1389" i="2"/>
  <c r="BG1389" i="2"/>
  <c r="BF1389" i="2"/>
  <c r="T1389" i="2"/>
  <c r="R1389" i="2"/>
  <c r="P1389" i="2"/>
  <c r="J1389" i="2"/>
  <c r="BE1389" i="2" s="1"/>
  <c r="BK1385" i="2"/>
  <c r="BI1385" i="2"/>
  <c r="BH1385" i="2"/>
  <c r="BG1385" i="2"/>
  <c r="BF1385" i="2"/>
  <c r="T1385" i="2"/>
  <c r="R1385" i="2"/>
  <c r="P1385" i="2"/>
  <c r="J1385" i="2"/>
  <c r="BE1385" i="2" s="1"/>
  <c r="BK1371" i="2"/>
  <c r="BI1371" i="2"/>
  <c r="BH1371" i="2"/>
  <c r="BG1371" i="2"/>
  <c r="BF1371" i="2"/>
  <c r="T1371" i="2"/>
  <c r="R1371" i="2"/>
  <c r="P1371" i="2"/>
  <c r="J1371" i="2"/>
  <c r="BE1371" i="2" s="1"/>
  <c r="BK1339" i="2"/>
  <c r="BI1339" i="2"/>
  <c r="BH1339" i="2"/>
  <c r="BG1339" i="2"/>
  <c r="BF1339" i="2"/>
  <c r="T1339" i="2"/>
  <c r="R1339" i="2"/>
  <c r="P1339" i="2"/>
  <c r="J1339" i="2"/>
  <c r="BE1339" i="2" s="1"/>
  <c r="BK1335" i="2"/>
  <c r="BI1335" i="2"/>
  <c r="BH1335" i="2"/>
  <c r="BG1335" i="2"/>
  <c r="BF1335" i="2"/>
  <c r="T1335" i="2"/>
  <c r="R1335" i="2"/>
  <c r="P1335" i="2"/>
  <c r="J1335" i="2"/>
  <c r="BE1335" i="2" s="1"/>
  <c r="BK1330" i="2"/>
  <c r="BI1330" i="2"/>
  <c r="BH1330" i="2"/>
  <c r="BG1330" i="2"/>
  <c r="BF1330" i="2"/>
  <c r="T1330" i="2"/>
  <c r="R1330" i="2"/>
  <c r="P1330" i="2"/>
  <c r="J1330" i="2"/>
  <c r="BE1330" i="2" s="1"/>
  <c r="BK1299" i="2"/>
  <c r="BI1299" i="2"/>
  <c r="BH1299" i="2"/>
  <c r="BG1299" i="2"/>
  <c r="BF1299" i="2"/>
  <c r="T1299" i="2"/>
  <c r="R1299" i="2"/>
  <c r="P1299" i="2"/>
  <c r="J1299" i="2"/>
  <c r="BE1299" i="2" s="1"/>
  <c r="BK1262" i="2"/>
  <c r="BI1262" i="2"/>
  <c r="BH1262" i="2"/>
  <c r="BG1262" i="2"/>
  <c r="BF1262" i="2"/>
  <c r="T1262" i="2"/>
  <c r="R1262" i="2"/>
  <c r="P1262" i="2"/>
  <c r="J1262" i="2"/>
  <c r="BE1262" i="2" s="1"/>
  <c r="BK1257" i="2"/>
  <c r="BI1257" i="2"/>
  <c r="BH1257" i="2"/>
  <c r="BG1257" i="2"/>
  <c r="BF1257" i="2"/>
  <c r="T1257" i="2"/>
  <c r="R1257" i="2"/>
  <c r="P1257" i="2"/>
  <c r="J1257" i="2"/>
  <c r="BE1257" i="2" s="1"/>
  <c r="BK1208" i="2"/>
  <c r="BI1208" i="2"/>
  <c r="BH1208" i="2"/>
  <c r="BG1208" i="2"/>
  <c r="BF1208" i="2"/>
  <c r="T1208" i="2"/>
  <c r="R1208" i="2"/>
  <c r="P1208" i="2"/>
  <c r="J1208" i="2"/>
  <c r="BE1208" i="2" s="1"/>
  <c r="BK1184" i="2"/>
  <c r="BI1184" i="2"/>
  <c r="BH1184" i="2"/>
  <c r="BG1184" i="2"/>
  <c r="BF1184" i="2"/>
  <c r="T1184" i="2"/>
  <c r="R1184" i="2"/>
  <c r="P1184" i="2"/>
  <c r="J1184" i="2"/>
  <c r="BE1184" i="2" s="1"/>
  <c r="BK1170" i="2"/>
  <c r="BI1170" i="2"/>
  <c r="BH1170" i="2"/>
  <c r="BG1170" i="2"/>
  <c r="BF1170" i="2"/>
  <c r="T1170" i="2"/>
  <c r="R1170" i="2"/>
  <c r="P1170" i="2"/>
  <c r="J1170" i="2"/>
  <c r="BE1170" i="2" s="1"/>
  <c r="BK1149" i="2"/>
  <c r="BI1149" i="2"/>
  <c r="BH1149" i="2"/>
  <c r="BG1149" i="2"/>
  <c r="BF1149" i="2"/>
  <c r="T1149" i="2"/>
  <c r="R1149" i="2"/>
  <c r="P1149" i="2"/>
  <c r="J1149" i="2"/>
  <c r="BE1149" i="2" s="1"/>
  <c r="BK1125" i="2"/>
  <c r="BI1125" i="2"/>
  <c r="BH1125" i="2"/>
  <c r="BG1125" i="2"/>
  <c r="BF1125" i="2"/>
  <c r="T1125" i="2"/>
  <c r="R1125" i="2"/>
  <c r="P1125" i="2"/>
  <c r="J1125" i="2"/>
  <c r="BE1125" i="2" s="1"/>
  <c r="BK1116" i="2"/>
  <c r="BI1116" i="2"/>
  <c r="BH1116" i="2"/>
  <c r="BG1116" i="2"/>
  <c r="BF1116" i="2"/>
  <c r="T1116" i="2"/>
  <c r="R1116" i="2"/>
  <c r="P1116" i="2"/>
  <c r="J1116" i="2"/>
  <c r="BE1116" i="2" s="1"/>
  <c r="BK1071" i="2"/>
  <c r="BI1071" i="2"/>
  <c r="BH1071" i="2"/>
  <c r="BG1071" i="2"/>
  <c r="BF1071" i="2"/>
  <c r="T1071" i="2"/>
  <c r="R1071" i="2"/>
  <c r="P1071" i="2"/>
  <c r="J1071" i="2"/>
  <c r="BE1071" i="2" s="1"/>
  <c r="BK1056" i="2"/>
  <c r="BI1056" i="2"/>
  <c r="BH1056" i="2"/>
  <c r="BG1056" i="2"/>
  <c r="BF1056" i="2"/>
  <c r="T1056" i="2"/>
  <c r="R1056" i="2"/>
  <c r="P1056" i="2"/>
  <c r="J1056" i="2"/>
  <c r="BE1056" i="2" s="1"/>
  <c r="BK1047" i="2"/>
  <c r="BI1047" i="2"/>
  <c r="BH1047" i="2"/>
  <c r="BG1047" i="2"/>
  <c r="BF1047" i="2"/>
  <c r="T1047" i="2"/>
  <c r="R1047" i="2"/>
  <c r="P1047" i="2"/>
  <c r="J1047" i="2"/>
  <c r="BE1047" i="2" s="1"/>
  <c r="BK1032" i="2"/>
  <c r="BI1032" i="2"/>
  <c r="BH1032" i="2"/>
  <c r="BG1032" i="2"/>
  <c r="BF1032" i="2"/>
  <c r="T1032" i="2"/>
  <c r="R1032" i="2"/>
  <c r="P1032" i="2"/>
  <c r="J1032" i="2"/>
  <c r="BE1032" i="2" s="1"/>
  <c r="BK1030" i="2"/>
  <c r="BI1030" i="2"/>
  <c r="BH1030" i="2"/>
  <c r="BG1030" i="2"/>
  <c r="BF1030" i="2"/>
  <c r="T1030" i="2"/>
  <c r="R1030" i="2"/>
  <c r="P1030" i="2"/>
  <c r="J1030" i="2"/>
  <c r="BE1030" i="2" s="1"/>
  <c r="BK1028" i="2"/>
  <c r="BI1028" i="2"/>
  <c r="BH1028" i="2"/>
  <c r="BG1028" i="2"/>
  <c r="BF1028" i="2"/>
  <c r="T1028" i="2"/>
  <c r="R1028" i="2"/>
  <c r="P1028" i="2"/>
  <c r="J1028" i="2"/>
  <c r="BE1028" i="2" s="1"/>
  <c r="BK1023" i="2"/>
  <c r="BI1023" i="2"/>
  <c r="BH1023" i="2"/>
  <c r="BG1023" i="2"/>
  <c r="BF1023" i="2"/>
  <c r="T1023" i="2"/>
  <c r="R1023" i="2"/>
  <c r="P1023" i="2"/>
  <c r="J1023" i="2"/>
  <c r="BE1023" i="2" s="1"/>
  <c r="BK1021" i="2"/>
  <c r="BI1021" i="2"/>
  <c r="BH1021" i="2"/>
  <c r="BG1021" i="2"/>
  <c r="BF1021" i="2"/>
  <c r="T1021" i="2"/>
  <c r="R1021" i="2"/>
  <c r="P1021" i="2"/>
  <c r="J1021" i="2"/>
  <c r="BE1021" i="2" s="1"/>
  <c r="BK1009" i="2"/>
  <c r="BI1009" i="2"/>
  <c r="BH1009" i="2"/>
  <c r="BG1009" i="2"/>
  <c r="BF1009" i="2"/>
  <c r="T1009" i="2"/>
  <c r="R1009" i="2"/>
  <c r="P1009" i="2"/>
  <c r="J1009" i="2"/>
  <c r="BE1009" i="2" s="1"/>
  <c r="BK1007" i="2"/>
  <c r="BI1007" i="2"/>
  <c r="BH1007" i="2"/>
  <c r="BG1007" i="2"/>
  <c r="BF1007" i="2"/>
  <c r="T1007" i="2"/>
  <c r="R1007" i="2"/>
  <c r="P1007" i="2"/>
  <c r="J1007" i="2"/>
  <c r="BE1007" i="2" s="1"/>
  <c r="BK992" i="2"/>
  <c r="BI992" i="2"/>
  <c r="BH992" i="2"/>
  <c r="BG992" i="2"/>
  <c r="BF992" i="2"/>
  <c r="T992" i="2"/>
  <c r="R992" i="2"/>
  <c r="P992" i="2"/>
  <c r="J992" i="2"/>
  <c r="BE992" i="2" s="1"/>
  <c r="BK984" i="2"/>
  <c r="BI984" i="2"/>
  <c r="BH984" i="2"/>
  <c r="BG984" i="2"/>
  <c r="BF984" i="2"/>
  <c r="T984" i="2"/>
  <c r="R984" i="2"/>
  <c r="P984" i="2"/>
  <c r="J984" i="2"/>
  <c r="BE984" i="2" s="1"/>
  <c r="BK976" i="2"/>
  <c r="BI976" i="2"/>
  <c r="BH976" i="2"/>
  <c r="BG976" i="2"/>
  <c r="BF976" i="2"/>
  <c r="T976" i="2"/>
  <c r="R976" i="2"/>
  <c r="P976" i="2"/>
  <c r="J976" i="2"/>
  <c r="BE976" i="2" s="1"/>
  <c r="BK974" i="2"/>
  <c r="BI974" i="2"/>
  <c r="BH974" i="2"/>
  <c r="BG974" i="2"/>
  <c r="BF974" i="2"/>
  <c r="T974" i="2"/>
  <c r="R974" i="2"/>
  <c r="P974" i="2"/>
  <c r="J974" i="2"/>
  <c r="BE974" i="2" s="1"/>
  <c r="BK968" i="2"/>
  <c r="BI968" i="2"/>
  <c r="BH968" i="2"/>
  <c r="BG968" i="2"/>
  <c r="BF968" i="2"/>
  <c r="T968" i="2"/>
  <c r="R968" i="2"/>
  <c r="P968" i="2"/>
  <c r="J968" i="2"/>
  <c r="BE968" i="2" s="1"/>
  <c r="BK958" i="2"/>
  <c r="BI958" i="2"/>
  <c r="BH958" i="2"/>
  <c r="BG958" i="2"/>
  <c r="BF958" i="2"/>
  <c r="T958" i="2"/>
  <c r="R958" i="2"/>
  <c r="P958" i="2"/>
  <c r="J958" i="2"/>
  <c r="BE958" i="2" s="1"/>
  <c r="BK937" i="2"/>
  <c r="BI937" i="2"/>
  <c r="BH937" i="2"/>
  <c r="BG937" i="2"/>
  <c r="BF937" i="2"/>
  <c r="T937" i="2"/>
  <c r="R937" i="2"/>
  <c r="P937" i="2"/>
  <c r="J937" i="2"/>
  <c r="BE937" i="2" s="1"/>
  <c r="BK931" i="2"/>
  <c r="BI931" i="2"/>
  <c r="BH931" i="2"/>
  <c r="BG931" i="2"/>
  <c r="BF931" i="2"/>
  <c r="T931" i="2"/>
  <c r="R931" i="2"/>
  <c r="P931" i="2"/>
  <c r="J931" i="2"/>
  <c r="BE931" i="2" s="1"/>
  <c r="BK928" i="2"/>
  <c r="BI928" i="2"/>
  <c r="BH928" i="2"/>
  <c r="BG928" i="2"/>
  <c r="BF928" i="2"/>
  <c r="T928" i="2"/>
  <c r="R928" i="2"/>
  <c r="P928" i="2"/>
  <c r="J928" i="2"/>
  <c r="BE928" i="2" s="1"/>
  <c r="BK921" i="2"/>
  <c r="BI921" i="2"/>
  <c r="BH921" i="2"/>
  <c r="BG921" i="2"/>
  <c r="BF921" i="2"/>
  <c r="T921" i="2"/>
  <c r="R921" i="2"/>
  <c r="P921" i="2"/>
  <c r="J921" i="2"/>
  <c r="BE921" i="2" s="1"/>
  <c r="BK918" i="2"/>
  <c r="BI918" i="2"/>
  <c r="BH918" i="2"/>
  <c r="BG918" i="2"/>
  <c r="BF918" i="2"/>
  <c r="T918" i="2"/>
  <c r="R918" i="2"/>
  <c r="P918" i="2"/>
  <c r="J918" i="2"/>
  <c r="BE918" i="2" s="1"/>
  <c r="BK903" i="2"/>
  <c r="BI903" i="2"/>
  <c r="BH903" i="2"/>
  <c r="BG903" i="2"/>
  <c r="BF903" i="2"/>
  <c r="T903" i="2"/>
  <c r="R903" i="2"/>
  <c r="P903" i="2"/>
  <c r="J903" i="2"/>
  <c r="BE903" i="2" s="1"/>
  <c r="BK901" i="2"/>
  <c r="BI901" i="2"/>
  <c r="BH901" i="2"/>
  <c r="BG901" i="2"/>
  <c r="BF901" i="2"/>
  <c r="T901" i="2"/>
  <c r="R901" i="2"/>
  <c r="P901" i="2"/>
  <c r="J901" i="2"/>
  <c r="BE901" i="2" s="1"/>
  <c r="BK899" i="2"/>
  <c r="BI899" i="2"/>
  <c r="BH899" i="2"/>
  <c r="BG899" i="2"/>
  <c r="BF899" i="2"/>
  <c r="T899" i="2"/>
  <c r="R899" i="2"/>
  <c r="P899" i="2"/>
  <c r="J899" i="2"/>
  <c r="BE899" i="2" s="1"/>
  <c r="BK898" i="2"/>
  <c r="BI898" i="2"/>
  <c r="BH898" i="2"/>
  <c r="BG898" i="2"/>
  <c r="BF898" i="2"/>
  <c r="T898" i="2"/>
  <c r="R898" i="2"/>
  <c r="P898" i="2"/>
  <c r="J898" i="2"/>
  <c r="BE898" i="2" s="1"/>
  <c r="BK889" i="2"/>
  <c r="BI889" i="2"/>
  <c r="BH889" i="2"/>
  <c r="BG889" i="2"/>
  <c r="BF889" i="2"/>
  <c r="T889" i="2"/>
  <c r="R889" i="2"/>
  <c r="P889" i="2"/>
  <c r="J889" i="2"/>
  <c r="BE889" i="2" s="1"/>
  <c r="BK882" i="2"/>
  <c r="BI882" i="2"/>
  <c r="BH882" i="2"/>
  <c r="BG882" i="2"/>
  <c r="BF882" i="2"/>
  <c r="T882" i="2"/>
  <c r="R882" i="2"/>
  <c r="P882" i="2"/>
  <c r="J882" i="2"/>
  <c r="BE882" i="2" s="1"/>
  <c r="BK878" i="2"/>
  <c r="BI878" i="2"/>
  <c r="BH878" i="2"/>
  <c r="BG878" i="2"/>
  <c r="BF878" i="2"/>
  <c r="T878" i="2"/>
  <c r="R878" i="2"/>
  <c r="P878" i="2"/>
  <c r="J878" i="2"/>
  <c r="BE878" i="2" s="1"/>
  <c r="BK874" i="2"/>
  <c r="BI874" i="2"/>
  <c r="BH874" i="2"/>
  <c r="BG874" i="2"/>
  <c r="BF874" i="2"/>
  <c r="T874" i="2"/>
  <c r="R874" i="2"/>
  <c r="P874" i="2"/>
  <c r="J874" i="2"/>
  <c r="BE874" i="2" s="1"/>
  <c r="BK871" i="2"/>
  <c r="BK870" i="2" s="1"/>
  <c r="J870" i="2" s="1"/>
  <c r="J104" i="2" s="1"/>
  <c r="BI871" i="2"/>
  <c r="BH871" i="2"/>
  <c r="BG871" i="2"/>
  <c r="BF871" i="2"/>
  <c r="T871" i="2"/>
  <c r="T870" i="2" s="1"/>
  <c r="R871" i="2"/>
  <c r="R870" i="2" s="1"/>
  <c r="P871" i="2"/>
  <c r="P870" i="2" s="1"/>
  <c r="J871" i="2"/>
  <c r="BE871" i="2" s="1"/>
  <c r="BK868" i="2"/>
  <c r="BI868" i="2"/>
  <c r="BH868" i="2"/>
  <c r="BG868" i="2"/>
  <c r="BF868" i="2"/>
  <c r="T868" i="2"/>
  <c r="R868" i="2"/>
  <c r="P868" i="2"/>
  <c r="J868" i="2"/>
  <c r="BE868" i="2" s="1"/>
  <c r="BK863" i="2"/>
  <c r="BI863" i="2"/>
  <c r="BH863" i="2"/>
  <c r="BG863" i="2"/>
  <c r="BF863" i="2"/>
  <c r="T863" i="2"/>
  <c r="R863" i="2"/>
  <c r="P863" i="2"/>
  <c r="J863" i="2"/>
  <c r="BE863" i="2" s="1"/>
  <c r="BK862" i="2"/>
  <c r="BI862" i="2"/>
  <c r="BH862" i="2"/>
  <c r="BG862" i="2"/>
  <c r="BF862" i="2"/>
  <c r="BE862" i="2"/>
  <c r="T862" i="2"/>
  <c r="R862" i="2"/>
  <c r="P862" i="2"/>
  <c r="J862" i="2"/>
  <c r="BK860" i="2"/>
  <c r="BI860" i="2"/>
  <c r="BH860" i="2"/>
  <c r="BG860" i="2"/>
  <c r="BF860" i="2"/>
  <c r="T860" i="2"/>
  <c r="R860" i="2"/>
  <c r="P860" i="2"/>
  <c r="J860" i="2"/>
  <c r="BE860" i="2" s="1"/>
  <c r="BK855" i="2"/>
  <c r="BI855" i="2"/>
  <c r="BH855" i="2"/>
  <c r="BG855" i="2"/>
  <c r="BF855" i="2"/>
  <c r="T855" i="2"/>
  <c r="R855" i="2"/>
  <c r="P855" i="2"/>
  <c r="J855" i="2"/>
  <c r="BE855" i="2" s="1"/>
  <c r="BK854" i="2"/>
  <c r="BI854" i="2"/>
  <c r="BH854" i="2"/>
  <c r="BG854" i="2"/>
  <c r="BF854" i="2"/>
  <c r="T854" i="2"/>
  <c r="R854" i="2"/>
  <c r="P854" i="2"/>
  <c r="J854" i="2"/>
  <c r="BE854" i="2" s="1"/>
  <c r="BK838" i="2"/>
  <c r="BI838" i="2"/>
  <c r="BH838" i="2"/>
  <c r="BG838" i="2"/>
  <c r="BF838" i="2"/>
  <c r="T838" i="2"/>
  <c r="R838" i="2"/>
  <c r="P838" i="2"/>
  <c r="J838" i="2"/>
  <c r="BE838" i="2" s="1"/>
  <c r="BK837" i="2"/>
  <c r="BI837" i="2"/>
  <c r="BH837" i="2"/>
  <c r="BG837" i="2"/>
  <c r="BF837" i="2"/>
  <c r="T837" i="2"/>
  <c r="R837" i="2"/>
  <c r="P837" i="2"/>
  <c r="J837" i="2"/>
  <c r="BE837" i="2" s="1"/>
  <c r="BK836" i="2"/>
  <c r="BI836" i="2"/>
  <c r="BH836" i="2"/>
  <c r="BG836" i="2"/>
  <c r="BF836" i="2"/>
  <c r="T836" i="2"/>
  <c r="R836" i="2"/>
  <c r="P836" i="2"/>
  <c r="J836" i="2"/>
  <c r="BE836" i="2" s="1"/>
  <c r="BK833" i="2"/>
  <c r="BI833" i="2"/>
  <c r="BH833" i="2"/>
  <c r="BG833" i="2"/>
  <c r="BF833" i="2"/>
  <c r="BE833" i="2"/>
  <c r="T833" i="2"/>
  <c r="R833" i="2"/>
  <c r="P833" i="2"/>
  <c r="J833" i="2"/>
  <c r="BK720" i="2"/>
  <c r="BI720" i="2"/>
  <c r="BH720" i="2"/>
  <c r="BG720" i="2"/>
  <c r="BF720" i="2"/>
  <c r="T720" i="2"/>
  <c r="R720" i="2"/>
  <c r="P720" i="2"/>
  <c r="J720" i="2"/>
  <c r="BE720" i="2" s="1"/>
  <c r="BK716" i="2"/>
  <c r="BI716" i="2"/>
  <c r="BH716" i="2"/>
  <c r="BG716" i="2"/>
  <c r="BF716" i="2"/>
  <c r="T716" i="2"/>
  <c r="R716" i="2"/>
  <c r="P716" i="2"/>
  <c r="J716" i="2"/>
  <c r="BE716" i="2" s="1"/>
  <c r="BK713" i="2"/>
  <c r="BI713" i="2"/>
  <c r="BH713" i="2"/>
  <c r="BG713" i="2"/>
  <c r="BF713" i="2"/>
  <c r="T713" i="2"/>
  <c r="R713" i="2"/>
  <c r="P713" i="2"/>
  <c r="J713" i="2"/>
  <c r="BE713" i="2" s="1"/>
  <c r="BK708" i="2"/>
  <c r="BI708" i="2"/>
  <c r="BH708" i="2"/>
  <c r="BG708" i="2"/>
  <c r="BF708" i="2"/>
  <c r="T708" i="2"/>
  <c r="R708" i="2"/>
  <c r="P708" i="2"/>
  <c r="J708" i="2"/>
  <c r="BE708" i="2" s="1"/>
  <c r="BK703" i="2"/>
  <c r="BI703" i="2"/>
  <c r="BH703" i="2"/>
  <c r="BG703" i="2"/>
  <c r="BF703" i="2"/>
  <c r="T703" i="2"/>
  <c r="R703" i="2"/>
  <c r="P703" i="2"/>
  <c r="J703" i="2"/>
  <c r="BE703" i="2" s="1"/>
  <c r="BK691" i="2"/>
  <c r="BI691" i="2"/>
  <c r="BH691" i="2"/>
  <c r="BG691" i="2"/>
  <c r="BF691" i="2"/>
  <c r="T691" i="2"/>
  <c r="R691" i="2"/>
  <c r="P691" i="2"/>
  <c r="J691" i="2"/>
  <c r="BE691" i="2" s="1"/>
  <c r="BK686" i="2"/>
  <c r="BI686" i="2"/>
  <c r="BH686" i="2"/>
  <c r="BG686" i="2"/>
  <c r="BF686" i="2"/>
  <c r="T686" i="2"/>
  <c r="R686" i="2"/>
  <c r="P686" i="2"/>
  <c r="J686" i="2"/>
  <c r="BE686" i="2" s="1"/>
  <c r="BK683" i="2"/>
  <c r="BI683" i="2"/>
  <c r="BH683" i="2"/>
  <c r="BG683" i="2"/>
  <c r="BF683" i="2"/>
  <c r="T683" i="2"/>
  <c r="R683" i="2"/>
  <c r="P683" i="2"/>
  <c r="J683" i="2"/>
  <c r="BE683" i="2" s="1"/>
  <c r="BK676" i="2"/>
  <c r="BI676" i="2"/>
  <c r="BH676" i="2"/>
  <c r="BG676" i="2"/>
  <c r="BF676" i="2"/>
  <c r="T676" i="2"/>
  <c r="R676" i="2"/>
  <c r="P676" i="2"/>
  <c r="J676" i="2"/>
  <c r="BE676" i="2" s="1"/>
  <c r="BK669" i="2"/>
  <c r="BI669" i="2"/>
  <c r="BH669" i="2"/>
  <c r="BG669" i="2"/>
  <c r="BF669" i="2"/>
  <c r="T669" i="2"/>
  <c r="R669" i="2"/>
  <c r="P669" i="2"/>
  <c r="J669" i="2"/>
  <c r="BE669" i="2" s="1"/>
  <c r="BK666" i="2"/>
  <c r="BI666" i="2"/>
  <c r="BH666" i="2"/>
  <c r="BG666" i="2"/>
  <c r="BF666" i="2"/>
  <c r="T666" i="2"/>
  <c r="R666" i="2"/>
  <c r="P666" i="2"/>
  <c r="J666" i="2"/>
  <c r="BE666" i="2" s="1"/>
  <c r="BK656" i="2"/>
  <c r="BI656" i="2"/>
  <c r="BH656" i="2"/>
  <c r="BG656" i="2"/>
  <c r="BF656" i="2"/>
  <c r="T656" i="2"/>
  <c r="R656" i="2"/>
  <c r="P656" i="2"/>
  <c r="J656" i="2"/>
  <c r="BE656" i="2" s="1"/>
  <c r="BK650" i="2"/>
  <c r="BI650" i="2"/>
  <c r="BH650" i="2"/>
  <c r="BG650" i="2"/>
  <c r="BF650" i="2"/>
  <c r="T650" i="2"/>
  <c r="R650" i="2"/>
  <c r="P650" i="2"/>
  <c r="J650" i="2"/>
  <c r="BE650" i="2" s="1"/>
  <c r="BK647" i="2"/>
  <c r="BI647" i="2"/>
  <c r="BH647" i="2"/>
  <c r="BG647" i="2"/>
  <c r="BF647" i="2"/>
  <c r="T647" i="2"/>
  <c r="R647" i="2"/>
  <c r="P647" i="2"/>
  <c r="J647" i="2"/>
  <c r="BE647" i="2" s="1"/>
  <c r="BK643" i="2"/>
  <c r="BI643" i="2"/>
  <c r="BH643" i="2"/>
  <c r="BG643" i="2"/>
  <c r="BF643" i="2"/>
  <c r="T643" i="2"/>
  <c r="R643" i="2"/>
  <c r="P643" i="2"/>
  <c r="J643" i="2"/>
  <c r="BE643" i="2" s="1"/>
  <c r="BK639" i="2"/>
  <c r="BI639" i="2"/>
  <c r="BH639" i="2"/>
  <c r="BG639" i="2"/>
  <c r="BF639" i="2"/>
  <c r="T639" i="2"/>
  <c r="R639" i="2"/>
  <c r="P639" i="2"/>
  <c r="J639" i="2"/>
  <c r="BE639" i="2" s="1"/>
  <c r="BK631" i="2"/>
  <c r="BI631" i="2"/>
  <c r="BH631" i="2"/>
  <c r="BG631" i="2"/>
  <c r="BF631" i="2"/>
  <c r="T631" i="2"/>
  <c r="R631" i="2"/>
  <c r="P631" i="2"/>
  <c r="J631" i="2"/>
  <c r="BE631" i="2" s="1"/>
  <c r="BK628" i="2"/>
  <c r="BI628" i="2"/>
  <c r="BH628" i="2"/>
  <c r="BG628" i="2"/>
  <c r="BF628" i="2"/>
  <c r="T628" i="2"/>
  <c r="R628" i="2"/>
  <c r="P628" i="2"/>
  <c r="J628" i="2"/>
  <c r="BE628" i="2" s="1"/>
  <c r="BK625" i="2"/>
  <c r="BI625" i="2"/>
  <c r="BH625" i="2"/>
  <c r="BG625" i="2"/>
  <c r="BF625" i="2"/>
  <c r="T625" i="2"/>
  <c r="R625" i="2"/>
  <c r="P625" i="2"/>
  <c r="J625" i="2"/>
  <c r="BE625" i="2" s="1"/>
  <c r="BK617" i="2"/>
  <c r="BI617" i="2"/>
  <c r="BH617" i="2"/>
  <c r="BG617" i="2"/>
  <c r="BF617" i="2"/>
  <c r="T617" i="2"/>
  <c r="R617" i="2"/>
  <c r="P617" i="2"/>
  <c r="J617" i="2"/>
  <c r="BE617" i="2" s="1"/>
  <c r="BK615" i="2"/>
  <c r="BI615" i="2"/>
  <c r="BH615" i="2"/>
  <c r="BG615" i="2"/>
  <c r="BF615" i="2"/>
  <c r="T615" i="2"/>
  <c r="R615" i="2"/>
  <c r="P615" i="2"/>
  <c r="J615" i="2"/>
  <c r="BE615" i="2" s="1"/>
  <c r="BK604" i="2"/>
  <c r="BI604" i="2"/>
  <c r="BH604" i="2"/>
  <c r="BG604" i="2"/>
  <c r="BF604" i="2"/>
  <c r="T604" i="2"/>
  <c r="R604" i="2"/>
  <c r="P604" i="2"/>
  <c r="J604" i="2"/>
  <c r="BE604" i="2" s="1"/>
  <c r="BK601" i="2"/>
  <c r="BI601" i="2"/>
  <c r="BH601" i="2"/>
  <c r="BG601" i="2"/>
  <c r="BF601" i="2"/>
  <c r="T601" i="2"/>
  <c r="R601" i="2"/>
  <c r="P601" i="2"/>
  <c r="J601" i="2"/>
  <c r="BE601" i="2" s="1"/>
  <c r="BK577" i="2"/>
  <c r="BI577" i="2"/>
  <c r="BH577" i="2"/>
  <c r="BG577" i="2"/>
  <c r="BF577" i="2"/>
  <c r="T577" i="2"/>
  <c r="R577" i="2"/>
  <c r="P577" i="2"/>
  <c r="J577" i="2"/>
  <c r="BE577" i="2" s="1"/>
  <c r="BK560" i="2"/>
  <c r="BI560" i="2"/>
  <c r="BH560" i="2"/>
  <c r="BG560" i="2"/>
  <c r="BF560" i="2"/>
  <c r="T560" i="2"/>
  <c r="R560" i="2"/>
  <c r="P560" i="2"/>
  <c r="J560" i="2"/>
  <c r="BE560" i="2" s="1"/>
  <c r="BK558" i="2"/>
  <c r="BI558" i="2"/>
  <c r="BH558" i="2"/>
  <c r="BG558" i="2"/>
  <c r="BF558" i="2"/>
  <c r="T558" i="2"/>
  <c r="R558" i="2"/>
  <c r="P558" i="2"/>
  <c r="J558" i="2"/>
  <c r="BE558" i="2" s="1"/>
  <c r="BK553" i="2"/>
  <c r="BI553" i="2"/>
  <c r="BH553" i="2"/>
  <c r="BG553" i="2"/>
  <c r="BF553" i="2"/>
  <c r="T553" i="2"/>
  <c r="R553" i="2"/>
  <c r="P553" i="2"/>
  <c r="J553" i="2"/>
  <c r="BE553" i="2" s="1"/>
  <c r="BK548" i="2"/>
  <c r="BI548" i="2"/>
  <c r="BH548" i="2"/>
  <c r="BG548" i="2"/>
  <c r="BF548" i="2"/>
  <c r="T548" i="2"/>
  <c r="R548" i="2"/>
  <c r="P548" i="2"/>
  <c r="J548" i="2"/>
  <c r="BE548" i="2" s="1"/>
  <c r="BK538" i="2"/>
  <c r="BI538" i="2"/>
  <c r="BH538" i="2"/>
  <c r="BG538" i="2"/>
  <c r="BF538" i="2"/>
  <c r="T538" i="2"/>
  <c r="R538" i="2"/>
  <c r="P538" i="2"/>
  <c r="J538" i="2"/>
  <c r="BE538" i="2" s="1"/>
  <c r="BK531" i="2"/>
  <c r="BI531" i="2"/>
  <c r="BH531" i="2"/>
  <c r="BG531" i="2"/>
  <c r="BF531" i="2"/>
  <c r="T531" i="2"/>
  <c r="R531" i="2"/>
  <c r="P531" i="2"/>
  <c r="J531" i="2"/>
  <c r="BE531" i="2" s="1"/>
  <c r="BK514" i="2"/>
  <c r="BI514" i="2"/>
  <c r="BH514" i="2"/>
  <c r="BG514" i="2"/>
  <c r="BF514" i="2"/>
  <c r="T514" i="2"/>
  <c r="R514" i="2"/>
  <c r="P514" i="2"/>
  <c r="J514" i="2"/>
  <c r="BE514" i="2" s="1"/>
  <c r="BK511" i="2"/>
  <c r="BI511" i="2"/>
  <c r="BH511" i="2"/>
  <c r="BG511" i="2"/>
  <c r="BF511" i="2"/>
  <c r="T511" i="2"/>
  <c r="R511" i="2"/>
  <c r="P511" i="2"/>
  <c r="J511" i="2"/>
  <c r="BE511" i="2" s="1"/>
  <c r="BK505" i="2"/>
  <c r="BI505" i="2"/>
  <c r="BH505" i="2"/>
  <c r="BG505" i="2"/>
  <c r="BF505" i="2"/>
  <c r="T505" i="2"/>
  <c r="R505" i="2"/>
  <c r="P505" i="2"/>
  <c r="J505" i="2"/>
  <c r="BE505" i="2" s="1"/>
  <c r="BK503" i="2"/>
  <c r="BI503" i="2"/>
  <c r="BH503" i="2"/>
  <c r="BG503" i="2"/>
  <c r="BF503" i="2"/>
  <c r="T503" i="2"/>
  <c r="R503" i="2"/>
  <c r="P503" i="2"/>
  <c r="J503" i="2"/>
  <c r="BE503" i="2" s="1"/>
  <c r="BK502" i="2"/>
  <c r="BI502" i="2"/>
  <c r="BH502" i="2"/>
  <c r="BG502" i="2"/>
  <c r="BF502" i="2"/>
  <c r="T502" i="2"/>
  <c r="R502" i="2"/>
  <c r="P502" i="2"/>
  <c r="J502" i="2"/>
  <c r="BE502" i="2" s="1"/>
  <c r="BK488" i="2"/>
  <c r="BI488" i="2"/>
  <c r="BH488" i="2"/>
  <c r="BG488" i="2"/>
  <c r="BF488" i="2"/>
  <c r="T488" i="2"/>
  <c r="R488" i="2"/>
  <c r="P488" i="2"/>
  <c r="J488" i="2"/>
  <c r="BE488" i="2" s="1"/>
  <c r="BK482" i="2"/>
  <c r="BI482" i="2"/>
  <c r="BH482" i="2"/>
  <c r="BG482" i="2"/>
  <c r="BF482" i="2"/>
  <c r="T482" i="2"/>
  <c r="R482" i="2"/>
  <c r="P482" i="2"/>
  <c r="J482" i="2"/>
  <c r="BE482" i="2" s="1"/>
  <c r="BK480" i="2"/>
  <c r="BI480" i="2"/>
  <c r="BH480" i="2"/>
  <c r="BG480" i="2"/>
  <c r="BF480" i="2"/>
  <c r="T480" i="2"/>
  <c r="R480" i="2"/>
  <c r="P480" i="2"/>
  <c r="J480" i="2"/>
  <c r="BE480" i="2" s="1"/>
  <c r="BK478" i="2"/>
  <c r="BI478" i="2"/>
  <c r="BH478" i="2"/>
  <c r="BG478" i="2"/>
  <c r="BF478" i="2"/>
  <c r="T478" i="2"/>
  <c r="R478" i="2"/>
  <c r="P478" i="2"/>
  <c r="J478" i="2"/>
  <c r="BE478" i="2" s="1"/>
  <c r="BK464" i="2"/>
  <c r="BI464" i="2"/>
  <c r="BH464" i="2"/>
  <c r="BG464" i="2"/>
  <c r="BF464" i="2"/>
  <c r="T464" i="2"/>
  <c r="R464" i="2"/>
  <c r="P464" i="2"/>
  <c r="J464" i="2"/>
  <c r="BE464" i="2" s="1"/>
  <c r="BK457" i="2"/>
  <c r="BI457" i="2"/>
  <c r="BH457" i="2"/>
  <c r="BG457" i="2"/>
  <c r="BF457" i="2"/>
  <c r="T457" i="2"/>
  <c r="R457" i="2"/>
  <c r="P457" i="2"/>
  <c r="J457" i="2"/>
  <c r="BE457" i="2" s="1"/>
  <c r="BK455" i="2"/>
  <c r="BI455" i="2"/>
  <c r="BH455" i="2"/>
  <c r="BG455" i="2"/>
  <c r="BF455" i="2"/>
  <c r="T455" i="2"/>
  <c r="R455" i="2"/>
  <c r="P455" i="2"/>
  <c r="J455" i="2"/>
  <c r="BE455" i="2" s="1"/>
  <c r="BK447" i="2"/>
  <c r="BI447" i="2"/>
  <c r="BH447" i="2"/>
  <c r="BG447" i="2"/>
  <c r="BF447" i="2"/>
  <c r="T447" i="2"/>
  <c r="R447" i="2"/>
  <c r="P447" i="2"/>
  <c r="J447" i="2"/>
  <c r="BE447" i="2" s="1"/>
  <c r="BK442" i="2"/>
  <c r="BI442" i="2"/>
  <c r="BH442" i="2"/>
  <c r="BG442" i="2"/>
  <c r="BF442" i="2"/>
  <c r="T442" i="2"/>
  <c r="R442" i="2"/>
  <c r="P442" i="2"/>
  <c r="J442" i="2"/>
  <c r="BE442" i="2" s="1"/>
  <c r="BK441" i="2"/>
  <c r="BI441" i="2"/>
  <c r="BH441" i="2"/>
  <c r="BG441" i="2"/>
  <c r="BF441" i="2"/>
  <c r="T441" i="2"/>
  <c r="R441" i="2"/>
  <c r="P441" i="2"/>
  <c r="J441" i="2"/>
  <c r="BE441" i="2" s="1"/>
  <c r="BK440" i="2"/>
  <c r="BI440" i="2"/>
  <c r="BH440" i="2"/>
  <c r="BG440" i="2"/>
  <c r="BF440" i="2"/>
  <c r="T440" i="2"/>
  <c r="R440" i="2"/>
  <c r="P440" i="2"/>
  <c r="J440" i="2"/>
  <c r="BE440" i="2" s="1"/>
  <c r="BK417" i="2"/>
  <c r="BI417" i="2"/>
  <c r="BH417" i="2"/>
  <c r="BG417" i="2"/>
  <c r="BF417" i="2"/>
  <c r="T417" i="2"/>
  <c r="R417" i="2"/>
  <c r="P417" i="2"/>
  <c r="J417" i="2"/>
  <c r="BE417" i="2" s="1"/>
  <c r="BK413" i="2"/>
  <c r="BI413" i="2"/>
  <c r="BH413" i="2"/>
  <c r="BG413" i="2"/>
  <c r="BF413" i="2"/>
  <c r="T413" i="2"/>
  <c r="R413" i="2"/>
  <c r="P413" i="2"/>
  <c r="J413" i="2"/>
  <c r="BE413" i="2" s="1"/>
  <c r="BK410" i="2"/>
  <c r="BI410" i="2"/>
  <c r="BH410" i="2"/>
  <c r="BG410" i="2"/>
  <c r="BF410" i="2"/>
  <c r="T410" i="2"/>
  <c r="R410" i="2"/>
  <c r="P410" i="2"/>
  <c r="J410" i="2"/>
  <c r="BE410" i="2" s="1"/>
  <c r="BK403" i="2"/>
  <c r="BI403" i="2"/>
  <c r="BH403" i="2"/>
  <c r="BG403" i="2"/>
  <c r="BF403" i="2"/>
  <c r="T403" i="2"/>
  <c r="R403" i="2"/>
  <c r="P403" i="2"/>
  <c r="J403" i="2"/>
  <c r="BE403" i="2" s="1"/>
  <c r="BK386" i="2"/>
  <c r="BI386" i="2"/>
  <c r="BH386" i="2"/>
  <c r="BG386" i="2"/>
  <c r="BF386" i="2"/>
  <c r="T386" i="2"/>
  <c r="R386" i="2"/>
  <c r="P386" i="2"/>
  <c r="J386" i="2"/>
  <c r="BE386" i="2" s="1"/>
  <c r="BK381" i="2"/>
  <c r="BI381" i="2"/>
  <c r="BH381" i="2"/>
  <c r="BG381" i="2"/>
  <c r="BF381" i="2"/>
  <c r="T381" i="2"/>
  <c r="R381" i="2"/>
  <c r="P381" i="2"/>
  <c r="J381" i="2"/>
  <c r="BE381" i="2" s="1"/>
  <c r="BK356" i="2"/>
  <c r="BI356" i="2"/>
  <c r="BH356" i="2"/>
  <c r="BG356" i="2"/>
  <c r="BF356" i="2"/>
  <c r="T356" i="2"/>
  <c r="R356" i="2"/>
  <c r="P356" i="2"/>
  <c r="J356" i="2"/>
  <c r="BE356" i="2" s="1"/>
  <c r="BK342" i="2"/>
  <c r="BI342" i="2"/>
  <c r="BH342" i="2"/>
  <c r="BG342" i="2"/>
  <c r="BF342" i="2"/>
  <c r="T342" i="2"/>
  <c r="R342" i="2"/>
  <c r="P342" i="2"/>
  <c r="J342" i="2"/>
  <c r="BE342" i="2" s="1"/>
  <c r="BK336" i="2"/>
  <c r="BI336" i="2"/>
  <c r="BH336" i="2"/>
  <c r="BG336" i="2"/>
  <c r="BF336" i="2"/>
  <c r="T336" i="2"/>
  <c r="R336" i="2"/>
  <c r="P336" i="2"/>
  <c r="J336" i="2"/>
  <c r="BE336" i="2" s="1"/>
  <c r="BK330" i="2"/>
  <c r="BI330" i="2"/>
  <c r="BH330" i="2"/>
  <c r="BG330" i="2"/>
  <c r="BF330" i="2"/>
  <c r="T330" i="2"/>
  <c r="R330" i="2"/>
  <c r="P330" i="2"/>
  <c r="J330" i="2"/>
  <c r="BE330" i="2" s="1"/>
  <c r="BK317" i="2"/>
  <c r="BI317" i="2"/>
  <c r="BH317" i="2"/>
  <c r="BG317" i="2"/>
  <c r="BF317" i="2"/>
  <c r="T317" i="2"/>
  <c r="R317" i="2"/>
  <c r="P317" i="2"/>
  <c r="J317" i="2"/>
  <c r="BE317" i="2" s="1"/>
  <c r="BK314" i="2"/>
  <c r="BI314" i="2"/>
  <c r="BH314" i="2"/>
  <c r="BG314" i="2"/>
  <c r="BF314" i="2"/>
  <c r="T314" i="2"/>
  <c r="R314" i="2"/>
  <c r="P314" i="2"/>
  <c r="J314" i="2"/>
  <c r="BE314" i="2" s="1"/>
  <c r="BK311" i="2"/>
  <c r="BI311" i="2"/>
  <c r="BH311" i="2"/>
  <c r="BG311" i="2"/>
  <c r="BF311" i="2"/>
  <c r="T311" i="2"/>
  <c r="R311" i="2"/>
  <c r="P311" i="2"/>
  <c r="J311" i="2"/>
  <c r="BE311" i="2" s="1"/>
  <c r="BK307" i="2"/>
  <c r="BI307" i="2"/>
  <c r="BH307" i="2"/>
  <c r="BG307" i="2"/>
  <c r="BF307" i="2"/>
  <c r="T307" i="2"/>
  <c r="R307" i="2"/>
  <c r="P307" i="2"/>
  <c r="J307" i="2"/>
  <c r="BE307" i="2" s="1"/>
  <c r="BK301" i="2"/>
  <c r="BI301" i="2"/>
  <c r="BH301" i="2"/>
  <c r="BG301" i="2"/>
  <c r="BF301" i="2"/>
  <c r="T301" i="2"/>
  <c r="R301" i="2"/>
  <c r="P301" i="2"/>
  <c r="J301" i="2"/>
  <c r="BE301" i="2" s="1"/>
  <c r="BK298" i="2"/>
  <c r="BI298" i="2"/>
  <c r="BH298" i="2"/>
  <c r="BG298" i="2"/>
  <c r="BF298" i="2"/>
  <c r="T298" i="2"/>
  <c r="R298" i="2"/>
  <c r="P298" i="2"/>
  <c r="J298" i="2"/>
  <c r="BE298" i="2" s="1"/>
  <c r="BK289" i="2"/>
  <c r="BI289" i="2"/>
  <c r="BH289" i="2"/>
  <c r="BG289" i="2"/>
  <c r="BF289" i="2"/>
  <c r="T289" i="2"/>
  <c r="R289" i="2"/>
  <c r="P289" i="2"/>
  <c r="J289" i="2"/>
  <c r="BE289" i="2" s="1"/>
  <c r="BK285" i="2"/>
  <c r="BI285" i="2"/>
  <c r="BH285" i="2"/>
  <c r="BG285" i="2"/>
  <c r="BF285" i="2"/>
  <c r="T285" i="2"/>
  <c r="R285" i="2"/>
  <c r="P285" i="2"/>
  <c r="J285" i="2"/>
  <c r="BE285" i="2" s="1"/>
  <c r="BK282" i="2"/>
  <c r="BI282" i="2"/>
  <c r="BH282" i="2"/>
  <c r="BG282" i="2"/>
  <c r="BF282" i="2"/>
  <c r="T282" i="2"/>
  <c r="R282" i="2"/>
  <c r="P282" i="2"/>
  <c r="J282" i="2"/>
  <c r="BE282" i="2" s="1"/>
  <c r="BK173" i="2"/>
  <c r="BI173" i="2"/>
  <c r="BH173" i="2"/>
  <c r="BG173" i="2"/>
  <c r="BF173" i="2"/>
  <c r="T173" i="2"/>
  <c r="R173" i="2"/>
  <c r="P173" i="2"/>
  <c r="J173" i="2"/>
  <c r="BE173" i="2" s="1"/>
  <c r="BK148" i="2"/>
  <c r="BI148" i="2"/>
  <c r="BH148" i="2"/>
  <c r="BG148" i="2"/>
  <c r="BF148" i="2"/>
  <c r="T148" i="2"/>
  <c r="R148" i="2"/>
  <c r="P148" i="2"/>
  <c r="J148" i="2"/>
  <c r="BE148" i="2" s="1"/>
  <c r="BK141" i="2"/>
  <c r="BK140" i="2" s="1"/>
  <c r="BI141" i="2"/>
  <c r="BH141" i="2"/>
  <c r="BG141" i="2"/>
  <c r="BF141" i="2"/>
  <c r="T141" i="2"/>
  <c r="T140" i="2" s="1"/>
  <c r="R141" i="2"/>
  <c r="R140" i="2" s="1"/>
  <c r="P141" i="2"/>
  <c r="P140" i="2" s="1"/>
  <c r="J141" i="2"/>
  <c r="BE141" i="2" s="1"/>
  <c r="J135" i="2"/>
  <c r="F135" i="2"/>
  <c r="J134" i="2"/>
  <c r="F134" i="2"/>
  <c r="J132" i="2"/>
  <c r="F132" i="2"/>
  <c r="E130" i="2"/>
  <c r="E126" i="2"/>
  <c r="J94" i="2"/>
  <c r="J93" i="2"/>
  <c r="F93" i="2"/>
  <c r="J91" i="2"/>
  <c r="F91" i="2"/>
  <c r="E89" i="2"/>
  <c r="E85" i="2"/>
  <c r="J39" i="2"/>
  <c r="J38" i="2"/>
  <c r="AY96" i="1" s="1"/>
  <c r="J37" i="2"/>
  <c r="AX96" i="1" s="1"/>
  <c r="AS113" i="1"/>
  <c r="AS95" i="1" s="1"/>
  <c r="AS94" i="1" s="1"/>
  <c r="AS101" i="1"/>
  <c r="AM90" i="1"/>
  <c r="L90" i="1"/>
  <c r="AM89" i="1"/>
  <c r="L89" i="1"/>
  <c r="AM87" i="1"/>
  <c r="L87" i="1"/>
  <c r="L85" i="1"/>
  <c r="L84" i="1"/>
  <c r="J95" i="22" l="1"/>
  <c r="BK173" i="22"/>
  <c r="J173" i="22" s="1"/>
  <c r="J107" i="22" s="1"/>
  <c r="E85" i="19"/>
  <c r="F95" i="18"/>
  <c r="F92" i="26"/>
  <c r="F136" i="8"/>
  <c r="F94" i="5"/>
  <c r="F96" i="9"/>
  <c r="F135" i="24"/>
  <c r="T154" i="22"/>
  <c r="R142" i="20"/>
  <c r="BK142" i="20"/>
  <c r="J142" i="20" s="1"/>
  <c r="J102" i="20" s="1"/>
  <c r="T1019" i="13"/>
  <c r="T194" i="11"/>
  <c r="BK153" i="26"/>
  <c r="J153" i="26" s="1"/>
  <c r="J99" i="26" s="1"/>
  <c r="R179" i="26"/>
  <c r="P179" i="26"/>
  <c r="BK182" i="26"/>
  <c r="J182" i="26" s="1"/>
  <c r="J102" i="26" s="1"/>
  <c r="T174" i="25"/>
  <c r="T170" i="25"/>
  <c r="BK174" i="25"/>
  <c r="J174" i="25" s="1"/>
  <c r="J101" i="25" s="1"/>
  <c r="P174" i="25"/>
  <c r="T255" i="24"/>
  <c r="P477" i="24"/>
  <c r="BK288" i="24"/>
  <c r="J288" i="24" s="1"/>
  <c r="J100" i="24" s="1"/>
  <c r="P288" i="24"/>
  <c r="R255" i="24"/>
  <c r="T482" i="24"/>
  <c r="R459" i="24"/>
  <c r="BK477" i="24"/>
  <c r="J477" i="24" s="1"/>
  <c r="J106" i="24" s="1"/>
  <c r="T370" i="24"/>
  <c r="BK482" i="24"/>
  <c r="J482" i="24" s="1"/>
  <c r="J108" i="24" s="1"/>
  <c r="R496" i="24"/>
  <c r="BK370" i="24"/>
  <c r="J370" i="24" s="1"/>
  <c r="J103" i="24" s="1"/>
  <c r="T496" i="24"/>
  <c r="T481" i="24" s="1"/>
  <c r="R482" i="24"/>
  <c r="P306" i="23"/>
  <c r="BK202" i="23"/>
  <c r="J202" i="23" s="1"/>
  <c r="J102" i="23" s="1"/>
  <c r="P281" i="23"/>
  <c r="T166" i="22"/>
  <c r="BK186" i="22"/>
  <c r="J186" i="22" s="1"/>
  <c r="J110" i="22" s="1"/>
  <c r="T183" i="22"/>
  <c r="P173" i="22"/>
  <c r="P140" i="22"/>
  <c r="BK143" i="22"/>
  <c r="J143" i="22" s="1"/>
  <c r="J102" i="22" s="1"/>
  <c r="R143" i="22"/>
  <c r="T173" i="22"/>
  <c r="R186" i="22"/>
  <c r="P183" i="22"/>
  <c r="P198" i="22"/>
  <c r="BK166" i="22"/>
  <c r="J166" i="22" s="1"/>
  <c r="J105" i="22" s="1"/>
  <c r="R176" i="22"/>
  <c r="R159" i="22"/>
  <c r="R183" i="22"/>
  <c r="BK147" i="21"/>
  <c r="J147" i="21" s="1"/>
  <c r="J102" i="21" s="1"/>
  <c r="BK153" i="21"/>
  <c r="J153" i="21" s="1"/>
  <c r="J103" i="21" s="1"/>
  <c r="R217" i="18"/>
  <c r="T185" i="17"/>
  <c r="T182" i="17"/>
  <c r="R140" i="17"/>
  <c r="T156" i="16"/>
  <c r="BK214" i="15"/>
  <c r="J214" i="15" s="1"/>
  <c r="J102" i="15" s="1"/>
  <c r="T140" i="15"/>
  <c r="T214" i="15"/>
  <c r="T140" i="14"/>
  <c r="T139" i="14" s="1"/>
  <c r="BK231" i="14"/>
  <c r="J231" i="14" s="1"/>
  <c r="J105" i="14" s="1"/>
  <c r="R144" i="14"/>
  <c r="R194" i="14"/>
  <c r="P1137" i="13"/>
  <c r="T986" i="13"/>
  <c r="T1137" i="13"/>
  <c r="T140" i="13"/>
  <c r="T1010" i="13"/>
  <c r="P1019" i="13"/>
  <c r="T154" i="13"/>
  <c r="BK1019" i="13"/>
  <c r="J1019" i="13" s="1"/>
  <c r="J107" i="13" s="1"/>
  <c r="R903" i="13"/>
  <c r="BK986" i="13"/>
  <c r="J986" i="13" s="1"/>
  <c r="J105" i="13" s="1"/>
  <c r="R140" i="12"/>
  <c r="R139" i="12" s="1"/>
  <c r="R203" i="11"/>
  <c r="BK189" i="11"/>
  <c r="J189" i="11" s="1"/>
  <c r="J104" i="11" s="1"/>
  <c r="R144" i="5"/>
  <c r="P481" i="5"/>
  <c r="BK481" i="5"/>
  <c r="J481" i="5" s="1"/>
  <c r="J107" i="5" s="1"/>
  <c r="BK144" i="5"/>
  <c r="J144" i="5" s="1"/>
  <c r="J101" i="5" s="1"/>
  <c r="P449" i="5"/>
  <c r="BK449" i="5"/>
  <c r="J449" i="5" s="1"/>
  <c r="J106" i="5" s="1"/>
  <c r="R481" i="5"/>
  <c r="BK340" i="5"/>
  <c r="J340" i="5" s="1"/>
  <c r="J105" i="5" s="1"/>
  <c r="T144" i="5"/>
  <c r="T1347" i="4"/>
  <c r="R742" i="3"/>
  <c r="T247" i="3"/>
  <c r="BK247" i="3"/>
  <c r="J247" i="3" s="1"/>
  <c r="J103" i="3" s="1"/>
  <c r="P742" i="3"/>
  <c r="P140" i="3"/>
  <c r="BK140" i="3"/>
  <c r="BK139" i="3" s="1"/>
  <c r="F38" i="3"/>
  <c r="BC97" i="1" s="1"/>
  <c r="T158" i="3"/>
  <c r="R2032" i="2"/>
  <c r="P975" i="2"/>
  <c r="R1703" i="2"/>
  <c r="R873" i="2"/>
  <c r="F39" i="2"/>
  <c r="BD96" i="1" s="1"/>
  <c r="P147" i="2"/>
  <c r="BK873" i="2"/>
  <c r="J873" i="2" s="1"/>
  <c r="J106" i="2" s="1"/>
  <c r="P1997" i="2"/>
  <c r="P2859" i="2"/>
  <c r="T1031" i="2"/>
  <c r="BK1031" i="2"/>
  <c r="J1031" i="2" s="1"/>
  <c r="J109" i="2" s="1"/>
  <c r="BK1703" i="2"/>
  <c r="J1703" i="2" s="1"/>
  <c r="J110" i="2" s="1"/>
  <c r="R439" i="2"/>
  <c r="P719" i="2"/>
  <c r="BK719" i="2"/>
  <c r="J719" i="2" s="1"/>
  <c r="J103" i="2" s="1"/>
  <c r="R902" i="2"/>
  <c r="BK902" i="2"/>
  <c r="J902" i="2" s="1"/>
  <c r="J107" i="2" s="1"/>
  <c r="BK2360" i="2"/>
  <c r="J2360" i="2" s="1"/>
  <c r="J113" i="2" s="1"/>
  <c r="T147" i="2"/>
  <c r="T719" i="2"/>
  <c r="BK2430" i="2"/>
  <c r="J2430" i="2" s="1"/>
  <c r="J114" i="2" s="1"/>
  <c r="P2831" i="2"/>
  <c r="P902" i="2"/>
  <c r="P1031" i="2"/>
  <c r="BK2032" i="2"/>
  <c r="J2032" i="2" s="1"/>
  <c r="J112" i="2" s="1"/>
  <c r="T2360" i="2"/>
  <c r="T975" i="2"/>
  <c r="R975" i="2"/>
  <c r="J93" i="9"/>
  <c r="J91" i="3"/>
  <c r="J132" i="26"/>
  <c r="F96" i="7"/>
  <c r="F94" i="6"/>
  <c r="F94" i="13"/>
  <c r="F94" i="23"/>
  <c r="F96" i="11"/>
  <c r="F94" i="14"/>
  <c r="F95" i="9"/>
  <c r="J96" i="10"/>
  <c r="F95" i="10"/>
  <c r="R140" i="10"/>
  <c r="P161" i="11"/>
  <c r="P189" i="11"/>
  <c r="R189" i="11"/>
  <c r="BK161" i="11"/>
  <c r="J161" i="11" s="1"/>
  <c r="J102" i="11" s="1"/>
  <c r="T203" i="11"/>
  <c r="BK140" i="10"/>
  <c r="J140" i="10" s="1"/>
  <c r="J101" i="10" s="1"/>
  <c r="BK180" i="10"/>
  <c r="J180" i="10" s="1"/>
  <c r="J103" i="10" s="1"/>
  <c r="T140" i="10"/>
  <c r="R145" i="10"/>
  <c r="T180" i="10"/>
  <c r="F39" i="6"/>
  <c r="BD100" i="1" s="1"/>
  <c r="F37" i="6"/>
  <c r="BB100" i="1" s="1"/>
  <c r="T140" i="6"/>
  <c r="T139" i="6" s="1"/>
  <c r="T182" i="26"/>
  <c r="P165" i="26"/>
  <c r="T140" i="26"/>
  <c r="BK269" i="16"/>
  <c r="J269" i="16" s="1"/>
  <c r="J107" i="16" s="1"/>
  <c r="E85" i="4"/>
  <c r="BK1111" i="4"/>
  <c r="J1111" i="4" s="1"/>
  <c r="J104" i="4" s="1"/>
  <c r="T140" i="4"/>
  <c r="F134" i="16"/>
  <c r="BK1282" i="4"/>
  <c r="J1282" i="4" s="1"/>
  <c r="J108" i="4" s="1"/>
  <c r="T380" i="4"/>
  <c r="R1111" i="4"/>
  <c r="P1282" i="4"/>
  <c r="P269" i="16"/>
  <c r="J94" i="16"/>
  <c r="R156" i="16"/>
  <c r="BK140" i="26"/>
  <c r="J140" i="26" s="1"/>
  <c r="J98" i="26" s="1"/>
  <c r="T439" i="2"/>
  <c r="P439" i="2"/>
  <c r="BK439" i="2"/>
  <c r="J439" i="2" s="1"/>
  <c r="J102" i="2" s="1"/>
  <c r="F38" i="2"/>
  <c r="BC96" i="1" s="1"/>
  <c r="R719" i="2"/>
  <c r="T902" i="2"/>
  <c r="R2831" i="2"/>
  <c r="BK2831" i="2"/>
  <c r="J2831" i="2" s="1"/>
  <c r="J115" i="2" s="1"/>
  <c r="R1031" i="2"/>
  <c r="BK188" i="3"/>
  <c r="J188" i="3" s="1"/>
  <c r="J102" i="3" s="1"/>
  <c r="F36" i="16"/>
  <c r="BA111" i="1" s="1"/>
  <c r="P873" i="2"/>
  <c r="P140" i="4"/>
  <c r="F41" i="7"/>
  <c r="BD102" i="1" s="1"/>
  <c r="F41" i="9"/>
  <c r="BD104" i="1" s="1"/>
  <c r="J37" i="8"/>
  <c r="AV103" i="1" s="1"/>
  <c r="F37" i="8"/>
  <c r="AZ103" i="1" s="1"/>
  <c r="F36" i="2"/>
  <c r="BA96" i="1" s="1"/>
  <c r="F37" i="2"/>
  <c r="BB96" i="1" s="1"/>
  <c r="P1703" i="2"/>
  <c r="BK1997" i="2"/>
  <c r="J1997" i="2" s="1"/>
  <c r="J111" i="2" s="1"/>
  <c r="T2032" i="2"/>
  <c r="R2430" i="2"/>
  <c r="R188" i="3"/>
  <c r="R1997" i="2"/>
  <c r="F37" i="3"/>
  <c r="BB97" i="1" s="1"/>
  <c r="F36" i="3"/>
  <c r="BA97" i="1" s="1"/>
  <c r="T873" i="2"/>
  <c r="BK975" i="2"/>
  <c r="J975" i="2" s="1"/>
  <c r="J108" i="2" s="1"/>
  <c r="T1703" i="2"/>
  <c r="T1997" i="2"/>
  <c r="T2430" i="2"/>
  <c r="J36" i="4"/>
  <c r="AW98" i="1" s="1"/>
  <c r="F38" i="11"/>
  <c r="BA106" i="1" s="1"/>
  <c r="P163" i="14"/>
  <c r="P147" i="19"/>
  <c r="J36" i="2"/>
  <c r="AW96" i="1" s="1"/>
  <c r="R147" i="2"/>
  <c r="BK147" i="2"/>
  <c r="J147" i="2" s="1"/>
  <c r="J101" i="2" s="1"/>
  <c r="BK2859" i="2"/>
  <c r="J2859" i="2" s="1"/>
  <c r="J116" i="2" s="1"/>
  <c r="F39" i="3"/>
  <c r="BD97" i="1" s="1"/>
  <c r="P158" i="3"/>
  <c r="P139" i="3" s="1"/>
  <c r="P138" i="3" s="1"/>
  <c r="AU97" i="1" s="1"/>
  <c r="P276" i="3"/>
  <c r="P275" i="3" s="1"/>
  <c r="P380" i="4"/>
  <c r="P340" i="5"/>
  <c r="R140" i="3"/>
  <c r="P188" i="3"/>
  <c r="F37" i="4"/>
  <c r="BB98" i="1" s="1"/>
  <c r="R140" i="4"/>
  <c r="BK329" i="4"/>
  <c r="J329" i="4" s="1"/>
  <c r="J101" i="4" s="1"/>
  <c r="T1282" i="4"/>
  <c r="BK163" i="5"/>
  <c r="BK162" i="5" s="1"/>
  <c r="J162" i="5" s="1"/>
  <c r="J103" i="5" s="1"/>
  <c r="T340" i="5"/>
  <c r="R340" i="5"/>
  <c r="R449" i="5"/>
  <c r="R140" i="7"/>
  <c r="R139" i="7" s="1"/>
  <c r="F38" i="8"/>
  <c r="BA103" i="1" s="1"/>
  <c r="T140" i="8"/>
  <c r="T139" i="8" s="1"/>
  <c r="F39" i="10"/>
  <c r="BB105" i="1" s="1"/>
  <c r="T203" i="10"/>
  <c r="R140" i="11"/>
  <c r="F41" i="11"/>
  <c r="BD106" i="1" s="1"/>
  <c r="R1137" i="13"/>
  <c r="BK1137" i="13"/>
  <c r="J1137" i="13" s="1"/>
  <c r="J109" i="13" s="1"/>
  <c r="BK163" i="14"/>
  <c r="J163" i="14" s="1"/>
  <c r="J103" i="14" s="1"/>
  <c r="P231" i="14"/>
  <c r="BK285" i="14"/>
  <c r="J285" i="14" s="1"/>
  <c r="J108" i="14" s="1"/>
  <c r="P2430" i="2"/>
  <c r="T140" i="3"/>
  <c r="R158" i="3"/>
  <c r="BK158" i="3"/>
  <c r="J158" i="3" s="1"/>
  <c r="J101" i="3" s="1"/>
  <c r="BK742" i="3"/>
  <c r="J742" i="3" s="1"/>
  <c r="J108" i="3" s="1"/>
  <c r="F38" i="4"/>
  <c r="BC98" i="1" s="1"/>
  <c r="R329" i="4"/>
  <c r="BK380" i="4"/>
  <c r="J380" i="4" s="1"/>
  <c r="J102" i="4" s="1"/>
  <c r="P1111" i="4"/>
  <c r="T481" i="5"/>
  <c r="T492" i="5"/>
  <c r="P492" i="5"/>
  <c r="BK492" i="5"/>
  <c r="J492" i="5" s="1"/>
  <c r="J108" i="5" s="1"/>
  <c r="F39" i="8"/>
  <c r="BB103" i="1" s="1"/>
  <c r="J38" i="8"/>
  <c r="AW103" i="1" s="1"/>
  <c r="P140" i="10"/>
  <c r="R203" i="10"/>
  <c r="P140" i="13"/>
  <c r="BK140" i="13"/>
  <c r="J140" i="13" s="1"/>
  <c r="J100" i="13" s="1"/>
  <c r="T163" i="14"/>
  <c r="T231" i="14"/>
  <c r="T261" i="16"/>
  <c r="P217" i="18"/>
  <c r="T163" i="5"/>
  <c r="F39" i="9"/>
  <c r="BB104" i="1" s="1"/>
  <c r="P180" i="10"/>
  <c r="F37" i="13"/>
  <c r="BB108" i="1" s="1"/>
  <c r="R140" i="13"/>
  <c r="BK154" i="13"/>
  <c r="J154" i="13" s="1"/>
  <c r="J101" i="13" s="1"/>
  <c r="P986" i="13"/>
  <c r="T2831" i="2"/>
  <c r="R2859" i="2"/>
  <c r="T188" i="3"/>
  <c r="BK276" i="3"/>
  <c r="J276" i="3" s="1"/>
  <c r="J107" i="3" s="1"/>
  <c r="BK140" i="4"/>
  <c r="J140" i="4" s="1"/>
  <c r="J100" i="4" s="1"/>
  <c r="R380" i="4"/>
  <c r="R403" i="4"/>
  <c r="T1111" i="4"/>
  <c r="R1132" i="4"/>
  <c r="R1282" i="4"/>
  <c r="P144" i="5"/>
  <c r="P139" i="5" s="1"/>
  <c r="F38" i="6"/>
  <c r="BC100" i="1" s="1"/>
  <c r="F39" i="7"/>
  <c r="BB102" i="1" s="1"/>
  <c r="P140" i="8"/>
  <c r="P139" i="8" s="1"/>
  <c r="AU103" i="1" s="1"/>
  <c r="BK140" i="8"/>
  <c r="J140" i="8" s="1"/>
  <c r="J101" i="8" s="1"/>
  <c r="R194" i="11"/>
  <c r="P194" i="11"/>
  <c r="F38" i="13"/>
  <c r="BC108" i="1" s="1"/>
  <c r="R214" i="15"/>
  <c r="P214" i="15"/>
  <c r="BK1347" i="4"/>
  <c r="J1347" i="4" s="1"/>
  <c r="J109" i="4" s="1"/>
  <c r="J36" i="5"/>
  <c r="AW99" i="1" s="1"/>
  <c r="P140" i="6"/>
  <c r="P139" i="6" s="1"/>
  <c r="AU100" i="1" s="1"/>
  <c r="BK140" i="6"/>
  <c r="J140" i="6" s="1"/>
  <c r="J99" i="6" s="1"/>
  <c r="R140" i="8"/>
  <c r="R139" i="8" s="1"/>
  <c r="J37" i="9"/>
  <c r="AV104" i="1" s="1"/>
  <c r="BK140" i="9"/>
  <c r="J140" i="9" s="1"/>
  <c r="J101" i="9" s="1"/>
  <c r="F39" i="12"/>
  <c r="BD107" i="1" s="1"/>
  <c r="J35" i="12"/>
  <c r="AV107" i="1" s="1"/>
  <c r="F39" i="13"/>
  <c r="BD108" i="1" s="1"/>
  <c r="R1019" i="13"/>
  <c r="J36" i="15"/>
  <c r="AW110" i="1" s="1"/>
  <c r="BK185" i="16"/>
  <c r="J185" i="16" s="1"/>
  <c r="J103" i="16" s="1"/>
  <c r="P2360" i="2"/>
  <c r="J36" i="3"/>
  <c r="AW97" i="1" s="1"/>
  <c r="P247" i="3"/>
  <c r="R276" i="3"/>
  <c r="R275" i="3" s="1"/>
  <c r="T742" i="3"/>
  <c r="P1347" i="4"/>
  <c r="T449" i="5"/>
  <c r="P140" i="7"/>
  <c r="P139" i="7" s="1"/>
  <c r="AU102" i="1" s="1"/>
  <c r="BK140" i="7"/>
  <c r="BK139" i="7" s="1"/>
  <c r="J139" i="7" s="1"/>
  <c r="R161" i="11"/>
  <c r="R1010" i="13"/>
  <c r="R140" i="14"/>
  <c r="R139" i="14" s="1"/>
  <c r="BK140" i="15"/>
  <c r="F38" i="15"/>
  <c r="BC110" i="1" s="1"/>
  <c r="BK159" i="16"/>
  <c r="J159" i="16" s="1"/>
  <c r="J102" i="16" s="1"/>
  <c r="R140" i="18"/>
  <c r="T147" i="19"/>
  <c r="P2032" i="2"/>
  <c r="R2360" i="2"/>
  <c r="R247" i="3"/>
  <c r="T276" i="3"/>
  <c r="T275" i="3" s="1"/>
  <c r="R1347" i="4"/>
  <c r="R163" i="5"/>
  <c r="R492" i="5"/>
  <c r="F35" i="6"/>
  <c r="AZ100" i="1" s="1"/>
  <c r="F37" i="7"/>
  <c r="AZ102" i="1" s="1"/>
  <c r="R140" i="9"/>
  <c r="R139" i="9" s="1"/>
  <c r="P145" i="10"/>
  <c r="BK145" i="10"/>
  <c r="J145" i="10" s="1"/>
  <c r="J102" i="10" s="1"/>
  <c r="BK140" i="11"/>
  <c r="F40" i="11"/>
  <c r="BC106" i="1" s="1"/>
  <c r="BK203" i="11"/>
  <c r="J203" i="11" s="1"/>
  <c r="J106" i="11" s="1"/>
  <c r="BK404" i="12"/>
  <c r="J404" i="12" s="1"/>
  <c r="J101" i="12" s="1"/>
  <c r="R986" i="13"/>
  <c r="R1051" i="13"/>
  <c r="P140" i="14"/>
  <c r="P139" i="14" s="1"/>
  <c r="BK140" i="14"/>
  <c r="P140" i="15"/>
  <c r="BK226" i="15"/>
  <c r="J226" i="15" s="1"/>
  <c r="J104" i="15" s="1"/>
  <c r="P205" i="18"/>
  <c r="BK205" i="18"/>
  <c r="J205" i="18" s="1"/>
  <c r="J102" i="18" s="1"/>
  <c r="F38" i="19"/>
  <c r="BA115" i="1" s="1"/>
  <c r="P140" i="19"/>
  <c r="BK140" i="19"/>
  <c r="J140" i="19" s="1"/>
  <c r="J101" i="19" s="1"/>
  <c r="R383" i="24"/>
  <c r="P285" i="14"/>
  <c r="P226" i="15"/>
  <c r="R269" i="16"/>
  <c r="R152" i="17"/>
  <c r="R139" i="17" s="1"/>
  <c r="P185" i="17"/>
  <c r="P182" i="17" s="1"/>
  <c r="R170" i="19"/>
  <c r="T184" i="19"/>
  <c r="P184" i="19"/>
  <c r="BK184" i="19"/>
  <c r="J184" i="19" s="1"/>
  <c r="J104" i="19" s="1"/>
  <c r="P140" i="21"/>
  <c r="BK140" i="21"/>
  <c r="T176" i="22"/>
  <c r="T198" i="22"/>
  <c r="T281" i="23"/>
  <c r="R306" i="23"/>
  <c r="R301" i="24"/>
  <c r="P177" i="25"/>
  <c r="BK177" i="25"/>
  <c r="J177" i="25" s="1"/>
  <c r="J102" i="25" s="1"/>
  <c r="D94" i="28"/>
  <c r="D104" i="28"/>
  <c r="D116" i="28"/>
  <c r="D160" i="28"/>
  <c r="D173" i="28"/>
  <c r="D176" i="28"/>
  <c r="D246" i="28"/>
  <c r="D258" i="28"/>
  <c r="R285" i="14"/>
  <c r="R200" i="15"/>
  <c r="T226" i="15"/>
  <c r="T140" i="16"/>
  <c r="R159" i="16"/>
  <c r="BK222" i="16"/>
  <c r="J222" i="16" s="1"/>
  <c r="J104" i="16" s="1"/>
  <c r="BK261" i="16"/>
  <c r="J261" i="16" s="1"/>
  <c r="J105" i="16" s="1"/>
  <c r="R185" i="17"/>
  <c r="R182" i="17" s="1"/>
  <c r="P170" i="19"/>
  <c r="R140" i="21"/>
  <c r="P153" i="21"/>
  <c r="BK140" i="23"/>
  <c r="J140" i="23" s="1"/>
  <c r="J101" i="23" s="1"/>
  <c r="T306" i="23"/>
  <c r="T301" i="24"/>
  <c r="R477" i="24"/>
  <c r="BK496" i="24"/>
  <c r="J496" i="24" s="1"/>
  <c r="J109" i="24" s="1"/>
  <c r="BK170" i="25"/>
  <c r="J170" i="25" s="1"/>
  <c r="J100" i="25" s="1"/>
  <c r="R182" i="26"/>
  <c r="D59" i="28"/>
  <c r="D167" i="28"/>
  <c r="D231" i="28"/>
  <c r="P261" i="16"/>
  <c r="BK140" i="17"/>
  <c r="J140" i="17" s="1"/>
  <c r="J100" i="17" s="1"/>
  <c r="R140" i="19"/>
  <c r="BK281" i="23"/>
  <c r="J281" i="23" s="1"/>
  <c r="J104" i="23" s="1"/>
  <c r="P496" i="24"/>
  <c r="P140" i="26"/>
  <c r="D50" i="28"/>
  <c r="D148" i="28"/>
  <c r="D151" i="28"/>
  <c r="D202" i="28"/>
  <c r="D212" i="28"/>
  <c r="D228" i="28"/>
  <c r="D275" i="28"/>
  <c r="D291" i="28"/>
  <c r="D294" i="28"/>
  <c r="R147" i="19"/>
  <c r="T146" i="20"/>
  <c r="T147" i="21"/>
  <c r="R202" i="23"/>
  <c r="BK140" i="24"/>
  <c r="J140" i="24" s="1"/>
  <c r="J98" i="24" s="1"/>
  <c r="F35" i="24"/>
  <c r="BB120" i="1" s="1"/>
  <c r="R140" i="24"/>
  <c r="P170" i="25"/>
  <c r="D127" i="28"/>
  <c r="D136" i="28"/>
  <c r="D139" i="28"/>
  <c r="D272" i="28"/>
  <c r="F41" i="22"/>
  <c r="BD118" i="1" s="1"/>
  <c r="F33" i="24"/>
  <c r="AZ120" i="1" s="1"/>
  <c r="T152" i="17"/>
  <c r="BK154" i="22"/>
  <c r="J154" i="22" s="1"/>
  <c r="J103" i="22" s="1"/>
  <c r="T288" i="24"/>
  <c r="D80" i="28"/>
  <c r="D83" i="28"/>
  <c r="D122" i="28"/>
  <c r="D317" i="28"/>
  <c r="P140" i="16"/>
  <c r="P142" i="20"/>
  <c r="BK176" i="22"/>
  <c r="J176" i="22" s="1"/>
  <c r="J108" i="22" s="1"/>
  <c r="R370" i="24"/>
  <c r="R505" i="24"/>
  <c r="R504" i="24" s="1"/>
  <c r="R160" i="25"/>
  <c r="D23" i="28"/>
  <c r="D27" i="28"/>
  <c r="D30" i="28"/>
  <c r="D10" i="28" s="1"/>
  <c r="D38" i="28"/>
  <c r="D41" i="28"/>
  <c r="D62" i="28"/>
  <c r="D74" i="28"/>
  <c r="D185" i="28"/>
  <c r="D188" i="28"/>
  <c r="D255" i="28"/>
  <c r="D302" i="28"/>
  <c r="D308" i="28"/>
  <c r="D311" i="28"/>
  <c r="J38" i="20"/>
  <c r="AW116" i="1" s="1"/>
  <c r="T140" i="21"/>
  <c r="F39" i="23"/>
  <c r="BD119" i="1" s="1"/>
  <c r="F38" i="23"/>
  <c r="BC119" i="1" s="1"/>
  <c r="T140" i="23"/>
  <c r="R289" i="23"/>
  <c r="T314" i="23"/>
  <c r="P255" i="24"/>
  <c r="T383" i="24"/>
  <c r="P383" i="24"/>
  <c r="P505" i="24"/>
  <c r="P504" i="24" s="1"/>
  <c r="BK505" i="24"/>
  <c r="R174" i="25"/>
  <c r="T153" i="26"/>
  <c r="P153" i="26"/>
  <c r="D37" i="28"/>
  <c r="D6" i="28"/>
  <c r="D64" i="28"/>
  <c r="D93" i="28"/>
  <c r="D103" i="28"/>
  <c r="D138" i="28"/>
  <c r="D144" i="28"/>
  <c r="D166" i="28"/>
  <c r="D205" i="28"/>
  <c r="D208" i="28"/>
  <c r="D227" i="28"/>
  <c r="D233" i="28"/>
  <c r="D260" i="28"/>
  <c r="D288" i="28"/>
  <c r="D299" i="28"/>
  <c r="D305" i="28"/>
  <c r="C113" i="29"/>
  <c r="C237" i="29"/>
  <c r="R147" i="21"/>
  <c r="T153" i="21"/>
  <c r="P154" i="22"/>
  <c r="R173" i="22"/>
  <c r="BK183" i="22"/>
  <c r="J183" i="22" s="1"/>
  <c r="J109" i="22" s="1"/>
  <c r="R288" i="24"/>
  <c r="P482" i="24"/>
  <c r="T177" i="25"/>
  <c r="R153" i="26"/>
  <c r="T165" i="26"/>
  <c r="BK165" i="26"/>
  <c r="J165" i="26" s="1"/>
  <c r="J100" i="26" s="1"/>
  <c r="G5" i="28"/>
  <c r="D51" i="28"/>
  <c r="D66" i="28"/>
  <c r="D98" i="28"/>
  <c r="D101" i="28"/>
  <c r="D113" i="28"/>
  <c r="D117" i="28"/>
  <c r="D137" i="28"/>
  <c r="D146" i="28"/>
  <c r="D158" i="28"/>
  <c r="D161" i="28"/>
  <c r="D171" i="28"/>
  <c r="D183" i="28"/>
  <c r="D186" i="28"/>
  <c r="D189" i="28"/>
  <c r="D200" i="28"/>
  <c r="D215" i="28"/>
  <c r="D229" i="28"/>
  <c r="D235" i="28"/>
  <c r="D253" i="28"/>
  <c r="D256" i="28"/>
  <c r="D273" i="28"/>
  <c r="D276" i="28"/>
  <c r="D279" i="28"/>
  <c r="D297" i="28"/>
  <c r="D315" i="28"/>
  <c r="F40" i="22"/>
  <c r="BC118" i="1" s="1"/>
  <c r="F38" i="22"/>
  <c r="BA118" i="1" s="1"/>
  <c r="P159" i="22"/>
  <c r="R166" i="22"/>
  <c r="R281" i="23"/>
  <c r="P314" i="23"/>
  <c r="J34" i="24"/>
  <c r="AW120" i="1" s="1"/>
  <c r="T140" i="24"/>
  <c r="P140" i="24"/>
  <c r="P459" i="24"/>
  <c r="T160" i="25"/>
  <c r="P160" i="25"/>
  <c r="P159" i="25" s="1"/>
  <c r="R170" i="25"/>
  <c r="D67" i="28"/>
  <c r="D81" i="28"/>
  <c r="D102" i="28"/>
  <c r="D159" i="28"/>
  <c r="D168" i="28"/>
  <c r="D268" i="28"/>
  <c r="D287" i="28"/>
  <c r="D307" i="28"/>
  <c r="C174" i="29"/>
  <c r="P139" i="20"/>
  <c r="AU116" i="1" s="1"/>
  <c r="F39" i="20"/>
  <c r="BB116" i="1" s="1"/>
  <c r="R314" i="23"/>
  <c r="R140" i="25"/>
  <c r="D34" i="28"/>
  <c r="D49" i="28"/>
  <c r="D79" i="28"/>
  <c r="D96" i="28"/>
  <c r="D99" i="28"/>
  <c r="D108" i="28"/>
  <c r="D111" i="28"/>
  <c r="D132" i="28"/>
  <c r="D153" i="28"/>
  <c r="D156" i="28"/>
  <c r="D172" i="28"/>
  <c r="D178" i="28"/>
  <c r="D190" i="28"/>
  <c r="D236" i="28"/>
  <c r="D248" i="28"/>
  <c r="D284" i="28"/>
  <c r="R241" i="14"/>
  <c r="F35" i="14"/>
  <c r="AZ109" i="1" s="1"/>
  <c r="F39" i="14"/>
  <c r="BD109" i="1" s="1"/>
  <c r="F37" i="14"/>
  <c r="BB109" i="1" s="1"/>
  <c r="J35" i="2"/>
  <c r="AV96" i="1" s="1"/>
  <c r="F35" i="2"/>
  <c r="AZ96" i="1" s="1"/>
  <c r="F35" i="3"/>
  <c r="AZ97" i="1" s="1"/>
  <c r="J35" i="3"/>
  <c r="AV97" i="1" s="1"/>
  <c r="AT97" i="1" s="1"/>
  <c r="J163" i="5"/>
  <c r="J104" i="5" s="1"/>
  <c r="P139" i="2"/>
  <c r="J140" i="2"/>
  <c r="J100" i="2" s="1"/>
  <c r="F36" i="12"/>
  <c r="BA107" i="1" s="1"/>
  <c r="J36" i="12"/>
  <c r="AW107" i="1" s="1"/>
  <c r="BK403" i="4"/>
  <c r="J403" i="4" s="1"/>
  <c r="J103" i="4" s="1"/>
  <c r="T403" i="4"/>
  <c r="F36" i="5"/>
  <c r="BA99" i="1" s="1"/>
  <c r="R139" i="5"/>
  <c r="F37" i="5"/>
  <c r="BB99" i="1" s="1"/>
  <c r="P140" i="9"/>
  <c r="P139" i="9" s="1"/>
  <c r="AU104" i="1" s="1"/>
  <c r="J38" i="10"/>
  <c r="AW105" i="1" s="1"/>
  <c r="T145" i="10"/>
  <c r="P140" i="11"/>
  <c r="J35" i="4"/>
  <c r="AV98" i="1" s="1"/>
  <c r="F35" i="4"/>
  <c r="AZ98" i="1" s="1"/>
  <c r="P403" i="4"/>
  <c r="BK1132" i="4"/>
  <c r="T1132" i="4"/>
  <c r="T139" i="5"/>
  <c r="J36" i="6"/>
  <c r="AW100" i="1" s="1"/>
  <c r="AT100" i="1" s="1"/>
  <c r="F36" i="6"/>
  <c r="BA100" i="1" s="1"/>
  <c r="J37" i="7"/>
  <c r="AV102" i="1" s="1"/>
  <c r="F37" i="9"/>
  <c r="AZ104" i="1" s="1"/>
  <c r="F38" i="10"/>
  <c r="BA105" i="1" s="1"/>
  <c r="R180" i="10"/>
  <c r="F37" i="19"/>
  <c r="AZ115" i="1" s="1"/>
  <c r="J37" i="19"/>
  <c r="AV115" i="1" s="1"/>
  <c r="P1132" i="4"/>
  <c r="F39" i="5"/>
  <c r="BD99" i="1" s="1"/>
  <c r="T140" i="11"/>
  <c r="T161" i="11"/>
  <c r="F37" i="11"/>
  <c r="AZ106" i="1" s="1"/>
  <c r="J37" i="11"/>
  <c r="AV106" i="1" s="1"/>
  <c r="P329" i="4"/>
  <c r="J140" i="5"/>
  <c r="J100" i="5" s="1"/>
  <c r="BK139" i="5"/>
  <c r="T140" i="7"/>
  <c r="T139" i="7" s="1"/>
  <c r="J38" i="11"/>
  <c r="AW106" i="1" s="1"/>
  <c r="F39" i="4"/>
  <c r="BD98" i="1" s="1"/>
  <c r="T329" i="4"/>
  <c r="J38" i="7"/>
  <c r="AW102" i="1" s="1"/>
  <c r="F38" i="7"/>
  <c r="BA102" i="1" s="1"/>
  <c r="F38" i="9"/>
  <c r="BA104" i="1" s="1"/>
  <c r="T140" i="9"/>
  <c r="T139" i="9" s="1"/>
  <c r="F39" i="11"/>
  <c r="BB106" i="1" s="1"/>
  <c r="BK211" i="11"/>
  <c r="F36" i="4"/>
  <c r="BA98" i="1" s="1"/>
  <c r="J35" i="5"/>
  <c r="AV99" i="1" s="1"/>
  <c r="F38" i="5"/>
  <c r="BC99" i="1" s="1"/>
  <c r="F40" i="7"/>
  <c r="BC102" i="1" s="1"/>
  <c r="J38" i="9"/>
  <c r="AW104" i="1" s="1"/>
  <c r="F41" i="10"/>
  <c r="BD105" i="1" s="1"/>
  <c r="F40" i="10"/>
  <c r="BC105" i="1" s="1"/>
  <c r="P203" i="10"/>
  <c r="BK203" i="10"/>
  <c r="J203" i="10" s="1"/>
  <c r="J104" i="10" s="1"/>
  <c r="F35" i="12"/>
  <c r="AZ107" i="1" s="1"/>
  <c r="J140" i="15"/>
  <c r="J100" i="15" s="1"/>
  <c r="F35" i="5"/>
  <c r="AZ99" i="1" s="1"/>
  <c r="P163" i="5"/>
  <c r="J140" i="7"/>
  <c r="J101" i="7" s="1"/>
  <c r="F40" i="9"/>
  <c r="BC104" i="1" s="1"/>
  <c r="J37" i="10"/>
  <c r="AV105" i="1" s="1"/>
  <c r="F37" i="10"/>
  <c r="AZ105" i="1" s="1"/>
  <c r="J140" i="11"/>
  <c r="J101" i="11" s="1"/>
  <c r="R154" i="13"/>
  <c r="F38" i="14"/>
  <c r="BC109" i="1" s="1"/>
  <c r="T241" i="14"/>
  <c r="P241" i="14"/>
  <c r="BK241" i="14"/>
  <c r="J241" i="14" s="1"/>
  <c r="J106" i="14" s="1"/>
  <c r="J35" i="15"/>
  <c r="AV110" i="1" s="1"/>
  <c r="F35" i="15"/>
  <c r="AZ110" i="1" s="1"/>
  <c r="F37" i="15"/>
  <c r="BB110" i="1" s="1"/>
  <c r="F35" i="16"/>
  <c r="AZ111" i="1" s="1"/>
  <c r="J35" i="16"/>
  <c r="AV111" i="1" s="1"/>
  <c r="P159" i="16"/>
  <c r="C62" i="29"/>
  <c r="C27" i="29" s="1"/>
  <c r="F10" i="29"/>
  <c r="B5" i="29"/>
  <c r="B16" i="29" s="1"/>
  <c r="BK194" i="11"/>
  <c r="J194" i="11" s="1"/>
  <c r="J105" i="11" s="1"/>
  <c r="P203" i="11"/>
  <c r="P404" i="12"/>
  <c r="J35" i="13"/>
  <c r="AV108" i="1" s="1"/>
  <c r="F35" i="13"/>
  <c r="AZ108" i="1" s="1"/>
  <c r="J35" i="14"/>
  <c r="AV109" i="1" s="1"/>
  <c r="R163" i="14"/>
  <c r="R231" i="14"/>
  <c r="R140" i="15"/>
  <c r="T200" i="15"/>
  <c r="F38" i="12"/>
  <c r="BC107" i="1" s="1"/>
  <c r="R404" i="12"/>
  <c r="F37" i="16"/>
  <c r="BB111" i="1" s="1"/>
  <c r="F35" i="17"/>
  <c r="AZ112" i="1" s="1"/>
  <c r="J35" i="17"/>
  <c r="AV112" i="1" s="1"/>
  <c r="F38" i="17"/>
  <c r="BC112" i="1" s="1"/>
  <c r="F37" i="12"/>
  <c r="BB107" i="1" s="1"/>
  <c r="P154" i="13"/>
  <c r="BK200" i="15"/>
  <c r="J200" i="15" s="1"/>
  <c r="J101" i="15" s="1"/>
  <c r="F38" i="16"/>
  <c r="BC111" i="1" s="1"/>
  <c r="P211" i="11"/>
  <c r="P210" i="11" s="1"/>
  <c r="BK140" i="12"/>
  <c r="T903" i="13"/>
  <c r="P903" i="13"/>
  <c r="BK903" i="13"/>
  <c r="J903" i="13" s="1"/>
  <c r="J102" i="13" s="1"/>
  <c r="F36" i="15"/>
  <c r="BA110" i="1" s="1"/>
  <c r="P200" i="15"/>
  <c r="R226" i="15"/>
  <c r="R211" i="11"/>
  <c r="R210" i="11" s="1"/>
  <c r="T404" i="12"/>
  <c r="J36" i="13"/>
  <c r="AW108" i="1" s="1"/>
  <c r="F36" i="13"/>
  <c r="BA108" i="1" s="1"/>
  <c r="T1051" i="13"/>
  <c r="T980" i="13" s="1"/>
  <c r="P1051" i="13"/>
  <c r="BK1051" i="13"/>
  <c r="J1051" i="13" s="1"/>
  <c r="J108" i="13" s="1"/>
  <c r="J36" i="14"/>
  <c r="AW109" i="1" s="1"/>
  <c r="F36" i="14"/>
  <c r="BA109" i="1" s="1"/>
  <c r="T144" i="14"/>
  <c r="P144" i="14"/>
  <c r="BK144" i="14"/>
  <c r="R140" i="16"/>
  <c r="F39" i="16"/>
  <c r="BD111" i="1" s="1"/>
  <c r="J36" i="16"/>
  <c r="AW111" i="1" s="1"/>
  <c r="R185" i="16"/>
  <c r="P185" i="16"/>
  <c r="F39" i="18"/>
  <c r="BB114" i="1" s="1"/>
  <c r="T189" i="11"/>
  <c r="T140" i="12"/>
  <c r="T139" i="12" s="1"/>
  <c r="P140" i="12"/>
  <c r="P139" i="12" s="1"/>
  <c r="T194" i="14"/>
  <c r="P194" i="14"/>
  <c r="BK194" i="14"/>
  <c r="J194" i="14" s="1"/>
  <c r="J104" i="14" s="1"/>
  <c r="F39" i="15"/>
  <c r="BD110" i="1" s="1"/>
  <c r="J36" i="17"/>
  <c r="AW112" i="1" s="1"/>
  <c r="F39" i="17"/>
  <c r="BD112" i="1" s="1"/>
  <c r="T217" i="18"/>
  <c r="T237" i="18"/>
  <c r="F41" i="19"/>
  <c r="BD115" i="1" s="1"/>
  <c r="F38" i="20"/>
  <c r="BA116" i="1" s="1"/>
  <c r="F37" i="21"/>
  <c r="AZ117" i="1" s="1"/>
  <c r="P140" i="17"/>
  <c r="F41" i="18"/>
  <c r="BD114" i="1" s="1"/>
  <c r="BK156" i="16"/>
  <c r="J156" i="16" s="1"/>
  <c r="J101" i="16" s="1"/>
  <c r="R222" i="16"/>
  <c r="P222" i="16"/>
  <c r="F36" i="17"/>
  <c r="BA112" i="1" s="1"/>
  <c r="J37" i="18"/>
  <c r="AV114" i="1" s="1"/>
  <c r="F37" i="18"/>
  <c r="AZ114" i="1" s="1"/>
  <c r="BK140" i="18"/>
  <c r="F40" i="18"/>
  <c r="BC114" i="1" s="1"/>
  <c r="R237" i="18"/>
  <c r="BK170" i="19"/>
  <c r="J170" i="19" s="1"/>
  <c r="J103" i="19" s="1"/>
  <c r="F40" i="20"/>
  <c r="BC116" i="1" s="1"/>
  <c r="J38" i="21"/>
  <c r="AW117" i="1" s="1"/>
  <c r="F38" i="21"/>
  <c r="BA117" i="1" s="1"/>
  <c r="T139" i="21"/>
  <c r="F41" i="21"/>
  <c r="BD117" i="1" s="1"/>
  <c r="P156" i="16"/>
  <c r="T222" i="16"/>
  <c r="R261" i="16"/>
  <c r="BK152" i="17"/>
  <c r="J152" i="17" s="1"/>
  <c r="J101" i="17" s="1"/>
  <c r="P140" i="18"/>
  <c r="T205" i="18"/>
  <c r="R205" i="18"/>
  <c r="BK217" i="18"/>
  <c r="J217" i="18" s="1"/>
  <c r="J103" i="18" s="1"/>
  <c r="T226" i="18"/>
  <c r="BK237" i="18"/>
  <c r="J237" i="18" s="1"/>
  <c r="J105" i="18" s="1"/>
  <c r="T140" i="19"/>
  <c r="J37" i="20"/>
  <c r="AV116" i="1" s="1"/>
  <c r="F37" i="20"/>
  <c r="AZ116" i="1" s="1"/>
  <c r="F40" i="21"/>
  <c r="BC117" i="1" s="1"/>
  <c r="F39" i="21"/>
  <c r="BB117" i="1" s="1"/>
  <c r="F39" i="22"/>
  <c r="BB118" i="1" s="1"/>
  <c r="J315" i="23"/>
  <c r="J109" i="23" s="1"/>
  <c r="BK314" i="23"/>
  <c r="J314" i="23" s="1"/>
  <c r="J108" i="23" s="1"/>
  <c r="T159" i="16"/>
  <c r="T185" i="16"/>
  <c r="T140" i="17"/>
  <c r="T139" i="17" s="1"/>
  <c r="P152" i="17"/>
  <c r="P237" i="18"/>
  <c r="R184" i="19"/>
  <c r="BK139" i="20"/>
  <c r="J139" i="20" s="1"/>
  <c r="F41" i="20"/>
  <c r="BD116" i="1" s="1"/>
  <c r="J140" i="21"/>
  <c r="J101" i="21" s="1"/>
  <c r="BK139" i="21"/>
  <c r="J139" i="21" s="1"/>
  <c r="BK140" i="16"/>
  <c r="F37" i="17"/>
  <c r="BB112" i="1" s="1"/>
  <c r="J183" i="17"/>
  <c r="J104" i="17" s="1"/>
  <c r="BK182" i="17"/>
  <c r="J182" i="17" s="1"/>
  <c r="J103" i="17" s="1"/>
  <c r="P226" i="18"/>
  <c r="BK226" i="18"/>
  <c r="J226" i="18" s="1"/>
  <c r="J104" i="18" s="1"/>
  <c r="F39" i="19"/>
  <c r="BB115" i="1" s="1"/>
  <c r="J38" i="19"/>
  <c r="AW115" i="1" s="1"/>
  <c r="J37" i="22"/>
  <c r="AV118" i="1" s="1"/>
  <c r="F37" i="22"/>
  <c r="AZ118" i="1" s="1"/>
  <c r="P186" i="22"/>
  <c r="J36" i="23"/>
  <c r="AW119" i="1" s="1"/>
  <c r="F36" i="23"/>
  <c r="BA119" i="1" s="1"/>
  <c r="F38" i="18"/>
  <c r="BA114" i="1" s="1"/>
  <c r="T140" i="18"/>
  <c r="R226" i="18"/>
  <c r="F40" i="19"/>
  <c r="BC115" i="1" s="1"/>
  <c r="T170" i="19"/>
  <c r="BK159" i="22"/>
  <c r="J159" i="22" s="1"/>
  <c r="J104" i="22" s="1"/>
  <c r="J38" i="18"/>
  <c r="AW114" i="1" s="1"/>
  <c r="P147" i="21"/>
  <c r="P289" i="23"/>
  <c r="F34" i="24"/>
  <c r="BA120" i="1" s="1"/>
  <c r="F36" i="24"/>
  <c r="BC120" i="1" s="1"/>
  <c r="P143" i="22"/>
  <c r="J35" i="23"/>
  <c r="AV119" i="1" s="1"/>
  <c r="F35" i="23"/>
  <c r="AZ119" i="1" s="1"/>
  <c r="F37" i="23"/>
  <c r="BB119" i="1" s="1"/>
  <c r="D97" i="28"/>
  <c r="D194" i="28"/>
  <c r="R153" i="21"/>
  <c r="BK140" i="22"/>
  <c r="R154" i="22"/>
  <c r="P140" i="23"/>
  <c r="P202" i="23"/>
  <c r="BK306" i="23"/>
  <c r="J306" i="23" s="1"/>
  <c r="J106" i="23" s="1"/>
  <c r="J33" i="24"/>
  <c r="AV120" i="1" s="1"/>
  <c r="R481" i="24"/>
  <c r="J33" i="26"/>
  <c r="AV122" i="1" s="1"/>
  <c r="F33" i="26"/>
  <c r="AZ122" i="1" s="1"/>
  <c r="R146" i="20"/>
  <c r="R139" i="20" s="1"/>
  <c r="J37" i="21"/>
  <c r="AV117" i="1" s="1"/>
  <c r="R140" i="22"/>
  <c r="T143" i="22"/>
  <c r="BK213" i="22"/>
  <c r="J213" i="22" s="1"/>
  <c r="J112" i="22" s="1"/>
  <c r="R140" i="23"/>
  <c r="BK147" i="19"/>
  <c r="J147" i="19" s="1"/>
  <c r="J102" i="19" s="1"/>
  <c r="J38" i="22"/>
  <c r="AW118" i="1" s="1"/>
  <c r="T186" i="22"/>
  <c r="BK198" i="22"/>
  <c r="J198" i="22" s="1"/>
  <c r="J111" i="22" s="1"/>
  <c r="P213" i="22"/>
  <c r="T202" i="23"/>
  <c r="R211" i="23"/>
  <c r="F37" i="24"/>
  <c r="BD120" i="1" s="1"/>
  <c r="T142" i="20"/>
  <c r="T139" i="20" s="1"/>
  <c r="P176" i="22"/>
  <c r="R198" i="22"/>
  <c r="R213" i="22"/>
  <c r="BK211" i="23"/>
  <c r="T211" i="23"/>
  <c r="T289" i="23"/>
  <c r="BK301" i="24"/>
  <c r="J301" i="24" s="1"/>
  <c r="J101" i="24" s="1"/>
  <c r="T159" i="22"/>
  <c r="T213" i="22"/>
  <c r="P211" i="23"/>
  <c r="BK289" i="23"/>
  <c r="J289" i="23" s="1"/>
  <c r="J105" i="23" s="1"/>
  <c r="BK255" i="24"/>
  <c r="J255" i="24" s="1"/>
  <c r="J99" i="24" s="1"/>
  <c r="BK383" i="24"/>
  <c r="J383" i="24" s="1"/>
  <c r="J104" i="24" s="1"/>
  <c r="D224" i="28"/>
  <c r="D266" i="28"/>
  <c r="D285" i="28"/>
  <c r="D56" i="28"/>
  <c r="D8" i="28" s="1"/>
  <c r="D89" i="28"/>
  <c r="G7" i="28"/>
  <c r="D107" i="28"/>
  <c r="D218" i="28"/>
  <c r="D264" i="28"/>
  <c r="P370" i="24"/>
  <c r="D12" i="28"/>
  <c r="BK459" i="24"/>
  <c r="J459" i="24" s="1"/>
  <c r="J105" i="24" s="1"/>
  <c r="F37" i="25"/>
  <c r="BD121" i="1" s="1"/>
  <c r="F36" i="25"/>
  <c r="BC121" i="1" s="1"/>
  <c r="J34" i="25"/>
  <c r="AW121" i="1" s="1"/>
  <c r="F34" i="25"/>
  <c r="BA121" i="1" s="1"/>
  <c r="T140" i="25"/>
  <c r="R177" i="25"/>
  <c r="J34" i="26"/>
  <c r="AW122" i="1" s="1"/>
  <c r="F37" i="26"/>
  <c r="BD122" i="1" s="1"/>
  <c r="D149" i="28"/>
  <c r="D204" i="28"/>
  <c r="J33" i="25"/>
  <c r="AV121" i="1" s="1"/>
  <c r="F33" i="25"/>
  <c r="AZ121" i="1" s="1"/>
  <c r="BK140" i="25"/>
  <c r="F35" i="25"/>
  <c r="BB121" i="1" s="1"/>
  <c r="BK160" i="25"/>
  <c r="F35" i="26"/>
  <c r="BB122" i="1" s="1"/>
  <c r="R140" i="26"/>
  <c r="D22" i="28"/>
  <c r="P301" i="24"/>
  <c r="T459" i="24"/>
  <c r="BK481" i="24"/>
  <c r="J481" i="24" s="1"/>
  <c r="J107" i="24" s="1"/>
  <c r="P140" i="25"/>
  <c r="F36" i="26"/>
  <c r="BC122" i="1" s="1"/>
  <c r="G6" i="28"/>
  <c r="D129" i="28"/>
  <c r="D196" i="28"/>
  <c r="D72" i="28"/>
  <c r="D179" i="28"/>
  <c r="D249" i="28"/>
  <c r="D300" i="28"/>
  <c r="D312" i="28"/>
  <c r="C31" i="29"/>
  <c r="F11" i="29"/>
  <c r="F20" i="29" s="1"/>
  <c r="D177" i="28"/>
  <c r="D247" i="28"/>
  <c r="D242" i="28"/>
  <c r="D286" i="28"/>
  <c r="F34" i="26"/>
  <c r="BA122" i="1" s="1"/>
  <c r="D40" i="28"/>
  <c r="D155" i="28"/>
  <c r="D24" i="28"/>
  <c r="D29" i="28"/>
  <c r="D217" i="28"/>
  <c r="D278" i="28"/>
  <c r="T179" i="26"/>
  <c r="R165" i="26"/>
  <c r="D84" i="28"/>
  <c r="D91" i="28"/>
  <c r="D124" i="28"/>
  <c r="D191" i="28"/>
  <c r="D261" i="28"/>
  <c r="D271" i="28"/>
  <c r="AT116" i="1" l="1"/>
  <c r="T159" i="25"/>
  <c r="R139" i="19"/>
  <c r="AT110" i="1"/>
  <c r="AT107" i="1"/>
  <c r="R138" i="12"/>
  <c r="T138" i="12"/>
  <c r="AT121" i="1"/>
  <c r="P481" i="24"/>
  <c r="BB113" i="1"/>
  <c r="AX113" i="1" s="1"/>
  <c r="R139" i="21"/>
  <c r="T138" i="17"/>
  <c r="R138" i="17"/>
  <c r="T139" i="15"/>
  <c r="T138" i="15" s="1"/>
  <c r="AT109" i="1"/>
  <c r="R139" i="13"/>
  <c r="P980" i="13"/>
  <c r="P139" i="13"/>
  <c r="T139" i="13"/>
  <c r="T138" i="13" s="1"/>
  <c r="R980" i="13"/>
  <c r="P139" i="10"/>
  <c r="AU105" i="1" s="1"/>
  <c r="AU101" i="1" s="1"/>
  <c r="P162" i="5"/>
  <c r="P138" i="5" s="1"/>
  <c r="AU99" i="1" s="1"/>
  <c r="AT99" i="1"/>
  <c r="R162" i="5"/>
  <c r="R138" i="5" s="1"/>
  <c r="J140" i="3"/>
  <c r="J100" i="3" s="1"/>
  <c r="T139" i="3"/>
  <c r="T138" i="3" s="1"/>
  <c r="BK275" i="3"/>
  <c r="J275" i="3" s="1"/>
  <c r="J106" i="3" s="1"/>
  <c r="R139" i="2"/>
  <c r="R138" i="2" s="1"/>
  <c r="T139" i="2"/>
  <c r="P872" i="2"/>
  <c r="P138" i="2" s="1"/>
  <c r="AU96" i="1" s="1"/>
  <c r="BK139" i="2"/>
  <c r="J139" i="2" s="1"/>
  <c r="J99" i="2" s="1"/>
  <c r="R872" i="2"/>
  <c r="BK872" i="2"/>
  <c r="J872" i="2" s="1"/>
  <c r="J105" i="2" s="1"/>
  <c r="AT105" i="1"/>
  <c r="BB101" i="1"/>
  <c r="AX101" i="1" s="1"/>
  <c r="R139" i="10"/>
  <c r="T139" i="10"/>
  <c r="BA101" i="1"/>
  <c r="AW101" i="1" s="1"/>
  <c r="BK139" i="8"/>
  <c r="J139" i="8" s="1"/>
  <c r="J100" i="8" s="1"/>
  <c r="BK139" i="6"/>
  <c r="J139" i="6" s="1"/>
  <c r="BK139" i="26"/>
  <c r="J139" i="26" s="1"/>
  <c r="J97" i="26" s="1"/>
  <c r="AT98" i="1"/>
  <c r="T1131" i="4"/>
  <c r="R1131" i="4"/>
  <c r="P1131" i="4"/>
  <c r="R143" i="14"/>
  <c r="R138" i="14" s="1"/>
  <c r="R139" i="3"/>
  <c r="R138" i="3" s="1"/>
  <c r="AT118" i="1"/>
  <c r="BD101" i="1"/>
  <c r="P139" i="11"/>
  <c r="AU106" i="1" s="1"/>
  <c r="R159" i="25"/>
  <c r="R139" i="25" s="1"/>
  <c r="P139" i="24"/>
  <c r="R139" i="23"/>
  <c r="R138" i="23" s="1"/>
  <c r="R137" i="23" s="1"/>
  <c r="T139" i="18"/>
  <c r="AT104" i="1"/>
  <c r="P139" i="4"/>
  <c r="J505" i="24"/>
  <c r="J111" i="24" s="1"/>
  <c r="BK504" i="24"/>
  <c r="J504" i="24" s="1"/>
  <c r="J110" i="24" s="1"/>
  <c r="T872" i="2"/>
  <c r="T139" i="25"/>
  <c r="AT120" i="1"/>
  <c r="BA113" i="1"/>
  <c r="AW113" i="1" s="1"/>
  <c r="P139" i="18"/>
  <c r="AU114" i="1" s="1"/>
  <c r="R139" i="11"/>
  <c r="T162" i="5"/>
  <c r="T138" i="5" s="1"/>
  <c r="D7" i="28"/>
  <c r="D15" i="28" s="1"/>
  <c r="T139" i="24"/>
  <c r="T138" i="24" s="1"/>
  <c r="T139" i="23"/>
  <c r="T138" i="23" s="1"/>
  <c r="T137" i="23" s="1"/>
  <c r="T139" i="22"/>
  <c r="P139" i="21"/>
  <c r="AU117" i="1" s="1"/>
  <c r="T139" i="16"/>
  <c r="T138" i="16" s="1"/>
  <c r="P138" i="12"/>
  <c r="AU107" i="1" s="1"/>
  <c r="AZ101" i="1"/>
  <c r="AV101" i="1" s="1"/>
  <c r="R139" i="16"/>
  <c r="R138" i="16" s="1"/>
  <c r="P139" i="15"/>
  <c r="P138" i="15" s="1"/>
  <c r="AU110" i="1" s="1"/>
  <c r="BK139" i="14"/>
  <c r="J139" i="14" s="1"/>
  <c r="J99" i="14" s="1"/>
  <c r="J140" i="14"/>
  <c r="J100" i="14" s="1"/>
  <c r="R139" i="4"/>
  <c r="G10" i="28"/>
  <c r="D13" i="28"/>
  <c r="AT117" i="1"/>
  <c r="BK139" i="9"/>
  <c r="J139" i="9" s="1"/>
  <c r="AT96" i="1"/>
  <c r="AT103" i="1"/>
  <c r="T139" i="26"/>
  <c r="T138" i="26" s="1"/>
  <c r="P139" i="22"/>
  <c r="AU118" i="1" s="1"/>
  <c r="P139" i="16"/>
  <c r="P138" i="16" s="1"/>
  <c r="AU111" i="1" s="1"/>
  <c r="T139" i="4"/>
  <c r="AT102" i="1"/>
  <c r="R139" i="24"/>
  <c r="R138" i="24" s="1"/>
  <c r="P139" i="26"/>
  <c r="P138" i="26" s="1"/>
  <c r="AU122" i="1" s="1"/>
  <c r="P139" i="19"/>
  <c r="AU115" i="1" s="1"/>
  <c r="T143" i="14"/>
  <c r="T138" i="14" s="1"/>
  <c r="P143" i="14"/>
  <c r="P138" i="14" s="1"/>
  <c r="AU109" i="1" s="1"/>
  <c r="J100" i="7"/>
  <c r="J34" i="7"/>
  <c r="J1132" i="4"/>
  <c r="J107" i="4" s="1"/>
  <c r="BK1131" i="4"/>
  <c r="J1131" i="4" s="1"/>
  <c r="J106" i="4" s="1"/>
  <c r="J140" i="25"/>
  <c r="J97" i="25" s="1"/>
  <c r="J140" i="22"/>
  <c r="J101" i="22" s="1"/>
  <c r="BK139" i="22"/>
  <c r="J139" i="22" s="1"/>
  <c r="AT119" i="1"/>
  <c r="BK980" i="13"/>
  <c r="J980" i="13" s="1"/>
  <c r="J103" i="13" s="1"/>
  <c r="T139" i="19"/>
  <c r="AT106" i="1"/>
  <c r="BK139" i="4"/>
  <c r="AT122" i="1"/>
  <c r="J34" i="20"/>
  <c r="J100" i="20"/>
  <c r="BK139" i="17"/>
  <c r="AT108" i="1"/>
  <c r="J211" i="11"/>
  <c r="J109" i="11" s="1"/>
  <c r="BK210" i="11"/>
  <c r="J210" i="11" s="1"/>
  <c r="J108" i="11" s="1"/>
  <c r="J98" i="6"/>
  <c r="J32" i="6"/>
  <c r="D320" i="28"/>
  <c r="P139" i="23"/>
  <c r="P138" i="23" s="1"/>
  <c r="P137" i="23" s="1"/>
  <c r="AU119" i="1" s="1"/>
  <c r="R139" i="26"/>
  <c r="R138" i="26" s="1"/>
  <c r="BK139" i="24"/>
  <c r="BC113" i="1"/>
  <c r="AY113" i="1" s="1"/>
  <c r="J140" i="12"/>
  <c r="J100" i="12" s="1"/>
  <c r="BK139" i="12"/>
  <c r="J100" i="9"/>
  <c r="J34" i="9"/>
  <c r="J139" i="3"/>
  <c r="J99" i="3" s="1"/>
  <c r="BK138" i="3"/>
  <c r="J138" i="3" s="1"/>
  <c r="J140" i="18"/>
  <c r="J101" i="18" s="1"/>
  <c r="BK139" i="18"/>
  <c r="J139" i="18" s="1"/>
  <c r="BD113" i="1"/>
  <c r="AT112" i="1"/>
  <c r="R139" i="15"/>
  <c r="R138" i="15" s="1"/>
  <c r="AT111" i="1"/>
  <c r="BK139" i="15"/>
  <c r="BK139" i="10"/>
  <c r="J139" i="10" s="1"/>
  <c r="AT115" i="1"/>
  <c r="R139" i="18"/>
  <c r="AZ113" i="1"/>
  <c r="AV113" i="1" s="1"/>
  <c r="P139" i="17"/>
  <c r="P138" i="17" s="1"/>
  <c r="AU112" i="1" s="1"/>
  <c r="BK139" i="19"/>
  <c r="J139" i="19" s="1"/>
  <c r="J139" i="5"/>
  <c r="J99" i="5" s="1"/>
  <c r="BK138" i="5"/>
  <c r="J138" i="5" s="1"/>
  <c r="J140" i="16"/>
  <c r="J100" i="16" s="1"/>
  <c r="BK139" i="16"/>
  <c r="J160" i="25"/>
  <c r="J99" i="25" s="1"/>
  <c r="BK159" i="25"/>
  <c r="J159" i="25" s="1"/>
  <c r="J98" i="25" s="1"/>
  <c r="P139" i="25"/>
  <c r="AU121" i="1" s="1"/>
  <c r="J211" i="23"/>
  <c r="J103" i="23" s="1"/>
  <c r="BK139" i="23"/>
  <c r="R139" i="22"/>
  <c r="J34" i="21"/>
  <c r="J100" i="21"/>
  <c r="AT114" i="1"/>
  <c r="J144" i="14"/>
  <c r="J102" i="14" s="1"/>
  <c r="BK143" i="14"/>
  <c r="BK139" i="13"/>
  <c r="BC101" i="1"/>
  <c r="T139" i="11"/>
  <c r="P138" i="13" l="1"/>
  <c r="AU108" i="1" s="1"/>
  <c r="R138" i="13"/>
  <c r="BK138" i="26"/>
  <c r="J138" i="26" s="1"/>
  <c r="J30" i="26" s="1"/>
  <c r="P138" i="24"/>
  <c r="AU120" i="1" s="1"/>
  <c r="AT113" i="1"/>
  <c r="T138" i="2"/>
  <c r="BK138" i="2"/>
  <c r="J138" i="2" s="1"/>
  <c r="J32" i="2" s="1"/>
  <c r="J34" i="8"/>
  <c r="BB95" i="1"/>
  <c r="BB94" i="1" s="1"/>
  <c r="W31" i="1" s="1"/>
  <c r="BK139" i="11"/>
  <c r="J139" i="11" s="1"/>
  <c r="J100" i="11" s="1"/>
  <c r="AT101" i="1"/>
  <c r="BD95" i="1"/>
  <c r="BD94" i="1" s="1"/>
  <c r="W33" i="1" s="1"/>
  <c r="AU113" i="1"/>
  <c r="T138" i="4"/>
  <c r="P138" i="4"/>
  <c r="AU98" i="1" s="1"/>
  <c r="R138" i="4"/>
  <c r="BA95" i="1"/>
  <c r="BA94" i="1" s="1"/>
  <c r="W30" i="1" s="1"/>
  <c r="AY101" i="1"/>
  <c r="BC95" i="1"/>
  <c r="J32" i="5"/>
  <c r="J98" i="5"/>
  <c r="J139" i="13"/>
  <c r="J99" i="13" s="1"/>
  <c r="BK138" i="13"/>
  <c r="J138" i="13" s="1"/>
  <c r="J139" i="15"/>
  <c r="J99" i="15" s="1"/>
  <c r="BK138" i="15"/>
  <c r="J138" i="15" s="1"/>
  <c r="AZ95" i="1"/>
  <c r="J139" i="17"/>
  <c r="J99" i="17" s="1"/>
  <c r="BK138" i="17"/>
  <c r="J138" i="17" s="1"/>
  <c r="AG116" i="1"/>
  <c r="AN116" i="1" s="1"/>
  <c r="J43" i="20"/>
  <c r="J34" i="19"/>
  <c r="J100" i="19"/>
  <c r="AG104" i="1"/>
  <c r="AN104" i="1" s="1"/>
  <c r="J43" i="9"/>
  <c r="J139" i="12"/>
  <c r="J99" i="12" s="1"/>
  <c r="BK138" i="12"/>
  <c r="J138" i="12" s="1"/>
  <c r="AG100" i="1"/>
  <c r="AN100" i="1" s="1"/>
  <c r="J41" i="6"/>
  <c r="J100" i="22"/>
  <c r="J34" i="22"/>
  <c r="AG102" i="1"/>
  <c r="J43" i="7"/>
  <c r="J143" i="14"/>
  <c r="J101" i="14" s="1"/>
  <c r="BK138" i="14"/>
  <c r="J138" i="14" s="1"/>
  <c r="AG103" i="1"/>
  <c r="AN103" i="1" s="1"/>
  <c r="J43" i="8"/>
  <c r="AG117" i="1"/>
  <c r="AN117" i="1" s="1"/>
  <c r="J43" i="21"/>
  <c r="J139" i="16"/>
  <c r="J99" i="16" s="1"/>
  <c r="BK138" i="16"/>
  <c r="J138" i="16" s="1"/>
  <c r="J34" i="18"/>
  <c r="J100" i="18"/>
  <c r="J139" i="24"/>
  <c r="J97" i="24" s="1"/>
  <c r="BK138" i="24"/>
  <c r="J138" i="24" s="1"/>
  <c r="BK138" i="4"/>
  <c r="J138" i="4" s="1"/>
  <c r="J139" i="4"/>
  <c r="J99" i="4" s="1"/>
  <c r="BK139" i="25"/>
  <c r="J139" i="25" s="1"/>
  <c r="J139" i="23"/>
  <c r="J100" i="23" s="1"/>
  <c r="BK138" i="23"/>
  <c r="J34" i="10"/>
  <c r="J100" i="10"/>
  <c r="J32" i="3"/>
  <c r="J98" i="3"/>
  <c r="J96" i="26" l="1"/>
  <c r="J34" i="11"/>
  <c r="AG106" i="1" s="1"/>
  <c r="AN106" i="1" s="1"/>
  <c r="J98" i="2"/>
  <c r="AX94" i="1"/>
  <c r="AX95" i="1"/>
  <c r="AU95" i="1"/>
  <c r="AU94" i="1" s="1"/>
  <c r="AW94" i="1"/>
  <c r="AK30" i="1" s="1"/>
  <c r="AW95" i="1"/>
  <c r="J98" i="14"/>
  <c r="J32" i="14"/>
  <c r="J96" i="25"/>
  <c r="J30" i="25"/>
  <c r="AG114" i="1"/>
  <c r="J43" i="18"/>
  <c r="J98" i="15"/>
  <c r="J32" i="15"/>
  <c r="BC94" i="1"/>
  <c r="AY95" i="1"/>
  <c r="AZ94" i="1"/>
  <c r="AV95" i="1"/>
  <c r="J32" i="16"/>
  <c r="J98" i="16"/>
  <c r="J32" i="12"/>
  <c r="J98" i="12"/>
  <c r="AG122" i="1"/>
  <c r="AN122" i="1" s="1"/>
  <c r="J39" i="26"/>
  <c r="J32" i="4"/>
  <c r="J98" i="4"/>
  <c r="J98" i="13"/>
  <c r="J32" i="13"/>
  <c r="BK137" i="23"/>
  <c r="J137" i="23" s="1"/>
  <c r="J138" i="23"/>
  <c r="J99" i="23" s="1"/>
  <c r="AG97" i="1"/>
  <c r="AN97" i="1" s="1"/>
  <c r="J41" i="3"/>
  <c r="J96" i="24"/>
  <c r="J30" i="24"/>
  <c r="AN102" i="1"/>
  <c r="AG96" i="1"/>
  <c r="J41" i="2"/>
  <c r="AG105" i="1"/>
  <c r="AN105" i="1" s="1"/>
  <c r="J43" i="10"/>
  <c r="AG118" i="1"/>
  <c r="AN118" i="1" s="1"/>
  <c r="J43" i="22"/>
  <c r="J32" i="17"/>
  <c r="J98" i="17"/>
  <c r="AG99" i="1"/>
  <c r="AN99" i="1" s="1"/>
  <c r="J41" i="5"/>
  <c r="AG115" i="1"/>
  <c r="AN115" i="1" s="1"/>
  <c r="J43" i="19"/>
  <c r="J43" i="11" l="1"/>
  <c r="AT95" i="1"/>
  <c r="AN96" i="1"/>
  <c r="AG110" i="1"/>
  <c r="AN110" i="1" s="1"/>
  <c r="J41" i="15"/>
  <c r="J98" i="23"/>
  <c r="J32" i="23"/>
  <c r="AG120" i="1"/>
  <c r="AN120" i="1" s="1"/>
  <c r="J39" i="24"/>
  <c r="AG108" i="1"/>
  <c r="AN108" i="1" s="1"/>
  <c r="J41" i="13"/>
  <c r="AG111" i="1"/>
  <c r="AN111" i="1" s="1"/>
  <c r="J41" i="16"/>
  <c r="AG113" i="1"/>
  <c r="AN113" i="1" s="1"/>
  <c r="AN114" i="1"/>
  <c r="AG101" i="1"/>
  <c r="AN101" i="1" s="1"/>
  <c r="AG112" i="1"/>
  <c r="AN112" i="1" s="1"/>
  <c r="J41" i="17"/>
  <c r="AG121" i="1"/>
  <c r="AN121" i="1" s="1"/>
  <c r="J39" i="25"/>
  <c r="AY94" i="1"/>
  <c r="W32" i="1"/>
  <c r="AG107" i="1"/>
  <c r="AN107" i="1" s="1"/>
  <c r="J41" i="12"/>
  <c r="AG98" i="1"/>
  <c r="AN98" i="1" s="1"/>
  <c r="J41" i="4"/>
  <c r="W29" i="1"/>
  <c r="AV94" i="1"/>
  <c r="AG109" i="1"/>
  <c r="J41" i="14"/>
  <c r="AN109" i="1" l="1"/>
  <c r="AG119" i="1"/>
  <c r="AG95" i="1" s="1"/>
  <c r="J41" i="23"/>
  <c r="AK29" i="1"/>
  <c r="AT94" i="1"/>
  <c r="AN119" i="1" l="1"/>
  <c r="AG94" i="1" l="1"/>
  <c r="AN95" i="1"/>
  <c r="AN94" i="1" l="1"/>
  <c r="AK26" i="1"/>
  <c r="AK35" i="1" s="1"/>
</calcChain>
</file>

<file path=xl/sharedStrings.xml><?xml version="1.0" encoding="utf-8"?>
<sst xmlns="http://schemas.openxmlformats.org/spreadsheetml/2006/main" count="88157" uniqueCount="9276">
  <si>
    <t>Export Komplet</t>
  </si>
  <si>
    <t>2.0</t>
  </si>
  <si>
    <t>ZAMOK</t>
  </si>
  <si>
    <t>False</t>
  </si>
  <si>
    <t>{b4fa55ca-bcb2-404f-bc3f-dc4714c69ade}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</si>
  <si>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</si>
  <si>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</si>
  <si>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</si>
  <si>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</si>
  <si>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</si>
  <si>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</si>
  <si>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</si>
  <si>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</si>
  <si>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24-1024_JME</t>
  </si>
  <si>
    <t>Měnit lze pouze buňky se žlutým podbarvením!
1) na prvním listu Rekapitulace stavby vyplňte v sestavě
    a) Souhrnný list
       - údaje o Uchazeči
         (přenesou se do ostatních sestav i v jiných listech)
    b) Rekapitulace objektů
       - potřebné Ostatní náklady
2) na vybraných listech vyplňte v sestavě
    a) Krycí list
       - údaje o Uchazeči, pokud se liší od údajů o Uchazeči na Souhrnném listu
         (údaje se přenesou do ostatních sestav v daném listu)
    b) Rekapitulace rozpočtu
       - potřebné Ostatní náklady
    c) Celkové náklady za stavbu
       - ceny u položek
       - množství, pokud má žluté podbarvení
       - a v případě potřeby poznámku (ta je ve skrytém sloupci)</t>
  </si>
  <si>
    <t>Stavba:</t>
  </si>
  <si>
    <t>Rekonstrukce části Šafránkova pavilonu studentské koleje a nástavba jednoho patra</t>
  </si>
  <si>
    <t>KSO:</t>
  </si>
  <si>
    <t>CC-CZ:</t>
  </si>
  <si>
    <t>Místo:</t>
  </si>
  <si>
    <t>Alej Svobody 703 Plzeň 1</t>
  </si>
  <si>
    <t>Datum:</t>
  </si>
  <si>
    <t>Zadavatel:</t>
  </si>
  <si>
    <t>IČ:</t>
  </si>
  <si>
    <t>00216208</t>
  </si>
  <si>
    <t>Univerzita Karlova, Lékařská fakulta v Plzni</t>
  </si>
  <si>
    <t>DIČ:</t>
  </si>
  <si>
    <t>CZ00216208</t>
  </si>
  <si>
    <t>Uchazeč:</t>
  </si>
  <si>
    <t>Projektant:</t>
  </si>
  <si>
    <t>48025721</t>
  </si>
  <si>
    <t>MEPRO s.r.o.</t>
  </si>
  <si>
    <t>CZ48025721</t>
  </si>
  <si>
    <t>True</t>
  </si>
  <si>
    <t>Zpracovatel:</t>
  </si>
  <si>
    <t>25415751</t>
  </si>
  <si>
    <t>Propos Liberec s.r.o.</t>
  </si>
  <si>
    <t>CZ25415751</t>
  </si>
  <si>
    <t>Poznámka:</t>
  </si>
  <si>
    <t>Jednotkové ceny musí obsahovat dodávku a montáž položek, ztratné (pokud není uvedeno jinak). Jednotkové ceny musí zahrnovat kompletní provedení položek, související přípravné práce, detaily, doplňky, dilatace, kotvení, těsnění k okolním konstrukcím s příp.požární odoloností, povrchové úpravy, zkoušky, příp. jiné dodávky a činnosti nutné k bezvadnému provedení díla.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</si>
  <si>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</si>
  <si>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</si>
  <si>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</si>
  <si>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</si>
  <si>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</si>
  <si>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</si>
  <si>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</si>
  <si>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</si>
  <si>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</si>
  <si>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</si>
  <si>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</si>
  <si>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</si>
  <si>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</si>
  <si>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</si>
  <si>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</si>
  <si>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</si>
  <si>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</si>
  <si>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</si>
  <si>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</si>
  <si>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</si>
  <si>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</si>
  <si>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</si>
  <si>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</si>
  <si>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</si>
  <si>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</si>
  <si>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</si>
  <si>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
náklady [CZK]</t>
  </si>
  <si>
    <t>DPH [CZK]</t>
  </si>
  <si>
    <t>Normohodiny [h]</t>
  </si>
  <si>
    <t>DPH základní [CZK]</t>
  </si>
  <si>
    <t>DPH snížená [CZK]</t>
  </si>
  <si>
    <t>DPH základní přenesená
[CZK]</t>
  </si>
  <si>
    <t>DPH snížená přenesená
[CZK]</t>
  </si>
  <si>
    <t>Základna
DPH základní</t>
  </si>
  <si>
    <t>Základna
DPH snížená</t>
  </si>
  <si>
    <t>Základna
DPH zákl. přenesená</t>
  </si>
  <si>
    <t>Základna
DPH sníž. přenesená</t>
  </si>
  <si>
    <t>Základna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</si>
  <si>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</si>
  <si>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</si>
  <si>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</si>
  <si>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</si>
  <si>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</si>
  <si>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</si>
  <si>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SO 01</t>
  </si>
  <si>
    <t>Objekt kolejí</t>
  </si>
  <si>
    <t>STA</t>
  </si>
  <si>
    <t>1</t>
  </si>
  <si>
    <t>{eaa97358-1411-4784-b56a-887c8222cd9f}</t>
  </si>
  <si>
    <t>801 72 26</t>
  </si>
  <si>
    <t>2</t>
  </si>
  <si>
    <t>/</t>
  </si>
  <si>
    <t>ARS</t>
  </si>
  <si>
    <t>Architektonicko-stavební část</t>
  </si>
  <si>
    <t>Soupis</t>
  </si>
  <si>
    <t>{25ae8172-a029-4d54-8f16-be5832e43805}</t>
  </si>
  <si>
    <t>KCE</t>
  </si>
  <si>
    <t>Konstrukční část</t>
  </si>
  <si>
    <t>{4a80685d-b829-4221-919b-5b17bcc76f3b}</t>
  </si>
  <si>
    <t>FAS</t>
  </si>
  <si>
    <t>Fasády</t>
  </si>
  <si>
    <t>{c915ad3e-eea2-4787-82b5-efddf7414ec6}</t>
  </si>
  <si>
    <t>STŘ</t>
  </si>
  <si>
    <t>Střechy</t>
  </si>
  <si>
    <t>{5721e8f7-10cf-44fe-88a5-f562127b505e}</t>
  </si>
  <si>
    <t>DOZ</t>
  </si>
  <si>
    <t>Výtahy</t>
  </si>
  <si>
    <t>{c6a10be6-8959-4d56-9c94-0149b1e49a63}</t>
  </si>
  <si>
    <t>VYR</t>
  </si>
  <si>
    <t>Výrobky</t>
  </si>
  <si>
    <t>{c08d46f7-fa36-40ac-aaf5-fe0f21518607}</t>
  </si>
  <si>
    <t>01</t>
  </si>
  <si>
    <t>Klempířské prvky</t>
  </si>
  <si>
    <t>3</t>
  </si>
  <si>
    <t>{13527aa2-ad81-48dc-9597-9852e0a71515}</t>
  </si>
  <si>
    <t>02</t>
  </si>
  <si>
    <t>Ostatní výrobky</t>
  </si>
  <si>
    <t>{7128d0ca-46c3-431f-ab1c-584a496b9ca8}</t>
  </si>
  <si>
    <t>03</t>
  </si>
  <si>
    <t>Dveře</t>
  </si>
  <si>
    <t>{398df387-8570-425f-bbd4-361d8fae241c}</t>
  </si>
  <si>
    <t>04</t>
  </si>
  <si>
    <t>Prosklené fasády, okna, vnitřní parapety, žaluzie a rolety</t>
  </si>
  <si>
    <t>{b8f9261f-d2b0-4415-8e23-8352fb5271ee}</t>
  </si>
  <si>
    <t>05</t>
  </si>
  <si>
    <t>Zámečnické prvky</t>
  </si>
  <si>
    <t>{c0a4eef9-e25b-4118-bffa-7444f0486359}</t>
  </si>
  <si>
    <t>OST</t>
  </si>
  <si>
    <t>Ostatní konstrukce a práce, lešení</t>
  </si>
  <si>
    <t>{469ef443-38ca-4cb7-8654-061b44f86b67}</t>
  </si>
  <si>
    <t>BOU</t>
  </si>
  <si>
    <t>Bourací a demontážní práce</t>
  </si>
  <si>
    <t>{4f855776-230f-41c2-b33f-275ec1cfa6fd}</t>
  </si>
  <si>
    <t>ZTI</t>
  </si>
  <si>
    <t>Zdravotní technika</t>
  </si>
  <si>
    <t>{d9df1e72-890a-4bbe-87ef-a2749b552319}</t>
  </si>
  <si>
    <t>DEŠ</t>
  </si>
  <si>
    <t>Dešťová kanalizace</t>
  </si>
  <si>
    <t>{01dae3ce-d8d0-4fe6-a83d-4ecfec44559e}</t>
  </si>
  <si>
    <t>814 29 51</t>
  </si>
  <si>
    <t>VYT</t>
  </si>
  <si>
    <t>Vytápění</t>
  </si>
  <si>
    <t>{4fa4fd63-b885-4681-99c3-7fe0d405e205}</t>
  </si>
  <si>
    <t>CHL</t>
  </si>
  <si>
    <t>Chlazení</t>
  </si>
  <si>
    <t>{699e48b1-d51a-4f8c-89b0-6f0f83023ba4}</t>
  </si>
  <si>
    <t>EL</t>
  </si>
  <si>
    <t>Elektroinstalace</t>
  </si>
  <si>
    <t>{412a6e05-ef85-4b5d-8dda-7ab57965889d}</t>
  </si>
  <si>
    <t>SIL</t>
  </si>
  <si>
    <t>Silnoproud a hromosvod</t>
  </si>
  <si>
    <t>{5c5609f0-c166-4857-8733-37a960923e81}</t>
  </si>
  <si>
    <t>SLA</t>
  </si>
  <si>
    <t>Slaboproud</t>
  </si>
  <si>
    <t>{83b13cfb-3f15-4013-8af9-9b6562c52f5f}</t>
  </si>
  <si>
    <t>FVE</t>
  </si>
  <si>
    <t>FVE systém - LFP</t>
  </si>
  <si>
    <t>{86846f60-7a61-4593-97a1-1a08bd29938a}</t>
  </si>
  <si>
    <t>FV</t>
  </si>
  <si>
    <t>FV systém</t>
  </si>
  <si>
    <t>{468d6db3-a30b-4eb3-bf9f-3b8070431fa9}</t>
  </si>
  <si>
    <t>NZS</t>
  </si>
  <si>
    <t>NZS - EPS</t>
  </si>
  <si>
    <t>{5c2743f0-db9a-4ea7-9141-176750e63fa0}</t>
  </si>
  <si>
    <t>VZT</t>
  </si>
  <si>
    <t>Vzduchotechnika</t>
  </si>
  <si>
    <t>{2cd7e563-b01a-4a34-bac6-63e5ad0e64f8}</t>
  </si>
  <si>
    <t>SO 02</t>
  </si>
  <si>
    <t>Komunikace</t>
  </si>
  <si>
    <t>{dc356298-b2ea-48d5-8ac2-7dd9b175a491}</t>
  </si>
  <si>
    <t>SO 03</t>
  </si>
  <si>
    <t>Sadové úpravy</t>
  </si>
  <si>
    <t>{de26c6e4-37d0-4e45-a405-531765526554}</t>
  </si>
  <si>
    <t>823 27 16</t>
  </si>
  <si>
    <t>VRN</t>
  </si>
  <si>
    <t>Vedlejší rozpočtové náklady</t>
  </si>
  <si>
    <t>{38223a58-8664-45f3-a520-da0dfbad66a3}</t>
  </si>
  <si>
    <t>A1</t>
  </si>
  <si>
    <t>815,17</t>
  </si>
  <si>
    <t>A1sokl</t>
  </si>
  <si>
    <t>854,627</t>
  </si>
  <si>
    <t>KRYCÍ LIST SOUPISU PRACÍ</t>
  </si>
  <si>
    <t>A2</t>
  </si>
  <si>
    <t>160,24</t>
  </si>
  <si>
    <t>A4</t>
  </si>
  <si>
    <t>143,877</t>
  </si>
  <si>
    <t>A5</t>
  </si>
  <si>
    <t>84,35</t>
  </si>
  <si>
    <t>A5sokl</t>
  </si>
  <si>
    <t>72,321</t>
  </si>
  <si>
    <t>Objekt:</t>
  </si>
  <si>
    <t>B1</t>
  </si>
  <si>
    <t>284,55</t>
  </si>
  <si>
    <t>SO 01 - Objekt kolejí</t>
  </si>
  <si>
    <t>B1sokl</t>
  </si>
  <si>
    <t>185,52</t>
  </si>
  <si>
    <t>Soupis:</t>
  </si>
  <si>
    <t>B2</t>
  </si>
  <si>
    <t>1548,78</t>
  </si>
  <si>
    <t>ARS - Architektonicko-stavební část</t>
  </si>
  <si>
    <t>B2sokl</t>
  </si>
  <si>
    <t>1688,267</t>
  </si>
  <si>
    <t>C01</t>
  </si>
  <si>
    <t>211,74</t>
  </si>
  <si>
    <t>C02</t>
  </si>
  <si>
    <t>1771,54</t>
  </si>
  <si>
    <t>C03</t>
  </si>
  <si>
    <t>420,61</t>
  </si>
  <si>
    <t>C03obkladnosniku</t>
  </si>
  <si>
    <t>228,95</t>
  </si>
  <si>
    <t>C04</t>
  </si>
  <si>
    <t>651,25</t>
  </si>
  <si>
    <t>C05</t>
  </si>
  <si>
    <t>115,38</t>
  </si>
  <si>
    <t>C06</t>
  </si>
  <si>
    <t>48,96</t>
  </si>
  <si>
    <t>C07</t>
  </si>
  <si>
    <t>494,34</t>
  </si>
  <si>
    <t>C1</t>
  </si>
  <si>
    <t>232,77</t>
  </si>
  <si>
    <t>delkaizolacenasteny</t>
  </si>
  <si>
    <t>611,165999999999</t>
  </si>
  <si>
    <t>dlazbaschodu</t>
  </si>
  <si>
    <t>284,4</t>
  </si>
  <si>
    <t>izolacepoddlazbu</t>
  </si>
  <si>
    <t>334,23</t>
  </si>
  <si>
    <t>izolacepodobklad</t>
  </si>
  <si>
    <t>619,782999999998</t>
  </si>
  <si>
    <t>S09</t>
  </si>
  <si>
    <t>200,96</t>
  </si>
  <si>
    <t>C2</t>
  </si>
  <si>
    <t>140,64</t>
  </si>
  <si>
    <t>C2_sokl</t>
  </si>
  <si>
    <t>6,324</t>
  </si>
  <si>
    <t>malbasanacni</t>
  </si>
  <si>
    <t>335,79</t>
  </si>
  <si>
    <t xml:space="preserve">Podrobný, úplný popis a parametry všech konstrukcí, prací, výrobků a materiálů viz projektová dokumentace. Jednotkové ceny musí obsahovat dodávku a montáž položek, ztratné (pokud není uvedeno jinak). Jednotkové ceny musí zahrnovat kompletní provedení položek, související přípravné práce, detaily, doplňky, dilatace, kotvení, těsnění k okolním konstrukcím s příp.požární odoloností, povrchové úpravy, zkoušky, příp. jiné dodávky a činnosti nutné k bezvadnému provedení díla. </t>
  </si>
  <si>
    <t>OB1</t>
  </si>
  <si>
    <t>932,84</t>
  </si>
  <si>
    <t>OB2</t>
  </si>
  <si>
    <t>215,51</t>
  </si>
  <si>
    <t>OB3</t>
  </si>
  <si>
    <t>17,87</t>
  </si>
  <si>
    <t>P07</t>
  </si>
  <si>
    <t>164,64</t>
  </si>
  <si>
    <t>P10</t>
  </si>
  <si>
    <t>51,78</t>
  </si>
  <si>
    <t>S01</t>
  </si>
  <si>
    <t>1287,39</t>
  </si>
  <si>
    <t>S02</t>
  </si>
  <si>
    <t>255,733</t>
  </si>
  <si>
    <t>S02podsprchou</t>
  </si>
  <si>
    <t>56,547</t>
  </si>
  <si>
    <t>S03</t>
  </si>
  <si>
    <t>526,46</t>
  </si>
  <si>
    <t>S04</t>
  </si>
  <si>
    <t>406,215</t>
  </si>
  <si>
    <t>S04a</t>
  </si>
  <si>
    <t>24,625</t>
  </si>
  <si>
    <t>S05</t>
  </si>
  <si>
    <t>4,37</t>
  </si>
  <si>
    <t>S06</t>
  </si>
  <si>
    <t>140,368</t>
  </si>
  <si>
    <t>S07</t>
  </si>
  <si>
    <t>26,762</t>
  </si>
  <si>
    <t>S08</t>
  </si>
  <si>
    <t>261,39</t>
  </si>
  <si>
    <t>sadrovaomitkasten</t>
  </si>
  <si>
    <t>7327,579</t>
  </si>
  <si>
    <t>sadrovaomitkastropu</t>
  </si>
  <si>
    <t>33,53</t>
  </si>
  <si>
    <t>sadrovaomstenschody</t>
  </si>
  <si>
    <t>271,281</t>
  </si>
  <si>
    <t>sadrovaomstropschody</t>
  </si>
  <si>
    <t>135,3</t>
  </si>
  <si>
    <t>sanacniomitkasten</t>
  </si>
  <si>
    <t>233,07</t>
  </si>
  <si>
    <t>sanacniomitkastropu</t>
  </si>
  <si>
    <t>102,72</t>
  </si>
  <si>
    <t>sanacniompodobklady</t>
  </si>
  <si>
    <t>14,901</t>
  </si>
  <si>
    <t>sdkpodhledzmenavysky</t>
  </si>
  <si>
    <t>516,895</t>
  </si>
  <si>
    <t>vpcomitkapodobklady</t>
  </si>
  <si>
    <t>72,796</t>
  </si>
  <si>
    <t>vpcomitkasten</t>
  </si>
  <si>
    <t>1142,143</t>
  </si>
  <si>
    <t>vpcomitkastenschody</t>
  </si>
  <si>
    <t>32,717</t>
  </si>
  <si>
    <t>P11</t>
  </si>
  <si>
    <t>P02</t>
  </si>
  <si>
    <t>48,62</t>
  </si>
  <si>
    <t>A1sokl_schody</t>
  </si>
  <si>
    <t>70,5</t>
  </si>
  <si>
    <t>vpcomitkastropschody</t>
  </si>
  <si>
    <t>18,113</t>
  </si>
  <si>
    <t>vpcomitkastropu</t>
  </si>
  <si>
    <t>34,667</t>
  </si>
  <si>
    <t>epoxid_nater_pod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</si>
  <si>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</si>
  <si>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</si>
  <si>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</si>
  <si>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</si>
  <si>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</si>
  <si>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</si>
  <si>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2 - Zakládání</t>
  </si>
  <si>
    <t xml:space="preserve">    3 - Svislé a kompletní konstrukce</t>
  </si>
  <si>
    <t xml:space="preserve">    6 - Úpravy povrchů, podlahy a osazování výplní</t>
  </si>
  <si>
    <t xml:space="preserve">    9 - Ostatní konstrukce a práce, bourání</t>
  </si>
  <si>
    <t xml:space="preserve">    998 - Přesun hmot</t>
  </si>
  <si>
    <t>PSV - Práce a dodávky PSV</t>
  </si>
  <si>
    <t xml:space="preserve">    711 - Izolace proti vodě, vlhkosti a plynům</t>
  </si>
  <si>
    <t xml:space="preserve">    713 - Izolace tepelné</t>
  </si>
  <si>
    <t xml:space="preserve">    714 - Akustická a protiotřesová opatření</t>
  </si>
  <si>
    <t xml:space="preserve">    763 - Konstrukce suché výstavby</t>
  </si>
  <si>
    <t xml:space="preserve">    771 - Podlahy z dlaždic</t>
  </si>
  <si>
    <t xml:space="preserve">    772 - Podlahy z kamene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</si>
  <si>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</si>
  <si>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</si>
  <si>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</si>
  <si>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</si>
  <si>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</si>
  <si>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</si>
  <si>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</si>
  <si>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</si>
  <si>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</si>
  <si>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</si>
  <si>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</si>
  <si>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</si>
  <si>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</si>
  <si>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</si>
  <si>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</si>
  <si>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</si>
  <si>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</si>
  <si>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</si>
  <si>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</si>
  <si>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</si>
  <si>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</si>
  <si>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Zakládání</t>
  </si>
  <si>
    <t>K</t>
  </si>
  <si>
    <t>271532213</t>
  </si>
  <si>
    <t>Podsyp pod základové konstrukce se zhutněním z hrubého kameniva frakce 8 až 16 mm</t>
  </si>
  <si>
    <t>m3</t>
  </si>
  <si>
    <t>CS ÚRS 2024 01</t>
  </si>
  <si>
    <t>4</t>
  </si>
  <si>
    <t>875171597</t>
  </si>
  <si>
    <t>VV</t>
  </si>
  <si>
    <t>skladba pod žb deskou</t>
  </si>
  <si>
    <t>S07*0,15</t>
  </si>
  <si>
    <t>podsyp pod zákl. pasy</t>
  </si>
  <si>
    <t>(2*6,35+2,33)*0,40*0,15</t>
  </si>
  <si>
    <t>Součet</t>
  </si>
  <si>
    <t>Svislé a kompletní konstrukce</t>
  </si>
  <si>
    <t>310238211</t>
  </si>
  <si>
    <t>Zazdívka otvorů pl přes 0,25 do 1 m2 ve zdivu nadzákladovém cihlami pálenými na MVC</t>
  </si>
  <si>
    <t>566028898</t>
  </si>
  <si>
    <t>Materiál zazdívek cihly děrované (viz legenda na výkresech statiky)</t>
  </si>
  <si>
    <t>1.PP</t>
  </si>
  <si>
    <t>12*0,90*0,60*0,40</t>
  </si>
  <si>
    <t>0,40*1,07*0,40</t>
  </si>
  <si>
    <t>otvor po vratech (řez B3, osa 11/A)</t>
  </si>
  <si>
    <t>2,40*0,36*0,50" nadpraží</t>
  </si>
  <si>
    <t>1.NP</t>
  </si>
  <si>
    <t>sever</t>
  </si>
  <si>
    <t>0,45*0,90*0,45</t>
  </si>
  <si>
    <t>jih</t>
  </si>
  <si>
    <t>0,275*1,92*0,25</t>
  </si>
  <si>
    <t>2.NP</t>
  </si>
  <si>
    <t>3.NP</t>
  </si>
  <si>
    <t>0,60*0,90*0,30</t>
  </si>
  <si>
    <t>4.NP</t>
  </si>
  <si>
    <t xml:space="preserve"> </t>
  </si>
  <si>
    <t>ostatní drobné zazdívky</t>
  </si>
  <si>
    <t>1,00</t>
  </si>
  <si>
    <t>310239211</t>
  </si>
  <si>
    <t>Zazdívka otvorů pl přes 1 do 4 m2 ve zdivu nadzákladovém cihlami pálenými na MVC</t>
  </si>
  <si>
    <t>-1147579614</t>
  </si>
  <si>
    <t>0,51*2,25*0,40</t>
  </si>
  <si>
    <t>2,40*0,72*0,50" parapet</t>
  </si>
  <si>
    <t>západ</t>
  </si>
  <si>
    <t>0,60*2,05*0,25</t>
  </si>
  <si>
    <t>1,20*2,05*0,25</t>
  </si>
  <si>
    <t>2*1,20*0,84*0,25" (viz stávající pohled sever)</t>
  </si>
  <si>
    <t>0,40*2,89*0,25</t>
  </si>
  <si>
    <t>1,35*2,89*0,25</t>
  </si>
  <si>
    <t>4*0,60*2,89*0,25</t>
  </si>
  <si>
    <t>1,40*3,30*0,30</t>
  </si>
  <si>
    <t>(0,58+0,82)*2,89*0,25</t>
  </si>
  <si>
    <t>0,875*1,80*0,25</t>
  </si>
  <si>
    <t>tl.250 mm</t>
  </si>
  <si>
    <t>2,675*3,05*0,25</t>
  </si>
  <si>
    <t>odečet nového okna</t>
  </si>
  <si>
    <t>O04</t>
  </si>
  <si>
    <t>-2,40*1,80*0,25</t>
  </si>
  <si>
    <t>tl. 150 mm</t>
  </si>
  <si>
    <t>15*2,675*3,05*0,15</t>
  </si>
  <si>
    <t>odečet nových oken</t>
  </si>
  <si>
    <t>O32</t>
  </si>
  <si>
    <t>-14*(1,45*1,60+0,90*2,55)*0,15</t>
  </si>
  <si>
    <t>O18</t>
  </si>
  <si>
    <t>-2,675*1,92*0,15</t>
  </si>
  <si>
    <t>(0,25+0,51+1,35)*2,89*0,25</t>
  </si>
  <si>
    <t>4*0,60*2,05*0,25</t>
  </si>
  <si>
    <t>(0,65+2*0,90+0,60)*2,05*0,25</t>
  </si>
  <si>
    <t>3*2,675*3,05*0,25</t>
  </si>
  <si>
    <t>O14</t>
  </si>
  <si>
    <t>-2,40*1,92*0,25</t>
  </si>
  <si>
    <t>O08</t>
  </si>
  <si>
    <t>-1,80*1,80*0,25</t>
  </si>
  <si>
    <t>O17</t>
  </si>
  <si>
    <t>-2,675*1,80*0,25</t>
  </si>
  <si>
    <t>11*2,675*3,05*0,15</t>
  </si>
  <si>
    <t>-10*(1,45*1,60+0,90*2,55)*0,15</t>
  </si>
  <si>
    <t>1,35*3,30*0,30</t>
  </si>
  <si>
    <t>(0,65+0,90)*2,05*0,25</t>
  </si>
  <si>
    <t>(0,90+0,60)*2,05*0,32</t>
  </si>
  <si>
    <t>1,35*2,03*0,30</t>
  </si>
  <si>
    <t>310321111</t>
  </si>
  <si>
    <t>Zabetonování otvorů do pl 1 m2 ve zdivu nadzákladovém včetně bednění a výztuže</t>
  </si>
  <si>
    <t>-945259769</t>
  </si>
  <si>
    <t>-2.00.02 (D.1.1.14)</t>
  </si>
  <si>
    <t>1,30*1,65*0,50</t>
  </si>
  <si>
    <t>5</t>
  </si>
  <si>
    <t>311237111.1</t>
  </si>
  <si>
    <t>Zdivo jednovrstvé tepelně izolační z cihel na tenkovrstvou maltu tl zdiva 200 mm</t>
  </si>
  <si>
    <t>m2</t>
  </si>
  <si>
    <t>2130656661</t>
  </si>
  <si>
    <t>u výtahových šachet</t>
  </si>
  <si>
    <t>1.PP-5.NP</t>
  </si>
  <si>
    <t>2*(0,75+1,03)*21,40</t>
  </si>
  <si>
    <t>6</t>
  </si>
  <si>
    <t>311237111.2</t>
  </si>
  <si>
    <t>Zdivo jednovrstvé tepelně izolační z cihel na tenkovrstvou maltu tl zdiva 250 mm</t>
  </si>
  <si>
    <t>260293550</t>
  </si>
  <si>
    <t>5.NP</t>
  </si>
  <si>
    <t>sever (nad atikou, výška pro výpočet stejná jako v řezu A)</t>
  </si>
  <si>
    <t>50,25*1,00</t>
  </si>
  <si>
    <t>-(1,00+1,20+4,50)*1,00</t>
  </si>
  <si>
    <t>východ (řez A, nad atikou)</t>
  </si>
  <si>
    <t>9,30*1,00</t>
  </si>
  <si>
    <t>-0,90*1,00</t>
  </si>
  <si>
    <t>7</t>
  </si>
  <si>
    <t>311272131</t>
  </si>
  <si>
    <t>Zdivo z pórobetonových tvárnic hladkých přes P2 do P4 přes 450 do 600 kg/m3 na tenkovrstvou maltu tl 250 mm</t>
  </si>
  <si>
    <t>837113946</t>
  </si>
  <si>
    <t>2,70*2,65</t>
  </si>
  <si>
    <t>8</t>
  </si>
  <si>
    <t>317142446</t>
  </si>
  <si>
    <t>Překlad nenosný pórobetonový š 150 mm v do 250 mm na tenkovrstvou maltu dl přes 1500 do 2000 mm</t>
  </si>
  <si>
    <t>kus</t>
  </si>
  <si>
    <t>-942345727</t>
  </si>
  <si>
    <t>suterén</t>
  </si>
  <si>
    <t>9</t>
  </si>
  <si>
    <t>317142448</t>
  </si>
  <si>
    <t>Překlad nenosný pórobetonový š 150 mm v do 250 mm na tenkovrstvou maltu dl přes 2000 do 2500 mm</t>
  </si>
  <si>
    <t>-684696719</t>
  </si>
  <si>
    <t>nad dvoukřídlými dveřmi</t>
  </si>
  <si>
    <t>10</t>
  </si>
  <si>
    <t>317143443</t>
  </si>
  <si>
    <t>Překlad nosný z pórobetonu ve zdech tl 250 mm dl přes 1500 do 1800 mm</t>
  </si>
  <si>
    <t>-1228951505</t>
  </si>
  <si>
    <t>m. -1.00.05</t>
  </si>
  <si>
    <t>11</t>
  </si>
  <si>
    <t>340271025</t>
  </si>
  <si>
    <t>Zazdívka otvorů v příčkách nebo stěnách pl přes 1 do 4 m2 tvárnicemi pórobetonovými tl 100 mm</t>
  </si>
  <si>
    <t>-1331769024</t>
  </si>
  <si>
    <t>1,30*2,65</t>
  </si>
  <si>
    <t>340271031</t>
  </si>
  <si>
    <t>Zazdívka otvorů v příčkách nebo stěnách pl přes 0,25 do 1 m2 tvárnicemi pórobetonovými tl 125 mm</t>
  </si>
  <si>
    <t>370746253</t>
  </si>
  <si>
    <t>0,15*1,97</t>
  </si>
  <si>
    <t>Dozdívky po bocích lodžiových stěn O31, 32</t>
  </si>
  <si>
    <t>0,20*3,05*14*2</t>
  </si>
  <si>
    <t>13</t>
  </si>
  <si>
    <t>340271035</t>
  </si>
  <si>
    <t>Zazdívka otvorů v příčkách nebo stěnách pl přes 1 do 4 m2 tvárnicemi pórobetonovými tl 125 mm</t>
  </si>
  <si>
    <t>42723426</t>
  </si>
  <si>
    <t>2.PP</t>
  </si>
  <si>
    <t>0,90*2,20</t>
  </si>
  <si>
    <t>0,70*1,97</t>
  </si>
  <si>
    <t>14</t>
  </si>
  <si>
    <t>340271041</t>
  </si>
  <si>
    <t>Zazdívka otvorů v příčkách nebo stěnách pl přes 0,25 do 1 m2 tvárnicemi pórobetonovými tl 150 mm</t>
  </si>
  <si>
    <t>1284727040</t>
  </si>
  <si>
    <t>0,22*2,15</t>
  </si>
  <si>
    <t>0,25*2,10</t>
  </si>
  <si>
    <t>15</t>
  </si>
  <si>
    <t>340271045</t>
  </si>
  <si>
    <t>Zazdívka otvorů v příčkách nebo stěnách pl přes 1 do 4 m2 tvárnicemi pórobetonovými tl 150 mm</t>
  </si>
  <si>
    <t>-1783208008</t>
  </si>
  <si>
    <t>1,00*2,65</t>
  </si>
  <si>
    <t>0,90*1,97</t>
  </si>
  <si>
    <t>0,78*1,97</t>
  </si>
  <si>
    <t>0,55*1,97</t>
  </si>
  <si>
    <t>0,60*3,35</t>
  </si>
  <si>
    <t>(0,60+1,35)*3,05</t>
  </si>
  <si>
    <t>16</t>
  </si>
  <si>
    <t>342151113</t>
  </si>
  <si>
    <t>Montáž opláštění stěn ocelových kcí ze sendvičových panelů šroubovaných budov v přes 12 do 24 m</t>
  </si>
  <si>
    <t>428986156</t>
  </si>
  <si>
    <t>tl. 150 mm - vnitřní</t>
  </si>
  <si>
    <t>řez A</t>
  </si>
  <si>
    <t>(2*5,90+0,425)*2,30</t>
  </si>
  <si>
    <t>tl. 150 mm - vnější</t>
  </si>
  <si>
    <t>západ (řez A)</t>
  </si>
  <si>
    <t>9,30*3,30</t>
  </si>
  <si>
    <t>-0,90*2,10</t>
  </si>
  <si>
    <t>50,25*1,30</t>
  </si>
  <si>
    <t>-(1,20+2*5,50+3*5,40+4,00)*(0,84+1,80-2,00)</t>
  </si>
  <si>
    <t>9,30*1,30</t>
  </si>
  <si>
    <t>50,25*3,30</t>
  </si>
  <si>
    <t>odečet oken</t>
  </si>
  <si>
    <t>-16*(1,45*1,60+0,90*2,55)</t>
  </si>
  <si>
    <t>tl. 300 mm</t>
  </si>
  <si>
    <t>schodiště</t>
  </si>
  <si>
    <t>(2*0,95+2*5,20+5,10)*2,30</t>
  </si>
  <si>
    <t>-3,60*(16,13-13,93)</t>
  </si>
  <si>
    <t>-4,77*(16,13-13,93)</t>
  </si>
  <si>
    <t>17</t>
  </si>
  <si>
    <t>M</t>
  </si>
  <si>
    <t>55324700.1</t>
  </si>
  <si>
    <t>panel sendvičový stěnový vnitřní vč. povrchové úpravy tl 150mm</t>
  </si>
  <si>
    <t>-131258389</t>
  </si>
  <si>
    <t>28,118*1,1 'Přepočtené koeficientem množství</t>
  </si>
  <si>
    <t>55324700</t>
  </si>
  <si>
    <t>panel sendvičový stěnový vnější, izolace PIR, viditelné kotvení, U 0,15W/m2K, modulová/celková š 1100/1120mm tl 150mm</t>
  </si>
  <si>
    <t>-667061354</t>
  </si>
  <si>
    <t>177,464*1,1 'Přepočtené koeficientem množství</t>
  </si>
  <si>
    <t>19</t>
  </si>
  <si>
    <t>55324723.1</t>
  </si>
  <si>
    <t>panel sendvičový stěnový vč. povrchové úpravy vnější tl 300mm</t>
  </si>
  <si>
    <t>-1999473464</t>
  </si>
  <si>
    <t>20</t>
  </si>
  <si>
    <t>342191911.1</t>
  </si>
  <si>
    <t>Montáž a dodávka pomocných a kotevních prvků pro opláštění stěn, povrchová úprava žárové pozinkování</t>
  </si>
  <si>
    <t>kg</t>
  </si>
  <si>
    <t>-2013631868</t>
  </si>
  <si>
    <t>3 kg/m2</t>
  </si>
  <si>
    <t>227,188*3.0</t>
  </si>
  <si>
    <t>342272225</t>
  </si>
  <si>
    <t>Příčka z pórobetonových hladkých tvárnic na tenkovrstvou maltu tl 100 mm</t>
  </si>
  <si>
    <t>-1107400497</t>
  </si>
  <si>
    <t>6,10*2,65</t>
  </si>
  <si>
    <t>22</t>
  </si>
  <si>
    <t>342272245</t>
  </si>
  <si>
    <t>Příčka z pórobetonových hladkých tvárnic na tenkovrstvou maltu tl 150 mm</t>
  </si>
  <si>
    <t>1208289071</t>
  </si>
  <si>
    <t>Výpočet od západní směrem k východní fasádě</t>
  </si>
  <si>
    <t>8,125*1,65</t>
  </si>
  <si>
    <t>-1,00*1,55</t>
  </si>
  <si>
    <t>(14,85+3,20)*2,65</t>
  </si>
  <si>
    <t>(6,45+0,275+0,55)*2,65</t>
  </si>
  <si>
    <t>(2,00+0,90+0,825)*2,65</t>
  </si>
  <si>
    <t>(2,05+2,40)*2,65</t>
  </si>
  <si>
    <t>(12,20+0,85+0,475)*2,65</t>
  </si>
  <si>
    <t>(1,00+1,75+2,775)*2,65</t>
  </si>
  <si>
    <t>8,125*2,65</t>
  </si>
  <si>
    <t>(4,65+3,30)*2,65</t>
  </si>
  <si>
    <t>1,80*2,65</t>
  </si>
  <si>
    <t>odečet otvorů</t>
  </si>
  <si>
    <t>-0,70*1,97</t>
  </si>
  <si>
    <t>-0,80*1,97</t>
  </si>
  <si>
    <t>-0,90*1,97*8</t>
  </si>
  <si>
    <t>-1,40*1,97</t>
  </si>
  <si>
    <t>-1,60*1,97</t>
  </si>
  <si>
    <t>Úpravy povrchů, podlahy a osazování výplní</t>
  </si>
  <si>
    <t>611131305</t>
  </si>
  <si>
    <t>Cementový postřik vnitřních schodišťových konstrukcí nanášený celoplošně strojně</t>
  </si>
  <si>
    <t>1481125767</t>
  </si>
  <si>
    <t>24</t>
  </si>
  <si>
    <t>611131321</t>
  </si>
  <si>
    <t>Penetrační disperzní nátěr vnitřních stropů nanášený strojně</t>
  </si>
  <si>
    <t>-1992550280</t>
  </si>
  <si>
    <t>611131325</t>
  </si>
  <si>
    <t>Penetrační disperzní nátěr vnitřních schodišťových konstrukcí nanášený strojně</t>
  </si>
  <si>
    <t>1569127800</t>
  </si>
  <si>
    <t>příprava podkladu sádrové omítky</t>
  </si>
  <si>
    <t>26</t>
  </si>
  <si>
    <t>611131351</t>
  </si>
  <si>
    <t>Sanační postřik vnitřních stropů nanášený celoplošně strojně</t>
  </si>
  <si>
    <t>-792415974</t>
  </si>
  <si>
    <t>11,83" -1.00.06 chodba</t>
  </si>
  <si>
    <t>3,72" -1.00.10 sklad</t>
  </si>
  <si>
    <t>35,92" -1.00.23a dílna</t>
  </si>
  <si>
    <t>4,03" -1.00.23b koupelna</t>
  </si>
  <si>
    <t>21,42" -1.00.24 sklad</t>
  </si>
  <si>
    <t>25,8" -1.00.25 sklad</t>
  </si>
  <si>
    <t>27</t>
  </si>
  <si>
    <t>611131301</t>
  </si>
  <si>
    <t>Cementový postřik vnitřních stropů nanášený celoplošně strojně</t>
  </si>
  <si>
    <t>1718495792</t>
  </si>
  <si>
    <t>28</t>
  </si>
  <si>
    <t>611321341</t>
  </si>
  <si>
    <t>Vápenocementová omítka štuková dvouvrstvá vnitřních stropů rovných nanášená strojně</t>
  </si>
  <si>
    <t>21817029</t>
  </si>
  <si>
    <t>13,76" -2.00.02 šachta</t>
  </si>
  <si>
    <t>17,38" -1.00.27 kolárna</t>
  </si>
  <si>
    <t>21,64" -1.00.28 sklad</t>
  </si>
  <si>
    <t>odečet omítky stropů schodišť (viz samostatná položka)</t>
  </si>
  <si>
    <t>-vpcomitkastropschody</t>
  </si>
  <si>
    <t>29</t>
  </si>
  <si>
    <t>611321345</t>
  </si>
  <si>
    <t>Vápenocementová omítka štuková dvouvrstvá vnitřních schodišťových konstrukcí nanášená strojně</t>
  </si>
  <si>
    <t>-1584529722</t>
  </si>
  <si>
    <t>stropy</t>
  </si>
  <si>
    <t>suterén vedle m. -2.00.01</t>
  </si>
  <si>
    <t>3,25*1,05</t>
  </si>
  <si>
    <t>schodiště mezi osami 9-10 (1.PP, m.-1.00.22)</t>
  </si>
  <si>
    <t>(4,80*1,50+2*2,50*1,50)*1</t>
  </si>
  <si>
    <t>Mezisoučet</t>
  </si>
  <si>
    <t>stěny</t>
  </si>
  <si>
    <t>(3,25+1,05)*2*1,65</t>
  </si>
  <si>
    <t>schodiště mezi osami 9-10 (1.NP-5.NP)</t>
  </si>
  <si>
    <t>4,50*(2,86+1,257)</t>
  </si>
  <si>
    <t>30</t>
  </si>
  <si>
    <t>611325321</t>
  </si>
  <si>
    <t>Omítka sanační jádrová vnitřních stropů nanášená strojně</t>
  </si>
  <si>
    <t>887317409</t>
  </si>
  <si>
    <t>611328131</t>
  </si>
  <si>
    <t>Sanační štuk vnitřních rovných stropů tloušťky do 3 mm</t>
  </si>
  <si>
    <t>-629869156</t>
  </si>
  <si>
    <t>32</t>
  </si>
  <si>
    <t>611341321</t>
  </si>
  <si>
    <t>Sádrová nebo vápenosádrová omítka hladká jednovrstvá vnitřních stropů rovných nanášená strojně</t>
  </si>
  <si>
    <t>-1610663485</t>
  </si>
  <si>
    <t>7,34" 1.00.11 technická místnost</t>
  </si>
  <si>
    <t>7,44" 2.00.05 úklidová místnost</t>
  </si>
  <si>
    <t>7,44" 3.00.05 technická místnost</t>
  </si>
  <si>
    <t>11,31" 5.00.07 strojovna výtahu</t>
  </si>
  <si>
    <t>611341325</t>
  </si>
  <si>
    <t>Sádrová omítka hladká jednovrstvá vnitřních schodišťových konstrukcí nanášená strojně</t>
  </si>
  <si>
    <t>1936826577</t>
  </si>
  <si>
    <t>(4,80*1,50+2*2,50*1,50)*5</t>
  </si>
  <si>
    <t>schodiště vpravo od osy 11 (1.NP-4.NP)</t>
  </si>
  <si>
    <t>(2,90*1,50+2*3,70*1,50)*4</t>
  </si>
  <si>
    <t>4,50*(2,86+16,03)</t>
  </si>
  <si>
    <t>(2*5,00+2,90)*(0,62+13,82)</t>
  </si>
  <si>
    <t>34</t>
  </si>
  <si>
    <t>612131301</t>
  </si>
  <si>
    <t>Cementový postřik vnitřních stěn nanášený celoplošně strojně</t>
  </si>
  <si>
    <t>1085117124</t>
  </si>
  <si>
    <t>612131321</t>
  </si>
  <si>
    <t>Penetrační disperzní nátěr vnitřních stěn nanášený strojně</t>
  </si>
  <si>
    <t>1390774625</t>
  </si>
  <si>
    <t>P</t>
  </si>
  <si>
    <t>Poznámka k položce:
příprava podkladu sádrové omítky</t>
  </si>
  <si>
    <t>36</t>
  </si>
  <si>
    <t>612131351</t>
  </si>
  <si>
    <t>Sanační postřik vnitřních stěn nanášený celoplošně strojně</t>
  </si>
  <si>
    <t>-695128606</t>
  </si>
  <si>
    <t>jádrová omítka pod obklady</t>
  </si>
  <si>
    <t>-1.00.23b</t>
  </si>
  <si>
    <t>8,14*2,00-0,7*1,97</t>
  </si>
  <si>
    <t>612135101</t>
  </si>
  <si>
    <t>Hrubá výplň rýh ve stěnách maltou jakékoli šířky rýhy</t>
  </si>
  <si>
    <t>1952029550</t>
  </si>
  <si>
    <t>výplň rýh maltou neuvedená v soupisech prací specialistů Tzb</t>
  </si>
  <si>
    <t>30,00*0,20</t>
  </si>
  <si>
    <t>38</t>
  </si>
  <si>
    <t>612321321</t>
  </si>
  <si>
    <t>Vápenocementová omítka hladká jednovrstvá vnitřních stěn nanášená strojně</t>
  </si>
  <si>
    <t>820015943</t>
  </si>
  <si>
    <t>omítka pod obklady</t>
  </si>
  <si>
    <t>-1.00.11 bezbariérové wc</t>
  </si>
  <si>
    <t>7,9*2,00-0,9*1,97</t>
  </si>
  <si>
    <t>-1.00.13 předsíň</t>
  </si>
  <si>
    <t>(1,45+0,80)*2,00</t>
  </si>
  <si>
    <t>-1.00.14 wc</t>
  </si>
  <si>
    <t>4,60*2,00-0,7*1,97</t>
  </si>
  <si>
    <t>-1.00.15 sprcha</t>
  </si>
  <si>
    <t>-1.00.17 úklidová místnost</t>
  </si>
  <si>
    <t>7,25*2,00-0,9*1,97</t>
  </si>
  <si>
    <t>-1.00.18 sušárna</t>
  </si>
  <si>
    <t>(3,5+2,25)*2,00</t>
  </si>
  <si>
    <t>-1.00.20 prádelna</t>
  </si>
  <si>
    <t>(2,4+4,8)*2,00</t>
  </si>
  <si>
    <t>39</t>
  </si>
  <si>
    <t>612321341</t>
  </si>
  <si>
    <t>Vápenocementová omítka štuková dvouvrstvá vnitřních stěn nanášená strojně</t>
  </si>
  <si>
    <t>-1517891340</t>
  </si>
  <si>
    <t>Výpočet množství viz samostatná tabulka</t>
  </si>
  <si>
    <t>42,41</t>
  </si>
  <si>
    <t>1132,45</t>
  </si>
  <si>
    <t>odečet omítky prováděné na schodišti (viz samostatná položka)</t>
  </si>
  <si>
    <t>-vpcomitkastenschody</t>
  </si>
  <si>
    <t>40</t>
  </si>
  <si>
    <t>612325321</t>
  </si>
  <si>
    <t>Omítka sanační jádrová vnitřních stěn nanášená strojně</t>
  </si>
  <si>
    <t>-63612821</t>
  </si>
  <si>
    <t>4,48</t>
  </si>
  <si>
    <t>228,59</t>
  </si>
  <si>
    <t>41</t>
  </si>
  <si>
    <t>612325213</t>
  </si>
  <si>
    <t>Vápenocementová hladká omítka malých ploch přes 0,25 do 1 m2 na stěnách</t>
  </si>
  <si>
    <t>240809916</t>
  </si>
  <si>
    <t>Omítka na nových zazdívkách obvodových stěn - vyrovnání povrchu pod zateplení</t>
  </si>
  <si>
    <t>1.NP-4.NP</t>
  </si>
  <si>
    <t>10 ploch / podlaží</t>
  </si>
  <si>
    <t>4*10</t>
  </si>
  <si>
    <t>42</t>
  </si>
  <si>
    <t>612325215</t>
  </si>
  <si>
    <t>Vápenocementová hladká omítka malých ploch přes 1 do 4 m2 na stěnách</t>
  </si>
  <si>
    <t>-2011203745</t>
  </si>
  <si>
    <t>5 ploch / podlaží</t>
  </si>
  <si>
    <t>4*5</t>
  </si>
  <si>
    <t>612328131</t>
  </si>
  <si>
    <t>Sanační štuk vnitřních stěn tloušťky do 3 mm</t>
  </si>
  <si>
    <t>1261675073</t>
  </si>
  <si>
    <t>44</t>
  </si>
  <si>
    <t>612341321</t>
  </si>
  <si>
    <t>Sádrová nebo vápenosádrová omítka hladká jednovrstvá vnitřních stěn nanášená strojně</t>
  </si>
  <si>
    <t>-25132454</t>
  </si>
  <si>
    <t>540,80</t>
  </si>
  <si>
    <t>7058,06</t>
  </si>
  <si>
    <t>-sadrovaomstenschody</t>
  </si>
  <si>
    <t>5,76</t>
  </si>
  <si>
    <t>ostatní plochy, výklenky, ostění</t>
  </si>
  <si>
    <t>200,00</t>
  </si>
  <si>
    <t>odečet ostatních typů omítky použitých pod obklady</t>
  </si>
  <si>
    <t>-vpcomitkapodobklady</t>
  </si>
  <si>
    <t>-sanacniompodobklady</t>
  </si>
  <si>
    <t>224</t>
  </si>
  <si>
    <t>619995001</t>
  </si>
  <si>
    <t>Začištění omítek kolem oken, dveří, podlah nebo obkladů</t>
  </si>
  <si>
    <t>m</t>
  </si>
  <si>
    <t>832733686</t>
  </si>
  <si>
    <t>po bourání lodžiových stěn a panelů</t>
  </si>
  <si>
    <t>(2,675+3,05)*2*10</t>
  </si>
  <si>
    <t>(2,675+3,05)*2*14</t>
  </si>
  <si>
    <t>ostatní začištění a vyrovnání</t>
  </si>
  <si>
    <t>10,00</t>
  </si>
  <si>
    <t>25,00</t>
  </si>
  <si>
    <t>50,00</t>
  </si>
  <si>
    <t>46</t>
  </si>
  <si>
    <t>619996117</t>
  </si>
  <si>
    <t>Ochrana podlahy obedněním z OSB desek</t>
  </si>
  <si>
    <t>-226543881</t>
  </si>
  <si>
    <t>ochrana stávající dlažby v krčku</t>
  </si>
  <si>
    <t>84,13" 1.00.14 spojovací krček</t>
  </si>
  <si>
    <t>622143003</t>
  </si>
  <si>
    <t>Montáž omítkových plastových nebo pozinkovaných rohových profilů</t>
  </si>
  <si>
    <t>1624225537</t>
  </si>
  <si>
    <t>Dle Tz: V nárožích na nových konstrukcích budou použity podomítkové lišty v interiérech.</t>
  </si>
  <si>
    <t>2,55*35</t>
  </si>
  <si>
    <t>3,00*65*4</t>
  </si>
  <si>
    <t>3,00*50</t>
  </si>
  <si>
    <t>ostatní nároží (např. na omítkách parapetních zdí pod okny)</t>
  </si>
  <si>
    <t>150,00</t>
  </si>
  <si>
    <t>48</t>
  </si>
  <si>
    <t>55343022</t>
  </si>
  <si>
    <t>profil rohový Pz s kulatou úzkou hlavou pro vnitřní omítky tl 12mm</t>
  </si>
  <si>
    <t>-322597734</t>
  </si>
  <si>
    <t>1169,25*1,05 'Přepočtené koeficientem množství</t>
  </si>
  <si>
    <t>631311124</t>
  </si>
  <si>
    <t>Mazanina tl přes 80 do 120 mm z betonu prostého bez zvýšených nároků na prostředí tř. C 16/20</t>
  </si>
  <si>
    <t>1476948211</t>
  </si>
  <si>
    <t xml:space="preserve">Krček - mazanina pod xps (výkres Krček, řez A3) </t>
  </si>
  <si>
    <t>vpravo</t>
  </si>
  <si>
    <t>7,10*0,80*0,11</t>
  </si>
  <si>
    <t>parapet z vnější strany v řezu vlevo</t>
  </si>
  <si>
    <t>5,30*0,80*0,11</t>
  </si>
  <si>
    <t>9,50*0,80*0,11</t>
  </si>
  <si>
    <t>50</t>
  </si>
  <si>
    <t>631311125</t>
  </si>
  <si>
    <t>Mazanina tl přes 80 do 120 mm z betonu prostého bez zvýšených nároků na prostředí tř. C 20/25</t>
  </si>
  <si>
    <t>267761014</t>
  </si>
  <si>
    <t>Podkladní beton základové desky C20/25-XC2 vč. přesahů 10% + 3,5% na betonáž na terén dle Úrs</t>
  </si>
  <si>
    <t>S07*1.10*0,10*1.035</t>
  </si>
  <si>
    <t>51</t>
  </si>
  <si>
    <t>631319235</t>
  </si>
  <si>
    <t>Příplatek k mazaninám za přidání skleněných vláken pro objemové vyztužení 6 kg/m3</t>
  </si>
  <si>
    <t>-1730466384</t>
  </si>
  <si>
    <t xml:space="preserve">vyztužení cementového potěru </t>
  </si>
  <si>
    <t>S06*0,04</t>
  </si>
  <si>
    <t>52</t>
  </si>
  <si>
    <t>631341156</t>
  </si>
  <si>
    <t>Mazanina tl přes 80 do 120 mm z betonu lehkého keramického LAC 4 ze suchých směsí</t>
  </si>
  <si>
    <t>1110188547</t>
  </si>
  <si>
    <t xml:space="preserve">Lehký beton třída LAC 4 - D 0,9 S1 </t>
  </si>
  <si>
    <t>S02*0,12</t>
  </si>
  <si>
    <t>m.-1.00.23b pod sprchou</t>
  </si>
  <si>
    <t>1,00*1,00*0,12</t>
  </si>
  <si>
    <t>S04a - výškové vyrovnání od poloviny chodby, ve spádu, průměrná tl. 90 mm dle skladby S04a</t>
  </si>
  <si>
    <t>S04a*0,09</t>
  </si>
  <si>
    <t>632441217</t>
  </si>
  <si>
    <t>Potěr anhydritový samonivelační litý C25 přes 30 do 35 mm</t>
  </si>
  <si>
    <t>-418357323</t>
  </si>
  <si>
    <t>Přesný popis jednotlivých materiálů skladeb podlah viz pd "Podlahové skladby - návrh".</t>
  </si>
  <si>
    <t>54</t>
  </si>
  <si>
    <t>632441224</t>
  </si>
  <si>
    <t>Potěr anhydritový samonivelační litý C30 tl přes 40 do 45 mm</t>
  </si>
  <si>
    <t>-507501091</t>
  </si>
  <si>
    <t>632451021</t>
  </si>
  <si>
    <t>Vyrovnávací potěr tl od 10 do 20 mm z MC 15 provedený v pásu</t>
  </si>
  <si>
    <t>1069582142</t>
  </si>
  <si>
    <t>pod ocelové sloupky (viz D.1.2.07 - Detail 4)</t>
  </si>
  <si>
    <t>10*0,45*0,45</t>
  </si>
  <si>
    <t>56</t>
  </si>
  <si>
    <t>632451101</t>
  </si>
  <si>
    <t>Cementový samonivelační potěr (ze suchých směsí) tl přes 2 do 5 mm</t>
  </si>
  <si>
    <t>-998595555</t>
  </si>
  <si>
    <t>Samonivelační cementový potěr třídy C20 (nemusí být ze suchých směsí)</t>
  </si>
  <si>
    <t>tl. 5 mm</t>
  </si>
  <si>
    <t>632451103</t>
  </si>
  <si>
    <t>Cementový samonivelační potěr (ze suchých směsí) tl přes 5 do 10 mm</t>
  </si>
  <si>
    <t>856229669</t>
  </si>
  <si>
    <t>tl. 8 mm</t>
  </si>
  <si>
    <t>58</t>
  </si>
  <si>
    <t>632451232</t>
  </si>
  <si>
    <t>Potěr cementový litý C25 tl přes 35 do 40 mm</t>
  </si>
  <si>
    <t>-3953470</t>
  </si>
  <si>
    <t>Cementový litý potěr tl. 40 mm (s vlákny .. vlákna viz samostatná položka)</t>
  </si>
  <si>
    <t>59</t>
  </si>
  <si>
    <t>632451233</t>
  </si>
  <si>
    <t>Potěr cementový itý C25 tl přes 40 do 45 mm</t>
  </si>
  <si>
    <t>-1060690199</t>
  </si>
  <si>
    <t>Cementový litý potěr tl. 45 mm</t>
  </si>
  <si>
    <t>Cementový potěr ve spádu 1 % tl. 38-45 mm</t>
  </si>
  <si>
    <t>60</t>
  </si>
  <si>
    <t>632451234</t>
  </si>
  <si>
    <t>Potěr cementový litý C25 tl přes 45 do 50 mm</t>
  </si>
  <si>
    <t>1948012877</t>
  </si>
  <si>
    <t>Cementový litý potěr tl. 50 mm</t>
  </si>
  <si>
    <t xml:space="preserve">Cementový potěr ve spádu 2,18 % tl. 50-140 mm, dilatovat ve středu délky chodby </t>
  </si>
  <si>
    <t>632451292</t>
  </si>
  <si>
    <t>Příplatek k cementovému samonivelačnímu litému potěru C25 ZKD 5 mm tl přes 50 mm</t>
  </si>
  <si>
    <t>-1913172028</t>
  </si>
  <si>
    <t>Cementový potěr ve spádu 2,18 % tl. 50-140 mm (průměrná tl. 95 mm =&gt; příplatek 9x)</t>
  </si>
  <si>
    <t>S04a*9</t>
  </si>
  <si>
    <t>62</t>
  </si>
  <si>
    <t>632451441</t>
  </si>
  <si>
    <t>Doplnění cementového potěru hlazeného pl do 1 m2 tl přes 30 do 40 mm</t>
  </si>
  <si>
    <t>1238466423</t>
  </si>
  <si>
    <t>C1 - cementový potěr</t>
  </si>
  <si>
    <t>vyspravení stávající podlahy</t>
  </si>
  <si>
    <t xml:space="preserve">25% plochy </t>
  </si>
  <si>
    <t>C1*0.25</t>
  </si>
  <si>
    <t>632481213</t>
  </si>
  <si>
    <t>Separační vrstva z PE fólie</t>
  </si>
  <si>
    <t>-126368943</t>
  </si>
  <si>
    <t>koeficient 1.05 na přesahy folie</t>
  </si>
  <si>
    <t>S01*1.05</t>
  </si>
  <si>
    <t>S02*1.05</t>
  </si>
  <si>
    <t>S02podsprchou*1.05</t>
  </si>
  <si>
    <t>S03*1.05</t>
  </si>
  <si>
    <t>S04*1.05</t>
  </si>
  <si>
    <t>S04a*1.05</t>
  </si>
  <si>
    <t>S05*1.05</t>
  </si>
  <si>
    <t>S08*1.05</t>
  </si>
  <si>
    <t>S09*1.05</t>
  </si>
  <si>
    <t>64</t>
  </si>
  <si>
    <t>633811111</t>
  </si>
  <si>
    <t>Broušení nerovností betonových podlah do 2 mm - stržení šlemu</t>
  </si>
  <si>
    <t>1645824326</t>
  </si>
  <si>
    <t>Broušení stávajícího betonu po odbourání stávající skladby podlahy</t>
  </si>
  <si>
    <t>65</t>
  </si>
  <si>
    <t>633811119</t>
  </si>
  <si>
    <t>Příplatek k broušení nerovností betonových podlah ZKD 1 mm úběru</t>
  </si>
  <si>
    <t>2041269305</t>
  </si>
  <si>
    <t>634113115</t>
  </si>
  <si>
    <t>Výplň dilatačních spár mazanin plastovým profilem v 80 mm</t>
  </si>
  <si>
    <t>-979391716</t>
  </si>
  <si>
    <t>např. viz S04a .. Cementový potěr CT-C25-F5 ve spádu 2,18 %, dilatovat ve středu délky chodby</t>
  </si>
  <si>
    <t>67</t>
  </si>
  <si>
    <t>636624315.1</t>
  </si>
  <si>
    <t>Gumová podlaha z desek o tloušťce 10 mm vhodná pro posilovny</t>
  </si>
  <si>
    <t>-542727043</t>
  </si>
  <si>
    <t>Podrobný popis viz D.1.1.30.1</t>
  </si>
  <si>
    <t>70,16" -1.00.09 posilovna</t>
  </si>
  <si>
    <t>Ostatní konstrukce a práce, bourání</t>
  </si>
  <si>
    <t>68</t>
  </si>
  <si>
    <t>952901111</t>
  </si>
  <si>
    <t>Vyčištění budov bytové a občanské výstavby při výšce podlaží do 4 m</t>
  </si>
  <si>
    <t>-164277760</t>
  </si>
  <si>
    <t>Plocha vyčištění budovy .. dle DM</t>
  </si>
  <si>
    <t>10,20+84,70</t>
  </si>
  <si>
    <t>745,20</t>
  </si>
  <si>
    <t>49,80" m.-1.00.27-8</t>
  </si>
  <si>
    <t>769,40</t>
  </si>
  <si>
    <t>90,50" krček</t>
  </si>
  <si>
    <t>terasa (koeficient 1/3 dle pravidel ÚRS)</t>
  </si>
  <si>
    <t>31,32*1/3</t>
  </si>
  <si>
    <t>529,60</t>
  </si>
  <si>
    <t>Výpočet ploch skladeb podlah</t>
  </si>
  <si>
    <t>Plochy dle tabulky místností - Výpočet množství viz samostatná tabulka v závěru soupisu prací</t>
  </si>
  <si>
    <t>skladba P02</t>
  </si>
  <si>
    <t>skladba P07</t>
  </si>
  <si>
    <t>skladba P10</t>
  </si>
  <si>
    <t>skladba P11</t>
  </si>
  <si>
    <t>skladba S01</t>
  </si>
  <si>
    <t>skladba S02</t>
  </si>
  <si>
    <t>312,28</t>
  </si>
  <si>
    <t>odečet skladby S02 pod sprchou</t>
  </si>
  <si>
    <t>-S02podsprchou</t>
  </si>
  <si>
    <t>skladba S02 pod sprchou</t>
  </si>
  <si>
    <t>0,90*1,475*6</t>
  </si>
  <si>
    <t>0,90*1,475*7</t>
  </si>
  <si>
    <t>1,10*1,30</t>
  </si>
  <si>
    <t>2,20*2,15</t>
  </si>
  <si>
    <t>1,10*1,30*2</t>
  </si>
  <si>
    <t>1,20*0,80</t>
  </si>
  <si>
    <t>skladba S03</t>
  </si>
  <si>
    <t>skladba S04</t>
  </si>
  <si>
    <t>333,37</t>
  </si>
  <si>
    <t>97,47</t>
  </si>
  <si>
    <t>odečet skladby S04a</t>
  </si>
  <si>
    <t>-S04a</t>
  </si>
  <si>
    <t>skladba S04a</t>
  </si>
  <si>
    <t>36,25-5,00*2,325" -1.00.16 chodba (část místnosti)</t>
  </si>
  <si>
    <t>skladba S05</t>
  </si>
  <si>
    <t>skladba S06</t>
  </si>
  <si>
    <t>balkony 1.NP-4.NP (řez B2)</t>
  </si>
  <si>
    <t>(7+3*9)*2,75*1,10</t>
  </si>
  <si>
    <t>(7+3*9)*0,90*0,25" plocha přede dveřmi</t>
  </si>
  <si>
    <t>balkony 5.NP (řez B2)</t>
  </si>
  <si>
    <t>(5,53+5,50*6+2,64+2,61)*0,60</t>
  </si>
  <si>
    <t>16*0,90*0,25" plocha přede dveřmi</t>
  </si>
  <si>
    <t xml:space="preserve">skladba S07 </t>
  </si>
  <si>
    <t>D.1.1.25</t>
  </si>
  <si>
    <t>deska výtahu -1.00.26</t>
  </si>
  <si>
    <t>2,00*3,13</t>
  </si>
  <si>
    <t>deska schodiště vedle výtahu -1.00.26</t>
  </si>
  <si>
    <t>6,55*3,13</t>
  </si>
  <si>
    <t>skladba S08</t>
  </si>
  <si>
    <t xml:space="preserve">skladba S09 </t>
  </si>
  <si>
    <t>Odečet výpočtu ploch skladeb</t>
  </si>
  <si>
    <t>-P02</t>
  </si>
  <si>
    <t>-P07</t>
  </si>
  <si>
    <t>-P10</t>
  </si>
  <si>
    <t>-P11</t>
  </si>
  <si>
    <t>-S01</t>
  </si>
  <si>
    <t>-S02</t>
  </si>
  <si>
    <t>-S03</t>
  </si>
  <si>
    <t>-S04</t>
  </si>
  <si>
    <t>-S05</t>
  </si>
  <si>
    <t>-S06</t>
  </si>
  <si>
    <t>-S07</t>
  </si>
  <si>
    <t>-S08</t>
  </si>
  <si>
    <t>-S09</t>
  </si>
  <si>
    <t>952902021</t>
  </si>
  <si>
    <t>Čištění budov zametení hladkých podlah</t>
  </si>
  <si>
    <t>1985847609</t>
  </si>
  <si>
    <t xml:space="preserve">čištění stávající zachovávané dlažby </t>
  </si>
  <si>
    <t>70</t>
  </si>
  <si>
    <t>952902031</t>
  </si>
  <si>
    <t>Čištění budov omytí hladkých podlah</t>
  </si>
  <si>
    <t>-1790524450</t>
  </si>
  <si>
    <t>952902041</t>
  </si>
  <si>
    <t>Čištění budov drhnutí hladkých podlah s chemickými prostředky</t>
  </si>
  <si>
    <t>1684553029</t>
  </si>
  <si>
    <t>72</t>
  </si>
  <si>
    <t>952902121</t>
  </si>
  <si>
    <t>Čištění budov zametení drsných podlah</t>
  </si>
  <si>
    <t>555714805</t>
  </si>
  <si>
    <t>vyčištění a příprava stávající žb nosné kce před provedením nové podlahové skladby</t>
  </si>
  <si>
    <t>952902131</t>
  </si>
  <si>
    <t>Čištění budov omytí drsných podlah</t>
  </si>
  <si>
    <t>461871569</t>
  </si>
  <si>
    <t>74</t>
  </si>
  <si>
    <t>975121311</t>
  </si>
  <si>
    <t>Zřízení jednořadého podchycení konstrukcí systémovými stojkami s nosníky v do 4 m zatížení do 750 kg/m</t>
  </si>
  <si>
    <t>-1143294720</t>
  </si>
  <si>
    <t>pro montáž ocelových nosníků ztužujících strop s bouranými otvory</t>
  </si>
  <si>
    <t>dle vzorového podlaží (2.NP) x počet podlaží</t>
  </si>
  <si>
    <t>1.PP-4.NP</t>
  </si>
  <si>
    <t>5*(4,30*2*6+9,10*2*5+8,90)</t>
  </si>
  <si>
    <t>975121312</t>
  </si>
  <si>
    <t>Příplatek k jednořadému podchycení konstrukcí systémovými stojkami s nosníky v do 4 m zatížení do 750 kg/m za první a ZKD den použití</t>
  </si>
  <si>
    <t>1200939089</t>
  </si>
  <si>
    <t>15*757,50</t>
  </si>
  <si>
    <t>76</t>
  </si>
  <si>
    <t>975121313</t>
  </si>
  <si>
    <t>Odstranění jednořadého podchycení konstrukcí systémovými stojkami s nosníky v do 4 m zatížení do 750 kg/m</t>
  </si>
  <si>
    <t>1041544546</t>
  </si>
  <si>
    <t>985422313</t>
  </si>
  <si>
    <t>Injektáž trhlin š přes 1 do 2 mm v ŽB kcích tl přes 200 do 300 mm aktivovanou cementovou maltou včetně vrtů</t>
  </si>
  <si>
    <t>-1360442630</t>
  </si>
  <si>
    <t>Vyspravení trhlin mezi nosnými kcemi</t>
  </si>
  <si>
    <t xml:space="preserve">viz Tz: Stavebně a konstrukčně nevykazuje objekt vážné statické závady. jde o propisování stropních panelů vlasovými trhlinami, </t>
  </si>
  <si>
    <t>a v jednom místě trhlinou ve stropním panelu v posledním podlaží mezi sloupem a stropním panelem.</t>
  </si>
  <si>
    <t>20,00</t>
  </si>
  <si>
    <t>78</t>
  </si>
  <si>
    <t>993211111</t>
  </si>
  <si>
    <t>Dovoz a odvoz systémových stojek včetně nosníků pro podchycování konstrukcí do 10 km včetně naložení a složení</t>
  </si>
  <si>
    <t>-1282929984</t>
  </si>
  <si>
    <t>757,50*0,20</t>
  </si>
  <si>
    <t>998</t>
  </si>
  <si>
    <t>Přesun hmot</t>
  </si>
  <si>
    <t>998011003</t>
  </si>
  <si>
    <t>Přesun hmot pro budovy zděné v přes 12 do 24 m</t>
  </si>
  <si>
    <t>t</t>
  </si>
  <si>
    <t>2133970034</t>
  </si>
  <si>
    <t>PSV</t>
  </si>
  <si>
    <t>Práce a dodávky PSV</t>
  </si>
  <si>
    <t>711</t>
  </si>
  <si>
    <t>Izolace proti vodě, vlhkosti a plynům</t>
  </si>
  <si>
    <t>80</t>
  </si>
  <si>
    <t>711113117</t>
  </si>
  <si>
    <t>Izolace proti vlhkosti vodorovná za studena těsnicí stěrkou jednosložkovou na bázi cementu</t>
  </si>
  <si>
    <t>1041559939</t>
  </si>
  <si>
    <t>Dle Tz: na podestě venkovního schodiště cementová hydroizolační stěrka</t>
  </si>
  <si>
    <t>osa 2/C</t>
  </si>
  <si>
    <t>6,20*2,95</t>
  </si>
  <si>
    <t>711113127</t>
  </si>
  <si>
    <t>Izolace proti vlhkosti svislá za studena těsnicí stěrkou jednosložkovou na bázi cementu</t>
  </si>
  <si>
    <t>383110797</t>
  </si>
  <si>
    <t>osa 2/C - vytažení stěrky na svislé kce</t>
  </si>
  <si>
    <t>(6,20+2,95)*0,30</t>
  </si>
  <si>
    <t>82</t>
  </si>
  <si>
    <t>711461103</t>
  </si>
  <si>
    <t>Provedení izolace proti tlakové vodě vodorovné fólií přilepenou v plné ploše</t>
  </si>
  <si>
    <t>1260052640</t>
  </si>
  <si>
    <t>S07 - vodorovná izolace přístavby výtahové šachty a schodiště</t>
  </si>
  <si>
    <t>8,35*3,15</t>
  </si>
  <si>
    <t>0,75*1,25</t>
  </si>
  <si>
    <t>28322005</t>
  </si>
  <si>
    <t>fólie hydroizolační pro spodní stavbu mPVC tl 2,0mm</t>
  </si>
  <si>
    <t>-1412665871</t>
  </si>
  <si>
    <t>Izolace proti vodě a radonu - PVC-P fólie, součinitel difúze radonu D &lt;= 1,3.10-11 m2.s-1</t>
  </si>
  <si>
    <t>vodorovná plocha</t>
  </si>
  <si>
    <t>S04*1.15</t>
  </si>
  <si>
    <t>S05*1.15</t>
  </si>
  <si>
    <t>8,35*3,15*1.15</t>
  </si>
  <si>
    <t>0,75*1,25*1.15</t>
  </si>
  <si>
    <t>226</t>
  </si>
  <si>
    <t>711767378</t>
  </si>
  <si>
    <t>Izolace proti vodě opracování trubních prostupů folie s dotmelením na přírubu D přes 200 do 500 mm</t>
  </si>
  <si>
    <t>1202304208</t>
  </si>
  <si>
    <t>11163260</t>
  </si>
  <si>
    <t>tmel hydroizolační asfaltový stříkatelný</t>
  </si>
  <si>
    <t>-1396099909</t>
  </si>
  <si>
    <t>20*0,002 'Přepočtené koeficientem množství</t>
  </si>
  <si>
    <t>998711101</t>
  </si>
  <si>
    <t>Přesun hmot tonážní pro izolace proti vodě, vlhkosti a plynům v objektech v do 6 m</t>
  </si>
  <si>
    <t>-103897574</t>
  </si>
  <si>
    <t>713</t>
  </si>
  <si>
    <t>Izolace tepelné</t>
  </si>
  <si>
    <t>86</t>
  </si>
  <si>
    <t>713121111</t>
  </si>
  <si>
    <t>Montáž izolace tepelné podlah volně kladenými rohožemi, pásy, dílci, deskami 1 vrstva</t>
  </si>
  <si>
    <t>-373820797</t>
  </si>
  <si>
    <t xml:space="preserve"> desky ze skelné vlny 15 mm</t>
  </si>
  <si>
    <t xml:space="preserve"> desky ze skelné vlny 35 mm</t>
  </si>
  <si>
    <t>dřevovláknité desky 8 mm</t>
  </si>
  <si>
    <t>dřevovláknité desky 10 mm</t>
  </si>
  <si>
    <t>60715171.1</t>
  </si>
  <si>
    <t>kročejová izolace - dřevovláknité desky tl 8mm</t>
  </si>
  <si>
    <t>-419394716</t>
  </si>
  <si>
    <t>526,46*1,02 'Přepočtené koeficientem množství</t>
  </si>
  <si>
    <t>88</t>
  </si>
  <si>
    <t>60715172.1</t>
  </si>
  <si>
    <t>kročejová izolace - dřevovláknité desky tl 10mm</t>
  </si>
  <si>
    <t>1449449890</t>
  </si>
  <si>
    <t>774,63*1,02 'Přepočtené koeficientem množství</t>
  </si>
  <si>
    <t>63150927</t>
  </si>
  <si>
    <t>deska speciální akustická ze skleněných vláken jednostranně kašírovaná černou netkanou textílií tl 15mm</t>
  </si>
  <si>
    <t>-1185627755</t>
  </si>
  <si>
    <t>1287,39*1,02 'Přepočtené koeficientem množství</t>
  </si>
  <si>
    <t>228</t>
  </si>
  <si>
    <t>63150929</t>
  </si>
  <si>
    <t>deska speciální akustická ze skleněných vláken jednostranně kašírovaná černou netkanou textílií tl 35mm</t>
  </si>
  <si>
    <t>-1900780035</t>
  </si>
  <si>
    <t>435,21*1,02 'Přepočtené koeficientem množství</t>
  </si>
  <si>
    <t>91</t>
  </si>
  <si>
    <t>713521121</t>
  </si>
  <si>
    <t>Montáž izolace tepelné protipožárním obkladem nosníků deskami 1 vrstva</t>
  </si>
  <si>
    <t>-1287720207</t>
  </si>
  <si>
    <t>Vodorovný protipožární obklad nosníků ozn. C03</t>
  </si>
  <si>
    <t>Množství převzata z výkazu výměr podhledů vygenerovaného programem pro navrhování stavebních objektů</t>
  </si>
  <si>
    <t>26,43</t>
  </si>
  <si>
    <t>25,41</t>
  </si>
  <si>
    <t>26,00</t>
  </si>
  <si>
    <t>svislé plochy lepeného obkladu nosníků (na půdorysu zleva doprava, výška dle řezu A)</t>
  </si>
  <si>
    <t>9,25*2*0,25</t>
  </si>
  <si>
    <t>8,40*2*4*0,25</t>
  </si>
  <si>
    <t>4,00*2*5*0,25</t>
  </si>
  <si>
    <t>2.-4.NP</t>
  </si>
  <si>
    <t>9,25*2*3*0,25</t>
  </si>
  <si>
    <t>8,40*2*4*3*0,25</t>
  </si>
  <si>
    <t>4,00*2*5*3*0,25</t>
  </si>
  <si>
    <t>92</t>
  </si>
  <si>
    <t>713521131</t>
  </si>
  <si>
    <t>Montáž izolace tepelné protipožárním obkladem podhledů deskami 1 vrstva</t>
  </si>
  <si>
    <t>-865515321</t>
  </si>
  <si>
    <t>Podhled C03</t>
  </si>
  <si>
    <t>6,5</t>
  </si>
  <si>
    <t>414,11</t>
  </si>
  <si>
    <t>1.-4.NP - započteno v položce obkladu nosníků</t>
  </si>
  <si>
    <t>63152012.2</t>
  </si>
  <si>
    <t>C03 - polyfunkční systém lepených obkladů na železobetonové konstrukce na bázi desek z minerální plsti</t>
  </si>
  <si>
    <t>-1119063970</t>
  </si>
  <si>
    <t xml:space="preserve">C03 podhled - Protipož. lepený obklad ŽB kcí </t>
  </si>
  <si>
    <t>649,56*1,05 'Přepočtené koeficientem množství</t>
  </si>
  <si>
    <t>94</t>
  </si>
  <si>
    <t>998713103</t>
  </si>
  <si>
    <t>Přesun hmot tonážní pro izolace tepelné v objektech v přes 12 do 24 m</t>
  </si>
  <si>
    <t>-2027106102</t>
  </si>
  <si>
    <t>714</t>
  </si>
  <si>
    <t>Akustická a protiotřesová opatření</t>
  </si>
  <si>
    <t>714112311</t>
  </si>
  <si>
    <t xml:space="preserve">Montáž akustických obkladů stropů z desek </t>
  </si>
  <si>
    <t>-27549730</t>
  </si>
  <si>
    <t>Podhled C06</t>
  </si>
  <si>
    <t>-1.00.08</t>
  </si>
  <si>
    <t>3*1,20*2,40</t>
  </si>
  <si>
    <t>-1.00.09</t>
  </si>
  <si>
    <t>14*1,20*2,40</t>
  </si>
  <si>
    <t>230</t>
  </si>
  <si>
    <t>63126402</t>
  </si>
  <si>
    <t>C06 - panel akustický hygienický povrch vodoodpudivá skelná tkanina hrana zatřená rovná Aeq=4,3m2 volně zavěšený čtverec 2400x1200mm bílý tl 40mm</t>
  </si>
  <si>
    <t>-1154678521</t>
  </si>
  <si>
    <t>714121012</t>
  </si>
  <si>
    <t>Montáž podstropních panelů s rozšířenou zvukovou pohltivostí zavěšených na polozapuštěný rošt</t>
  </si>
  <si>
    <t>1229015282</t>
  </si>
  <si>
    <t>Podhled C05</t>
  </si>
  <si>
    <t>28,85</t>
  </si>
  <si>
    <t>86,53</t>
  </si>
  <si>
    <t>Svislé plochy změn výškové  úrovně a čel podhledu C05</t>
  </si>
  <si>
    <t>-1.00.02</t>
  </si>
  <si>
    <t>6,10*0,20</t>
  </si>
  <si>
    <t>5,50*0,35</t>
  </si>
  <si>
    <t>63126340</t>
  </si>
  <si>
    <t>C05 - panel akustický povrch velice porézní skelná tkanina tl 20mm</t>
  </si>
  <si>
    <t>677034314</t>
  </si>
  <si>
    <t>118,525*1,05 'Přepočtené koeficientem množství</t>
  </si>
  <si>
    <t>99</t>
  </si>
  <si>
    <t>714121041</t>
  </si>
  <si>
    <t>Montáž napojení podhledu z akustických panelů obvodovou lištou na stěnu</t>
  </si>
  <si>
    <t>-2085139943</t>
  </si>
  <si>
    <t>(6,10+2,70)*2</t>
  </si>
  <si>
    <t>(1,05+0,55)*2</t>
  </si>
  <si>
    <t>0,975*2+0,55</t>
  </si>
  <si>
    <t>(2,55+5,50)*2</t>
  </si>
  <si>
    <t>2.00.07</t>
  </si>
  <si>
    <t>(10,50+8,70)*2</t>
  </si>
  <si>
    <t>0,925*2*2</t>
  </si>
  <si>
    <t>232</t>
  </si>
  <si>
    <t>59036253</t>
  </si>
  <si>
    <t>lišta obvodová rastru nosného pro kazetové minerální podhledy Pz lakovaná v 22mm dl 3m</t>
  </si>
  <si>
    <t>-695624365</t>
  </si>
  <si>
    <t>81,5*1,05 'Přepočtené koeficientem množství</t>
  </si>
  <si>
    <t>714123001</t>
  </si>
  <si>
    <t xml:space="preserve">Montáž akustických stěnových obkladů z panelů </t>
  </si>
  <si>
    <t>636486283</t>
  </si>
  <si>
    <t>Obklad AO (viz D.1.1.30.1 - Tabulky a skladby)</t>
  </si>
  <si>
    <t>40,53</t>
  </si>
  <si>
    <t>102</t>
  </si>
  <si>
    <t>63126370.1</t>
  </si>
  <si>
    <t>AO - panel akustický stěnový mechanicky odolný s jádrem ze skelné vlny tl 40mm vč. lemování panelů obvodovým lakovaným ocelovým U profilem</t>
  </si>
  <si>
    <t>1534978229</t>
  </si>
  <si>
    <t>40,53*1,05 'Přepočtené koeficientem množství</t>
  </si>
  <si>
    <t>998714102</t>
  </si>
  <si>
    <t>Přesun hmot tonážní pro akustická a protiotřesová opatření v objektech v do 12 m</t>
  </si>
  <si>
    <t>-57317767</t>
  </si>
  <si>
    <t>763</t>
  </si>
  <si>
    <t>Konstrukce suché výstavby</t>
  </si>
  <si>
    <t>104</t>
  </si>
  <si>
    <t>763131421</t>
  </si>
  <si>
    <t>C02 - SDK podhled desky 2xA 12,5 bez izolace dvouvrstvá spodní kce profil CD+UD</t>
  </si>
  <si>
    <t>234912103</t>
  </si>
  <si>
    <t>136,7</t>
  </si>
  <si>
    <t>244,97</t>
  </si>
  <si>
    <t>333,5</t>
  </si>
  <si>
    <t>398,61</t>
  </si>
  <si>
    <t>400,69</t>
  </si>
  <si>
    <t>257,07</t>
  </si>
  <si>
    <t>763131441</t>
  </si>
  <si>
    <t xml:space="preserve">C07 - SDK podhled desky 2xDF 12,5 bez izolace dvouvrstvá spodní kce profil CD+UD </t>
  </si>
  <si>
    <t>-1601331569</t>
  </si>
  <si>
    <t>49,63</t>
  </si>
  <si>
    <t>0,84</t>
  </si>
  <si>
    <t>443,87</t>
  </si>
  <si>
    <t>106</t>
  </si>
  <si>
    <t>763131461</t>
  </si>
  <si>
    <t>C01 - SDK podhled desky 2xH2 12,5 bez izolace dvouvrstvá spodní kce profil CD+UD</t>
  </si>
  <si>
    <t>807482358</t>
  </si>
  <si>
    <t>30,4</t>
  </si>
  <si>
    <t>27,06</t>
  </si>
  <si>
    <t>39,77</t>
  </si>
  <si>
    <t>46,35</t>
  </si>
  <si>
    <t>42,46</t>
  </si>
  <si>
    <t>25,7</t>
  </si>
  <si>
    <t>763131721</t>
  </si>
  <si>
    <t>SDK podhled skoková změna v do 0,5 m</t>
  </si>
  <si>
    <t>-423110822</t>
  </si>
  <si>
    <t>podhled C01</t>
  </si>
  <si>
    <t>-1.00.20</t>
  </si>
  <si>
    <t>2,40</t>
  </si>
  <si>
    <t>podhled C02</t>
  </si>
  <si>
    <t>2*6,10</t>
  </si>
  <si>
    <t>-1.00.12</t>
  </si>
  <si>
    <t>2,25</t>
  </si>
  <si>
    <t>1.01.02-3, 1.02.02-3, 1.03.02-4, 1.04.03, 1.05.02</t>
  </si>
  <si>
    <t>2,75*9</t>
  </si>
  <si>
    <t>1.04.02</t>
  </si>
  <si>
    <t>3,35</t>
  </si>
  <si>
    <t>podél obkladu nosníků C03 (viz např. 1.03.04)</t>
  </si>
  <si>
    <t>4,00*7+4,60</t>
  </si>
  <si>
    <t>2,75*13*3</t>
  </si>
  <si>
    <t>3,35*3</t>
  </si>
  <si>
    <t>podél obkladu nosníků C03 (viz např. 2.07.02)</t>
  </si>
  <si>
    <t>(4,00*9+4,60)*3</t>
  </si>
  <si>
    <t>5.NP (zleva doprava)</t>
  </si>
  <si>
    <t>2,95</t>
  </si>
  <si>
    <t>2,84</t>
  </si>
  <si>
    <t>2,82*9</t>
  </si>
  <si>
    <t>3,40</t>
  </si>
  <si>
    <t>2,875</t>
  </si>
  <si>
    <t>2,87</t>
  </si>
  <si>
    <t>3,37</t>
  </si>
  <si>
    <t>3,95" 5.00.04</t>
  </si>
  <si>
    <t>C07 - výškové změny podhledu nosníků (na půdorysu zleva doprava)</t>
  </si>
  <si>
    <t>3,05</t>
  </si>
  <si>
    <t>8,80*2*2</t>
  </si>
  <si>
    <t>4,00*2*5</t>
  </si>
  <si>
    <t>8,98*2*3</t>
  </si>
  <si>
    <t>4,98</t>
  </si>
  <si>
    <t>2*2,00" osa 11</t>
  </si>
  <si>
    <t>4,50" 5.00.01</t>
  </si>
  <si>
    <t>(0,60+0,40)*7" 5.07.02 a ostatní místnosti s protipožárním kastlíkem</t>
  </si>
  <si>
    <t>108</t>
  </si>
  <si>
    <t>763131765</t>
  </si>
  <si>
    <t>Příplatek k SDK podhledu za výšku zavěšení přes 0,5 do 1,0 m</t>
  </si>
  <si>
    <t>929676963</t>
  </si>
  <si>
    <t>1.NP - podhledy se s.v. 2450 mm</t>
  </si>
  <si>
    <t>1.01.02-3, 1.02.02-3, 1.03.02-4, 1.04.02-3, 1.05.02</t>
  </si>
  <si>
    <t>2,675*0,85*10</t>
  </si>
  <si>
    <t>2,675*0,85*13*3</t>
  </si>
  <si>
    <t>2,675*1,90*3</t>
  </si>
  <si>
    <t>763111714</t>
  </si>
  <si>
    <t>SDK příčka zalomení</t>
  </si>
  <si>
    <t>623677727</t>
  </si>
  <si>
    <t>4*2,65</t>
  </si>
  <si>
    <t>Přístavba vpravo od osy 11</t>
  </si>
  <si>
    <t>1*2,71</t>
  </si>
  <si>
    <t>26*3,05</t>
  </si>
  <si>
    <t>6*3,05</t>
  </si>
  <si>
    <t>31*3,05</t>
  </si>
  <si>
    <t>3*3,35</t>
  </si>
  <si>
    <t>3*3,05</t>
  </si>
  <si>
    <t>5*3,05</t>
  </si>
  <si>
    <t>60*3,05</t>
  </si>
  <si>
    <t>110</t>
  </si>
  <si>
    <t>763111718</t>
  </si>
  <si>
    <t>SDK příčka úprava styku příčky a podhledu separační páskou a akrylátem (oboustranně)</t>
  </si>
  <si>
    <t>-835430264</t>
  </si>
  <si>
    <t>výpočet = plocha sdk příček / průměrná výška příčky x 2 strany příčky</t>
  </si>
  <si>
    <t>480,614/3,05*2</t>
  </si>
  <si>
    <t>3,355/3,05*2</t>
  </si>
  <si>
    <t>177,273/3,05*2</t>
  </si>
  <si>
    <t>491,513/3,05*2</t>
  </si>
  <si>
    <t>60,00/3,05*2</t>
  </si>
  <si>
    <t>12,00/3,05*2</t>
  </si>
  <si>
    <t>473,957/3,05*2</t>
  </si>
  <si>
    <t>30,50/3,05*2</t>
  </si>
  <si>
    <t>100,80/3,05*2</t>
  </si>
  <si>
    <t>19,50/3,05*2</t>
  </si>
  <si>
    <t>53,994/3,05*2</t>
  </si>
  <si>
    <t>429,571/3,05*2</t>
  </si>
  <si>
    <t>51,241/3,05*2</t>
  </si>
  <si>
    <t>407,309/3,05*2</t>
  </si>
  <si>
    <t>132,456/3,05*2</t>
  </si>
  <si>
    <t>44,04/3,05*2</t>
  </si>
  <si>
    <t>30,695/3,05*2</t>
  </si>
  <si>
    <t>290,606/3,05*2</t>
  </si>
  <si>
    <t>763111720</t>
  </si>
  <si>
    <t>SDK příčka vyztužení pro osazení skříněk, polic atd.</t>
  </si>
  <si>
    <t>-1659284893</t>
  </si>
  <si>
    <t>2,00</t>
  </si>
  <si>
    <t>3,00*15</t>
  </si>
  <si>
    <t>3,00*19</t>
  </si>
  <si>
    <t>3,00*16</t>
  </si>
  <si>
    <t>112</t>
  </si>
  <si>
    <t>763111722</t>
  </si>
  <si>
    <t>SDK příčka pozinkovaný úhelník k ochraně rohů</t>
  </si>
  <si>
    <t>-1719250263</t>
  </si>
  <si>
    <t>15*3,05</t>
  </si>
  <si>
    <t>4*3,05</t>
  </si>
  <si>
    <t>1*3,35</t>
  </si>
  <si>
    <t>41*3,05</t>
  </si>
  <si>
    <t>763111411</t>
  </si>
  <si>
    <t xml:space="preserve">SDK příčka tl 100 mm profil CW+UW 50 desky 2xA 12,5 s izolací </t>
  </si>
  <si>
    <t>1740967346</t>
  </si>
  <si>
    <t>součástí této položky je minerální vata tl. 50 mm (viz legenda materiálů)</t>
  </si>
  <si>
    <t>(3,10+2,75+3,05+1,60)*3,05</t>
  </si>
  <si>
    <t>1,00*3,05</t>
  </si>
  <si>
    <t>1,325*3,05</t>
  </si>
  <si>
    <t>3,50*3,05</t>
  </si>
  <si>
    <t>6,10*3,05</t>
  </si>
  <si>
    <t>3,10*3,05</t>
  </si>
  <si>
    <t>3,20*3,05</t>
  </si>
  <si>
    <t>3,40*3,05</t>
  </si>
  <si>
    <t>2,70*3,05</t>
  </si>
  <si>
    <t>Místnosti</t>
  </si>
  <si>
    <t>3,10*3,00</t>
  </si>
  <si>
    <t>3,255*3,00</t>
  </si>
  <si>
    <t>6,08*3,00</t>
  </si>
  <si>
    <t>2*2,90*3,00</t>
  </si>
  <si>
    <t>3,20*3,00</t>
  </si>
  <si>
    <t>3,35*3,00</t>
  </si>
  <si>
    <t>114</t>
  </si>
  <si>
    <t>763111417</t>
  </si>
  <si>
    <t xml:space="preserve">SDK příčka tl 150 mm profil CW+UW 100 desky 2xA 12,5 s izolací </t>
  </si>
  <si>
    <t>1891231102</t>
  </si>
  <si>
    <t>1,10*3,05</t>
  </si>
  <si>
    <t>763111421</t>
  </si>
  <si>
    <t xml:space="preserve">SDK příčka tl 100 mm profil CW+UW 50 desky 2xDF 12,5 s izolací </t>
  </si>
  <si>
    <t>123758612</t>
  </si>
  <si>
    <t>Příčky oddělující požární úseky (dle PBŘ)</t>
  </si>
  <si>
    <t>2*(0,55+0,70)*3,05</t>
  </si>
  <si>
    <t>1,80*3,05</t>
  </si>
  <si>
    <t>0,275*3,05</t>
  </si>
  <si>
    <t>(3,45+2*0,20)*3,05</t>
  </si>
  <si>
    <t>(2*0,60+0,625)*3,05</t>
  </si>
  <si>
    <t>(0,30+1,10+3,15+0,40)*3,05</t>
  </si>
  <si>
    <t>(2*0,60+0,625)*3,35</t>
  </si>
  <si>
    <t>Chodba</t>
  </si>
  <si>
    <t>(0,25+0,80)*3,00</t>
  </si>
  <si>
    <t>(0,80+0,20+1,90)*3,00</t>
  </si>
  <si>
    <t>(0,80+0,20+0,60+1,40+0,80)*3,00</t>
  </si>
  <si>
    <t>3*(2*0,80+0,40)*3,00</t>
  </si>
  <si>
    <t>2*(0,70+0,20+1,80)*3,00</t>
  </si>
  <si>
    <t>(0,80+0,60)*3,00</t>
  </si>
  <si>
    <t>2*(0,80+0,60)*3,00</t>
  </si>
  <si>
    <t>116</t>
  </si>
  <si>
    <t>763111426</t>
  </si>
  <si>
    <t xml:space="preserve">SDK příčka tl 150 mm profil CW+UW 100 desky 2xDF 12,5 s izolací </t>
  </si>
  <si>
    <t>1128470594</t>
  </si>
  <si>
    <t>(16,65-2,20-3,20-4,40)*3,05" (odečet = části příčky s impregnovanými deskami´)</t>
  </si>
  <si>
    <t>4,40*3,05</t>
  </si>
  <si>
    <t>(21,20-1,95-3,15*2-1,25)" odečet = části příčky s impregnovanými deskami</t>
  </si>
  <si>
    <t>(16,65-2,20-3,20-4,40)*3,05" odečet = části příčky s impregnovanými deskami</t>
  </si>
  <si>
    <t>(27,35-1,95-3,15*2-1,25-2,00-1,25)" odečet = části příčky s impregnovanými deskami</t>
  </si>
  <si>
    <t>(16,65-2,20-3,20-4,40)*3,05" Odečet = části příčky s impregnovanými deskami</t>
  </si>
  <si>
    <t>(12,90+1,95*2)*3,05</t>
  </si>
  <si>
    <t>2,00*3,05</t>
  </si>
  <si>
    <t>(3,00+7,40+4,20+5,65)*3,05</t>
  </si>
  <si>
    <t>(1,70+3,00+5,65+7,30)*3,05</t>
  </si>
  <si>
    <t>(1,50+2*1,95+10,90)*3,05</t>
  </si>
  <si>
    <t>(12,55+2,72+33,475)*3,00</t>
  </si>
  <si>
    <t>-(1,15+3,20+1,90+1,40+1,775+4*3,20+1,15)*3,00" odečet = části příčky s impregnovanými deskami</t>
  </si>
  <si>
    <t>763111429</t>
  </si>
  <si>
    <t>SDK příčka tl 205 mm profil CW+UW 150 desky 2xDF 12,5 s izolací</t>
  </si>
  <si>
    <t>460686011</t>
  </si>
  <si>
    <t>5*4,00*3,00" F</t>
  </si>
  <si>
    <t>118</t>
  </si>
  <si>
    <t>763111429.1</t>
  </si>
  <si>
    <t>SDK příčka tl 205 mm profil CW+UW 150 desky 2xA 12,5 s izolací</t>
  </si>
  <si>
    <t>-1919540549</t>
  </si>
  <si>
    <t>4,00*3,00</t>
  </si>
  <si>
    <t>763111431</t>
  </si>
  <si>
    <t xml:space="preserve">SDK příčka tl 100 mm profil CW+UW 50 desky 2xH2 12,5 s izolací </t>
  </si>
  <si>
    <t>695877103</t>
  </si>
  <si>
    <t>Příčky ve vlhkých prostorách</t>
  </si>
  <si>
    <t>(1,70+1,20)*3,05</t>
  </si>
  <si>
    <t>1,55*9*3,05</t>
  </si>
  <si>
    <t>1,55*11*3,05</t>
  </si>
  <si>
    <t>3,65*3,05</t>
  </si>
  <si>
    <t>(4,30+1,90)*3,05</t>
  </si>
  <si>
    <t>(2,40+5,00)*3,05</t>
  </si>
  <si>
    <t>7*2*1,55*3,00</t>
  </si>
  <si>
    <t>(1,25+1,80)*3,00</t>
  </si>
  <si>
    <t>120</t>
  </si>
  <si>
    <t>763111437</t>
  </si>
  <si>
    <t>SDK příčka tl 150 mm profil CW+UW 100 desky 2xH2 12,5 s izolací</t>
  </si>
  <si>
    <t>-2120552730</t>
  </si>
  <si>
    <t>1,40*3,05</t>
  </si>
  <si>
    <t>2*2,20*3,05</t>
  </si>
  <si>
    <t>763111437.01</t>
  </si>
  <si>
    <t xml:space="preserve">SDK příčka tl 155 mm profil CW(+UW) desky 2xA 12,5 s izolací </t>
  </si>
  <si>
    <t>32646003</t>
  </si>
  <si>
    <t>součástí této položky je minerální vata tl. 50 mm a napojovací těsnění (viz legenda materiálů)</t>
  </si>
  <si>
    <t>7*4,80*3,00</t>
  </si>
  <si>
    <t>122</t>
  </si>
  <si>
    <t>763111437.02</t>
  </si>
  <si>
    <t xml:space="preserve">SDK příčka tl 155 mm profil CW(+UW) desky 2xDF 12,5 s izolací </t>
  </si>
  <si>
    <t>1066936740</t>
  </si>
  <si>
    <t>6,50*3,00</t>
  </si>
  <si>
    <t>763111441</t>
  </si>
  <si>
    <t xml:space="preserve">SDK příčka tl 100 mm profil CW+UW 50 desky 2xDFH2 12,5 s izolací </t>
  </si>
  <si>
    <t>1486581643</t>
  </si>
  <si>
    <t>Příčky oddělující požární úseky ve vlhkých prostorách (dle PBŘ)</t>
  </si>
  <si>
    <t>1,40*3,05" iF</t>
  </si>
  <si>
    <t>(0,76+0,17)*3,05" iF</t>
  </si>
  <si>
    <t>(2*0,28+1,35)*3,05" iF</t>
  </si>
  <si>
    <t>2*0,30*3,05" IF</t>
  </si>
  <si>
    <t>3,00*3,05" IF</t>
  </si>
  <si>
    <t>(0,75+0,15)*3,00" IF</t>
  </si>
  <si>
    <t>0,80*3,00" IF</t>
  </si>
  <si>
    <t>124</t>
  </si>
  <si>
    <t>763111447</t>
  </si>
  <si>
    <t xml:space="preserve">SDK příčka tl 150 mm profil CW+UW 100 desky 2xDFH2 12,5 s izolací </t>
  </si>
  <si>
    <t>-300810953</t>
  </si>
  <si>
    <t>(2,20+3,20+4,40)*3,05" IF</t>
  </si>
  <si>
    <t>(2,05+0,40)*3,05" IF</t>
  </si>
  <si>
    <t>1,70*3,05" IF</t>
  </si>
  <si>
    <t>(1,95+3,15*2+1,25)*3,05" IF</t>
  </si>
  <si>
    <t>(1,95+3,15*2+1,25+2,00+1,25)*3,05" IF</t>
  </si>
  <si>
    <t>2,10*3,05" IF</t>
  </si>
  <si>
    <t>(1,60+1,30)*3,05" IF</t>
  </si>
  <si>
    <t>2,50*3,05" IF</t>
  </si>
  <si>
    <t>(1,15+3,20+1,90+1,40+1,775+4*3,20+1,15)*3,00" IF</t>
  </si>
  <si>
    <t>763113330</t>
  </si>
  <si>
    <t xml:space="preserve">SDK příčka instalační tl 155 - 650 mm nosná kce z profilů CW(+UW) desky 2xDFH2 12,5 s izolací </t>
  </si>
  <si>
    <t>-1611725320</t>
  </si>
  <si>
    <t>1,675*3,05</t>
  </si>
  <si>
    <t>1,50*3,05</t>
  </si>
  <si>
    <t>0,70*3,05</t>
  </si>
  <si>
    <t>2,40*3,05</t>
  </si>
  <si>
    <t>126</t>
  </si>
  <si>
    <t>763113341</t>
  </si>
  <si>
    <t xml:space="preserve">SDK příčka instalační tl 155 - 650 mm nosná kce z profilů CW(+UW) desky 2xH2 12,5 s izolací </t>
  </si>
  <si>
    <t>1129615257</t>
  </si>
  <si>
    <t>2,05*3,05</t>
  </si>
  <si>
    <t>(0,985+1,37)*3,05</t>
  </si>
  <si>
    <t>(1,15+1,50)*3,05</t>
  </si>
  <si>
    <t>3*(1,15+1,50)*3,05</t>
  </si>
  <si>
    <t>2*1,80*3,05</t>
  </si>
  <si>
    <t>3*1,80*3,05</t>
  </si>
  <si>
    <t>1,05*3,05</t>
  </si>
  <si>
    <t>2,675*3,05</t>
  </si>
  <si>
    <t>7*(1,27+1,05)*3,00</t>
  </si>
  <si>
    <t>5*1,80*3,00</t>
  </si>
  <si>
    <t>1,675*3,00</t>
  </si>
  <si>
    <t>1,70*3,00</t>
  </si>
  <si>
    <t>763121465</t>
  </si>
  <si>
    <t xml:space="preserve">SDK stěna předsazená tl 75 mm profil CW+UW 50 desky 2xDFH2 12,5 s izolací </t>
  </si>
  <si>
    <t>1094016601</t>
  </si>
  <si>
    <t>(0,415+0,325)*3*3,05" DF</t>
  </si>
  <si>
    <t>(0,415+0,625)*3,05" DF</t>
  </si>
  <si>
    <t>(0,80*2+1,15)*3,05" DF</t>
  </si>
  <si>
    <t>1,00*3,05" DF</t>
  </si>
  <si>
    <t>(0,415+0,325)*4*3,05" DF</t>
  </si>
  <si>
    <t>0,80*2*3,05" DF</t>
  </si>
  <si>
    <t>0,95*3,35" DF</t>
  </si>
  <si>
    <t>(0,325+0,60+0,30+2,40+0,90*2+1,13)*3,05" DF</t>
  </si>
  <si>
    <t>(0,325+3,00*2)*3,05 "IF</t>
  </si>
  <si>
    <t>4*(0,325+0,415)*3,00" IF</t>
  </si>
  <si>
    <t>(0,80+0,86)*3,00" I</t>
  </si>
  <si>
    <t>128</t>
  </si>
  <si>
    <t>763121465.1</t>
  </si>
  <si>
    <t xml:space="preserve">SDK stěna předsazená tl 75 mm profil CW+UW 50 desky 2xA 12,5 s izolací </t>
  </si>
  <si>
    <t>931828369</t>
  </si>
  <si>
    <t>2*(2*0,50+0,40)*2,71</t>
  </si>
  <si>
    <t>(0,30+0,60)*2,71</t>
  </si>
  <si>
    <t>0,775*2,71</t>
  </si>
  <si>
    <t>4*0,55*2,71</t>
  </si>
  <si>
    <t>0" Obyč. nejsou, Jen impregnované a protipožární.</t>
  </si>
  <si>
    <t>1,65*3,05</t>
  </si>
  <si>
    <t>(0,55+0,415)*3,00</t>
  </si>
  <si>
    <t>(0,80+0,65)*3,00</t>
  </si>
  <si>
    <t>(1,15+0,85)*3,00</t>
  </si>
  <si>
    <t>(2*0,20+0,48)*3,00</t>
  </si>
  <si>
    <t>763121465.2</t>
  </si>
  <si>
    <t xml:space="preserve">SDK stěna předsazená tl 75 mm profil CW+UW 50 desky 2xH2 12,5 s izolací </t>
  </si>
  <si>
    <t>1567015090</t>
  </si>
  <si>
    <t>"-1.00.17</t>
  </si>
  <si>
    <t>1,975*2,65</t>
  </si>
  <si>
    <t>"-1.00.23b</t>
  </si>
  <si>
    <t>(2,50+1,80)*2,71</t>
  </si>
  <si>
    <t>2*1,00*3,35" I</t>
  </si>
  <si>
    <t>(0,95+0,20)*3,05" I</t>
  </si>
  <si>
    <t>1,20*3,00" I</t>
  </si>
  <si>
    <t>130</t>
  </si>
  <si>
    <t>763121551.1</t>
  </si>
  <si>
    <t>SDK stěna předsazená tl 75 mm profil CW(+UW) desky 2xDF 12,5 s izolací</t>
  </si>
  <si>
    <t>-814603188</t>
  </si>
  <si>
    <t>Půdorys 2.PP - obklad sloupů</t>
  </si>
  <si>
    <t>(4*0,55+3*0,55+0,55+0,65)*1,65</t>
  </si>
  <si>
    <t>19*0,30*3,05</t>
  </si>
  <si>
    <t>(1,40+1,00)*3,05</t>
  </si>
  <si>
    <t>(2*0,20+0,48)*3,05</t>
  </si>
  <si>
    <t>8*0,40*3,05</t>
  </si>
  <si>
    <t>(0,625+2*0,60)*3,05</t>
  </si>
  <si>
    <t>(1,20+1,70)*3,05</t>
  </si>
  <si>
    <t>(0,30+0,60)*3,05</t>
  </si>
  <si>
    <t>0,60*3,05</t>
  </si>
  <si>
    <t>16*0,30*3,05</t>
  </si>
  <si>
    <t>10*0,40*3,05</t>
  </si>
  <si>
    <t>(1,45+0,30)*3,05</t>
  </si>
  <si>
    <t>(0,30+0,60)*3,35</t>
  </si>
  <si>
    <t>9*0,325*3,35</t>
  </si>
  <si>
    <t>(0,15+0,80)*3,05" F</t>
  </si>
  <si>
    <t>8*0,325*3,05" F</t>
  </si>
  <si>
    <t>0,80*3,05</t>
  </si>
  <si>
    <t>8*0,325*3,05</t>
  </si>
  <si>
    <t>(0,25+1,20)*3,00</t>
  </si>
  <si>
    <t>(0,375+0,40)*3,00</t>
  </si>
  <si>
    <t>6*(2*0,80+0,35)*3,00</t>
  </si>
  <si>
    <t>763172322</t>
  </si>
  <si>
    <t>Montáž dvířek revizních jednoplášťových SDK kcí vel. 300x300 mm pro příčky a předsazené stěny</t>
  </si>
  <si>
    <t>973514895</t>
  </si>
  <si>
    <t>132</t>
  </si>
  <si>
    <t>763172352</t>
  </si>
  <si>
    <t>Montáž dvířek revizních jednoplášťových SDK kcí vel. 300 x 300 mm pro podhledy</t>
  </si>
  <si>
    <t>1040592128</t>
  </si>
  <si>
    <t>59030711</t>
  </si>
  <si>
    <t>dvířka revizní jednokřídlá s automatickým zámkem 300x300mm</t>
  </si>
  <si>
    <t>-1144796785</t>
  </si>
  <si>
    <t>134</t>
  </si>
  <si>
    <t>763431012</t>
  </si>
  <si>
    <t>Montáž minerálního podhledu s vyjímatelnými panely vel. přes 0,36 do 0,72 m2 na zavěšený polozapuštěný rošt</t>
  </si>
  <si>
    <t>-60455352</t>
  </si>
  <si>
    <t>320,64</t>
  </si>
  <si>
    <t>101,52</t>
  </si>
  <si>
    <t>111,54</t>
  </si>
  <si>
    <t>125,57</t>
  </si>
  <si>
    <t>114,3</t>
  </si>
  <si>
    <t>odečet ploch nad schodišťovými rameny a mezipodestami, které nebudou mít podhled (viz TM)</t>
  </si>
  <si>
    <t>-1.00.22</t>
  </si>
  <si>
    <t>-(2,1+4,5+1,5)*1,5</t>
  </si>
  <si>
    <t>1.00.06</t>
  </si>
  <si>
    <t>-(2*2,1+4,5)*1,5</t>
  </si>
  <si>
    <t>1.00.10</t>
  </si>
  <si>
    <t>-(2*3*1,2+2,6*1,55)</t>
  </si>
  <si>
    <t>2.00.01</t>
  </si>
  <si>
    <t>2.00.15</t>
  </si>
  <si>
    <t>3.00.01</t>
  </si>
  <si>
    <t>3.00.06</t>
  </si>
  <si>
    <t>4.00.01</t>
  </si>
  <si>
    <t>4.00.05</t>
  </si>
  <si>
    <t>5.00.01</t>
  </si>
  <si>
    <t>Čela podhledu C04</t>
  </si>
  <si>
    <t>4,50*2*0,40</t>
  </si>
  <si>
    <t>2,90*0,40</t>
  </si>
  <si>
    <t>1.00.14</t>
  </si>
  <si>
    <t>(4,40+3,80)*0,40</t>
  </si>
  <si>
    <t>C04 podhled</t>
  </si>
  <si>
    <t>4,50*3*0,40" osa 9-10</t>
  </si>
  <si>
    <t>2,90*2*0,40" vpravo od osy 11</t>
  </si>
  <si>
    <t>4,50*0,40" 5.00.01</t>
  </si>
  <si>
    <t>59030575.1</t>
  </si>
  <si>
    <t>C04 - podhled minerální s polozapuštěnou drážkou</t>
  </si>
  <si>
    <t>-92767538</t>
  </si>
  <si>
    <t>651,25*1,05 'Přepočtené koeficientem množství</t>
  </si>
  <si>
    <t>136</t>
  </si>
  <si>
    <t>998763303</t>
  </si>
  <si>
    <t>Přesun hmot tonážní pro konstrukce montované z desek v objektech v přes 12 do 24 m</t>
  </si>
  <si>
    <t>107860618</t>
  </si>
  <si>
    <t>771</t>
  </si>
  <si>
    <t>Podlahy z dlaždic</t>
  </si>
  <si>
    <t>140</t>
  </si>
  <si>
    <t>771111011</t>
  </si>
  <si>
    <t>Vysátí podkladu před pokládkou dlažby</t>
  </si>
  <si>
    <t>-1088003005</t>
  </si>
  <si>
    <t>A1sokl*0,10</t>
  </si>
  <si>
    <t>A1sokl_schody*0,10</t>
  </si>
  <si>
    <t>A5sokl*0,10</t>
  </si>
  <si>
    <t>771121011</t>
  </si>
  <si>
    <t>Nátěr penetrační na podlahu</t>
  </si>
  <si>
    <t>825385738</t>
  </si>
  <si>
    <t>771161021</t>
  </si>
  <si>
    <t>Montáž profilu ukončujícího pro plynulý přechod (dlažby s pvc apod.)</t>
  </si>
  <si>
    <t>858675266</t>
  </si>
  <si>
    <t>25*0,80</t>
  </si>
  <si>
    <t>30*0,80</t>
  </si>
  <si>
    <t>35*0,80</t>
  </si>
  <si>
    <t>220</t>
  </si>
  <si>
    <t>771161022</t>
  </si>
  <si>
    <t>Montáž profilu pro schodové hrany nebo ukončení dlažby</t>
  </si>
  <si>
    <t>1529252549</t>
  </si>
  <si>
    <t>dle dlažby stupnic</t>
  </si>
  <si>
    <t>222</t>
  </si>
  <si>
    <t>55343114.1</t>
  </si>
  <si>
    <t>ukončovací lišta hliníková výška 10 mm</t>
  </si>
  <si>
    <t>-1674540518</t>
  </si>
  <si>
    <t>Poznámka k položce:
Přesná specifikace viz tabulka podlah.</t>
  </si>
  <si>
    <t>432,4*1,1 'Přepočtené koeficientem množství</t>
  </si>
  <si>
    <t>771274113</t>
  </si>
  <si>
    <t>Montáž obkladů stupnic z dlaždic keramických hladkých lepených cementovým flexibilním lepidlem š přes 250 do 300 mm</t>
  </si>
  <si>
    <t>1907989181</t>
  </si>
  <si>
    <t>dlažba A1</t>
  </si>
  <si>
    <t>19*1,50</t>
  </si>
  <si>
    <t>21*1,50</t>
  </si>
  <si>
    <t>20*1,20</t>
  </si>
  <si>
    <t>22*1,20</t>
  </si>
  <si>
    <t>144</t>
  </si>
  <si>
    <t>771274232</t>
  </si>
  <si>
    <t>Montáž obkladů podstupnic z dlaždic keramických hladkých lepených cementovým flexibilním lepidlem v přes 150 do 200 mm</t>
  </si>
  <si>
    <t>-198226629</t>
  </si>
  <si>
    <t>771474113</t>
  </si>
  <si>
    <t>Montáž soklů z dlaždic keramických rovných lepených cementovým flexibilním lepidlem v přes 90 do 120 mm</t>
  </si>
  <si>
    <t>-1426435188</t>
  </si>
  <si>
    <t>Množství převzata z tabulky místností s uvedenými čistými obvody zón/místností vygenerovanými programem pro navrhování stavebních objektů.</t>
  </si>
  <si>
    <t>sokl dlažby A1 - obvody místností</t>
  </si>
  <si>
    <t>23,8" -1.00.05 chodba</t>
  </si>
  <si>
    <t>-1,00</t>
  </si>
  <si>
    <t>7,15" -1.00.07 tech. místnost</t>
  </si>
  <si>
    <t>-0,90</t>
  </si>
  <si>
    <t>18,75" -1.00.12 šatna</t>
  </si>
  <si>
    <t>-(0,7+0,9)</t>
  </si>
  <si>
    <t>101,74" -1.00.16 chodba</t>
  </si>
  <si>
    <t>-(0,9*9+0,8+1,6+1,4)</t>
  </si>
  <si>
    <t>27,7" -1.00.22 schodiště</t>
  </si>
  <si>
    <t>-1,6</t>
  </si>
  <si>
    <t>-(2*1,50+2,10)" sokl schodů - viz samostatná položka</t>
  </si>
  <si>
    <t>16,2" 1.00.02a chodba</t>
  </si>
  <si>
    <t xml:space="preserve"> -(0,8*2+1,25+1,2*2,18)</t>
  </si>
  <si>
    <t>72,9" 1.00.02b chodba</t>
  </si>
  <si>
    <t>-(0,9*2+0,8*5)</t>
  </si>
  <si>
    <t>20,15" 1.00.04 kuchyňka</t>
  </si>
  <si>
    <t>-0,8</t>
  </si>
  <si>
    <t>20,5" 1.00.06 schodiště</t>
  </si>
  <si>
    <t>-4,5</t>
  </si>
  <si>
    <t>-(1,50+2,10*2)" sokl schodů</t>
  </si>
  <si>
    <t>32,21" 1.00.07 chodba</t>
  </si>
  <si>
    <t>-1,4</t>
  </si>
  <si>
    <t>19,61" 1.00.10 schodiště</t>
  </si>
  <si>
    <t>-(3,00*2)" sokl schodů</t>
  </si>
  <si>
    <t>25,975" 2.00.01 schodiště</t>
  </si>
  <si>
    <t>-(0,8+0,9*2)</t>
  </si>
  <si>
    <t>15,4" 2.00.02a chodba</t>
  </si>
  <si>
    <t xml:space="preserve"> -(0,8*2+0,9*2+1,2)</t>
  </si>
  <si>
    <t>72,381" 2.00.02b chodba</t>
  </si>
  <si>
    <t>-(0,9*2+0,8*6)</t>
  </si>
  <si>
    <t>20,15" 2.00.04 kuchyňka</t>
  </si>
  <si>
    <t>15,66" 2.00.06 chodba</t>
  </si>
  <si>
    <t>-(0,7*2+1,4*2+0,8)</t>
  </si>
  <si>
    <t>19,41" 2.00.15 schodiště</t>
  </si>
  <si>
    <t>25,975" 3.00.01 schodiště</t>
  </si>
  <si>
    <t>-0,8+0,9*2</t>
  </si>
  <si>
    <t>15,4" 3.00.02a chodba</t>
  </si>
  <si>
    <t>72,381" 3.00.02b chodba</t>
  </si>
  <si>
    <t>20,15" 3.00.04 kuchyňka</t>
  </si>
  <si>
    <t>23,85" 3.00.06 schodiště</t>
  </si>
  <si>
    <t>-(0,8*2+1,4+0,9)</t>
  </si>
  <si>
    <t>9,75" 3.09.10 kuchyňka</t>
  </si>
  <si>
    <t>26,20" 4.00.01 schodiště</t>
  </si>
  <si>
    <t>15,4" 4.00.02a chodba</t>
  </si>
  <si>
    <t>72,381" 4.00.02b chodba</t>
  </si>
  <si>
    <t>20,15" 4.00.04 kuchyňka</t>
  </si>
  <si>
    <t>-0,80</t>
  </si>
  <si>
    <t>23,85" 4.00.05 schodiště</t>
  </si>
  <si>
    <t>-(0,9+1,4)</t>
  </si>
  <si>
    <t>12,2" 4.09.09 kuchyňka</t>
  </si>
  <si>
    <t>26,4" 5.00.01 schodiště</t>
  </si>
  <si>
    <t>16,09" 5.00.02a chodba</t>
  </si>
  <si>
    <t>-(0,8+0,9+1,2)</t>
  </si>
  <si>
    <t>72,59" 5.00.02b chodba</t>
  </si>
  <si>
    <t xml:space="preserve"> -(0,8*6+0,9*2)</t>
  </si>
  <si>
    <t>16,19" 5.00.02c chodba</t>
  </si>
  <si>
    <t>-0,9</t>
  </si>
  <si>
    <t>18,25" 5.00.04 kuchyňka</t>
  </si>
  <si>
    <t>sokl dlažby A2 - nevyskytuje se, v místnostech s dlažbou A2 je v celé ploše stěn proveden ker. obklad</t>
  </si>
  <si>
    <t>sokl dlažby A3 na lodžiích - viz část soupisu prací "Střecha"</t>
  </si>
  <si>
    <t>sokl dlažby A4 .. stávající, sokl bude vyčištěn, viz samostatná položka</t>
  </si>
  <si>
    <t>sokl dlažby A5 .. v rozsahu, ve kterém není proveden keramický obklad</t>
  </si>
  <si>
    <t>1,50" -1.00.13 předsíň</t>
  </si>
  <si>
    <t>-0,7</t>
  </si>
  <si>
    <t>5,75" -1.00.18 sušárna</t>
  </si>
  <si>
    <t>(5,57+2,40+0,775)" -1.00.20 prádelna</t>
  </si>
  <si>
    <t>(0,40+1,00+1,68+1,25)" 1.00.09 wc</t>
  </si>
  <si>
    <t>-0,7*3</t>
  </si>
  <si>
    <t>13,3" 1.00.11 technická místnost</t>
  </si>
  <si>
    <t>7,1" 2.00.03 slaboproudá rozvodna</t>
  </si>
  <si>
    <t>13,348" 2.00.05 úklidová místnost</t>
  </si>
  <si>
    <t>1,3" 2.00.08 předsíň</t>
  </si>
  <si>
    <t>1,00+0,40" 2.00.09 wc</t>
  </si>
  <si>
    <t>1,20+0,30" 2.00.11 předsíň</t>
  </si>
  <si>
    <t>0,40*2" 2.00.12 pisoár</t>
  </si>
  <si>
    <t>13,348" 3.00.05 technická místnost</t>
  </si>
  <si>
    <t>1,20" 3.00.07 úklidová místnost</t>
  </si>
  <si>
    <t>7,1" 4.00.03 slaboproudá rozvodna</t>
  </si>
  <si>
    <t>146</t>
  </si>
  <si>
    <t>59761175.A1</t>
  </si>
  <si>
    <t>A1 - sokl keramický mrazuvzdorný výška 9,5 cm (odpovídající dlažbě A1)</t>
  </si>
  <si>
    <t>1459164260</t>
  </si>
  <si>
    <t>854,627*1,1 'Přepočtené koeficientem množství</t>
  </si>
  <si>
    <t>59761175.A5</t>
  </si>
  <si>
    <t>A5 - sokl keramický mrazuvzdorný výška 9,5 cm (odpovídající dlažbě A5)</t>
  </si>
  <si>
    <t>858438668</t>
  </si>
  <si>
    <t>72,321*1,1 'Přepočtené koeficientem množství</t>
  </si>
  <si>
    <t>148</t>
  </si>
  <si>
    <t>771474122</t>
  </si>
  <si>
    <t>Montáž soklů z dlaždic keramických schodišťových šikmých lepených cementovým flexibilním lepidlem v přes 65 do 90 mm</t>
  </si>
  <si>
    <t>-1713773131</t>
  </si>
  <si>
    <t>2,50+2*1,80</t>
  </si>
  <si>
    <t>2*2,50+1,80</t>
  </si>
  <si>
    <t>2*3,80</t>
  </si>
  <si>
    <t>59761175.A1sch</t>
  </si>
  <si>
    <t>A1 - sokl keramický mrazuvzdorný schodiště (odpovídající dlažbě A1)</t>
  </si>
  <si>
    <t>-133467638</t>
  </si>
  <si>
    <t>70,5*1,1 'Přepočtené koeficientem množství</t>
  </si>
  <si>
    <t>150</t>
  </si>
  <si>
    <t>771574412</t>
  </si>
  <si>
    <t>Montáž podlah keramických hladkých lepených cementovým flexibilním lepidlem přes 0,5 do 2 ks/m2</t>
  </si>
  <si>
    <t>1295963078</t>
  </si>
  <si>
    <t>dlažba A1 (60x120 cm)</t>
  </si>
  <si>
    <t>Plocha dle tabulky místností - Výpočet množství viz samostatná tabulka v závěru soupisu prací</t>
  </si>
  <si>
    <t>900,49</t>
  </si>
  <si>
    <t>odečet plochy obkladu stupnic (viz samostatná položka)</t>
  </si>
  <si>
    <t>-dlazbaschodu*0,30</t>
  </si>
  <si>
    <t>59761147.1</t>
  </si>
  <si>
    <t>A1 - mrazuvzdorná a rektifikovaná dlažba v šedé barvě v betonovém designu o rozměru 60x120 cm a tloušťce 10 mm s matným povrchem, vysoce odolné proti opotřebení</t>
  </si>
  <si>
    <t>-1749237082</t>
  </si>
  <si>
    <t xml:space="preserve">obklad stupnic </t>
  </si>
  <si>
    <t>dlazbaschodu*0,30</t>
  </si>
  <si>
    <t xml:space="preserve">obklad podstupnic </t>
  </si>
  <si>
    <t>dlazbaschodu*0,165</t>
  </si>
  <si>
    <t>Pozn.: Podstpnice a stupnice prvního a posledního schodu bude provedena z dlažby odlišné barvy oproti ostatním schodům.</t>
  </si>
  <si>
    <t>947,416*1,15 'Přepočtené koeficientem množství</t>
  </si>
  <si>
    <t>152</t>
  </si>
  <si>
    <t>771574414</t>
  </si>
  <si>
    <t>Montáž podlah keramických hladkých lepených cementovým flexibilním lepidlem přes 4 do 6 ks/m2</t>
  </si>
  <si>
    <t>780762115</t>
  </si>
  <si>
    <t>Dlažba A2</t>
  </si>
  <si>
    <t>Dlažba A5</t>
  </si>
  <si>
    <t>59761155.1</t>
  </si>
  <si>
    <t>A2 - mrazuvzdorná a rektifikovaná dlažba v bílošedé barvě v betonovém designu o rozměru 30x60 cm a tloušťce 10 mm s matným povrchem. protiskluznost R11/B, vysoce odolné proti opotřebení</t>
  </si>
  <si>
    <t>-1109206401</t>
  </si>
  <si>
    <t>160,24*1,1 'Přepočtené koeficientem množství</t>
  </si>
  <si>
    <t>154</t>
  </si>
  <si>
    <t>59761101.1</t>
  </si>
  <si>
    <t>A5 - mrazuvzdorná a rektifikovaná dlažba v šedé barvě v betonovém designu o rozměru 30x60 cm a tloušťce 10 mm s matným povrchem, protiskluznost R11/B, vysoce odolné proti opotřebení</t>
  </si>
  <si>
    <t>-1801365782</t>
  </si>
  <si>
    <t>84,35*1,1 'Přepočtené koeficientem množství</t>
  </si>
  <si>
    <t>771591112</t>
  </si>
  <si>
    <t>Izolace pod dlažbu nátěrem nebo stěrkou ve dvou vrstvách</t>
  </si>
  <si>
    <t>2133469478</t>
  </si>
  <si>
    <t>Izolace proti vlhkosti - stěrka CM podle ČSN EN 14891</t>
  </si>
  <si>
    <t>S04 (pouze místnosti s vodovodními výtokovými armaturami)</t>
  </si>
  <si>
    <t>3,87" -1.00.11 bezbariérové wc</t>
  </si>
  <si>
    <t>1,26" -1.00.14 wc</t>
  </si>
  <si>
    <t>1,26" -1.00.15 sprcha</t>
  </si>
  <si>
    <t>3,26" -1.00.17 úklid</t>
  </si>
  <si>
    <t>12,3" -1.00.20 prádelna</t>
  </si>
  <si>
    <t>156</t>
  </si>
  <si>
    <t>771591221</t>
  </si>
  <si>
    <t>Izolace podlah fólií celoplošně lepená</t>
  </si>
  <si>
    <t>-1505490318</t>
  </si>
  <si>
    <t>Skladba S06 vč. vytažení na svislé kce</t>
  </si>
  <si>
    <t>(7+3*9)*2,75*(1,25+0,30*2)</t>
  </si>
  <si>
    <t>(5,53+5,50*6+2,64+2,61)*(0,80+0,30*2)</t>
  </si>
  <si>
    <t>Pozn.: Dodávka fólie je součástí této položky.</t>
  </si>
  <si>
    <t>771591241</t>
  </si>
  <si>
    <t>Izolace těsnícími pásy vnitřní kout</t>
  </si>
  <si>
    <t>1466711268</t>
  </si>
  <si>
    <t>100</t>
  </si>
  <si>
    <t>90</t>
  </si>
  <si>
    <t>158</t>
  </si>
  <si>
    <t>771591242</t>
  </si>
  <si>
    <t>Izolace těsnícími pásy vnější roh</t>
  </si>
  <si>
    <t>-1041299877</t>
  </si>
  <si>
    <t>771591251</t>
  </si>
  <si>
    <t>Izolace těsnící manžetou pro prostupy potrubí</t>
  </si>
  <si>
    <t>1138674869</t>
  </si>
  <si>
    <t>160</t>
  </si>
  <si>
    <t>998771103</t>
  </si>
  <si>
    <t>Přesun hmot tonážní pro podlahy z dlaždic v objektech v přes 12 do 24 m</t>
  </si>
  <si>
    <t>2060364674</t>
  </si>
  <si>
    <t>772</t>
  </si>
  <si>
    <t>Podlahy z kamene</t>
  </si>
  <si>
    <t>772523932</t>
  </si>
  <si>
    <t>Výměna pravoúhlé desky v dlažbě z tvrdých kamenů do 10 ks/m2 do lepidla tl přes 30 do 50 mm</t>
  </si>
  <si>
    <t>-2112115726</t>
  </si>
  <si>
    <t>mramorová dlažba A4</t>
  </si>
  <si>
    <t>20" 1.00.14 spojovací krček</t>
  </si>
  <si>
    <t>10" 1.00.01 hala</t>
  </si>
  <si>
    <t>162</t>
  </si>
  <si>
    <t>58384617.1</t>
  </si>
  <si>
    <t>deska dlažební mramorová (typ dle stávající dlažby)</t>
  </si>
  <si>
    <t>-1571436048</t>
  </si>
  <si>
    <t>velikost dle stávající dlažby, pro výpočet uvažována 40x60 cm</t>
  </si>
  <si>
    <t>30*0,40*0,60</t>
  </si>
  <si>
    <t>772524913</t>
  </si>
  <si>
    <t>Oprava kamenné dlažby opravným tmelem vyspravovaná plocha přes 5 do 10 cm2</t>
  </si>
  <si>
    <t>-109324731</t>
  </si>
  <si>
    <t>164</t>
  </si>
  <si>
    <t>772524931</t>
  </si>
  <si>
    <t>Oprava spárování kamenné dlažby spárovací hmotou spára hl do 50 mm dl do 9 ks/m2</t>
  </si>
  <si>
    <t>1143203452</t>
  </si>
  <si>
    <t>772591911</t>
  </si>
  <si>
    <t>Dlažby z kamene oprava - očištění dlažby z kamene zametením</t>
  </si>
  <si>
    <t>1809422800</t>
  </si>
  <si>
    <t>84,35" 1.00.14 spojovací krček</t>
  </si>
  <si>
    <t>podstupnice</t>
  </si>
  <si>
    <t>3,25*0,16*13</t>
  </si>
  <si>
    <t>48,62" 1.00.01 hala</t>
  </si>
  <si>
    <t xml:space="preserve">sokl </t>
  </si>
  <si>
    <t>1.00.14 spojovací krček</t>
  </si>
  <si>
    <t>(20,00+0,20+0,70+1,10+0,30+4*0,025+0,43+0,75+0,72+1,42)*0,10</t>
  </si>
  <si>
    <t>1.00.01 hala</t>
  </si>
  <si>
    <t>(28,65-1,00-4,50-1,50*2-4,40)*0,10</t>
  </si>
  <si>
    <t>166</t>
  </si>
  <si>
    <t>772591912</t>
  </si>
  <si>
    <t>Dlažby z kamene oprava - očištění dlažby z kamene vysátím</t>
  </si>
  <si>
    <t>1258997190</t>
  </si>
  <si>
    <t>772591915</t>
  </si>
  <si>
    <t>Dlažby z kamene oprava - očištění dlažby z kamene ocelovými kartáči</t>
  </si>
  <si>
    <t>1499162689</t>
  </si>
  <si>
    <t>168</t>
  </si>
  <si>
    <t>772591922</t>
  </si>
  <si>
    <t>Dlažby z kamene oprava - nátěr impregnační a zpevňující</t>
  </si>
  <si>
    <t>665577131</t>
  </si>
  <si>
    <t>998772101</t>
  </si>
  <si>
    <t>Přesun hmot tonážní pro podlahy z kamene v objektech v do 6 m</t>
  </si>
  <si>
    <t>-1124891121</t>
  </si>
  <si>
    <t>776</t>
  </si>
  <si>
    <t>Podlahy povlakové</t>
  </si>
  <si>
    <t>170</t>
  </si>
  <si>
    <t>776111311</t>
  </si>
  <si>
    <t>Vysátí podkladu povlakových podlah</t>
  </si>
  <si>
    <t>-1724707581</t>
  </si>
  <si>
    <t>776121112</t>
  </si>
  <si>
    <t>Vodou ředitelná penetrace savého podkladu povlakových podlah</t>
  </si>
  <si>
    <t>-1325735916</t>
  </si>
  <si>
    <t>B1sokl*0,058</t>
  </si>
  <si>
    <t>B2sokl*0,058</t>
  </si>
  <si>
    <t>172</t>
  </si>
  <si>
    <t>776221111</t>
  </si>
  <si>
    <t>Lepení pásů z PVC standardním lepidlem</t>
  </si>
  <si>
    <t>-1684091540</t>
  </si>
  <si>
    <t>Pvc B1</t>
  </si>
  <si>
    <t>Pvc B2</t>
  </si>
  <si>
    <t>28411013.1</t>
  </si>
  <si>
    <t>B1 - heterogenní PVC, tloušťka: 2 mm, tloušťka nášlapné vrstvy: 0,7 mm, hodnota LRV 27%. R10, v rolích, barevnost vybrána na vzorku a definována v interiérové části</t>
  </si>
  <si>
    <t>384653567</t>
  </si>
  <si>
    <t>pásek pvc pro vložení do soklové lišty</t>
  </si>
  <si>
    <t>295,31*1,1 'Přepočtené koeficientem množství</t>
  </si>
  <si>
    <t>174</t>
  </si>
  <si>
    <t>28411013.2</t>
  </si>
  <si>
    <t>B2 - heterogenní PVC, tloušťka: 2 mm, tloušťka nášlapné vrstvy: 0,7 mm, hodnota LRV 27%. R10, v rolích, barevnost vybrána na vzorku a definována v interiérové části</t>
  </si>
  <si>
    <t>-936460872</t>
  </si>
  <si>
    <t>1646,699*1,1 'Přepočtené koeficientem množství</t>
  </si>
  <si>
    <t>776421111</t>
  </si>
  <si>
    <t>Montáž obvodových lišt lepením</t>
  </si>
  <si>
    <t>1537607366</t>
  </si>
  <si>
    <t>sokl pvc B1</t>
  </si>
  <si>
    <t>34,6" -1.00.02 místnost pro spolky</t>
  </si>
  <si>
    <t>24,15" -1.00.08 zkušebna</t>
  </si>
  <si>
    <t>28,25" 1.00.05 herna</t>
  </si>
  <si>
    <t>19,8" 1.00.08 kancelář kolejná</t>
  </si>
  <si>
    <t>29,52" 1.00.12 studovna</t>
  </si>
  <si>
    <t>42,55" 2.00.07 společenská místnost</t>
  </si>
  <si>
    <t>-(1,4+0,8)</t>
  </si>
  <si>
    <t>15,15" 2.00.14 sklad</t>
  </si>
  <si>
    <t>sokl pvc B2</t>
  </si>
  <si>
    <t>8,9" 1.01.01 předsíň buňky</t>
  </si>
  <si>
    <t>-(0,7*2+0,8*3)</t>
  </si>
  <si>
    <t>15,2" 1.01.02 pokoj</t>
  </si>
  <si>
    <t>15,2" 1.01.03 pokoj</t>
  </si>
  <si>
    <t>8,66" 1.02.01 předsíň buňky</t>
  </si>
  <si>
    <t>15,2" 1.02.02 pokoj</t>
  </si>
  <si>
    <t>15,2" 1.02.03 pokoj</t>
  </si>
  <si>
    <t>15,06" 1.03.01 předsíň buňky</t>
  </si>
  <si>
    <t>15,2" 1.03.02 pokoj</t>
  </si>
  <si>
    <t>15,2" 1.03.03 pokoj</t>
  </si>
  <si>
    <t>15,2" 1.03.04 pokoj</t>
  </si>
  <si>
    <t>9,41" 1.04.01 předsíň buňky</t>
  </si>
  <si>
    <t>16,4" 1.04.02 pokoj</t>
  </si>
  <si>
    <t>15,2" 1.04.03 pokoj</t>
  </si>
  <si>
    <t>9,75" 1.05.01 předsíň buňky</t>
  </si>
  <si>
    <t>15,2" 1.05.02 pokoj</t>
  </si>
  <si>
    <t>14,65" 1.05.03 pokoj</t>
  </si>
  <si>
    <t>19,1" 1.06.01 předsíň buňky</t>
  </si>
  <si>
    <t>15,9" 1.06.02 pokoj</t>
  </si>
  <si>
    <t>15,2" 1.06.03 pokoj</t>
  </si>
  <si>
    <t>15,8" 1.06.04 pokoj</t>
  </si>
  <si>
    <t>12,65" 2.01.01 předsíň buňky</t>
  </si>
  <si>
    <t>-(0,8+0,9*3)</t>
  </si>
  <si>
    <t>18,56" 2.01.02 bezbariérový pokoj</t>
  </si>
  <si>
    <t>15" 2.01.03 pokoj</t>
  </si>
  <si>
    <t>9,26" 2.02.01 předsíň buňky</t>
  </si>
  <si>
    <t>15,2" 2.02.02 pokoj</t>
  </si>
  <si>
    <t>15,2" 2.02.03 pokoj</t>
  </si>
  <si>
    <t>8,66" 2.03.01 předsíň buňky</t>
  </si>
  <si>
    <t>15,2" 2.03.02 pokoj</t>
  </si>
  <si>
    <t>15,2" 2.03.03 pokoj</t>
  </si>
  <si>
    <t>8,66" 2.04.01 předsíň buňky</t>
  </si>
  <si>
    <t>15,2" 2.04.02 pokoj</t>
  </si>
  <si>
    <t>15,2" 2.04.03 pokoj</t>
  </si>
  <si>
    <t>14,9" 2.05.01 předsíň buňky</t>
  </si>
  <si>
    <t>15,2" 2.05.02 pokoj</t>
  </si>
  <si>
    <t>15,2" 2.05.03 pokoj</t>
  </si>
  <si>
    <t>15,2" 2.05.04 pokoj</t>
  </si>
  <si>
    <t>9,41" 2.06.01 předsíň buňky</t>
  </si>
  <si>
    <t>16,4" 2.06.02 pokoj</t>
  </si>
  <si>
    <t>15,2" 2.06.03 pokoj</t>
  </si>
  <si>
    <t>9,75" 2.07.01 předsíň buňky</t>
  </si>
  <si>
    <t>15,2" 2.07.02 pokoj</t>
  </si>
  <si>
    <t>14,65" 2.07.03 pokoj</t>
  </si>
  <si>
    <t>19,1" 2.08.01 předsíň buňky</t>
  </si>
  <si>
    <t>-(0,7*2+0,8*4)</t>
  </si>
  <si>
    <t>15,9" 2.08.02 pokoj</t>
  </si>
  <si>
    <t>15,2" 2.08.03 pokoj</t>
  </si>
  <si>
    <t>15,8" 2.08.04 pokoj</t>
  </si>
  <si>
    <t>12,65" 3.01.01 předsíň buňky</t>
  </si>
  <si>
    <t>18,56" 3.01.02 bezbariérový pokoj</t>
  </si>
  <si>
    <t>15" 3.01.03 pokoj</t>
  </si>
  <si>
    <t>9,26" 3.02.01 předsíň buňky</t>
  </si>
  <si>
    <t>15,2" 3.02.02 pokoj</t>
  </si>
  <si>
    <t>15,2" 3.02.03 pokoj</t>
  </si>
  <si>
    <t>8,66" 3.03.01 předsíň buňky</t>
  </si>
  <si>
    <t>15,2" 3.03.02 pokoj</t>
  </si>
  <si>
    <t>15,2" 3.03.03 pokoj</t>
  </si>
  <si>
    <t>8,66" 3.04.01 předsíň buňky</t>
  </si>
  <si>
    <t>15,2" 3.04.02 pokoj</t>
  </si>
  <si>
    <t>15,2" 3.04.03 pokoj</t>
  </si>
  <si>
    <t>14,66" 3.05.01 předsíň buňky</t>
  </si>
  <si>
    <t>15,2" 3.05.02 pokoj</t>
  </si>
  <si>
    <t>15,2" 3.05.03 pokoj</t>
  </si>
  <si>
    <t>15,2" 3.05.04 pokoj</t>
  </si>
  <si>
    <t>9,41" 3.06.01 předsíň buňky</t>
  </si>
  <si>
    <t>16,4" 3.06.02 pokoj</t>
  </si>
  <si>
    <t>15,2" 3.06.03 pokoj</t>
  </si>
  <si>
    <t>9,75" 3.07.01 předsíň buňky</t>
  </si>
  <si>
    <t>15,2" 3.07.02 pokoj</t>
  </si>
  <si>
    <t>14,65" 3.07.03 pokoj</t>
  </si>
  <si>
    <t>19,1" 3.08.01 předsíň buňky</t>
  </si>
  <si>
    <t>15,9" 3.08.02 pokoj</t>
  </si>
  <si>
    <t>15,2" 3.08.03 pokoj</t>
  </si>
  <si>
    <t>15,8" 3.08.04 pokoj</t>
  </si>
  <si>
    <t>28,86" 3.09.01 předsíň buňky</t>
  </si>
  <si>
    <t>-(3*0,7+6*0,8)</t>
  </si>
  <si>
    <t>15,55" 3.09.02 pokoj</t>
  </si>
  <si>
    <t>15,961" 3.09.03 pokoj</t>
  </si>
  <si>
    <t>16,75" 3.09.04 pokoj</t>
  </si>
  <si>
    <t>16,35" 3.09.05 pokoj</t>
  </si>
  <si>
    <t>18,4" 3.09.06 pokoj</t>
  </si>
  <si>
    <t>12,65" 4.01.01 předsíň buňky</t>
  </si>
  <si>
    <t>18,56" 4.01.02 bezbariérový pokoj</t>
  </si>
  <si>
    <t>15" 4.01.03 pokoj</t>
  </si>
  <si>
    <t>9,26" 4.02.01 předsíň buňky</t>
  </si>
  <si>
    <t>15,2" 4.02.02 pokoj</t>
  </si>
  <si>
    <t>15,2" 4.02.03 pokoj</t>
  </si>
  <si>
    <t>8,66" 4.03.01 předsíň buňky</t>
  </si>
  <si>
    <t>15,2" 4.03.02 pokoj</t>
  </si>
  <si>
    <t>15,2" 4.03.03 pokoj</t>
  </si>
  <si>
    <t>8,66" 4.04.01 předsíň buňky</t>
  </si>
  <si>
    <t>15,2" 4.04.02 pokoj</t>
  </si>
  <si>
    <t>15,2" 4.04.03 pokoj</t>
  </si>
  <si>
    <t>14,9" 4.05.01 předsíň buňky</t>
  </si>
  <si>
    <t>15,2" 4.05.02 pokoj</t>
  </si>
  <si>
    <t>15,2" 4.05.03 pokoj</t>
  </si>
  <si>
    <t>15,2" 4.05.04 pokoj</t>
  </si>
  <si>
    <t>9,41" 4.06.01 předsíň buňky</t>
  </si>
  <si>
    <t>16,4" 4.06.02 pokoj</t>
  </si>
  <si>
    <t>15,2" 4.06.03 pokoj</t>
  </si>
  <si>
    <t>9,75" 4.07.01 předsíň buňky</t>
  </si>
  <si>
    <t>15,2" 4.07.02 pokoj</t>
  </si>
  <si>
    <t>14,65" 4.07.03 pokoj</t>
  </si>
  <si>
    <t>19,1" 4.08.01 předsíň buňky</t>
  </si>
  <si>
    <t>15,9" 4.08.02 pokoj</t>
  </si>
  <si>
    <t>15,2" 4.08.03 pokoj</t>
  </si>
  <si>
    <t>15,8" 4.08.04 pokoj</t>
  </si>
  <si>
    <t>29,11" 4.09.01 předsíň buňky</t>
  </si>
  <si>
    <t>-(1,4+0,7+0,8*3+0,9*4)</t>
  </si>
  <si>
    <t>16,85" 4.09.02 bezbariérový pokoj</t>
  </si>
  <si>
    <t>12,55" 4.09.03 pokoj</t>
  </si>
  <si>
    <t>17,45" 4.09.04 bezbariérový pokoj</t>
  </si>
  <si>
    <t>16,75" 4.09.05 pokoj</t>
  </si>
  <si>
    <t>15,95" 4.09.06 pokoj</t>
  </si>
  <si>
    <t>9,61" 5.01.01 předsíň buňky</t>
  </si>
  <si>
    <t>16,35" 5.01.02 pokoj</t>
  </si>
  <si>
    <t>15,339" 5.01.03 pokoj</t>
  </si>
  <si>
    <t>9,175" 5.02.01 předsíň buňky</t>
  </si>
  <si>
    <t>15,24" 5.02.02 pokoj</t>
  </si>
  <si>
    <t>15,241" 5.02.03 pokoj</t>
  </si>
  <si>
    <t>8,66" 5.03.01 předsíň buňky</t>
  </si>
  <si>
    <t>15,24" 5.03.02 pokoj</t>
  </si>
  <si>
    <t>15,24" 5.03.03 pokoj</t>
  </si>
  <si>
    <t>8,66" 5.04.01 předsíň buňky</t>
  </si>
  <si>
    <t>15,24" 5.04.02 pokoj</t>
  </si>
  <si>
    <t>15,24" 5.04.03 pokoj</t>
  </si>
  <si>
    <t>15,06" 5.05.01 předsíň buňky</t>
  </si>
  <si>
    <t>15,24" 5.05.02 pokoj</t>
  </si>
  <si>
    <t>15,24" 5.05.03 pokoj</t>
  </si>
  <si>
    <t>15,351" 5.05.04 pokoj</t>
  </si>
  <si>
    <t>9,41" 5.06.01 předsíň buňky</t>
  </si>
  <si>
    <t>15,24" 5.06.02 pokoj</t>
  </si>
  <si>
    <t>16,4" 5.06.03 pokoj</t>
  </si>
  <si>
    <t>9,09" 5.07.01 předsíň buňky</t>
  </si>
  <si>
    <t>15,5" 5.07.02 pokoj</t>
  </si>
  <si>
    <t>15,28" 5.07.03 pokoj</t>
  </si>
  <si>
    <t>176</t>
  </si>
  <si>
    <t>28411009.1</t>
  </si>
  <si>
    <t>soklová lišta - nalepovací, stříbrná, výška 58 mm, pro vložení pásků PVC</t>
  </si>
  <si>
    <t>914044701</t>
  </si>
  <si>
    <t>1873,78700000001*1,1 'Přepočtené koeficientem množství</t>
  </si>
  <si>
    <t>776421711</t>
  </si>
  <si>
    <t>Vložení nařezaných pásků z podlahoviny do lišt</t>
  </si>
  <si>
    <t>-2066946338</t>
  </si>
  <si>
    <t>178</t>
  </si>
  <si>
    <t>776551111</t>
  </si>
  <si>
    <t>Lepení pásů z přírodního linolea (marmolea) na stěnu výšky do 2,0 m</t>
  </si>
  <si>
    <t>1491037510</t>
  </si>
  <si>
    <t>Obklad OB3 (viz D.1.1.30.1 - Tabulky a skladby)</t>
  </si>
  <si>
    <t>60756141.1</t>
  </si>
  <si>
    <t>OB3 - lepené nástěnkové linoleum, antibakteriální vlastnosti</t>
  </si>
  <si>
    <t>-469379582</t>
  </si>
  <si>
    <t>17,87*1,1 'Přepočtené koeficientem množství</t>
  </si>
  <si>
    <t>180</t>
  </si>
  <si>
    <t>998776103</t>
  </si>
  <si>
    <t>Přesun hmot tonážní pro podlahy povlakové v objektech v přes 12 do 24 m</t>
  </si>
  <si>
    <t>1526975789</t>
  </si>
  <si>
    <t>777</t>
  </si>
  <si>
    <t>Podlahy lité</t>
  </si>
  <si>
    <t>777111111</t>
  </si>
  <si>
    <t>Vysátí podkladu před provedením lité podlahy</t>
  </si>
  <si>
    <t>-425956740</t>
  </si>
  <si>
    <t>182</t>
  </si>
  <si>
    <t>777131105</t>
  </si>
  <si>
    <t>Penetrační epoxidový nátěr podlahy na podklad z čerstvého betonu</t>
  </si>
  <si>
    <t>1310895738</t>
  </si>
  <si>
    <t>777612103</t>
  </si>
  <si>
    <t>Uzavírací epoxidový nátěr podlahy</t>
  </si>
  <si>
    <t>-1125809851</t>
  </si>
  <si>
    <t>vytažení na sokl stěn do v. 60 mm</t>
  </si>
  <si>
    <t>25,75*0,06" -1.00.01 sklad</t>
  </si>
  <si>
    <t>-0,9*0,06</t>
  </si>
  <si>
    <t>17,2*0,06" -1.00.03 sklad</t>
  </si>
  <si>
    <t>19,7*0,06" -1.00.04 sklad</t>
  </si>
  <si>
    <t>39,05*0,06" -1.00.09 posilovna</t>
  </si>
  <si>
    <t>-1,4*0,06</t>
  </si>
  <si>
    <t>8,7*0,06" -1.00.19 technická místnost</t>
  </si>
  <si>
    <t>Dle TM u místností se skladbou C1: na podlahu se použije uzavíratelný epox. nátěr</t>
  </si>
  <si>
    <t>-2.00.01</t>
  </si>
  <si>
    <t>6,62</t>
  </si>
  <si>
    <t>-2.00.02</t>
  </si>
  <si>
    <t>13,76</t>
  </si>
  <si>
    <t>-1.00.06</t>
  </si>
  <si>
    <t>11,83</t>
  </si>
  <si>
    <t>-1.00.10</t>
  </si>
  <si>
    <t>3,72</t>
  </si>
  <si>
    <t>-1.00.21</t>
  </si>
  <si>
    <t>63,37</t>
  </si>
  <si>
    <t>-1.00.23a</t>
  </si>
  <si>
    <t>35,92</t>
  </si>
  <si>
    <t>-1.00.24</t>
  </si>
  <si>
    <t>21,42</t>
  </si>
  <si>
    <t>-1.00.25</t>
  </si>
  <si>
    <t>25,8</t>
  </si>
  <si>
    <t>-1.00.27</t>
  </si>
  <si>
    <t>17,38</t>
  </si>
  <si>
    <t>-1.00.28</t>
  </si>
  <si>
    <t>21,64</t>
  </si>
  <si>
    <t>5.00.07</t>
  </si>
  <si>
    <t>11,31</t>
  </si>
  <si>
    <t>184</t>
  </si>
  <si>
    <t>777911111</t>
  </si>
  <si>
    <t>Tuhé napojení lité podlahy na stěnu nebo sokl</t>
  </si>
  <si>
    <t>13800288</t>
  </si>
  <si>
    <t>C2_sokl/0,06</t>
  </si>
  <si>
    <t>777991903</t>
  </si>
  <si>
    <t>Hloubkové čištění litých podlah</t>
  </si>
  <si>
    <t>2101032644</t>
  </si>
  <si>
    <t>očištění stávající podlahy</t>
  </si>
  <si>
    <t>očištění ostatních drobných ploch (např. soklu)</t>
  </si>
  <si>
    <t>15,00</t>
  </si>
  <si>
    <t>186</t>
  </si>
  <si>
    <t>777991905</t>
  </si>
  <si>
    <t>Ošetření lité podlahy ochrannou emulzí včetně přeleštění</t>
  </si>
  <si>
    <t>742399664</t>
  </si>
  <si>
    <t>ošetření ostatních drobných ploch (např. soklu)</t>
  </si>
  <si>
    <t>998777101</t>
  </si>
  <si>
    <t>Přesun hmot tonážní pro podlahy lité v objektech v do 6 m</t>
  </si>
  <si>
    <t>-523053875</t>
  </si>
  <si>
    <t>781</t>
  </si>
  <si>
    <t>Dokončovací práce - obklady</t>
  </si>
  <si>
    <t>188</t>
  </si>
  <si>
    <t>781111011</t>
  </si>
  <si>
    <t>Ometení (oprášení) stěny při přípravě podkladu</t>
  </si>
  <si>
    <t>-1894547464</t>
  </si>
  <si>
    <t>pro provedení obkladů</t>
  </si>
  <si>
    <t>pro provedení omítek</t>
  </si>
  <si>
    <t>781121011</t>
  </si>
  <si>
    <t>Nátěr penetrační na stěnu</t>
  </si>
  <si>
    <t>-401801785</t>
  </si>
  <si>
    <t>190</t>
  </si>
  <si>
    <t>781131112</t>
  </si>
  <si>
    <t>Izolace pod obklad nátěrem nebo stěrkou ve dvou vrstvách</t>
  </si>
  <si>
    <t>1692998784</t>
  </si>
  <si>
    <t xml:space="preserve">Výpočet: Ve sprchách hydroizolační stěrka natažena do výšky 2,2 m za WC, umyvadla, výlevku apod. do výšky 1,0 m, ostatní stěny do výšky 0,3 m. </t>
  </si>
  <si>
    <t>sprchy</t>
  </si>
  <si>
    <t>-1.00.15</t>
  </si>
  <si>
    <t>(1,40+0,90)*2*2,20</t>
  </si>
  <si>
    <t>1,00*2*2,20</t>
  </si>
  <si>
    <t>za zařizovacími předměty</t>
  </si>
  <si>
    <t>7*1,00*1,00</t>
  </si>
  <si>
    <t>sprchy dle m.1.06.06</t>
  </si>
  <si>
    <t>6*(2*1,00+1,20)*2,20</t>
  </si>
  <si>
    <t>za zařizovacími předměty vč. dřezu</t>
  </si>
  <si>
    <t>20*1,00*1,00</t>
  </si>
  <si>
    <t xml:space="preserve">sprchy </t>
  </si>
  <si>
    <t>7*(2*1,00+1,20)*2,20</t>
  </si>
  <si>
    <t>(1,00+1,20)*2,20" 2.01.04</t>
  </si>
  <si>
    <t>31*1,00*1,00</t>
  </si>
  <si>
    <t>(1,00+1,20)*2,20" 3.01.04</t>
  </si>
  <si>
    <t>(2,05+2,15*2)*2,20" 3.09.07</t>
  </si>
  <si>
    <t>33*1,00*1,00</t>
  </si>
  <si>
    <t>(1,00+1,20)*2,20" 4.01.04</t>
  </si>
  <si>
    <t>2*1,30*2*2,20" 4.09.07-8</t>
  </si>
  <si>
    <t>29*1,00*1,00</t>
  </si>
  <si>
    <t>7*(2*1,00+1,33)*2,20</t>
  </si>
  <si>
    <t>22*1,00*1,00</t>
  </si>
  <si>
    <t>Vytažení na stěny do výše 30 cm v místnostech, ve kterých bude provedena hydroizolační stěrka podlahy</t>
  </si>
  <si>
    <t>Výpočet délky vytažení na stěny (bm)</t>
  </si>
  <si>
    <t>na stěny místností se skladbou S02</t>
  </si>
  <si>
    <t>6,7" 1.00.03 úklidová místnost</t>
  </si>
  <si>
    <t>10,06" 1.00.09 wc</t>
  </si>
  <si>
    <t>-0,7*2</t>
  </si>
  <si>
    <t>6,26" 1.01.04 koupelna</t>
  </si>
  <si>
    <t>-0,70</t>
  </si>
  <si>
    <t>4,34" 1.01.05 wc</t>
  </si>
  <si>
    <t>6,26" 1.02.04 koupelna</t>
  </si>
  <si>
    <t>4,34" 1.02.05 wc</t>
  </si>
  <si>
    <t>4,34" 1.03.05 wc</t>
  </si>
  <si>
    <t>5,89" 1.03.06 koupelna</t>
  </si>
  <si>
    <t>6,26" 1.04.04 koupelna</t>
  </si>
  <si>
    <t>4,34" 1.04.05 wc</t>
  </si>
  <si>
    <t>6,26" 1.05.04 koupelna</t>
  </si>
  <si>
    <t>4,71" 1.05.05 wc</t>
  </si>
  <si>
    <t>5,4" 1.06.05 wc</t>
  </si>
  <si>
    <t>6,45" 1.06.06 koupelna</t>
  </si>
  <si>
    <t>5,3" 2.00.08 předsíň</t>
  </si>
  <si>
    <t>5,06" 2.00.09 wc</t>
  </si>
  <si>
    <t>4,9" 2.00.10 úklidová místnost</t>
  </si>
  <si>
    <t>4,8" 2.00.11 předsíň</t>
  </si>
  <si>
    <t>4,4" 2.00.12 pisoár</t>
  </si>
  <si>
    <t>4,06" 2.00.13 wc</t>
  </si>
  <si>
    <t>10,86" 2.01.04 bezbariérová koupelna</t>
  </si>
  <si>
    <t>6,26" 2.02.04 koupelna</t>
  </si>
  <si>
    <t>4,34" 2.02.05 wc</t>
  </si>
  <si>
    <t>6,26" 2.03.04 koupelna</t>
  </si>
  <si>
    <t>4,34" 2.03.05 wc</t>
  </si>
  <si>
    <t>6,26" 2.04.04 koupelna</t>
  </si>
  <si>
    <t>4,34" 2.04.05 wc</t>
  </si>
  <si>
    <t>4,34" 2.05.05 wc</t>
  </si>
  <si>
    <t>5,89" 2.05.06 koupelna</t>
  </si>
  <si>
    <t>6,26" 2.06.04 koupelna</t>
  </si>
  <si>
    <t>4,34" 2.06.05 wc</t>
  </si>
  <si>
    <t>6,26" 2.07.04 koupelna</t>
  </si>
  <si>
    <t>4,71" 2.07.05 wc</t>
  </si>
  <si>
    <t>5,4" 2.08.05 wc</t>
  </si>
  <si>
    <t>6,45" 2.08.06 koupelna</t>
  </si>
  <si>
    <t>6,7" 3.00.03 úklidová místnost</t>
  </si>
  <si>
    <t>6,06" 3.00.07 úklidová místnost</t>
  </si>
  <si>
    <t>10,86" 3.01.04 bezbariérová koupelna</t>
  </si>
  <si>
    <t>6,26" 3.02.04 koupelna</t>
  </si>
  <si>
    <t>4,34" 3.02.05 wc</t>
  </si>
  <si>
    <t>6,26" 3.03.04 koupelna</t>
  </si>
  <si>
    <t>4,34" 3.03.05 wc</t>
  </si>
  <si>
    <t>6,26" 3.04.04 koupelna</t>
  </si>
  <si>
    <t>4,34" 3.04.05 wc</t>
  </si>
  <si>
    <t>4,34" 3.05.05 wc</t>
  </si>
  <si>
    <t>5,89" 3.05.06 koupelna</t>
  </si>
  <si>
    <t>6,26" 3.06.04 koupelna</t>
  </si>
  <si>
    <t>4,34" 3.06.05 wc</t>
  </si>
  <si>
    <t>6,26" 3.07.04 koupelna</t>
  </si>
  <si>
    <t>4,71" 3.07.05 wc</t>
  </si>
  <si>
    <t>5,4" 3.08.05 wc</t>
  </si>
  <si>
    <t>6,45" 3.08.06 koupelna</t>
  </si>
  <si>
    <t>11,9" 3.09.07 koupelna</t>
  </si>
  <si>
    <t>5,3" 3.09.08 wc</t>
  </si>
  <si>
    <t>5,3" 3.09.09 wc</t>
  </si>
  <si>
    <t>10,86" 4.01.04 bezbariérová koupelna</t>
  </si>
  <si>
    <t>6,26" 4.02.04 koupelna</t>
  </si>
  <si>
    <t>4,34" 4.02.05 wc</t>
  </si>
  <si>
    <t>6,26" 4.03.04 koupelna</t>
  </si>
  <si>
    <t>4,34" 4.03.05 wc</t>
  </si>
  <si>
    <t>6,26" 4.04.04 koupelna</t>
  </si>
  <si>
    <t>4,34" 4.04.05 wc</t>
  </si>
  <si>
    <t>4,34" 4.05.05 wc</t>
  </si>
  <si>
    <t>5,89" 4.05.06 koupelna</t>
  </si>
  <si>
    <t>6,26" 4.06.04 koupelna</t>
  </si>
  <si>
    <t>4,34" 4.06.05 wc</t>
  </si>
  <si>
    <t>6,26" 4.07.04 koupelna</t>
  </si>
  <si>
    <t>4,71" 4.07.05 wc</t>
  </si>
  <si>
    <t>5,4" 4.08.05 wc</t>
  </si>
  <si>
    <t>6,45" 4.08.06 koupelna</t>
  </si>
  <si>
    <t>9,57" 4.09.07 koupelna + wc</t>
  </si>
  <si>
    <t>9,7" 4.09.08 koupelna</t>
  </si>
  <si>
    <t>6,8" 5.00.03 úklidová místnost</t>
  </si>
  <si>
    <t>4,34" 5.01.04 wc</t>
  </si>
  <si>
    <t>6,06" 5.01.05 koupelna</t>
  </si>
  <si>
    <t>6,26" 5.02.04 koupelna</t>
  </si>
  <si>
    <t>4,34" 5.02.05 wc</t>
  </si>
  <si>
    <t>6,26" 5.03.04 koupelna</t>
  </si>
  <si>
    <t>4,34" 5.03.05 wc</t>
  </si>
  <si>
    <t>6,26" 5.04.04 koupelna</t>
  </si>
  <si>
    <t>4,34" 5.04.05 wc</t>
  </si>
  <si>
    <t>4,34" 5.05.05 wc</t>
  </si>
  <si>
    <t>5,89" 5.05.06 koupelna</t>
  </si>
  <si>
    <t>6,26" 5.06.04 koupelna</t>
  </si>
  <si>
    <t>4,34" 5.06.05 wc</t>
  </si>
  <si>
    <t>6,26" 5.07.04 koupelna</t>
  </si>
  <si>
    <t>4,34" 5.07.05 wc</t>
  </si>
  <si>
    <t>7,9" -1.00.11 bezbariérové wc</t>
  </si>
  <si>
    <t>4,6" -1.00.14 wc</t>
  </si>
  <si>
    <t>4,6" -1.00.15 sprcha</t>
  </si>
  <si>
    <t>7,25" -1.00.17 úklidová místnost</t>
  </si>
  <si>
    <t>15,95" -1.00.20 prádelna</t>
  </si>
  <si>
    <t>-0,8*2</t>
  </si>
  <si>
    <t>Odečet výpočtu délky vytažení na stěny</t>
  </si>
  <si>
    <t>-delkaizolacenasteny</t>
  </si>
  <si>
    <t>Výpočet plochy vytažení na stěny do výše 30 cm</t>
  </si>
  <si>
    <t>delkaizolacenasteny*0,30</t>
  </si>
  <si>
    <t>781131241</t>
  </si>
  <si>
    <t>Izolace pod obklad těsnícími pásy vnitřní kout</t>
  </si>
  <si>
    <t>1430851392</t>
  </si>
  <si>
    <t>192</t>
  </si>
  <si>
    <t>781131242</t>
  </si>
  <si>
    <t>Izolace pod obklad těsnícími pásy vnější roh</t>
  </si>
  <si>
    <t>1811552842</t>
  </si>
  <si>
    <t>781131251</t>
  </si>
  <si>
    <t>Izolace pod obklad těsnící manžetou pro prostupy potrubí</t>
  </si>
  <si>
    <t>228305233</t>
  </si>
  <si>
    <t xml:space="preserve">za WC, umyvadla, výlevku apod. </t>
  </si>
  <si>
    <t>Pozn.: Izolace mezi podlahou a stěnou viz oddíl 771.</t>
  </si>
  <si>
    <t>194</t>
  </si>
  <si>
    <t>781131264</t>
  </si>
  <si>
    <t>Izolace pod obklad těsnícími pásy mezi podlahou a stěnou</t>
  </si>
  <si>
    <t>1819842774</t>
  </si>
  <si>
    <t>781472217</t>
  </si>
  <si>
    <t>Montáž obkladů keramických hladkých lepených cementovým flexibilním lepidlem přes 12 do 19 ks/m2</t>
  </si>
  <si>
    <t>-1090129318</t>
  </si>
  <si>
    <t>Obklad OB1 (viz D.1.1.30.1 - Tabulky a skladby)</t>
  </si>
  <si>
    <t>912,84</t>
  </si>
  <si>
    <t>196</t>
  </si>
  <si>
    <t>597617.1</t>
  </si>
  <si>
    <t>OB1 - obklad keramický 20 x 40 cm, barva obkladu a spár viz pd</t>
  </si>
  <si>
    <t>1383986377</t>
  </si>
  <si>
    <t>932,84*1,1 'Přepočtené koeficientem množství</t>
  </si>
  <si>
    <t>781472222</t>
  </si>
  <si>
    <t>Montáž obkladů keramických hladkých lepených cementovým flexibilním lepidlem přes 45 do 50 ks/m2</t>
  </si>
  <si>
    <t>-1655453423</t>
  </si>
  <si>
    <t>Obklad OB2 (viz D.1.1.30.1 - Tabulky a skladby)</t>
  </si>
  <si>
    <t>210,51</t>
  </si>
  <si>
    <t>5,00</t>
  </si>
  <si>
    <t>198</t>
  </si>
  <si>
    <t>597617.2</t>
  </si>
  <si>
    <t>OB2 - obklad keramický 10 x 20 cm, barva obkladu a spár viz pd</t>
  </si>
  <si>
    <t>-339555661</t>
  </si>
  <si>
    <t>sokl ozn. OB7 z obkladu OB2 (montáž soklu viz oddíl 771)</t>
  </si>
  <si>
    <t xml:space="preserve">m.1.06 (viz spárořezy) </t>
  </si>
  <si>
    <t>4,60*0,10</t>
  </si>
  <si>
    <t>-3*0,70*0,10</t>
  </si>
  <si>
    <t>1,82*0,10</t>
  </si>
  <si>
    <t>-2*0,70*0,10</t>
  </si>
  <si>
    <t>m.1.09 - MALÝ SÁL - za barem</t>
  </si>
  <si>
    <t>(5,52+2,50+3,45+2,50+0,40)*0,10</t>
  </si>
  <si>
    <t>m.1.17 - PŘÍSÁLÍ - za barem</t>
  </si>
  <si>
    <t>2*0,60+0,20+3,40</t>
  </si>
  <si>
    <t>m.1.15 - ZÁZEMÍ /SKLAD</t>
  </si>
  <si>
    <t>(4,43+2,42)*2*0,10</t>
  </si>
  <si>
    <t>-0,80*0,10</t>
  </si>
  <si>
    <t>-0,90*0,10</t>
  </si>
  <si>
    <t>(2*0,60+0,20+3,40)*0,10</t>
  </si>
  <si>
    <t>m.1.19 - TECHNICKÁ MÍSTNOST</t>
  </si>
  <si>
    <t>(2,715+1,95)*2*0,10</t>
  </si>
  <si>
    <t>-0,70*0,10</t>
  </si>
  <si>
    <t>224,582*1,1 'Přepočtené koeficientem množství</t>
  </si>
  <si>
    <t>781492211</t>
  </si>
  <si>
    <t>Montáž profilů rohových lepených flexibilním cementovým lepidlem</t>
  </si>
  <si>
    <t>-1887818486</t>
  </si>
  <si>
    <t>Dle spárořezů - ukončení nároží obkladů pomocí elox lišty (hliník).</t>
  </si>
  <si>
    <t>(5*1+1*2)*2,00</t>
  </si>
  <si>
    <t>1,38*2</t>
  </si>
  <si>
    <t>(8*1+1*2)*2,00</t>
  </si>
  <si>
    <t>(6*1+2*2)*2,00</t>
  </si>
  <si>
    <t>0,90*2</t>
  </si>
  <si>
    <t>(6*1+1*2)*2,00</t>
  </si>
  <si>
    <t>ostatní nároží</t>
  </si>
  <si>
    <t>200</t>
  </si>
  <si>
    <t>781492251</t>
  </si>
  <si>
    <t>Montáž profilů ukončovacích lepených flexibilním cementovým lepidlem</t>
  </si>
  <si>
    <t>473243835</t>
  </si>
  <si>
    <t>lišty horní hrany soklů</t>
  </si>
  <si>
    <t>Dle spárořezů - ukončení horních hran obkladů pomocí elox lišty (hliník).</t>
  </si>
  <si>
    <t>Výpočet = plocha obkladu / výška obkladu</t>
  </si>
  <si>
    <t>OB1/2,00</t>
  </si>
  <si>
    <t>OB2/2,00</t>
  </si>
  <si>
    <t>5,76/1,22</t>
  </si>
  <si>
    <t>ostatní horní hrany (např. v kuchyňkách, kde je nižsí výška obkladů)</t>
  </si>
  <si>
    <t>5905412.1</t>
  </si>
  <si>
    <t>lišta z eloxovaného hliníku</t>
  </si>
  <si>
    <t>2008818723</t>
  </si>
  <si>
    <t>1637,244*1,05 'Přepočtené koeficientem množství</t>
  </si>
  <si>
    <t>202</t>
  </si>
  <si>
    <t>998781103</t>
  </si>
  <si>
    <t>Přesun hmot tonážní pro obklady keramické v objektech v přes 12 do 24 m</t>
  </si>
  <si>
    <t>1530780177</t>
  </si>
  <si>
    <t>783</t>
  </si>
  <si>
    <t>Dokončovací práce - nátěry</t>
  </si>
  <si>
    <t>208</t>
  </si>
  <si>
    <t>783823133</t>
  </si>
  <si>
    <t>Penetrační silikátový nátěr hladkých, tenkovrstvých zrnitých nebo štukových omítek</t>
  </si>
  <si>
    <t>1091338248</t>
  </si>
  <si>
    <t xml:space="preserve">Nátěr nezateplovaných ploch budovy </t>
  </si>
  <si>
    <t>sokl západní fasády dle řezu A</t>
  </si>
  <si>
    <t>10,50*1,10</t>
  </si>
  <si>
    <t>sokl mezi sloupy východní fasády dle řezu A</t>
  </si>
  <si>
    <t>2*2*2,19*0,70</t>
  </si>
  <si>
    <t>ostatní plochy</t>
  </si>
  <si>
    <t>783827123</t>
  </si>
  <si>
    <t>Krycí jednonásobný silikátový nátěr omítek stupně členitosti 1 a 2</t>
  </si>
  <si>
    <t>-874515989</t>
  </si>
  <si>
    <t>210</t>
  </si>
  <si>
    <t>783901451</t>
  </si>
  <si>
    <t>Zametení betonových podlah před provedením nátěru</t>
  </si>
  <si>
    <t>-1069212512</t>
  </si>
  <si>
    <t>17,535</t>
  </si>
  <si>
    <t>783901453</t>
  </si>
  <si>
    <t>Vysátí betonových podlah před provedením nátěru</t>
  </si>
  <si>
    <t>-1699893321</t>
  </si>
  <si>
    <t>783913161</t>
  </si>
  <si>
    <t>Penetrační nátěr pórovitých betonových podlah</t>
  </si>
  <si>
    <t>-1619580887</t>
  </si>
  <si>
    <t>234</t>
  </si>
  <si>
    <t>783937163</t>
  </si>
  <si>
    <t>Krycí dvojnásobný nátěr betonové podlahy</t>
  </si>
  <si>
    <t>673960278</t>
  </si>
  <si>
    <t>betonová podlaha výtahové šachty vč. vytažení na svislé kce</t>
  </si>
  <si>
    <t>m.-1.00.26</t>
  </si>
  <si>
    <t>1,60*2,60</t>
  </si>
  <si>
    <t>(1,60+2,60)*2*0,40</t>
  </si>
  <si>
    <t>m. -1.00.22</t>
  </si>
  <si>
    <t>1,20*1,80</t>
  </si>
  <si>
    <t>(1,20+1,80)*2*0,40</t>
  </si>
  <si>
    <t>osa 11/B</t>
  </si>
  <si>
    <t>1,85*1,50</t>
  </si>
  <si>
    <t>(1,85+1,50)*2*0,40</t>
  </si>
  <si>
    <t>784</t>
  </si>
  <si>
    <t>Dokončovací práce - malby a tapety</t>
  </si>
  <si>
    <t>214</t>
  </si>
  <si>
    <t>784111001</t>
  </si>
  <si>
    <t>Oprášení (ometení ) podkladu v místnostech v do 3,80 m</t>
  </si>
  <si>
    <t>973031482</t>
  </si>
  <si>
    <t>3648,816</t>
  </si>
  <si>
    <t>236</t>
  </si>
  <si>
    <t>784181111</t>
  </si>
  <si>
    <t>Základní jednonásobná bezbarvá penetrace podkladu v místnostech v do 3,80 m</t>
  </si>
  <si>
    <t>1088484716</t>
  </si>
  <si>
    <t>216</t>
  </si>
  <si>
    <t>784181131</t>
  </si>
  <si>
    <t>Fungicidní jednonásobná bezbarvá penetrace podkladu v místnostech v do 3,80 m</t>
  </si>
  <si>
    <t>94907555</t>
  </si>
  <si>
    <t>penetrace maleb na sanačních omítkách</t>
  </si>
  <si>
    <t>784211101</t>
  </si>
  <si>
    <t>Dvojnásobné bílé malby ze směsí za mokra výborně oděruvzdorných v místnostech v do 3,80 m</t>
  </si>
  <si>
    <t>-1847349388</t>
  </si>
  <si>
    <t>Specifikace vlastností maleb viz pd</t>
  </si>
  <si>
    <t>malby stropů a podhledů</t>
  </si>
  <si>
    <t>malby svislých ploch podhledů</t>
  </si>
  <si>
    <t>sdkpodhledzmenavysky*0,40</t>
  </si>
  <si>
    <t>malby stěn</t>
  </si>
  <si>
    <t>-1.01 - TECH. MÍSTNOST</t>
  </si>
  <si>
    <t>(4,94+4,77+0,71)*2*2,10</t>
  </si>
  <si>
    <t>-2,45*2,10</t>
  </si>
  <si>
    <t>(2,45+2,10*2)*0,71</t>
  </si>
  <si>
    <t>-1.02 - TECH. MÍSTNOST</t>
  </si>
  <si>
    <t>(4,94+3,78+0,72)*2*3,62</t>
  </si>
  <si>
    <t>(0,80*2+1,97)*0,55</t>
  </si>
  <si>
    <t>(1,50+1,37)*2*0,45</t>
  </si>
  <si>
    <t>m.1.02 - ZÁDVEŘÍ</t>
  </si>
  <si>
    <t>(5,32+3,00)*2*3,10</t>
  </si>
  <si>
    <t>0,62*2*2*3,10</t>
  </si>
  <si>
    <t>0,20*2*2*3,10</t>
  </si>
  <si>
    <t>(1,40+2,10*2)*0,62*2</t>
  </si>
  <si>
    <t>m.1.03 - VRÁTNICE</t>
  </si>
  <si>
    <t>(3,23+3,00)*2*3,10</t>
  </si>
  <si>
    <t>(1,50+1,80)*2*0,20</t>
  </si>
  <si>
    <t>m.1.04 - ŠATNA</t>
  </si>
  <si>
    <t>(6,00+3,00+0,62*2)*3,10</t>
  </si>
  <si>
    <t>-2,10*2,40*2</t>
  </si>
  <si>
    <t>(2,10+2,40)*2*0,62*2</t>
  </si>
  <si>
    <t>m.1.05 - VSTUPNÍ HALA</t>
  </si>
  <si>
    <t>(11,67+3,78)*2*3,10</t>
  </si>
  <si>
    <t>0,30*4*2*3,10</t>
  </si>
  <si>
    <t>-1,80*2,65*2</t>
  </si>
  <si>
    <t>-1,60*2,60*2</t>
  </si>
  <si>
    <t>m.1.06 - HYG. ZÁZEMÍ ŽENY</t>
  </si>
  <si>
    <t>(4,60+2,65)*2*3,10</t>
  </si>
  <si>
    <t>(1,13+0,95)*2*2*3,10</t>
  </si>
  <si>
    <t>(1,13+1,54)*2*3,10</t>
  </si>
  <si>
    <t>(1,48+0,95)*2*3,10</t>
  </si>
  <si>
    <t>(1,35+0,95)*2*3,10</t>
  </si>
  <si>
    <t>m.1.07 - CHODBA</t>
  </si>
  <si>
    <t>(4,94+3,75)*2*4,06</t>
  </si>
  <si>
    <t>(1,25+1,97*2)*0,65</t>
  </si>
  <si>
    <t>m.1.08 - JEVIŠTĚ</t>
  </si>
  <si>
    <t>(5,62+8,86)*2*5,20</t>
  </si>
  <si>
    <t>-5,54*4,02</t>
  </si>
  <si>
    <t>(0,80+1,97*2)*0,60</t>
  </si>
  <si>
    <t>m.1.09 - MALÝ SÁL</t>
  </si>
  <si>
    <t>(15,22+8,86+0,65)*2*6,02</t>
  </si>
  <si>
    <t>-15,33*1,51</t>
  </si>
  <si>
    <t>-8,86*1,70</t>
  </si>
  <si>
    <t>-1,92*2,70</t>
  </si>
  <si>
    <t>(1,70+3,00*2)*0,33*3</t>
  </si>
  <si>
    <t>m.1.10 - CHODBA</t>
  </si>
  <si>
    <t>(4,58+4,02)*2*3,10</t>
  </si>
  <si>
    <t>(1,30+2,10*2)*0,33</t>
  </si>
  <si>
    <t>m.1.11 - BEZBARIÉROVÉ WC</t>
  </si>
  <si>
    <t>(1,85+2,30)*2*3,10</t>
  </si>
  <si>
    <t>m.1.12 - HYG. ZÁZEMÍ MUŽI</t>
  </si>
  <si>
    <t>(3,80+3,95)*2*3,10</t>
  </si>
  <si>
    <t>m.1.13 - SKLAD</t>
  </si>
  <si>
    <t>(3,95+3,20)*2*2,60</t>
  </si>
  <si>
    <t>m.1.14 - SCHODIŠTĚ</t>
  </si>
  <si>
    <t>(3,97+3,30*2)*(2,60+6,05)/2</t>
  </si>
  <si>
    <t>(4,38+2,42)*2*3,10</t>
  </si>
  <si>
    <t>m.1.16 - VELKÝ SÁL</t>
  </si>
  <si>
    <t>(20,85+1,20+14,635)*2*6,50</t>
  </si>
  <si>
    <t>(0,55+0,25)*2*7*3,00</t>
  </si>
  <si>
    <t>-14,80*1,20</t>
  </si>
  <si>
    <t>-9,13*3,65</t>
  </si>
  <si>
    <t>-15,10*2,97</t>
  </si>
  <si>
    <t>-1,70*3,00*3</t>
  </si>
  <si>
    <t>-1,20*4,30*12</t>
  </si>
  <si>
    <t>m.1.17 - PŘÍSÁLÍ</t>
  </si>
  <si>
    <t>(6,88+12,00+2,365)*2*3,16</t>
  </si>
  <si>
    <t>-2,40*1,80*3" okna</t>
  </si>
  <si>
    <t>-2,40*2,70</t>
  </si>
  <si>
    <t>(2,40+1,80)*2*0,20</t>
  </si>
  <si>
    <t>(1,65+2,10*2)*0,20</t>
  </si>
  <si>
    <t>(2,40+2,70*2)*0,20</t>
  </si>
  <si>
    <t>m.1.18 - JEVIŠTĚ</t>
  </si>
  <si>
    <t>(14,82+6,125*2)*6,05</t>
  </si>
  <si>
    <t>14,82*6,05</t>
  </si>
  <si>
    <t>(2,715+1,95)*2*3,16</t>
  </si>
  <si>
    <t>m.2.01 - CHODBA</t>
  </si>
  <si>
    <t>(2,80+2,60+1,34)*2,54</t>
  </si>
  <si>
    <t>(3,70+8,90)*0,85</t>
  </si>
  <si>
    <t>(0,80+1,97*2)*0,55</t>
  </si>
  <si>
    <t>m.2.02 - BALKÓN, m.2.03 - SKLAD</t>
  </si>
  <si>
    <t>(20,00+4,44*2)*2,54</t>
  </si>
  <si>
    <t>0,66*4*6*2,54</t>
  </si>
  <si>
    <t>5*2,30*0,85</t>
  </si>
  <si>
    <t>6*(1,79+1,60)*0,45</t>
  </si>
  <si>
    <t>odečet ploch keramických obkladů</t>
  </si>
  <si>
    <t>-OB1</t>
  </si>
  <si>
    <t>-OB2</t>
  </si>
  <si>
    <t>-5,76</t>
  </si>
  <si>
    <t>218</t>
  </si>
  <si>
    <t>784331001</t>
  </si>
  <si>
    <t>Dvojnásobné bílé protiplísňové malby v místnostech v do 3,80 m</t>
  </si>
  <si>
    <t>782050747</t>
  </si>
  <si>
    <t>malby stropu</t>
  </si>
  <si>
    <t>naternoveocelovekce</t>
  </si>
  <si>
    <t>1055,489</t>
  </si>
  <si>
    <t>KCE - Konstrukční část</t>
  </si>
  <si>
    <t xml:space="preserve">    4 - Vodorovné konstrukce</t>
  </si>
  <si>
    <t xml:space="preserve">    767 - Konstrukce zámečnické</t>
  </si>
  <si>
    <t>273322511</t>
  </si>
  <si>
    <t>Základové desky ze ŽB se zvýšenými nároky na prostředí tř. C 25/30</t>
  </si>
  <si>
    <t>-670169181</t>
  </si>
  <si>
    <t>C25/30-XC2, XA1 dle D.1.2.01</t>
  </si>
  <si>
    <t>6,55*3,13*0,20</t>
  </si>
  <si>
    <t>2,00*3,13*0,20</t>
  </si>
  <si>
    <t>Pozn.: Skladba pod žb deskou viz položky stavební části.</t>
  </si>
  <si>
    <t>273351121</t>
  </si>
  <si>
    <t>Zřízení bednění základových desek</t>
  </si>
  <si>
    <t>-1358757654</t>
  </si>
  <si>
    <t>(6,55+3,13)*2*0,20</t>
  </si>
  <si>
    <t>(2,00+3,13)*2*0,20</t>
  </si>
  <si>
    <t>273351122</t>
  </si>
  <si>
    <t>Odstranění bednění základových desek</t>
  </si>
  <si>
    <t>-137590121</t>
  </si>
  <si>
    <t>273361821</t>
  </si>
  <si>
    <t>Výztuž základových desek betonářskou ocelí 10 505 (R)</t>
  </si>
  <si>
    <t>484508382</t>
  </si>
  <si>
    <t>120 kg/m3</t>
  </si>
  <si>
    <t>5,352*120.00*0.001</t>
  </si>
  <si>
    <t>274313711</t>
  </si>
  <si>
    <t>Základové pásy z betonu tř. C 20/25</t>
  </si>
  <si>
    <t>-1841738434</t>
  </si>
  <si>
    <t>D.1.2.01</t>
  </si>
  <si>
    <t>(2*6,35+2,33)*0,90*0,40*1.035</t>
  </si>
  <si>
    <t>311113142</t>
  </si>
  <si>
    <t>Nadzákladová zeď tl přes 150 do 200 mm z hladkých tvárnic ztraceného bednění včetně výplně z betonu tř. 20/25</t>
  </si>
  <si>
    <t>1645067766</t>
  </si>
  <si>
    <t>D.1.2.03: Výtahová šachta bude provedena se zvýšenou přesností +-10mm.</t>
  </si>
  <si>
    <t>výtahová šachta</t>
  </si>
  <si>
    <t>(2,00+2,58)*2*(3,96+0,20+17,20)</t>
  </si>
  <si>
    <t>-1,20*2,18*6</t>
  </si>
  <si>
    <t>zídka venkovního schodiště</t>
  </si>
  <si>
    <t>(3,13+6,15)*(1,305+0,20+2,255)</t>
  </si>
  <si>
    <t>-1,72*0,90</t>
  </si>
  <si>
    <t>311361821</t>
  </si>
  <si>
    <t>Výztuž nosných zdí betonářskou ocelí 10 505</t>
  </si>
  <si>
    <t>1108664895</t>
  </si>
  <si>
    <t>zdi 1.PP .. 20 kg/m2</t>
  </si>
  <si>
    <t>(2,00+2,58)*2*3,96*0.020</t>
  </si>
  <si>
    <t>-1,20*2,18*0.020</t>
  </si>
  <si>
    <t>(3,13+6,15)*(1,305+0,20+2,255)*0.020</t>
  </si>
  <si>
    <t>-1,72*0,90*0.020</t>
  </si>
  <si>
    <t>zdi 1.-5.NP .. 15 kg/m2</t>
  </si>
  <si>
    <t>(2,00+2,58)*2*(0,20+17,20)*0.015</t>
  </si>
  <si>
    <t>-1,20*2,18*5*0.015</t>
  </si>
  <si>
    <t>317351512</t>
  </si>
  <si>
    <t>Ztracené bednění překladů z betonových U-profilů ve zdech tl 200 mm</t>
  </si>
  <si>
    <t>-1720484681</t>
  </si>
  <si>
    <t>výtahová šachta - překlady nad otvory</t>
  </si>
  <si>
    <t>1,80*6</t>
  </si>
  <si>
    <t>389381001</t>
  </si>
  <si>
    <t>Dobetonování prefabrikovaných konstrukcí</t>
  </si>
  <si>
    <t>1278492444</t>
  </si>
  <si>
    <t>Dle Tz statiky: dobetonávky z betonu tř. C20/25-XC1</t>
  </si>
  <si>
    <t>Především dobetonávky otvorů v základové desce po osazení instalací (D.1.2.01). Popř. jiné dobetonávky.</t>
  </si>
  <si>
    <t>0,50</t>
  </si>
  <si>
    <t>Vodorovné konstrukce</t>
  </si>
  <si>
    <t>411121232</t>
  </si>
  <si>
    <t>Montáž prefabrikovaných ŽB stropů ze stropních desek dl přes 900 do 1800 mm</t>
  </si>
  <si>
    <t>-409899163</t>
  </si>
  <si>
    <t>D.1.2.07 Výkres tvaru 4.NP</t>
  </si>
  <si>
    <t>Panel PZD 29/7, užitné zatížení 3kN/m2 .. dl. 1,5 m .. 39 ks</t>
  </si>
  <si>
    <t>59341120.1</t>
  </si>
  <si>
    <t>panel PZD 29/7, užitné zatížení 3kN/m2, dl. 1,5 m</t>
  </si>
  <si>
    <t>1709611043</t>
  </si>
  <si>
    <t>411321414</t>
  </si>
  <si>
    <t>Stropy deskové ze ŽB tř. C 25/30</t>
  </si>
  <si>
    <t>-509095872</t>
  </si>
  <si>
    <t>D.1.2.08</t>
  </si>
  <si>
    <t>strop výtahové šachty</t>
  </si>
  <si>
    <t>2,00*2,98*0,20</t>
  </si>
  <si>
    <t>D.1.1.23</t>
  </si>
  <si>
    <t>dobetonávka stropu 4.NP u schodiště mezi osami 9-10</t>
  </si>
  <si>
    <t>5,10*1,50*0,25</t>
  </si>
  <si>
    <t>411322424</t>
  </si>
  <si>
    <t>Stropy trámové nebo kazetové ze ŽB tř. C 25/30</t>
  </si>
  <si>
    <t>100816140</t>
  </si>
  <si>
    <t>D.1.2.02</t>
  </si>
  <si>
    <t>Nabetonávka na trapézovém plechu</t>
  </si>
  <si>
    <t>8,30*1,45*(0,05*2/3+0,05)</t>
  </si>
  <si>
    <t>411351011</t>
  </si>
  <si>
    <t>Zřízení bednění stropů deskových tl přes 5 do 25 cm bez podpěrné kce</t>
  </si>
  <si>
    <t>1849028659</t>
  </si>
  <si>
    <t>1,60*2,58</t>
  </si>
  <si>
    <t>5,10*1,50</t>
  </si>
  <si>
    <t>(5,10+1,50*2)*0,25</t>
  </si>
  <si>
    <t>411351012</t>
  </si>
  <si>
    <t>Odstranění bednění stropů deskových tl přes 5 do 25 cm bez podpěrné kce</t>
  </si>
  <si>
    <t>-1687739621</t>
  </si>
  <si>
    <t>411354249</t>
  </si>
  <si>
    <t>Bednění stropů ztracené z hraněných trapézových vln v 50 mm plech pozinkovaný tl 1,0 mm</t>
  </si>
  <si>
    <t>1949460189</t>
  </si>
  <si>
    <t>8,30*1,45</t>
  </si>
  <si>
    <t>411354311</t>
  </si>
  <si>
    <t>Zřízení podpěrné konstrukce stropů výšky do 4 m tl přes 5 do 15 cm</t>
  </si>
  <si>
    <t>49509057</t>
  </si>
  <si>
    <t>411354312</t>
  </si>
  <si>
    <t>Odstranění podpěrné konstrukce stropů výšky do 4 m tl přes 5 do 15 cm</t>
  </si>
  <si>
    <t>-709897438</t>
  </si>
  <si>
    <t>411354333.1</t>
  </si>
  <si>
    <t>Zřízení podpěrné konstrukce stropů výšky přes 6 m tl přes 15 do 25 cm</t>
  </si>
  <si>
    <t>1167656201</t>
  </si>
  <si>
    <t>18</t>
  </si>
  <si>
    <t>411354334.1</t>
  </si>
  <si>
    <t>Odstranění podpěrné konstrukce stropů výšky přes 6 m tl přes 15 do 25 cm</t>
  </si>
  <si>
    <t>989124660</t>
  </si>
  <si>
    <t>411361821</t>
  </si>
  <si>
    <t>Výztuž stropů betonářskou ocelí 10 505</t>
  </si>
  <si>
    <t>-1501162508</t>
  </si>
  <si>
    <t>strop výtahové šachty .. 100 kg/m3</t>
  </si>
  <si>
    <t>2,00*2,98*0,20*100.00*0.001</t>
  </si>
  <si>
    <t>5,10*1,50*0,25*100.00*0.001</t>
  </si>
  <si>
    <t>411362021</t>
  </si>
  <si>
    <t>Výztuž stropů svařovanými sítěmi Kari</t>
  </si>
  <si>
    <t>-904429878</t>
  </si>
  <si>
    <t>D.1.2.02 - strop v suterénu</t>
  </si>
  <si>
    <t>Dle schémat výztuže:</t>
  </si>
  <si>
    <t>V nabetonávce Kari síť 6/150/150 .. 3.033 kg/m2 + překrytí 40%</t>
  </si>
  <si>
    <t>8,30*1,45*3.033*1.40*0.001</t>
  </si>
  <si>
    <t>Pozn.: Výztuž ve vlnách není dle schématu výztuže nutná.</t>
  </si>
  <si>
    <t>628613611</t>
  </si>
  <si>
    <t>Žárové zinkování ponorem dílů ocelových konstrukcí mostů hmotnosti do 100 kg</t>
  </si>
  <si>
    <t>-2098375960</t>
  </si>
  <si>
    <t>628613611.1</t>
  </si>
  <si>
    <t>Žárové zinkování dílů ocelových konstrukcí</t>
  </si>
  <si>
    <t>-1566670023</t>
  </si>
  <si>
    <t>Dle Tz statiky: Ocelové konstrukce vystavené povětrnostním vlivům budou opatřeny ochrannou vrstvou pomocí žárového pozinkování v min. tloušťce 85µm.</t>
  </si>
  <si>
    <t>exteriérové schodiště .. hmotnost viz položka ocel.kce schodiště</t>
  </si>
  <si>
    <t>9750.00</t>
  </si>
  <si>
    <t xml:space="preserve">Dle Tz statiky: </t>
  </si>
  <si>
    <t>Nástavba .. celá konstrukce je navržena jako žárově zinkovaná.</t>
  </si>
  <si>
    <t>hmotnost pozinkování = hmotnost ocel. kce 5.NP - hmotnost schodiště 5.NP (která je započtena výše)</t>
  </si>
  <si>
    <t>32293.0-2*186.3-84.7-150.9-243.4</t>
  </si>
  <si>
    <t>Ostatní prvky vystavené povětrnostním vlivům, které bude třeba ošetřit žárovým pozinkováním a nemají toto uvedeno např. v popisu zámečnického výrobku.</t>
  </si>
  <si>
    <t>(U zámečnických výrobků je povrchová úprava součástí montáže a dodávky výrobku.)</t>
  </si>
  <si>
    <t>300.00</t>
  </si>
  <si>
    <t>zarovepozinkovani</t>
  </si>
  <si>
    <t>1127994275</t>
  </si>
  <si>
    <t>cementové lože pod ocelové sloupy - např. viz D1.2.01 - Detail 1</t>
  </si>
  <si>
    <t>6*0,30*0,30</t>
  </si>
  <si>
    <t>27*0,30*0,30</t>
  </si>
  <si>
    <t>953111221.1</t>
  </si>
  <si>
    <t>Propojení výtahové šachty se stávajícími konstrukcemi stropů</t>
  </si>
  <si>
    <t>-248612970</t>
  </si>
  <si>
    <t>Dle Tz statiky: Výtahová šachta je řešena jako samostatná konstrukce na samostatném základě, které bude ovšem ve všech patrech propojena se</t>
  </si>
  <si>
    <t>stávajícími konstrukcemi stropů v chodbách a na schodištích.</t>
  </si>
  <si>
    <t>6*2,00</t>
  </si>
  <si>
    <t>-1363854529</t>
  </si>
  <si>
    <t>767</t>
  </si>
  <si>
    <t>Konstrukce zámečnické</t>
  </si>
  <si>
    <t>763793100.1</t>
  </si>
  <si>
    <t xml:space="preserve">Montáž a dodávka ocelových táhel </t>
  </si>
  <si>
    <t>1038156408</t>
  </si>
  <si>
    <t>D.1.2.03-08</t>
  </si>
  <si>
    <t>X1.22 TYČ pr. 20</t>
  </si>
  <si>
    <t>25.2</t>
  </si>
  <si>
    <t>X1.23 TYČ pr. 20</t>
  </si>
  <si>
    <t>41.5</t>
  </si>
  <si>
    <t>1.19 TYČ pr. 20</t>
  </si>
  <si>
    <t>20.4</t>
  </si>
  <si>
    <t>2.21 TYČ pr. 20</t>
  </si>
  <si>
    <t>44.0</t>
  </si>
  <si>
    <t>2.22 TYČ pr. 20</t>
  </si>
  <si>
    <t>3.20 TYČ pr. 20</t>
  </si>
  <si>
    <t>4.23 TYČ pr. 20</t>
  </si>
  <si>
    <t>42.9</t>
  </si>
  <si>
    <t>4.24 TYČ pr. 20</t>
  </si>
  <si>
    <t>26.0</t>
  </si>
  <si>
    <t>5.33 TYČ pr. 20</t>
  </si>
  <si>
    <t>167.5</t>
  </si>
  <si>
    <t>5.34 TYČ pr. 20</t>
  </si>
  <si>
    <t>113.7</t>
  </si>
  <si>
    <t>5.35 TYČ pr. 20</t>
  </si>
  <si>
    <t>103.5</t>
  </si>
  <si>
    <t>5.36 TYČ pr. 30</t>
  </si>
  <si>
    <t>9.6</t>
  </si>
  <si>
    <t>5.37 TYČ pr. 30</t>
  </si>
  <si>
    <t>63.0</t>
  </si>
  <si>
    <t>5.38 TYČ pr. 30</t>
  </si>
  <si>
    <t>48.4</t>
  </si>
  <si>
    <t>5.39 TYČ pr. 30</t>
  </si>
  <si>
    <t>5.5</t>
  </si>
  <si>
    <t>5.40 TYČ pr. 30</t>
  </si>
  <si>
    <t>167.0</t>
  </si>
  <si>
    <t>doplňková hmotnost dle Výkazu materiálu - ocelové konstrukce</t>
  </si>
  <si>
    <t>919.00*(0.02+0.08+0.15)</t>
  </si>
  <si>
    <t>76711010.1</t>
  </si>
  <si>
    <t>Ocelové prvky detailů a doplňků konstrukčního řešení</t>
  </si>
  <si>
    <t>-1835560786</t>
  </si>
  <si>
    <t>Např. kotevní prvky, chráničky aj. ocelové doplňkové prvky</t>
  </si>
  <si>
    <t>dle Tz statiky: Před betonáží je třeba osadit případné kotevní prvky a chráničky pro prostupy.</t>
  </si>
  <si>
    <t>150.00</t>
  </si>
  <si>
    <t>767590100.1</t>
  </si>
  <si>
    <t>Montáž podlahového roštu ocelového schodiště</t>
  </si>
  <si>
    <t>-621418588</t>
  </si>
  <si>
    <t>Vnitřní schodiště v suterénu</t>
  </si>
  <si>
    <t>251.3</t>
  </si>
  <si>
    <t>Venkovní schodiště</t>
  </si>
  <si>
    <t>X1.25</t>
  </si>
  <si>
    <t>418.80</t>
  </si>
  <si>
    <t>"1.21</t>
  </si>
  <si>
    <t>"2.24</t>
  </si>
  <si>
    <t>"3.21</t>
  </si>
  <si>
    <t>"4.25</t>
  </si>
  <si>
    <t>doplňková hmotnost dle Výkazu materiálu - ocelové konstrukce (prořez, spojovací materiál atd.)</t>
  </si>
  <si>
    <t>2345.30*(0.02+0.08+0.15)</t>
  </si>
  <si>
    <t>55347006.1</t>
  </si>
  <si>
    <t>rošt podlahový PR-33/33-30/2 žárově zinkovaný</t>
  </si>
  <si>
    <t>415463399</t>
  </si>
  <si>
    <t>12,00</t>
  </si>
  <si>
    <t>"4.21</t>
  </si>
  <si>
    <t>112*1,1 'Přepočtené koeficientem množství</t>
  </si>
  <si>
    <t>767995100.1</t>
  </si>
  <si>
    <t xml:space="preserve">Montáž a dodávka nosné ocelové konstrukce nového venkovního schodiště </t>
  </si>
  <si>
    <t>1755368236</t>
  </si>
  <si>
    <t>Konstrukce schodiště je v úrovni stropu kotvená do stávající železobetonové desky chemickými kotvami M12 (dle Tz statiky).</t>
  </si>
  <si>
    <t xml:space="preserve">Výše uvedené kotvení je součástí dodávky a montáže ocelkové konstrukce schodiště. </t>
  </si>
  <si>
    <t>Stejně tak je součástí ostatních položek ocelových konstrukcí a prvků.</t>
  </si>
  <si>
    <t>dle výpisu hmotností ocelových prvků uvedených na výkresu tvaru</t>
  </si>
  <si>
    <t>D.1.2.03</t>
  </si>
  <si>
    <t>X1.08 HEA 160</t>
  </si>
  <si>
    <t>159.50</t>
  </si>
  <si>
    <t>X1.09 HEA 160</t>
  </si>
  <si>
    <t>259.3</t>
  </si>
  <si>
    <t>X1.10 UPE 220</t>
  </si>
  <si>
    <t>131.9</t>
  </si>
  <si>
    <t>X1.11 UPE 220</t>
  </si>
  <si>
    <t>171.3</t>
  </si>
  <si>
    <t>X1.12 UPE 220</t>
  </si>
  <si>
    <t>42.4</t>
  </si>
  <si>
    <t>X1.13 IPE 100</t>
  </si>
  <si>
    <t>28.8</t>
  </si>
  <si>
    <t>X1.14 UPE 220</t>
  </si>
  <si>
    <t>78.5</t>
  </si>
  <si>
    <t>X1.15 UPE 220</t>
  </si>
  <si>
    <t>157.5</t>
  </si>
  <si>
    <t>X1.16 UPE 220</t>
  </si>
  <si>
    <t>117.8</t>
  </si>
  <si>
    <t>X1.17 P 10</t>
  </si>
  <si>
    <t>2.4</t>
  </si>
  <si>
    <t>X1.18 P 10</t>
  </si>
  <si>
    <t>4.9</t>
  </si>
  <si>
    <t>X1.19 P 10</t>
  </si>
  <si>
    <t>10.0</t>
  </si>
  <si>
    <t>X1.20 P 10</t>
  </si>
  <si>
    <t>6.8</t>
  </si>
  <si>
    <t>X1.21 P 10</t>
  </si>
  <si>
    <t>14.1</t>
  </si>
  <si>
    <t>X1.24 P 15</t>
  </si>
  <si>
    <t>75.4</t>
  </si>
  <si>
    <t>D.1.2.04</t>
  </si>
  <si>
    <t>"1.05 HEA 160</t>
  </si>
  <si>
    <t>200.9</t>
  </si>
  <si>
    <t>"1.06 UPE 220</t>
  </si>
  <si>
    <t>"1.07 UPE 220</t>
  </si>
  <si>
    <t>"1.08 UPE 220</t>
  </si>
  <si>
    <t>189.4</t>
  </si>
  <si>
    <t>"1.09 UPE 220</t>
  </si>
  <si>
    <t>67.0</t>
  </si>
  <si>
    <t>"1.10 IPE 100</t>
  </si>
  <si>
    <t>38.4</t>
  </si>
  <si>
    <t>"1.11 UPE 220</t>
  </si>
  <si>
    <t>72.1</t>
  </si>
  <si>
    <t>"1.12 UPE 220</t>
  </si>
  <si>
    <t>186.7</t>
  </si>
  <si>
    <t>"1.13 UPE 220</t>
  </si>
  <si>
    <t>102.4</t>
  </si>
  <si>
    <t>"1.14 P 10</t>
  </si>
  <si>
    <t>3.1</t>
  </si>
  <si>
    <t>"1.15 P 10</t>
  </si>
  <si>
    <t>6.6</t>
  </si>
  <si>
    <t>"1.16 P 10</t>
  </si>
  <si>
    <t>"1.17 P 10</t>
  </si>
  <si>
    <t>9.0</t>
  </si>
  <si>
    <t>"1.18 P 10</t>
  </si>
  <si>
    <t>7.1</t>
  </si>
  <si>
    <t>"1.20 P 15</t>
  </si>
  <si>
    <t>D.1.2.05</t>
  </si>
  <si>
    <t>"2.06  HEA 160</t>
  </si>
  <si>
    <t>"2.07 HEA 160</t>
  </si>
  <si>
    <t>401.7</t>
  </si>
  <si>
    <t>"2.08 UPE 220</t>
  </si>
  <si>
    <t>"2.09 UPE 220</t>
  </si>
  <si>
    <t>"2.10 UPE 220</t>
  </si>
  <si>
    <t>188.1</t>
  </si>
  <si>
    <t>"2.11 UPE 220</t>
  </si>
  <si>
    <t>68.9</t>
  </si>
  <si>
    <t>"2.12 IPE 100</t>
  </si>
  <si>
    <t>"2.13 UPE 220</t>
  </si>
  <si>
    <t>"2.14 UPE 220</t>
  </si>
  <si>
    <t>"2.15 UPE 220</t>
  </si>
  <si>
    <t>"2.16 P 10</t>
  </si>
  <si>
    <t>"2.17 P 10</t>
  </si>
  <si>
    <t>"2.18 P 10</t>
  </si>
  <si>
    <t>"2.19 P 10</t>
  </si>
  <si>
    <t>"2.20 P 10</t>
  </si>
  <si>
    <t>"2.23 P 15</t>
  </si>
  <si>
    <t>D.1.2.06</t>
  </si>
  <si>
    <t>"3.06 P 15</t>
  </si>
  <si>
    <t>"3.07 UPE 220</t>
  </si>
  <si>
    <t>"3.08 UPE 220</t>
  </si>
  <si>
    <t>"3.09 UPE 220</t>
  </si>
  <si>
    <t>"3.10 UPE 220</t>
  </si>
  <si>
    <t>"3.11 IPE 100</t>
  </si>
  <si>
    <t>"3.12 UPE 220</t>
  </si>
  <si>
    <t>"3.13 UPE 220</t>
  </si>
  <si>
    <t>"3.14 UPE 220</t>
  </si>
  <si>
    <t>"3.15 P 10</t>
  </si>
  <si>
    <t>"3.16 P 10</t>
  </si>
  <si>
    <t>"3.17 P 10</t>
  </si>
  <si>
    <t>"3.18 P 10</t>
  </si>
  <si>
    <t>"3.19 P 10</t>
  </si>
  <si>
    <t>D.1.2.07</t>
  </si>
  <si>
    <t>" 4.05 HEA 160</t>
  </si>
  <si>
    <t>405.4</t>
  </si>
  <si>
    <t>" 4.06 HEA 160</t>
  </si>
  <si>
    <t>122.4</t>
  </si>
  <si>
    <t>" 4.07 UPE 220</t>
  </si>
  <si>
    <t>" 4.08 UPE 220</t>
  </si>
  <si>
    <t>" 4.09 UPE 220</t>
  </si>
  <si>
    <t>" 4.10 UPE 220</t>
  </si>
  <si>
    <t>" 4.11 IPE 100</t>
  </si>
  <si>
    <t>" 4.12 UPE 220</t>
  </si>
  <si>
    <t>72.9</t>
  </si>
  <si>
    <t>" 4.13 UPE 220</t>
  </si>
  <si>
    <t>" 4.14 UPE 220</t>
  </si>
  <si>
    <t>101.9</t>
  </si>
  <si>
    <t>" 4.15 P 10</t>
  </si>
  <si>
    <t>" 4.16 P 10</t>
  </si>
  <si>
    <t>" 4.17 P 10</t>
  </si>
  <si>
    <t>" 4.18 P 10</t>
  </si>
  <si>
    <t>" 4.19 P 10</t>
  </si>
  <si>
    <t>" 4.20 P 15</t>
  </si>
  <si>
    <t>317.9</t>
  </si>
  <si>
    <t>" 4.21 P 15</t>
  </si>
  <si>
    <t>12.1</t>
  </si>
  <si>
    <t>" 4.22 P 15</t>
  </si>
  <si>
    <t>5.04 HEA 160</t>
  </si>
  <si>
    <t>186.3</t>
  </si>
  <si>
    <t>5.05 HEA 160</t>
  </si>
  <si>
    <t>5.17 HEA 100</t>
  </si>
  <si>
    <t>84.7</t>
  </si>
  <si>
    <t>5.18 IPE 100</t>
  </si>
  <si>
    <t>150.9</t>
  </si>
  <si>
    <t>5.19 HEA 120</t>
  </si>
  <si>
    <t>243.4</t>
  </si>
  <si>
    <t>Ostatní materiály dle Výkazu materiálu - ocelové konstrukce</t>
  </si>
  <si>
    <t>svary 2%</t>
  </si>
  <si>
    <t>7800.0*0.02</t>
  </si>
  <si>
    <t>spojovací materiál + prořez .. 8%</t>
  </si>
  <si>
    <t>7800.0*0.08</t>
  </si>
  <si>
    <t>rezerva (např. doplňkové prvky samostatně neuvedené) .. 15%</t>
  </si>
  <si>
    <t>7800.0*0.15</t>
  </si>
  <si>
    <t>767995300.1</t>
  </si>
  <si>
    <t xml:space="preserve">Montáž a dodávka ocelových prvků suterénu </t>
  </si>
  <si>
    <t>1333292358</t>
  </si>
  <si>
    <t>D.1.2.01 - Výkres tvaru ZD</t>
  </si>
  <si>
    <t>X3.01 P 10</t>
  </si>
  <si>
    <t>28.3</t>
  </si>
  <si>
    <t>X3.02 P 15</t>
  </si>
  <si>
    <t>X3.03 P 15</t>
  </si>
  <si>
    <t>64.8</t>
  </si>
  <si>
    <t>D.1.2.02 - Výkres tvaru - výřez suterén</t>
  </si>
  <si>
    <t>X2.01  UPE 200</t>
  </si>
  <si>
    <t>383.0</t>
  </si>
  <si>
    <t>X2.02 JA 150x5</t>
  </si>
  <si>
    <t>67.8</t>
  </si>
  <si>
    <t>X2.03 JA 150x5</t>
  </si>
  <si>
    <t>81.8</t>
  </si>
  <si>
    <t>X2.04 HEA 140</t>
  </si>
  <si>
    <t>365.0</t>
  </si>
  <si>
    <t>X2.05 UPE 200</t>
  </si>
  <si>
    <t>198.8</t>
  </si>
  <si>
    <t>X2.06 P 10</t>
  </si>
  <si>
    <t>1208.70*0.02</t>
  </si>
  <si>
    <t>1208.70*0.08</t>
  </si>
  <si>
    <t>1208.70*0.15</t>
  </si>
  <si>
    <t>767995400.1</t>
  </si>
  <si>
    <t>Montáž a dodávka ztužujících ocelových prvků 1.PP</t>
  </si>
  <si>
    <t>-157530900</t>
  </si>
  <si>
    <t>Tz statiky Nové prostupy ve stropních konstrukcí budou zajištěny pomocí ocelových příloží UPE200 kotvených do betonový sloupů pomocí chemických M12.</t>
  </si>
  <si>
    <t>D.1.2.03 - Výkres tvaru 1.PP</t>
  </si>
  <si>
    <t>X1.01 UPE 200</t>
  </si>
  <si>
    <t>364.8</t>
  </si>
  <si>
    <t>X1.02 UPE 200</t>
  </si>
  <si>
    <t>761.5</t>
  </si>
  <si>
    <t>X1.03 UPE 200</t>
  </si>
  <si>
    <t>465.1</t>
  </si>
  <si>
    <t>X1.04 UPE 200</t>
  </si>
  <si>
    <t>843.6</t>
  </si>
  <si>
    <t>X1.05 UPE 200</t>
  </si>
  <si>
    <t>721.6</t>
  </si>
  <si>
    <t>X1.06 UPE 200</t>
  </si>
  <si>
    <t>71.1</t>
  </si>
  <si>
    <t>X1.07 UPE 200</t>
  </si>
  <si>
    <t>122.0</t>
  </si>
  <si>
    <t>3349.70*0.02</t>
  </si>
  <si>
    <t>3349.70*0.08</t>
  </si>
  <si>
    <t>3349.70*0.15</t>
  </si>
  <si>
    <t>41.00</t>
  </si>
  <si>
    <t>767995500.1</t>
  </si>
  <si>
    <t>Montáž a dodávka ztužujících ocelových prvků 1.NP</t>
  </si>
  <si>
    <t>860727231</t>
  </si>
  <si>
    <t>D.1.2.04 - Výkres tvaru 1.NP</t>
  </si>
  <si>
    <t>1.01 UPE 200</t>
  </si>
  <si>
    <t>1176.5</t>
  </si>
  <si>
    <t>1.02 UPE 200</t>
  </si>
  <si>
    <t>1231.2</t>
  </si>
  <si>
    <t>1.03 UPE 200</t>
  </si>
  <si>
    <t>1.04 UPE 200</t>
  </si>
  <si>
    <t>199.0</t>
  </si>
  <si>
    <t>3450.30*0.02</t>
  </si>
  <si>
    <t>3450.30*0.08</t>
  </si>
  <si>
    <t>3450.30*0.15</t>
  </si>
  <si>
    <t>767995600.1</t>
  </si>
  <si>
    <t>Montáž a dodávka ztužujících ocelových prvků 2.NP</t>
  </si>
  <si>
    <t>786823287</t>
  </si>
  <si>
    <t>D.1.2.05 - Výkres tvaru 2.NP</t>
  </si>
  <si>
    <t>2.01 UPE 200</t>
  </si>
  <si>
    <t>2.02 UPE 200</t>
  </si>
  <si>
    <t>2.03 UPE 200</t>
  </si>
  <si>
    <t>2.04 UPE 200</t>
  </si>
  <si>
    <t>767995700.1</t>
  </si>
  <si>
    <t>Montáž a dodávka ztužujících ocelových prvků 3.NP</t>
  </si>
  <si>
    <t>-165546491</t>
  </si>
  <si>
    <t>D.1.2.06 - Výkres tvaru 3.NP</t>
  </si>
  <si>
    <t>3.01 UPE 200</t>
  </si>
  <si>
    <t>3.02 UPE 200</t>
  </si>
  <si>
    <t>3.03 UPE 200</t>
  </si>
  <si>
    <t>3.04 UPE 200</t>
  </si>
  <si>
    <t>767995800.1</t>
  </si>
  <si>
    <t>Montáž a dodávka ztužujících ocelových prvků 4.NP</t>
  </si>
  <si>
    <t>82934521</t>
  </si>
  <si>
    <t>D.1.2.07 - Výkres tvaru 4.NP</t>
  </si>
  <si>
    <t>4.01 UPE 200</t>
  </si>
  <si>
    <t>4.02 UPE 200</t>
  </si>
  <si>
    <t>4.03 UPE 200</t>
  </si>
  <si>
    <t>4.04 UPE 200</t>
  </si>
  <si>
    <t>767995850.1</t>
  </si>
  <si>
    <t>Montáž a dodávka ocelových prvků nástavby stávajícího schodiště 4.NP</t>
  </si>
  <si>
    <t>986126874</t>
  </si>
  <si>
    <t>Nástavba schodiště osy 9-10</t>
  </si>
  <si>
    <t>4.26 HEA 160</t>
  </si>
  <si>
    <t>310,4</t>
  </si>
  <si>
    <t>4.27 UPE 240</t>
  </si>
  <si>
    <t>166,1</t>
  </si>
  <si>
    <t>4.28 UPE 240</t>
  </si>
  <si>
    <t>213,5</t>
  </si>
  <si>
    <t>4.29 UPE 240</t>
  </si>
  <si>
    <t>90,6</t>
  </si>
  <si>
    <t>4.30 UPE 240</t>
  </si>
  <si>
    <t>117,8</t>
  </si>
  <si>
    <t>4.31 UPE 240</t>
  </si>
  <si>
    <t>4.32 UPE 240</t>
  </si>
  <si>
    <t>4.33 UPE 240</t>
  </si>
  <si>
    <t>145,0</t>
  </si>
  <si>
    <t>4.34 IPE 100</t>
  </si>
  <si>
    <t>47,0</t>
  </si>
  <si>
    <t>1421.70*0.02</t>
  </si>
  <si>
    <t>1421.70*0.08</t>
  </si>
  <si>
    <t>1421.70*0.15</t>
  </si>
  <si>
    <t>767995900.1</t>
  </si>
  <si>
    <t>Montáž a dodávka nosné ocelové konstrukce 5.NP</t>
  </si>
  <si>
    <t>715799967</t>
  </si>
  <si>
    <t>D.1.2.08 - Výkres tvaru 5.NP</t>
  </si>
  <si>
    <t>Celková hmotnost dle výpisu hmotností ocelových prvků uvedených na výkresu tvaru</t>
  </si>
  <si>
    <t>32293.00</t>
  </si>
  <si>
    <t>odečet hmotností tyčí (táhel) započtených v samostatné položce</t>
  </si>
  <si>
    <t>základní hmotnost tyčí</t>
  </si>
  <si>
    <t>-167.5</t>
  </si>
  <si>
    <t>-113.7</t>
  </si>
  <si>
    <t>-103.5</t>
  </si>
  <si>
    <t>-9.6</t>
  </si>
  <si>
    <t>-63.0</t>
  </si>
  <si>
    <t>-48.4</t>
  </si>
  <si>
    <t>-5.5</t>
  </si>
  <si>
    <t>-167.0</t>
  </si>
  <si>
    <t>doplňková hmotnost tyčí</t>
  </si>
  <si>
    <t>-678.20*(0.02+0.08+0.15)</t>
  </si>
  <si>
    <t>odečet hmotností ocelových prvků venkovního schodiště započtených v samostatné položce</t>
  </si>
  <si>
    <t xml:space="preserve">základní hmotnost </t>
  </si>
  <si>
    <t>-186.3</t>
  </si>
  <si>
    <t>-84.7</t>
  </si>
  <si>
    <t>-150.9</t>
  </si>
  <si>
    <t>-243.4</t>
  </si>
  <si>
    <t xml:space="preserve">doplňková hmotnost </t>
  </si>
  <si>
    <t>-851.6*(0.02+0.08+0.15)</t>
  </si>
  <si>
    <t>998767113</t>
  </si>
  <si>
    <t>Přesun hmot tonážní pro zámečnické konstrukce s omezením mechanizace v objektech v přes 12 do 24 m</t>
  </si>
  <si>
    <t>-1580300538</t>
  </si>
  <si>
    <t>783301313</t>
  </si>
  <si>
    <t>Odmaštění zámečnických konstrukcí ředidlovým odmašťovačem</t>
  </si>
  <si>
    <t>44032584</t>
  </si>
  <si>
    <t>příprava povrchu nových ocelových konstrukcí a prvků před provedením nátěru</t>
  </si>
  <si>
    <t>Typický profil UPE 200 .. 0,697m2/m .. 22.8 kg/m =&gt; 0,035 m2 nátěru na 1 kg ocelové konstrukce (35 m2 / 1 t)</t>
  </si>
  <si>
    <t>Hmotnosti dle výkazu materiálu - ocelové konstrukce</t>
  </si>
  <si>
    <t>131.00*0.035</t>
  </si>
  <si>
    <t>1841.00*0.035</t>
  </si>
  <si>
    <t>6370.00*0.035</t>
  </si>
  <si>
    <t>6366.00*0.035</t>
  </si>
  <si>
    <t>6947.00*0.035</t>
  </si>
  <si>
    <t>6143.00*0.035</t>
  </si>
  <si>
    <t>9035.00*0.035</t>
  </si>
  <si>
    <t>D.1.2.08 - ocelová kce 5.NP, pozinkováno, nátěr jen konstrukcí, které budou přiznané v místě schodišť a výtahů.</t>
  </si>
  <si>
    <t>5.02 HEA 160</t>
  </si>
  <si>
    <t>186.3*0.035</t>
  </si>
  <si>
    <t>5.03 HEA 160</t>
  </si>
  <si>
    <t>138.2*0.035</t>
  </si>
  <si>
    <t>5.15 IPE 200</t>
  </si>
  <si>
    <t>239.7*0.035</t>
  </si>
  <si>
    <t>5.16 IPE 200</t>
  </si>
  <si>
    <t>657.4*0.035</t>
  </si>
  <si>
    <t>5.20 JA 80x5</t>
  </si>
  <si>
    <t>726.6*0.035</t>
  </si>
  <si>
    <t>5.29 JA 80x5</t>
  </si>
  <si>
    <t>117.7*0.035</t>
  </si>
  <si>
    <t>5.30 JA 80x5</t>
  </si>
  <si>
    <t>58.7*0.035</t>
  </si>
  <si>
    <t>5.41 HEA 120</t>
  </si>
  <si>
    <t>97.5*0.035</t>
  </si>
  <si>
    <t>Odečet kce exteriérového schodiště bez prvků 5.NP .. hmotnost viz položka ocel.kce schodiště, pozinkováno, nátěr není navrhován</t>
  </si>
  <si>
    <t>-9750.00*0.035</t>
  </si>
  <si>
    <t>84.7*0.035</t>
  </si>
  <si>
    <t>150.9*0.035</t>
  </si>
  <si>
    <t>243.4*0.035</t>
  </si>
  <si>
    <t>783334201</t>
  </si>
  <si>
    <t>Základní antikorozní jednonásobný nátěr zámečnických konstrukcí</t>
  </si>
  <si>
    <t>-1578949525</t>
  </si>
  <si>
    <t>783335101</t>
  </si>
  <si>
    <t>Mezinátěr jednonásobný mezinátěr zámečnických konstrukcí</t>
  </si>
  <si>
    <t>798946756</t>
  </si>
  <si>
    <t>783337101</t>
  </si>
  <si>
    <t>Krycí jednonásobný nátěr zámečnických konstrukcí</t>
  </si>
  <si>
    <t>-196660826</t>
  </si>
  <si>
    <t>asfaltovaplocha</t>
  </si>
  <si>
    <t>52,4</t>
  </si>
  <si>
    <t>delkadrenaze</t>
  </si>
  <si>
    <t>139,4</t>
  </si>
  <si>
    <t>F1podhledu</t>
  </si>
  <si>
    <t>115,79</t>
  </si>
  <si>
    <t>F1sloupu</t>
  </si>
  <si>
    <t>66,6</t>
  </si>
  <si>
    <t>F1sten</t>
  </si>
  <si>
    <t>1789,602</t>
  </si>
  <si>
    <t>F2podhledu</t>
  </si>
  <si>
    <t>179,66</t>
  </si>
  <si>
    <t>F2sten</t>
  </si>
  <si>
    <t>1421,618</t>
  </si>
  <si>
    <t>HIsvislaschodiste</t>
  </si>
  <si>
    <t>36,353</t>
  </si>
  <si>
    <t>jama_500m3</t>
  </si>
  <si>
    <t>198,896</t>
  </si>
  <si>
    <t>FAS - Fasády</t>
  </si>
  <si>
    <t>KZS_5NP_MV_180</t>
  </si>
  <si>
    <t>342,562</t>
  </si>
  <si>
    <t>KZS_MV_100</t>
  </si>
  <si>
    <t>140,36</t>
  </si>
  <si>
    <t>KZS_MV_180</t>
  </si>
  <si>
    <t>2545,834</t>
  </si>
  <si>
    <t>KZS_MV_40</t>
  </si>
  <si>
    <t>3,95</t>
  </si>
  <si>
    <t>KZS_MV_50</t>
  </si>
  <si>
    <t>76,184</t>
  </si>
  <si>
    <t>KZS_MV_80</t>
  </si>
  <si>
    <t>42,543</t>
  </si>
  <si>
    <t>KZSpodhled_MV_180</t>
  </si>
  <si>
    <t>239,115</t>
  </si>
  <si>
    <t>KZSpodhled_MV_60</t>
  </si>
  <si>
    <t>56,335</t>
  </si>
  <si>
    <t>odvozzeminy</t>
  </si>
  <si>
    <t>115,548</t>
  </si>
  <si>
    <t>okapovychodnik</t>
  </si>
  <si>
    <t>7,75</t>
  </si>
  <si>
    <t>omitkahladkavnejsi</t>
  </si>
  <si>
    <t>400,061</t>
  </si>
  <si>
    <t>omitkastukovavnejsi</t>
  </si>
  <si>
    <t>11,45</t>
  </si>
  <si>
    <t>ryha_2000mm_500m3</t>
  </si>
  <si>
    <t>459,535</t>
  </si>
  <si>
    <t>ryha_800mm_20m3</t>
  </si>
  <si>
    <t>6,199</t>
  </si>
  <si>
    <t>vyspravenizpevplochy</t>
  </si>
  <si>
    <t>XPS150_nadUT</t>
  </si>
  <si>
    <t>101,66</t>
  </si>
  <si>
    <t>XPS150podUT</t>
  </si>
  <si>
    <t>380,002</t>
  </si>
  <si>
    <t>zasyp</t>
  </si>
  <si>
    <t>549,082</t>
  </si>
  <si>
    <t>zasypomezenypohyb</t>
  </si>
  <si>
    <t>9,125</t>
  </si>
  <si>
    <t>zatepleniosteni</t>
  </si>
  <si>
    <t>1350,47</t>
  </si>
  <si>
    <t xml:space="preserve">    1 - Zemní práce</t>
  </si>
  <si>
    <t xml:space="preserve">    5 - Komunikace pozemní</t>
  </si>
  <si>
    <t>Zemní práce</t>
  </si>
  <si>
    <t>115101201</t>
  </si>
  <si>
    <t>Čerpání vody na dopravní výšku do 10 m průměrný přítok do 500 l/min</t>
  </si>
  <si>
    <t>hod</t>
  </si>
  <si>
    <t>673385699</t>
  </si>
  <si>
    <t>115101301</t>
  </si>
  <si>
    <t>Pohotovost čerpací soupravy pro dopravní výšku do 10 m přítok do 500 l/min</t>
  </si>
  <si>
    <t>den</t>
  </si>
  <si>
    <t>600420969</t>
  </si>
  <si>
    <t>121151103</t>
  </si>
  <si>
    <t>Sejmutí ornice plochy do 100 m2 tl vrstvy do 200 mm strojně</t>
  </si>
  <si>
    <t>1683944426</t>
  </si>
  <si>
    <t>Jižní fasáda</t>
  </si>
  <si>
    <t>osy 1-4 - bez zateplení pod UT, sousední pozemek</t>
  </si>
  <si>
    <t>osy 5-9</t>
  </si>
  <si>
    <t>(0,80+25,30)*2,20</t>
  </si>
  <si>
    <t>Krček ze západní strany (výkres Krček, řez A3)</t>
  </si>
  <si>
    <t>15,50*1,50</t>
  </si>
  <si>
    <t>Pozn.: Sejmutí ornice podél fasády pro provedení izolace budovy - tato ornice je sejmuta v rámci SO 02.</t>
  </si>
  <si>
    <t>131251104</t>
  </si>
  <si>
    <t>Hloubení jam nezapažených v hornině třídy těžitelnosti I skupiny 3 objem do 500 m3 strojně</t>
  </si>
  <si>
    <t>1088544722</t>
  </si>
  <si>
    <t>Celkový objem jámy</t>
  </si>
  <si>
    <t>Jáma pro novou výtahovou šachtu a schodiště (řez A2, B1)</t>
  </si>
  <si>
    <t>Svahovaná (řez A2, B1). Výpočet = (plocha dna + plocha výkopu v úrovni terénu)/2 x hloubka</t>
  </si>
  <si>
    <t>(9,45*3,80+12,70*5,20)/2*4,50</t>
  </si>
  <si>
    <t>odečet nehloubené zeminy pod podlahou schodiště na vyšší úrovni oproti výtahové šachtě (řez A2)</t>
  </si>
  <si>
    <t>-6,60*4,20*1,10</t>
  </si>
  <si>
    <t>Odečet ostatních tříd těžitelnosti</t>
  </si>
  <si>
    <t>tř.4</t>
  </si>
  <si>
    <t>-jama_500m3*0.40</t>
  </si>
  <si>
    <t>tř.5</t>
  </si>
  <si>
    <t>-jama_500m3*0.10</t>
  </si>
  <si>
    <t>131313701</t>
  </si>
  <si>
    <t>Hloubení nezapažených jam v soudržných horninách třídy těžitelnosti II skupiny 4 ručně</t>
  </si>
  <si>
    <t>-1511348495</t>
  </si>
  <si>
    <t>lokální dokopání strojních výkopů</t>
  </si>
  <si>
    <t>131351104</t>
  </si>
  <si>
    <t>Hloubení jam nezapažených v hornině třídy těžitelnosti II skupiny 4 objem do 500 m3 strojně</t>
  </si>
  <si>
    <t>1529324166</t>
  </si>
  <si>
    <t>40% objemu</t>
  </si>
  <si>
    <t>jama_500m3*0.40</t>
  </si>
  <si>
    <t>131451104</t>
  </si>
  <si>
    <t>Hloubení jam nezapažených v hornině třídy těžitelnosti II skupiny 5 objem do 500 m3 strojně</t>
  </si>
  <si>
    <t>905709658</t>
  </si>
  <si>
    <t>10% objemu</t>
  </si>
  <si>
    <t>jama_500m3*0.10</t>
  </si>
  <si>
    <t>132251101</t>
  </si>
  <si>
    <t>Hloubení rýh nezapažených š do 800 mm v hornině třídy těžitelnosti I skupiny 3 objem do 20 m3 strojně</t>
  </si>
  <si>
    <t>-1012318440</t>
  </si>
  <si>
    <t xml:space="preserve">rýha pro zákl.pasy nového výtahového schodiště z úrovně jámy pro schodiště (výkres tvaru ZD) </t>
  </si>
  <si>
    <t>(2*6,35+3,13)*0,90*0,40</t>
  </si>
  <si>
    <t xml:space="preserve">rýha pro zákl.patky (výkres tvaru ZD) </t>
  </si>
  <si>
    <t>4*0,50*0,50*0,50</t>
  </si>
  <si>
    <t>-ryha_800mm_20m3*0.50</t>
  </si>
  <si>
    <t>132251254</t>
  </si>
  <si>
    <t>Hloubení rýh nezapažených š do 2000 mm v hornině třídy těžitelnosti I skupiny 3 objem do 500 m3 strojně</t>
  </si>
  <si>
    <t>2103632795</t>
  </si>
  <si>
    <t>Pro izolace budovy pod U.T .</t>
  </si>
  <si>
    <t>-----------------------------</t>
  </si>
  <si>
    <t>severní fasáda (řez B3) - bez délky v místě výtahové šachty a schodiště, kde bude výkop formou jámy</t>
  </si>
  <si>
    <t>(70,00-11,20)*2,60*(0,80+1,70)/2</t>
  </si>
  <si>
    <t>vybočení severní fasády</t>
  </si>
  <si>
    <t>výtahová šachta (osa 2)</t>
  </si>
  <si>
    <t>2*3,00*2,60*(0,80+1,70)/2</t>
  </si>
  <si>
    <t>vybočení (osa 4)</t>
  </si>
  <si>
    <t>0,60*2,60*(0,80+1,70)/2</t>
  </si>
  <si>
    <t>schodiště (osa 9)</t>
  </si>
  <si>
    <t>2*5,20*2,60*(0,80+1,70)/2</t>
  </si>
  <si>
    <t>přístavba (osa 11)</t>
  </si>
  <si>
    <t>5,40*2,60*(0,80+1,70)/2</t>
  </si>
  <si>
    <t>Východní fasáda (řez A)</t>
  </si>
  <si>
    <t>(16,70+2,00)*2,60*(0,80+1,70)/2</t>
  </si>
  <si>
    <t xml:space="preserve">Jižní fasáda </t>
  </si>
  <si>
    <t>výška zateplení dle hloubky základů v řezu B1</t>
  </si>
  <si>
    <t>(0,80+25,30)*1,90*(0,80+1,50)/2</t>
  </si>
  <si>
    <t>osy 10-11 a více vpravo (vpravo od krčku na půdorysu)</t>
  </si>
  <si>
    <t>15,14*1,90*(0,80+1,50)/2</t>
  </si>
  <si>
    <t>Krček (výkres Krček, řez A3)</t>
  </si>
  <si>
    <t>7,10*0,50</t>
  </si>
  <si>
    <t>5,30*0,50</t>
  </si>
  <si>
    <t>9,50*0,50</t>
  </si>
  <si>
    <t>rýhy pro drenáž mimo obvod budovy</t>
  </si>
  <si>
    <t>trasa drenážního potrubí směrem od budovy na JV rohu (dle koordinační situace)</t>
  </si>
  <si>
    <t>13,00*2,00*(0,60+2,00)/2</t>
  </si>
  <si>
    <t>-ryha_2000mm_500m3*0.40</t>
  </si>
  <si>
    <t>-ryha_2000mm_500m3*0.10</t>
  </si>
  <si>
    <t>132351101</t>
  </si>
  <si>
    <t>Hloubení rýh nezapažených š do 800 mm v hornině třídy těžitelnosti II skupiny 4 objem do 20 m3 strojně</t>
  </si>
  <si>
    <t>1580751753</t>
  </si>
  <si>
    <t>50% objemu</t>
  </si>
  <si>
    <t>ryha_800mm_20m3*0.50</t>
  </si>
  <si>
    <t>132351254</t>
  </si>
  <si>
    <t>Hloubení rýh nezapažených š do 2000 mm v hornině třídy těžitelnosti II skupiny 4 objem do 500 m3 strojně</t>
  </si>
  <si>
    <t>500161674</t>
  </si>
  <si>
    <t>ryha_2000mm_500m3*0.40</t>
  </si>
  <si>
    <t>132451254</t>
  </si>
  <si>
    <t>Hloubení rýh nezapažených š do 2000 mm v hornině třídy těžitelnosti II skupiny 5 objem do 500 m3 strojně</t>
  </si>
  <si>
    <t>-116869250</t>
  </si>
  <si>
    <t>ryha_2000mm_500m3*0.10</t>
  </si>
  <si>
    <t>132551254</t>
  </si>
  <si>
    <t>Hloubení rýh nezapažených š do 2000 mm v hornině třídy těžitelnosti III skupiny 6 objem do 500 m3 strojně</t>
  </si>
  <si>
    <t>-1010232313</t>
  </si>
  <si>
    <t>lokální hloubení v hornině tř. těžitelnosti 6 v rámci výkopů rýh</t>
  </si>
  <si>
    <t>3,00</t>
  </si>
  <si>
    <t>139001101</t>
  </si>
  <si>
    <t>Příplatek za ztížení vykopávky v blízkosti podzemního vedení</t>
  </si>
  <si>
    <t>-103517036</t>
  </si>
  <si>
    <t>5% z celkového objemu vyhloubené zeminy</t>
  </si>
  <si>
    <t>jama_500m3*0.05</t>
  </si>
  <si>
    <t>ryha_800mm_20m3*0.05</t>
  </si>
  <si>
    <t>ryha_2000mm_500m3*0.05</t>
  </si>
  <si>
    <t>151101201</t>
  </si>
  <si>
    <t>Zřízení příložného pažení stěn výkopu hl do 4 m</t>
  </si>
  <si>
    <t>-798949580</t>
  </si>
  <si>
    <t>lokální zapažení výkopů v nutném rozsahu (výkopy budou dle pd svahovány, tudíž pažení nebude pro většinu objemu výkopů potřeba)</t>
  </si>
  <si>
    <t>151101211</t>
  </si>
  <si>
    <t>Odstranění příložného pažení stěn hl do 4 m</t>
  </si>
  <si>
    <t>-1546077790</t>
  </si>
  <si>
    <t>162251102</t>
  </si>
  <si>
    <t>Vodorovné přemístění přes 20 do 50 m výkopku/sypaniny z horniny třídy těžitelnosti I skupiny 1 až 3</t>
  </si>
  <si>
    <t>687456707</t>
  </si>
  <si>
    <t>přemístění vyhloubené zeminy určené pro zpětné zásypy v rámci staveniště</t>
  </si>
  <si>
    <t>na deponii</t>
  </si>
  <si>
    <t>zasyp*0.50</t>
  </si>
  <si>
    <t>zpět pro zásyp</t>
  </si>
  <si>
    <t>162251122</t>
  </si>
  <si>
    <t>Vodorovné přemístění přes 20 do 50 m výkopku/sypaniny z horniny třídy těžitelnosti II skupiny 4 a 5</t>
  </si>
  <si>
    <t>-685697788</t>
  </si>
  <si>
    <t>162751137</t>
  </si>
  <si>
    <t>Vodorovné přemístění přes 9 000 do 10000 m výkopku/sypaniny z horniny třídy těžitelnosti II skupiny 4 a 5</t>
  </si>
  <si>
    <t>1519795391</t>
  </si>
  <si>
    <t>odvoz přebytečné vyhloubené zeminy</t>
  </si>
  <si>
    <t>celkový objem vyhloubené zeminy</t>
  </si>
  <si>
    <t>odečet objemu zeminy použité pro zpětný zásyp</t>
  </si>
  <si>
    <t>-zasyp</t>
  </si>
  <si>
    <t>162751139</t>
  </si>
  <si>
    <t>Příplatek k vodorovnému přemístění výkopku/sypaniny z horniny třídy těžitelnosti II skupiny 4 a 5 ZKD 1000 m přes 10000 m</t>
  </si>
  <si>
    <t>722557676</t>
  </si>
  <si>
    <t>odvozzeminy*5</t>
  </si>
  <si>
    <t>167151111</t>
  </si>
  <si>
    <t>Nakládání výkopku z hornin třídy těžitelnosti I skupiny 1 až 3 přes 100 m3</t>
  </si>
  <si>
    <t>-1510433360</t>
  </si>
  <si>
    <t>nakládání vyhloubené zeminy určené pro zpětné zásypy na deponii zpět pro zásyp</t>
  </si>
  <si>
    <t>167151112</t>
  </si>
  <si>
    <t>Nakládání výkopku z hornin třídy těžitelnosti II skupiny 4 a 5 přes 100 m3</t>
  </si>
  <si>
    <t>1819751870</t>
  </si>
  <si>
    <t>171201231</t>
  </si>
  <si>
    <t>Poplatek za uložení zeminy a kamení na recyklační skládce (skládkovné) kód odpadu 17 05 04</t>
  </si>
  <si>
    <t>-1687733253</t>
  </si>
  <si>
    <t>odvozzeminy*1.80</t>
  </si>
  <si>
    <t>171251201</t>
  </si>
  <si>
    <t>Uložení sypaniny na skládky nebo meziskládky</t>
  </si>
  <si>
    <t>811766188</t>
  </si>
  <si>
    <t>uložení zeminy určené pro zásypy na deponii v rámci staveniště</t>
  </si>
  <si>
    <t>uložení odvezené zeminy na skládku zajištěnou zhotovitelem stavby</t>
  </si>
  <si>
    <t>174151101</t>
  </si>
  <si>
    <t>Zásyp jam, šachet rýh nebo kolem objektů sypaninou se zhutněním</t>
  </si>
  <si>
    <t>-745505372</t>
  </si>
  <si>
    <t>odečet objemu zeminy nahrazené obsypem drenáže</t>
  </si>
  <si>
    <t>-delkadrenaze*0,70*0,60</t>
  </si>
  <si>
    <t>odečet objemu Xps 150 mm pod terénem</t>
  </si>
  <si>
    <t>-XPS150podUT*0,15</t>
  </si>
  <si>
    <t>174151102</t>
  </si>
  <si>
    <t>Zásyp v prostoru s omezeným pohybem stroje sypaninou se zhutněním</t>
  </si>
  <si>
    <t>2055989415</t>
  </si>
  <si>
    <t>D.1.1.14 .. zásypy kolem m. -2.00.02</t>
  </si>
  <si>
    <t>1,10*2,90*1,65</t>
  </si>
  <si>
    <t>0,80*0,90*1,65</t>
  </si>
  <si>
    <t>1,80*0,90*1,65</t>
  </si>
  <si>
    <t>181311103</t>
  </si>
  <si>
    <t>Rozprostření ornice tl vrstvy do 200 mm v rovině nebo ve svahu do 1:5 ručně</t>
  </si>
  <si>
    <t>-1379270981</t>
  </si>
  <si>
    <t>rozprostření ornice podél fasády po provedení izolace budovy v plochách, které nejsou součástí rozpočtu SO 03 SÚ</t>
  </si>
  <si>
    <t>181411131</t>
  </si>
  <si>
    <t>Založení parkového trávníku výsevem pl do 1000 m2 v rovině a ve svahu do 1:5</t>
  </si>
  <si>
    <t>2010511885</t>
  </si>
  <si>
    <t>dle rozprostření ornice</t>
  </si>
  <si>
    <t>80,67</t>
  </si>
  <si>
    <t>00572410</t>
  </si>
  <si>
    <t>osivo směs travní parková</t>
  </si>
  <si>
    <t>2107966393</t>
  </si>
  <si>
    <t>80,67*0,02 'Přepočtené koeficientem množství</t>
  </si>
  <si>
    <t>181951112</t>
  </si>
  <si>
    <t>Úprava pláně v hornině třídy těžitelnosti I skupiny 1 až 3 se zhutněním strojně</t>
  </si>
  <si>
    <t>-675339750</t>
  </si>
  <si>
    <t>pro okapový chodník</t>
  </si>
  <si>
    <t>pro vyspravení zpevněných ploch</t>
  </si>
  <si>
    <t>183403153</t>
  </si>
  <si>
    <t>Obdělání půdy hrabáním v rovině a svahu do 1:5</t>
  </si>
  <si>
    <t>-1845852660</t>
  </si>
  <si>
    <t>Poznámka k položce:
tři opakování (3x9 450=28 350 m2)</t>
  </si>
  <si>
    <t>185803111.1</t>
  </si>
  <si>
    <t>Pohnojení a zalití trávníku po výsadbě</t>
  </si>
  <si>
    <t>-1564577078</t>
  </si>
  <si>
    <t>185803211</t>
  </si>
  <si>
    <t>Uválcování trávníku v rovině a svahu do 1:5</t>
  </si>
  <si>
    <t>-2043953744</t>
  </si>
  <si>
    <t>211971121</t>
  </si>
  <si>
    <t>Zřízení opláštění žeber nebo trativodů geotextilií v rýze nebo zářezu sklonu přes 1:2 š do 2,5 m</t>
  </si>
  <si>
    <t>-166563937</t>
  </si>
  <si>
    <t>delkadrenaze*(0,70+0,60)*2</t>
  </si>
  <si>
    <t>69311172</t>
  </si>
  <si>
    <t>geotextilie PP s ÚV stabilizací 300g/m2</t>
  </si>
  <si>
    <t>1100750063</t>
  </si>
  <si>
    <t>362,44*1,05 'Přepočtené koeficientem množství</t>
  </si>
  <si>
    <t>212532111</t>
  </si>
  <si>
    <t>Lože pro trativody z kameniva hrubého drceného</t>
  </si>
  <si>
    <t>776529323</t>
  </si>
  <si>
    <t>Dle Stz .. Obsyp drenážního potrubí štěrkem HDK 8/16 (8/32)</t>
  </si>
  <si>
    <t>delkadrenaze*0,70*0,60</t>
  </si>
  <si>
    <t>212755215</t>
  </si>
  <si>
    <t>Trativody z drenážních trubek plastových flexibilních D 125 mm bez lože</t>
  </si>
  <si>
    <t>1395550481</t>
  </si>
  <si>
    <t>severní fasáda (řez B2)</t>
  </si>
  <si>
    <t>69,00</t>
  </si>
  <si>
    <t>2*3,00</t>
  </si>
  <si>
    <t>0,60</t>
  </si>
  <si>
    <t>2*5,20</t>
  </si>
  <si>
    <t>5,40</t>
  </si>
  <si>
    <t xml:space="preserve">Východní fasáda </t>
  </si>
  <si>
    <t>17,00</t>
  </si>
  <si>
    <t>osa 10-11 a více vpravo</t>
  </si>
  <si>
    <t>18,00</t>
  </si>
  <si>
    <t>13,00</t>
  </si>
  <si>
    <t xml:space="preserve">Pozn.: Dle Stz ..  Zaústění drenážního potrubí do tělesa uličních vpusti nebo žlabu, nebo pomocí revizních šachet drenáže zaústěny </t>
  </si>
  <si>
    <t>přímo do dešťové kanalizace.</t>
  </si>
  <si>
    <t>895270001</t>
  </si>
  <si>
    <t>Proplachovací a kontrolní šachta z PVC-U vnější průměr 315 mm pro drenáže budov s lapačem písku užitné výšky 350 mm</t>
  </si>
  <si>
    <t>1024761910</t>
  </si>
  <si>
    <t xml:space="preserve">severní fasáda </t>
  </si>
  <si>
    <t>895270021</t>
  </si>
  <si>
    <t>Proplachovací a kontrolní šachta z PVC-U vnější průměr 315 mm pro drenáže budov šachtové prodloužení světlé hloubky 800 mm</t>
  </si>
  <si>
    <t>-1985088031</t>
  </si>
  <si>
    <t>13*3</t>
  </si>
  <si>
    <t>3*3</t>
  </si>
  <si>
    <t>4*2</t>
  </si>
  <si>
    <t>895270031</t>
  </si>
  <si>
    <t>Proplachovací a kontrolní šachta z PVC-U vnější průměr 315 mm pro drenáže budov redukce DN 200/100-150</t>
  </si>
  <si>
    <t>-936311290</t>
  </si>
  <si>
    <t>20*2</t>
  </si>
  <si>
    <t>895270201.1</t>
  </si>
  <si>
    <t>Poklop plastový proplachovací a kontrolní šachty</t>
  </si>
  <si>
    <t>1440390400</t>
  </si>
  <si>
    <t>Komunikace pozemní</t>
  </si>
  <si>
    <t>564861011</t>
  </si>
  <si>
    <t>Podklad ze štěrkodrtě ŠD plochy do 100 m2 tl 200 mm</t>
  </si>
  <si>
    <t>-1440962334</t>
  </si>
  <si>
    <t>podkladní vrstva okapového chodníku</t>
  </si>
  <si>
    <t>D.1.1.22 - skladba a rozsah viz řez A</t>
  </si>
  <si>
    <t>Vyspravení stávajícího asfaltového krytu v průjezdu východní fasády po provedení izolace budovy.</t>
  </si>
  <si>
    <t>11,50*4,10</t>
  </si>
  <si>
    <t>Vyspravení stávajícího asfaltového chodníku vedoucího ze západní strany ke krčku po provedení izolace krčku</t>
  </si>
  <si>
    <t>3,50*1,50</t>
  </si>
  <si>
    <t>Pozn.: Ostatní zpevněné plochy řešené v rámci pd SO 02 viz rozpočet SO 02. Např. plocha dvora při JV rohu budovy.</t>
  </si>
  <si>
    <t>565145121</t>
  </si>
  <si>
    <t>Asfaltový beton vrstva podkladní ACP 16 (obalované kamenivo OKS) tl 60 mm š přes 3 m</t>
  </si>
  <si>
    <t>-288254471</t>
  </si>
  <si>
    <t>567121114</t>
  </si>
  <si>
    <t>Podklad ze směsi stmelené cementem SC C 3/4 (SC I) tl 150 mm</t>
  </si>
  <si>
    <t>-817330561</t>
  </si>
  <si>
    <t>573111112</t>
  </si>
  <si>
    <t>Postřik živičný infiltrační s posypem z asfaltu množství 1 kg/m2</t>
  </si>
  <si>
    <t>-137624818</t>
  </si>
  <si>
    <t>573231106</t>
  </si>
  <si>
    <t>Postřik živičný spojovací ze silniční emulze v množství 0,30 kg/m2</t>
  </si>
  <si>
    <t>1075456230</t>
  </si>
  <si>
    <t>577134131</t>
  </si>
  <si>
    <t>Asfaltový beton vrstva obrusná ACO 11 (ABS) tl 40 mm š do 3 m z modifikovaného asfaltu</t>
  </si>
  <si>
    <t>-1601929157</t>
  </si>
  <si>
    <t>621131321</t>
  </si>
  <si>
    <t>Penetrační nátěr vnějších podhledů nanášený strojně</t>
  </si>
  <si>
    <t>-137418681</t>
  </si>
  <si>
    <t>Penetrace před provedením zateplení - dle povrchu a doporučení výrobce systému ETICS</t>
  </si>
  <si>
    <t>621151011</t>
  </si>
  <si>
    <t>Penetrační silikátový nátěr vnějších pastovitých tenkovrstvých omítek podhledů</t>
  </si>
  <si>
    <t>1035139175</t>
  </si>
  <si>
    <t>systémová penetrace dle zvoleného typu omítky</t>
  </si>
  <si>
    <t>621221011</t>
  </si>
  <si>
    <t>Montáž kontaktního zateplení vnějších podhledů lepením a mechanickým kotvením desek z minerální vlny s podélnou orientací do betonu a zdiva tl přes 40 do 80 mm</t>
  </si>
  <si>
    <t>-2058159772</t>
  </si>
  <si>
    <t>MW 60 mm</t>
  </si>
  <si>
    <t>---------------------------------------</t>
  </si>
  <si>
    <t>Podhledy balkónů 5.NP (řez B2)</t>
  </si>
  <si>
    <t>12,80*1,20</t>
  </si>
  <si>
    <t>37,25*1,10</t>
  </si>
  <si>
    <t>63142022</t>
  </si>
  <si>
    <t>deska tepelně izolační minerální kontaktních fasád podélné vlákno λ=0,035-0,036 tl 60mm</t>
  </si>
  <si>
    <t>1150027454</t>
  </si>
  <si>
    <t>56,335*1,05 'Přepočtené koeficientem množství</t>
  </si>
  <si>
    <t>621221041</t>
  </si>
  <si>
    <t>Montáž kontaktního zateplení vnějších podhledů lepením a mechanickým kotvením TI z minerální vlny s podélnou orientací do betonu a zdiva tl přes 160 do 200 mm</t>
  </si>
  <si>
    <t>-170332435</t>
  </si>
  <si>
    <t>PODHLEDY MW TL. 180 mm</t>
  </si>
  <si>
    <t>---------------------------------</t>
  </si>
  <si>
    <t>podhled atiky z vnější strany v řezu vlevo</t>
  </si>
  <si>
    <t>19,50*(0,90+0,15)</t>
  </si>
  <si>
    <t>Jižní fasáda (osy 1-11 a více vpravo na půdorysu/A-B)</t>
  </si>
  <si>
    <t>Podhledy balkónů 1.NP-4.NP (řez B2)</t>
  </si>
  <si>
    <t>(3*4+7*4+4*3)*2,75*1,10</t>
  </si>
  <si>
    <t>Podhled 2.NP z východní fasády (řez A)</t>
  </si>
  <si>
    <t>(4,25+0,60+0,45+0,45+0,25)*9,45</t>
  </si>
  <si>
    <t>ozub nad 1.NP (jižní a severní fasáda)</t>
  </si>
  <si>
    <t>11,60*2*0,20</t>
  </si>
  <si>
    <t>63142030</t>
  </si>
  <si>
    <t>deska tepelně izolační minerální kontaktních fasád podélné vlákno λ=0,035-0,036 tl 180mm</t>
  </si>
  <si>
    <t>-545536461</t>
  </si>
  <si>
    <t>239,115*1,05 'Přepočtené koeficientem množství</t>
  </si>
  <si>
    <t>621325101</t>
  </si>
  <si>
    <t>Oprava vnější vápenocementové hladké omítky složitosti 1 podhledů v rozsahu do 10 %</t>
  </si>
  <si>
    <t>-1009991922</t>
  </si>
  <si>
    <t>Oprava/příprava a vyrovnání stávající omítky před provedením zateplení - dle povrchu a doporučení výrobce systému ETICS</t>
  </si>
  <si>
    <t>(penetrace viz samostatná položka)</t>
  </si>
  <si>
    <t>621521022</t>
  </si>
  <si>
    <t>F2 - Tenkovrstvá silikátová zatíraná omítka zrnitost 2,0 mm vnějších podhledů</t>
  </si>
  <si>
    <t>27276301</t>
  </si>
  <si>
    <t>Krček - podhled atiky z vnější strany v řezu vlevo</t>
  </si>
  <si>
    <t>621521022.1</t>
  </si>
  <si>
    <t>F1 - Tenkovrstvá silikátová strukturovaná omítka zrnitost 2,0 mm vnějších podhledů</t>
  </si>
  <si>
    <t>-27867133</t>
  </si>
  <si>
    <t>Celková plocha zateplení podhledů</t>
  </si>
  <si>
    <t>Odečet omítky F2</t>
  </si>
  <si>
    <t>-F2podhledu</t>
  </si>
  <si>
    <t>622131101</t>
  </si>
  <si>
    <t>Cementový postřik vnějších stěn nanášený celoplošně ručně</t>
  </si>
  <si>
    <t>-1237223181</t>
  </si>
  <si>
    <t>622131321</t>
  </si>
  <si>
    <t>Penetrační nátěr vnějších stěn nanášený strojně</t>
  </si>
  <si>
    <t>1422255308</t>
  </si>
  <si>
    <t>zatepleniosteni*0,15</t>
  </si>
  <si>
    <t>622151011</t>
  </si>
  <si>
    <t>Penetrační silikátový nátěr vnějších pastovitých tenkovrstvých omítek stěn</t>
  </si>
  <si>
    <t>525696098</t>
  </si>
  <si>
    <t>622151021</t>
  </si>
  <si>
    <t>Penetrační akrylátový nátěr vnějších mozaikových tenkovrstvých omítek stěn</t>
  </si>
  <si>
    <t>-1292319390</t>
  </si>
  <si>
    <t>622211041</t>
  </si>
  <si>
    <t>Montáž kontaktního zateplení vnějších stěn lepením a mechanickým kotvením polystyrénových desek do betonu a zdiva tl přes 160 do 200 mm</t>
  </si>
  <si>
    <t>-1920906683</t>
  </si>
  <si>
    <t xml:space="preserve">XPS 150 mm nad UT </t>
  </si>
  <si>
    <t>osy 1-2 - budova bez nástavby</t>
  </si>
  <si>
    <t>6,55*0,50</t>
  </si>
  <si>
    <t>osy 2-11 - budova s nástavbou</t>
  </si>
  <si>
    <t>(68,48-6,55-11,60)*0,50</t>
  </si>
  <si>
    <t>od osy 11 na pohledu vlevo - budova bez nástavby</t>
  </si>
  <si>
    <t>11,60*0,50" 1.NP</t>
  </si>
  <si>
    <t>2*3,00*0,50</t>
  </si>
  <si>
    <t>0,60*0,50</t>
  </si>
  <si>
    <t>2*5,20*0,50</t>
  </si>
  <si>
    <t>5,40*0,50</t>
  </si>
  <si>
    <t>(osy 11 a více vpravo na půdorysu/B-C a více nahoru na půdorysu)</t>
  </si>
  <si>
    <t>XPS 150 mm nad UT</t>
  </si>
  <si>
    <t>9,45*0,50</t>
  </si>
  <si>
    <t>sloupy</t>
  </si>
  <si>
    <t>3*(0,96+1,26)*2*0,50</t>
  </si>
  <si>
    <t>osa 1-9/A</t>
  </si>
  <si>
    <t>44,95*0,50</t>
  </si>
  <si>
    <t>vybočení</t>
  </si>
  <si>
    <t>(0,15+0,65)*0,50</t>
  </si>
  <si>
    <t>osa 9-11/A</t>
  </si>
  <si>
    <t>17,75*0,50</t>
  </si>
  <si>
    <t>odečet krčku</t>
  </si>
  <si>
    <t>-6,20*0,50</t>
  </si>
  <si>
    <t>-5,05*0,50</t>
  </si>
  <si>
    <t>schodiště vpravo od osy 11</t>
  </si>
  <si>
    <t>5,71*0,50</t>
  </si>
  <si>
    <t>0,21*0,50</t>
  </si>
  <si>
    <t>přístavba vpravo od schodiště</t>
  </si>
  <si>
    <t>1.PP-1.NP</t>
  </si>
  <si>
    <t>6,10*0,50</t>
  </si>
  <si>
    <t>zateplení fasády místností 1.PP pod terasou (půdorys 1.PP)</t>
  </si>
  <si>
    <t>3,50*0,50</t>
  </si>
  <si>
    <t>28376448</t>
  </si>
  <si>
    <t>deska XPS hrana rovná a strukturovaný povrch 300kPA λ=0,035 tl 180mm</t>
  </si>
  <si>
    <t>-1767707310</t>
  </si>
  <si>
    <t>101,66*1,05 'Přepočtené koeficientem množství</t>
  </si>
  <si>
    <t>622221001</t>
  </si>
  <si>
    <t>Montáž kontaktního zateplení vnějších stěn lepením a mechanickým kotvením desek z minerální vlny s podélnou orientací do zdiva a betonu tl do 40 mm</t>
  </si>
  <si>
    <t>1359568210</t>
  </si>
  <si>
    <t>MW 40 mm</t>
  </si>
  <si>
    <t>--------------------------------------</t>
  </si>
  <si>
    <t>boky sloupů vlevo</t>
  </si>
  <si>
    <t>5*0,20*3,95</t>
  </si>
  <si>
    <t>63142020</t>
  </si>
  <si>
    <t>deska tepelně izolační minerální kontaktních fasád podélné vlákno λ=0,035-0,036 tl 40mm</t>
  </si>
  <si>
    <t>678395733</t>
  </si>
  <si>
    <t>3,95*1,05 'Přepočtené koeficientem množství</t>
  </si>
  <si>
    <t>622221011</t>
  </si>
  <si>
    <t>Montáž kontaktního zateplení vnějších stěn lepením a mechanickým kotvením TI z minerální vlny s podélnou orientací do zdiva a betonu tl přes 40 do 80 mm</t>
  </si>
  <si>
    <t>1605324229</t>
  </si>
  <si>
    <t>MW 50 mm</t>
  </si>
  <si>
    <t>na zdivu u výtahových šachet dle půdorysů .. osa C</t>
  </si>
  <si>
    <t>MW 80 mm</t>
  </si>
  <si>
    <t xml:space="preserve">venkovní panely balkonů 5.NP z vnitřní strany (řez B2) </t>
  </si>
  <si>
    <t>12,80*0,85</t>
  </si>
  <si>
    <t>37,25*0,85</t>
  </si>
  <si>
    <t>63142021</t>
  </si>
  <si>
    <t>deska tepelně izolační minerální kontaktních fasád podélné vlákno λ=0,035-0,036 tl 50mm</t>
  </si>
  <si>
    <t>-844857289</t>
  </si>
  <si>
    <t>63142024</t>
  </si>
  <si>
    <t>deska tepelně izolační minerální kontaktních fasád podélné vlákno λ=0,035-0,036 tl 80mm</t>
  </si>
  <si>
    <t>-1483508246</t>
  </si>
  <si>
    <t>42,543*1,05 'Přepočtené koeficientem množství</t>
  </si>
  <si>
    <t>66</t>
  </si>
  <si>
    <t>622221021</t>
  </si>
  <si>
    <t>Montáž kontaktního zateplení vnějších stěn lepením a mechanickým kotvením TI z minerální vlny s podélnou orientací do zdiva a betonu tl přes 80 do 120 mm</t>
  </si>
  <si>
    <t>-1871499421</t>
  </si>
  <si>
    <t>MW 100 mm</t>
  </si>
  <si>
    <t xml:space="preserve">Boky balkonů 1.NP (půdorysy) </t>
  </si>
  <si>
    <t>8*1,10*2,90</t>
  </si>
  <si>
    <t xml:space="preserve">Boky balkonů 2.-4.NP (půdorysy) </t>
  </si>
  <si>
    <t>3*12*1,10*2,90</t>
  </si>
  <si>
    <t>63142025</t>
  </si>
  <si>
    <t>deska tepelně izolační minerální kontaktních fasád podélné vlákno λ=0,035-0,036 tl 100mm</t>
  </si>
  <si>
    <t>-1654152370</t>
  </si>
  <si>
    <t>140,36*1,05 'Přepočtené koeficientem množství</t>
  </si>
  <si>
    <t>622221041</t>
  </si>
  <si>
    <t>Montáž kontaktního zateplení vnějších stěn lepením a mechanickým kotvením desek z minerální vlny s podélnou orientací do zdiva a betonu tl přes 160 do 200mm</t>
  </si>
  <si>
    <t>-247815270</t>
  </si>
  <si>
    <t>Dle půdorysů, řezů a pohledů</t>
  </si>
  <si>
    <t>tl. 180 mm - do betonu a zdiva</t>
  </si>
  <si>
    <t>Západní fasáda</t>
  </si>
  <si>
    <t>osy 1/A-C (řez A)</t>
  </si>
  <si>
    <t>10,26*14,60</t>
  </si>
  <si>
    <t>10,26*0,15" zub ve spodní části</t>
  </si>
  <si>
    <t>-8*1,80*2,05" O09</t>
  </si>
  <si>
    <t>-4*2,40*2,05" O15</t>
  </si>
  <si>
    <t>Severní fasáda (osy 1-11 a více vpravo na půdorysu/C)</t>
  </si>
  <si>
    <t>----------------------------</t>
  </si>
  <si>
    <t>(od výšky odečten XPS do výše 500 mm nad UT)</t>
  </si>
  <si>
    <t>6,55*(14,70-0,50)</t>
  </si>
  <si>
    <t>2,40*0,50/2</t>
  </si>
  <si>
    <t>(odečet výšky nástavby 5.NP (řez B2) - viz samostatná položka)</t>
  </si>
  <si>
    <t>(73,40-6,55-16,50)*(17,70-0,50-3,35)</t>
  </si>
  <si>
    <t>11,60*(3,70-0,50)+4,40*0,90" 1.NP</t>
  </si>
  <si>
    <t>16,50*11,70" 2.-4.NP</t>
  </si>
  <si>
    <t>odečet dveří</t>
  </si>
  <si>
    <t>-4*1,00*2,15" D30</t>
  </si>
  <si>
    <t>-1*1,35*2,15" D31</t>
  </si>
  <si>
    <t xml:space="preserve">odečet oken </t>
  </si>
  <si>
    <t>-4*1,20*1,80" O01</t>
  </si>
  <si>
    <t>-1*1,95*1,80 "O10</t>
  </si>
  <si>
    <t>-3*1,95*2,03 "O11</t>
  </si>
  <si>
    <t>-2*1,96*0,60 " O12</t>
  </si>
  <si>
    <t>-1*3,90*0,90 " O19</t>
  </si>
  <si>
    <t>-1*3,90*1,80 " O21</t>
  </si>
  <si>
    <t>-2*3,90*2,03 " O22</t>
  </si>
  <si>
    <t>-4*4,00*1,80" O23</t>
  </si>
  <si>
    <t>-1*(1,95*2,03+2,55*0,90)" O24</t>
  </si>
  <si>
    <t>-2*4,50*2,03" O25</t>
  </si>
  <si>
    <t>-12*5,40*1,80" O27</t>
  </si>
  <si>
    <t>-8*5,50*1,80" O28</t>
  </si>
  <si>
    <t>2*3,00*(17,70-0,50)</t>
  </si>
  <si>
    <t>0,60*(17,70-0,50-3,35)</t>
  </si>
  <si>
    <t>2*5,20*(17,70-0,50-3,35)</t>
  </si>
  <si>
    <t>odečet prosklených stěn</t>
  </si>
  <si>
    <t>-3,60*15,95</t>
  </si>
  <si>
    <t>-4,77*15,95</t>
  </si>
  <si>
    <t>5,40*(17,70-0,50)</t>
  </si>
  <si>
    <t>-2*1,35*1,80" O06</t>
  </si>
  <si>
    <t>9,45*(16,90-0,50)</t>
  </si>
  <si>
    <t>3*(0,96+1,26)*2*(5,50-0,50)</t>
  </si>
  <si>
    <t>(osy 11 a více vpravo na půdorysu/A-B)</t>
  </si>
  <si>
    <t>6,65*14,80</t>
  </si>
  <si>
    <t>odečet prosklené stěny</t>
  </si>
  <si>
    <t>-5,65*12,95</t>
  </si>
  <si>
    <t>0,915*3,20</t>
  </si>
  <si>
    <t>(1,50+4,67)*3,20/2</t>
  </si>
  <si>
    <t>Strojovna výtahu (půdorys 5.NP)</t>
  </si>
  <si>
    <t>(2*4,18+4,20)*3,80</t>
  </si>
  <si>
    <t>4,20*(18,024-17,29)" západní strana strojovny výtahu nad přístvbou 5.NP</t>
  </si>
  <si>
    <t>odečet dveří a oken</t>
  </si>
  <si>
    <t>-0,90*1,97</t>
  </si>
  <si>
    <t>-2*0,90*1,25</t>
  </si>
  <si>
    <t>-------------------------------------------------------</t>
  </si>
  <si>
    <t>(od výšky odečten XPS do výše 500 mm nad UT, viz samostatná položka)</t>
  </si>
  <si>
    <t>44,95*(16,20-0,50)</t>
  </si>
  <si>
    <t>(0,15+0,65)*(16,20-0,50)</t>
  </si>
  <si>
    <t>17,75*(16,50-0,50)</t>
  </si>
  <si>
    <t>-6,20*(2,40-0,50)</t>
  </si>
  <si>
    <t>-5,05*(3,20-0,50)</t>
  </si>
  <si>
    <t>5,71*(17,60-0,50)</t>
  </si>
  <si>
    <t>0,21*(17,60-0,50)</t>
  </si>
  <si>
    <t>6,10*(5,60-0,50)</t>
  </si>
  <si>
    <t>2.NP-4.NP</t>
  </si>
  <si>
    <t>11,00*11,80</t>
  </si>
  <si>
    <t>-14*0,90*0,60 " O03</t>
  </si>
  <si>
    <t>-1*2,40*1,80 " O04</t>
  </si>
  <si>
    <t>-1*1,70*1,07 "O07</t>
  </si>
  <si>
    <t>-1*1,80*1,80 "O08</t>
  </si>
  <si>
    <t>-1*2,40*1,07 "O13</t>
  </si>
  <si>
    <t>-3*2,40*1,92 "O14</t>
  </si>
  <si>
    <t>-2*2,50*2,03 " O16</t>
  </si>
  <si>
    <t>-1*2,675*1,80 "O17</t>
  </si>
  <si>
    <t>-4*2,675*1,92 "O18</t>
  </si>
  <si>
    <t>-1*3,90*1,80 " O20</t>
  </si>
  <si>
    <t>-3*4,50*2,03 " O26</t>
  </si>
  <si>
    <t>-2*2,35*1,65" O31</t>
  </si>
  <si>
    <t>-(12+38)*(0,90*2,55+1,45*1,45) "O32</t>
  </si>
  <si>
    <t>-1*(0,90*1,97+1,20*1,12) "O33</t>
  </si>
  <si>
    <t>MW 180 mm</t>
  </si>
  <si>
    <t>(10*2-8)*1,10*2,90</t>
  </si>
  <si>
    <t>3*(14*2-12)*1,10*2,90</t>
  </si>
  <si>
    <t xml:space="preserve">Bok balkonů 5.NP (osa 4, půdorys 5.NP) </t>
  </si>
  <si>
    <t>0,75*3,05</t>
  </si>
  <si>
    <t>3,50*3,20</t>
  </si>
  <si>
    <t>odečet vrat</t>
  </si>
  <si>
    <t>-2,30*1,90" D35</t>
  </si>
  <si>
    <t>TL. 180 mm</t>
  </si>
  <si>
    <t>atika z vnější strany v řezu vpravo</t>
  </si>
  <si>
    <t>19,50*2,00</t>
  </si>
  <si>
    <t>atika z vnější strany v řezu vlevo</t>
  </si>
  <si>
    <t>19,50*1,20</t>
  </si>
  <si>
    <t>stěna z vnější strany v řezu vpravo</t>
  </si>
  <si>
    <t>7,10*4,95</t>
  </si>
  <si>
    <t>5,30*0,90</t>
  </si>
  <si>
    <t>9,50*1,60</t>
  </si>
  <si>
    <t>sloupy vlevo</t>
  </si>
  <si>
    <t>(0,83+0,51+0,71)*2,85</t>
  </si>
  <si>
    <t>odečet výplní otvorů</t>
  </si>
  <si>
    <t>-5*0,97*0,75</t>
  </si>
  <si>
    <t>-2*2,40*2,02 " D36</t>
  </si>
  <si>
    <t>622221043</t>
  </si>
  <si>
    <t>Montáž kontaktního zateplení vnějších stěn lepením a mechanickým kotvením desek z minerální vlny s podélnou orientací do dřeva přes 160 do 200 mm</t>
  </si>
  <si>
    <t>954575795</t>
  </si>
  <si>
    <t>tl. 180 mm - do sendvičových panelů 5.NP</t>
  </si>
  <si>
    <t>-----------------------------------------------------</t>
  </si>
  <si>
    <t>Západní fasáda - Nástavba  5.NP (řez A)</t>
  </si>
  <si>
    <t>9,75*4,10</t>
  </si>
  <si>
    <t>0,36*1,20</t>
  </si>
  <si>
    <t>-1,00*2,15" D30</t>
  </si>
  <si>
    <t>Severní fasáda - Nástavba 5.NP (řez B2)</t>
  </si>
  <si>
    <t>50,70*3,35</t>
  </si>
  <si>
    <t>2*5,20*3,35</t>
  </si>
  <si>
    <t>-1,20*1,80" O01</t>
  </si>
  <si>
    <t>-4,00*1,80" O23</t>
  </si>
  <si>
    <t>-3*5,40*1,80" O27</t>
  </si>
  <si>
    <t>-2*5,50*1,80" O28</t>
  </si>
  <si>
    <t>Východní fasáda - Nástavba  5.NP (řez A)</t>
  </si>
  <si>
    <t>9,65*2,30</t>
  </si>
  <si>
    <t>0,55*1,20</t>
  </si>
  <si>
    <t>-0,90*0,85" D33</t>
  </si>
  <si>
    <t xml:space="preserve">odečet plochy s menší tloušťkou izolantu mezi nástavbou 5.NP a strojovnou výtahu (půdorys 5.NP), </t>
  </si>
  <si>
    <t>-3,80*2,30</t>
  </si>
  <si>
    <t>Jižní fasáda - Nástavba  5.NP (řez B2)</t>
  </si>
  <si>
    <t>50,70*3,10</t>
  </si>
  <si>
    <t>zateplení atiky z vnější strany (řez B2)</t>
  </si>
  <si>
    <t>50,70*1,10</t>
  </si>
  <si>
    <t>odečet oken dveří</t>
  </si>
  <si>
    <t>-16*(0,90*2,55+1,45*1,45)" O32</t>
  </si>
  <si>
    <t>223270884</t>
  </si>
  <si>
    <t>2888,396*1,05 'Přepočtené koeficientem množství</t>
  </si>
  <si>
    <t>622222001</t>
  </si>
  <si>
    <t>Montáž kontaktního zateplení vnějšího ostění, nadpraží nebo parapetu hl. špalety do 200 mm lepením desek z minerální vlny tl do 40 mm</t>
  </si>
  <si>
    <t>1001033079</t>
  </si>
  <si>
    <t xml:space="preserve">ostění a nadpraží oken </t>
  </si>
  <si>
    <t>O01</t>
  </si>
  <si>
    <t>5*(1,20+1,80)*2</t>
  </si>
  <si>
    <t>O02</t>
  </si>
  <si>
    <t>1*(0,90+0,60)*2</t>
  </si>
  <si>
    <t>O03</t>
  </si>
  <si>
    <t>14*(0,90+0,60)*2</t>
  </si>
  <si>
    <t>1*(2,40+1,80)*2</t>
  </si>
  <si>
    <t>O05</t>
  </si>
  <si>
    <t>5*(0,97+0,75)*2</t>
  </si>
  <si>
    <t>O06</t>
  </si>
  <si>
    <t>2*(1,35+1,80)*2</t>
  </si>
  <si>
    <t>O07</t>
  </si>
  <si>
    <t>1*(1,70+1,07)*2</t>
  </si>
  <si>
    <t>1*(1,80+1,80)*2</t>
  </si>
  <si>
    <t>O09</t>
  </si>
  <si>
    <t>8*(1,80+2,05)*2</t>
  </si>
  <si>
    <t>O10</t>
  </si>
  <si>
    <t>1*(1,95+1,80)*2</t>
  </si>
  <si>
    <t>O11</t>
  </si>
  <si>
    <t>3*(1,95+2,03)*2</t>
  </si>
  <si>
    <t>O12</t>
  </si>
  <si>
    <t>2*(1,96+0,60)*2</t>
  </si>
  <si>
    <t>O13</t>
  </si>
  <si>
    <t>1*(2,40+1,07)*2</t>
  </si>
  <si>
    <t>3*(2,40+1,92)*2</t>
  </si>
  <si>
    <t>O15</t>
  </si>
  <si>
    <t>4*(2,40+2,05)*2</t>
  </si>
  <si>
    <t>O16</t>
  </si>
  <si>
    <t>2*(2,50+2,03)*2</t>
  </si>
  <si>
    <t>1*(2,675+1,80)*2</t>
  </si>
  <si>
    <t>4*(2,675+1,92)*2</t>
  </si>
  <si>
    <t>O19</t>
  </si>
  <si>
    <t>1*(3,90+0,90)*2</t>
  </si>
  <si>
    <t>O20</t>
  </si>
  <si>
    <t>1*(3,90+1,80)*2</t>
  </si>
  <si>
    <t>O21</t>
  </si>
  <si>
    <t>O22</t>
  </si>
  <si>
    <t>2*(3,90+2,03)*2</t>
  </si>
  <si>
    <t>O23</t>
  </si>
  <si>
    <t>5*(4,00+1,80)*2</t>
  </si>
  <si>
    <t>O24</t>
  </si>
  <si>
    <t>1*(4,50+2,03)*2</t>
  </si>
  <si>
    <t>O25</t>
  </si>
  <si>
    <t>2*(4,50+2,03)*2</t>
  </si>
  <si>
    <t>O26</t>
  </si>
  <si>
    <t>3*(4,50+2,03)*2</t>
  </si>
  <si>
    <t>O27</t>
  </si>
  <si>
    <t>15*(5,40+1,80)*2</t>
  </si>
  <si>
    <t>O28</t>
  </si>
  <si>
    <t>10*(5,50+1,80)*2</t>
  </si>
  <si>
    <t>O29</t>
  </si>
  <si>
    <t>1*(6,78+2,99)*2</t>
  </si>
  <si>
    <t>O30</t>
  </si>
  <si>
    <t>1*(6,68+3,95)*2</t>
  </si>
  <si>
    <t>O31</t>
  </si>
  <si>
    <t>2*(2,35+1,65)*2</t>
  </si>
  <si>
    <t>66*(0,80+2,00)*2</t>
  </si>
  <si>
    <t>O33</t>
  </si>
  <si>
    <t>1*(2,10+1,97)*2</t>
  </si>
  <si>
    <t>-1706379632</t>
  </si>
  <si>
    <t>202,571*1,05 'Přepočtené koeficientem množství</t>
  </si>
  <si>
    <t>622252001</t>
  </si>
  <si>
    <t>Montáž profilů kontaktního zateplení připevněných mechanicky</t>
  </si>
  <si>
    <t>-661801788</t>
  </si>
  <si>
    <t>zakládací profil</t>
  </si>
  <si>
    <t>73,40+2*3,30+0,75+2*5,20+5,35</t>
  </si>
  <si>
    <t>15,70+2,20+9,45+6,60</t>
  </si>
  <si>
    <t>73,40+5,90+0,60</t>
  </si>
  <si>
    <t>10,50</t>
  </si>
  <si>
    <t>v řezu vpravo</t>
  </si>
  <si>
    <t>7,10</t>
  </si>
  <si>
    <t>5,30</t>
  </si>
  <si>
    <t>9,50</t>
  </si>
  <si>
    <t>ostatní</t>
  </si>
  <si>
    <t>59051659</t>
  </si>
  <si>
    <t>profil zakládací Al tl 1,0mm pro ETICS pro izolant tl 200mm</t>
  </si>
  <si>
    <t>-268954711</t>
  </si>
  <si>
    <t>262,75*1,05 'Přepočtené koeficientem množství</t>
  </si>
  <si>
    <t>622252002</t>
  </si>
  <si>
    <t>Montáž profilů kontaktního zateplení lepených</t>
  </si>
  <si>
    <t>496349507</t>
  </si>
  <si>
    <t>2300,00" množství doplňkových profilů a lišt kontaktního zateplení úměrné ploše zateplení (0,65 m/m2)</t>
  </si>
  <si>
    <t>6312746.1</t>
  </si>
  <si>
    <t>profily zateplení doplňkové (na rozích, u výplní otvorů apod.) pro ETICS</t>
  </si>
  <si>
    <t>-1226236745</t>
  </si>
  <si>
    <t>2300*1,05 'Přepočtené koeficientem množství</t>
  </si>
  <si>
    <t>622321121</t>
  </si>
  <si>
    <t>Vápenocementová omítka hladká jednovrstvá vnějších stěn nanášená ručně</t>
  </si>
  <si>
    <t>-127072527</t>
  </si>
  <si>
    <t>12*0,90*0,60</t>
  </si>
  <si>
    <t>10 m2 / podlaží</t>
  </si>
  <si>
    <t>10,00*4</t>
  </si>
  <si>
    <t>Na plochách otlučení stávajícího kabřincového obkladu fasády</t>
  </si>
  <si>
    <t>15,70*3,20</t>
  </si>
  <si>
    <t>osy 1-9</t>
  </si>
  <si>
    <t>(44,50+0,60)*2,60</t>
  </si>
  <si>
    <t>osy 10-11 a více vpravo</t>
  </si>
  <si>
    <t>15,14*3,20</t>
  </si>
  <si>
    <t>-2*2,30*1,90</t>
  </si>
  <si>
    <t>10,30*2,60/2</t>
  </si>
  <si>
    <t>Severní fasáda</t>
  </si>
  <si>
    <t xml:space="preserve">osy 1-2 </t>
  </si>
  <si>
    <t>6,55*1,00</t>
  </si>
  <si>
    <t xml:space="preserve">osy 2-11 </t>
  </si>
  <si>
    <t>(68,48-6,55-11,60)*1,00</t>
  </si>
  <si>
    <t xml:space="preserve">od osy 11 na pohledu vlevo </t>
  </si>
  <si>
    <t>11,60*1,00</t>
  </si>
  <si>
    <t>4,40*1,00" větší výška obkladu</t>
  </si>
  <si>
    <t>2*3,00*1,00</t>
  </si>
  <si>
    <t>0,60*1,00</t>
  </si>
  <si>
    <t>2*5,20*1,00</t>
  </si>
  <si>
    <t>Krček</t>
  </si>
  <si>
    <t>1,50*0,90</t>
  </si>
  <si>
    <t>Terasa 1.00.15</t>
  </si>
  <si>
    <t>(5,20+5,22)*1,00</t>
  </si>
  <si>
    <t>schodiště terasy 1.00.15</t>
  </si>
  <si>
    <t>(4,00+2,30+3,10+0,55)*2,70/2</t>
  </si>
  <si>
    <t>622321141</t>
  </si>
  <si>
    <t>Vápenocementová omítka štuková dvouvrstvá vnějších stěn nanášená ručně</t>
  </si>
  <si>
    <t>-505304384</t>
  </si>
  <si>
    <t>Půdorys 1.NP - vpravo od osy 11</t>
  </si>
  <si>
    <t>Obklad terasy bude odstraněn a následně provedena nová omítka.</t>
  </si>
  <si>
    <t>(4,70+1,30)*0,50</t>
  </si>
  <si>
    <t>(3,10+0,55)*1,00</t>
  </si>
  <si>
    <t>4,00*2,40/2</t>
  </si>
  <si>
    <t>622321191</t>
  </si>
  <si>
    <t>Příplatek k vápenocementové omítce vnějších stěn za každých dalších 5 mm tloušťky ručně</t>
  </si>
  <si>
    <t>1723129168</t>
  </si>
  <si>
    <t>Poznámka k položce:
Příplatek se počítá nad tloušťku 15 mm, která je započtena v základní položce omítky vnějších stěn.</t>
  </si>
  <si>
    <t>411,511*2 'Přepočtené koeficientem množství</t>
  </si>
  <si>
    <t>622325101</t>
  </si>
  <si>
    <t>Oprava vnější vápenocementové hladké omítky složitosti 1 stěn v rozsahu do 10 %</t>
  </si>
  <si>
    <t>119053926</t>
  </si>
  <si>
    <t>622511112</t>
  </si>
  <si>
    <t>Tenkovrstvá akrylátová mozaiková střednězrnná omítka vnějších stěn</t>
  </si>
  <si>
    <t>-1566313748</t>
  </si>
  <si>
    <t>na zateplení soklu pomocí XPS</t>
  </si>
  <si>
    <t>622521022</t>
  </si>
  <si>
    <t>F2 - Tenkovrstvá silikátová zatíraná omítka zrnitost 2,0 mm vnějších stěn</t>
  </si>
  <si>
    <t>-711569751</t>
  </si>
  <si>
    <t>F2 - Dle půdorysů, řezů a pohledů</t>
  </si>
  <si>
    <t>(6,85+12,25+8,50+1,85)*(17,70-0,50)" délky na pohledu zleva doprava</t>
  </si>
  <si>
    <t>-5*1,20*1,80" O01</t>
  </si>
  <si>
    <t>-5*4,00*1,80" O23</t>
  </si>
  <si>
    <t>-10*5,40*1,80" O27</t>
  </si>
  <si>
    <t>-5*5,50*1,80" O28</t>
  </si>
  <si>
    <t>9,45*(5,10-0,50)</t>
  </si>
  <si>
    <t xml:space="preserve">zateplení fasády místností 1.PP pod terasou (půdorys 1.PP) </t>
  </si>
  <si>
    <t>0,915*(3,20-0,50)</t>
  </si>
  <si>
    <t>(1,50+4,67)*(3,20/2-0,50)</t>
  </si>
  <si>
    <t xml:space="preserve">Nástavba  5.NP (řez A) - Východní fasáda </t>
  </si>
  <si>
    <t xml:space="preserve">odečet plochy mezi nástavbou 5.NP a strojovnou výtahu (půdorys 5.NP), </t>
  </si>
  <si>
    <t>44,95*(2,00-0,50)</t>
  </si>
  <si>
    <t>12,35*(16,20-2,00-0,50)</t>
  </si>
  <si>
    <t>12,00*(16,20-2,00-0,50)</t>
  </si>
  <si>
    <t>6,60*(16,50-0,50)</t>
  </si>
  <si>
    <t>5,71*(2,70-0,50)</t>
  </si>
  <si>
    <t>0,21*(2,70-0,50)</t>
  </si>
  <si>
    <t>-(12+16+6)*(0,90*2,55+1,45*1,45) "O32</t>
  </si>
  <si>
    <t>Nástavba  5.NP (řez B2) - Jižní fasáda</t>
  </si>
  <si>
    <t>Balkony</t>
  </si>
  <si>
    <t>7*2*1,10*2,90</t>
  </si>
  <si>
    <t>3*9*2*1,10*2,90</t>
  </si>
  <si>
    <t xml:space="preserve">Boky balkonů 5.NP </t>
  </si>
  <si>
    <t xml:space="preserve">9*0,75*3,05" (osa 4, půdorys 5.NP) </t>
  </si>
  <si>
    <t>omítka ostění (45% celkové plochy zateplených ostění)</t>
  </si>
  <si>
    <t>zatepleniosteni*0,15*0.45</t>
  </si>
  <si>
    <t>omítka na nezateplovaných plochách stěn</t>
  </si>
  <si>
    <t>-------------------------------------------------</t>
  </si>
  <si>
    <t>Zídka kolem nového venk. schodiště mezi osami 1-2</t>
  </si>
  <si>
    <t>vnější strana</t>
  </si>
  <si>
    <t>(2,80+4,50)*1,15</t>
  </si>
  <si>
    <t>vnitřní strana</t>
  </si>
  <si>
    <t>(2,80+4,50)*3,76</t>
  </si>
  <si>
    <t>omítka schodiště terasy</t>
  </si>
  <si>
    <t>622521022.1</t>
  </si>
  <si>
    <t>F1 - Tenkovrstvá silikátová strukturovaná omítka zrnitost 2,0 mm vnějších stěn</t>
  </si>
  <si>
    <t>1626015521</t>
  </si>
  <si>
    <t>Celková plocha zateplení stěn</t>
  </si>
  <si>
    <t xml:space="preserve">omítka ostění </t>
  </si>
  <si>
    <t>Odečet omítky F1 na sloupech</t>
  </si>
  <si>
    <t>-F1sloupu</t>
  </si>
  <si>
    <t>-F2sten</t>
  </si>
  <si>
    <t>84</t>
  </si>
  <si>
    <t>623131321</t>
  </si>
  <si>
    <t>Penetrační nátěr vnějších pilířů nebo sloupů nanášený strojně</t>
  </si>
  <si>
    <t>-234496102</t>
  </si>
  <si>
    <t>623151011</t>
  </si>
  <si>
    <t>Penetrační silikátový nátěr vnějších pastovitých tenkovrstvých omítek pilířů a sloupů</t>
  </si>
  <si>
    <t>-1283224762</t>
  </si>
  <si>
    <t>623151021</t>
  </si>
  <si>
    <t>Penetrační akrylátový nátěr vnějších mozaikových tenkovrstvých omítek pilířů a sloupů</t>
  </si>
  <si>
    <t>966550775</t>
  </si>
  <si>
    <t>623511112</t>
  </si>
  <si>
    <t>Tenkovrstvá akrylátová mozaiková střednězrnná omítka vnějších pilířů nebo sloupů</t>
  </si>
  <si>
    <t>-1342256817</t>
  </si>
  <si>
    <t>623521022.1</t>
  </si>
  <si>
    <t>F1 - Tenkovrstvá silikátová strukturovaná omítka zrnitost 2,0 mm vnějších pilířů nebo sloupů</t>
  </si>
  <si>
    <t>-478616228</t>
  </si>
  <si>
    <t>629135102</t>
  </si>
  <si>
    <t>Vyrovnávací vrstva pod klempířské prvky z MC š přes 150 do 300 mm</t>
  </si>
  <si>
    <t>-1639692899</t>
  </si>
  <si>
    <t xml:space="preserve">pod parapet K01 </t>
  </si>
  <si>
    <t>412,66</t>
  </si>
  <si>
    <t>K02 .. větší RŠ, koeficient x3</t>
  </si>
  <si>
    <t>11,55*3</t>
  </si>
  <si>
    <t>K03</t>
  </si>
  <si>
    <t>15,45*3</t>
  </si>
  <si>
    <t>K04</t>
  </si>
  <si>
    <t>38,945*3</t>
  </si>
  <si>
    <t>K05</t>
  </si>
  <si>
    <t>70,574*2</t>
  </si>
  <si>
    <t>K06 - na nových sendvičových panelech, není třeba vyrovnávat podklad</t>
  </si>
  <si>
    <t>K07</t>
  </si>
  <si>
    <t>8,98*2</t>
  </si>
  <si>
    <t>K08</t>
  </si>
  <si>
    <t>11,289</t>
  </si>
  <si>
    <t>K09</t>
  </si>
  <si>
    <t>74,69*2</t>
  </si>
  <si>
    <t>K10</t>
  </si>
  <si>
    <t>12,275*2</t>
  </si>
  <si>
    <t>K11 - oplechování komínů vzt, bez vyrovnávání</t>
  </si>
  <si>
    <t>K12</t>
  </si>
  <si>
    <t>4,33</t>
  </si>
  <si>
    <t>K13</t>
  </si>
  <si>
    <t>629995101</t>
  </si>
  <si>
    <t>Očištění vnějších ploch tlakovou vodou</t>
  </si>
  <si>
    <t>-436527150</t>
  </si>
  <si>
    <t>Očištění stávajících fasád před zateplením (dle Tz)</t>
  </si>
  <si>
    <t>637211411</t>
  </si>
  <si>
    <t>Okapový chodník z betonových zámkových dlaždic tl 60 mm do kameniva</t>
  </si>
  <si>
    <t>614622829</t>
  </si>
  <si>
    <t>Součástí položky je dodávka betonové dlažby 200/100 tl. 60 mm</t>
  </si>
  <si>
    <t>podél severní fasády (dle situace, měřeno ze západu na východ) - započteno v SO 02</t>
  </si>
  <si>
    <t>podél západní fasády krčku</t>
  </si>
  <si>
    <t>15,50*0,50</t>
  </si>
  <si>
    <t>916231213</t>
  </si>
  <si>
    <t>Osazení chodníkového obrubníku betonového stojatého s boční opěrou do lože z betonu prostého</t>
  </si>
  <si>
    <t>-1287434438</t>
  </si>
  <si>
    <t>Obrubník podél okapového chodníku</t>
  </si>
  <si>
    <t>podél severní fasády (dle situace, měřeno ze západu na východ)</t>
  </si>
  <si>
    <t>1,10+8,00+0,60+25,50+5,40+6,00+5,40+7,00+5,50+10,00+2*0,75</t>
  </si>
  <si>
    <t>15,50</t>
  </si>
  <si>
    <t>Obrubník vyspraveného asfaltového chodníku vedoucího ze západní strany ke krčku po provedení izolace krčku</t>
  </si>
  <si>
    <t>2*2,00</t>
  </si>
  <si>
    <t>59217017</t>
  </si>
  <si>
    <t>obrubník betonový chodníkový 1000x100x250mm</t>
  </si>
  <si>
    <t>-1528503378</t>
  </si>
  <si>
    <t>95,5*1,02 'Přepočtené koeficientem množství</t>
  </si>
  <si>
    <t>919731123</t>
  </si>
  <si>
    <t>Zarovnání styčné plochy podkladu nebo krytu živičného tl přes 100 do 200 mm</t>
  </si>
  <si>
    <t>-798120410</t>
  </si>
  <si>
    <t>Napojení vyspraveného asfaltového krytu na stávající asf.plochu v průjezdu východní fasády po provedení izolace budovy</t>
  </si>
  <si>
    <t>11,50+2,20*2</t>
  </si>
  <si>
    <t>Napojení vyspraveného asfaltového chodníku vedoucího ze západní strany ke krčku po provedení izolace krčku</t>
  </si>
  <si>
    <t>3,50</t>
  </si>
  <si>
    <t>1159367990</t>
  </si>
  <si>
    <t>96</t>
  </si>
  <si>
    <t>711112001</t>
  </si>
  <si>
    <t>Provedení izolace proti zemní vlhkosti svislé za studena nátěrem penetračním</t>
  </si>
  <si>
    <t>-1894040507</t>
  </si>
  <si>
    <t>Dle Tz: asfaltový pás tl. 4 mm s SBS modifikací s vložkou ze skelné tkaniny</t>
  </si>
  <si>
    <t>dle plochy Xps pod terénem</t>
  </si>
  <si>
    <t>dle plochy Xps na soklu nad terénem</t>
  </si>
  <si>
    <t xml:space="preserve">svislá izolace přístavby výtahové šachty a schodiště </t>
  </si>
  <si>
    <t>11163150</t>
  </si>
  <si>
    <t>lak penetrační asfaltový</t>
  </si>
  <si>
    <t>2077785995</t>
  </si>
  <si>
    <t>518,015*0,00034 'Přepočtené koeficientem množství</t>
  </si>
  <si>
    <t>98</t>
  </si>
  <si>
    <t>711142559</t>
  </si>
  <si>
    <t>Provedení izolace proti zemní vlhkosti pásy přitavením svislé NAIP</t>
  </si>
  <si>
    <t>1909045624</t>
  </si>
  <si>
    <t>svislá izolace přístavby výtahové šachty a schodiště (nezateplená pomocí Xps)</t>
  </si>
  <si>
    <t>západ (řez A2)</t>
  </si>
  <si>
    <t>3,20*3,30</t>
  </si>
  <si>
    <t>zlom výtahová šachta / schodiště (řez A2) - započteno v ploše xps výše</t>
  </si>
  <si>
    <t>východ (řez A2) - započteno v ploše xps výše</t>
  </si>
  <si>
    <t>sever (řez A1)</t>
  </si>
  <si>
    <t>6,20*3,30</t>
  </si>
  <si>
    <t>jih (řez B1)</t>
  </si>
  <si>
    <t>(3,20+0,75)*1,35</t>
  </si>
  <si>
    <t>2. vrstva hydroizolace</t>
  </si>
  <si>
    <t>62853004</t>
  </si>
  <si>
    <t>pás asfaltový natavitelný modifikovaný SBS s vložkou ze skleněné tkaniny a spalitelnou PE fólií nebo jemnozrnným minerálním posypem na horním povrchu tl 4,0mm</t>
  </si>
  <si>
    <t>2022300989</t>
  </si>
  <si>
    <t>518,015*1,2 'Přepočtené koeficientem množství</t>
  </si>
  <si>
    <t>62855001</t>
  </si>
  <si>
    <t>pás asfaltový natavitelný modifikovaný SBS s vložkou z polyesterové rohože a spalitelnou PE fólií nebo jemnozrnným minerálním posypem na horním povrchu tl 4,0mm</t>
  </si>
  <si>
    <t>686626341</t>
  </si>
  <si>
    <t>Dle Tz:  asfaltový pás tl. 4 mm s SBS modifikací s vložkou z PE rohože</t>
  </si>
  <si>
    <t>711161212</t>
  </si>
  <si>
    <t>Izolace proti zemní vlhkosti nopovou fólií svislá, nopek v 8,0 mm, tl do 0,6 mm</t>
  </si>
  <si>
    <t>-112011698</t>
  </si>
  <si>
    <t>711161383</t>
  </si>
  <si>
    <t>Izolace proti zemní vlhkosti nopovou fólií ukončení horní lištou</t>
  </si>
  <si>
    <t>1581467435</t>
  </si>
  <si>
    <t>severní fasáda (řez B3)</t>
  </si>
  <si>
    <t>68,48</t>
  </si>
  <si>
    <t>Zateplení výtahové šachty pod UT (řez A2, B1)</t>
  </si>
  <si>
    <t>2,36+2*3,20</t>
  </si>
  <si>
    <t>9,45</t>
  </si>
  <si>
    <t>711462103</t>
  </si>
  <si>
    <t>Provedení izolace proti tlakové vodě svislé fólií přilepenou v plné ploše</t>
  </si>
  <si>
    <t>-1826120904</t>
  </si>
  <si>
    <t>svislá izolace přístavby výtahové šachty a schodiště (navazující na vodorovnou skladbu S07)</t>
  </si>
  <si>
    <t>zlom výtahová šachta / schodiště (řez A2)</t>
  </si>
  <si>
    <t>3,20*1,10</t>
  </si>
  <si>
    <t>východ (řez A2)</t>
  </si>
  <si>
    <t>(3,20+0,75)*4,70</t>
  </si>
  <si>
    <t>sever (řez B1)</t>
  </si>
  <si>
    <t>8,35*4,60</t>
  </si>
  <si>
    <t>1347117826</t>
  </si>
  <si>
    <t>Izolace proti vodě a radonu - PVC-P fólie, součinitel difúze radonu D ? 1,3.10-11 m2.s-1</t>
  </si>
  <si>
    <t>XXXXXXXXX Folie nebo asfaltový pás</t>
  </si>
  <si>
    <t>svislá plocha</t>
  </si>
  <si>
    <t>svislá izolace výtahové šachty (navazující na vodorovnou skladbu S07)</t>
  </si>
  <si>
    <t>3,20*3,30*1.20</t>
  </si>
  <si>
    <t>3,20*1,10*1.20</t>
  </si>
  <si>
    <t>(3,20+0,75)*4,70*1.20</t>
  </si>
  <si>
    <t>8,35*4,60*1.20</t>
  </si>
  <si>
    <t>(3,20+0,75)*1,35*1.20</t>
  </si>
  <si>
    <t>711491171</t>
  </si>
  <si>
    <t>Provedení doplňků izolace proti vodě na vodorovné ploše z textilií vrstva podkladní</t>
  </si>
  <si>
    <t>412756792</t>
  </si>
  <si>
    <t>711491172</t>
  </si>
  <si>
    <t>Provedení doplňků izolace proti vodě na vodorovné ploše z textilií vrstva ochranná</t>
  </si>
  <si>
    <t>-248509103</t>
  </si>
  <si>
    <t>711491271</t>
  </si>
  <si>
    <t>Provedení doplňků izolace proti vodě na ploše svislé z textilií vrstva podkladní</t>
  </si>
  <si>
    <t>-774181994</t>
  </si>
  <si>
    <t>711491272</t>
  </si>
  <si>
    <t>Provedení doplňků izolace proti vodě na ploše svislé z textilií vrstva ochranná</t>
  </si>
  <si>
    <t>135672483</t>
  </si>
  <si>
    <t>69311060</t>
  </si>
  <si>
    <t>geotextilie netkaná separační, ochranná, filtrační, drenážní PP 200g/m2</t>
  </si>
  <si>
    <t>-1678892550</t>
  </si>
  <si>
    <t>207,258*1,05 'Přepočtené koeficientem množství</t>
  </si>
  <si>
    <t>2144200954</t>
  </si>
  <si>
    <t>-1625459389</t>
  </si>
  <si>
    <t>416,355*1,05 'Přepočtené koeficientem množství</t>
  </si>
  <si>
    <t>711747067.1</t>
  </si>
  <si>
    <t>Zaizolování prostupů hydroizolací z asfaltových pásů vč. dodávky materiálu</t>
  </si>
  <si>
    <t>-1014302613</t>
  </si>
  <si>
    <t>-1318406268</t>
  </si>
  <si>
    <t>713131141</t>
  </si>
  <si>
    <t>Montáž izolace tepelné stěn lepením celoplošně rohoží, pásů, dílců, desek</t>
  </si>
  <si>
    <t>1478537628</t>
  </si>
  <si>
    <t>Zateplení stěn bez omítky</t>
  </si>
  <si>
    <t>MW 140 mm</t>
  </si>
  <si>
    <t>----------------------------------</t>
  </si>
  <si>
    <t>plocha mezi nástavbou 5.NP a strojovnou výtahu (půdorys 5.NP)</t>
  </si>
  <si>
    <t>3,80*2,30</t>
  </si>
  <si>
    <t xml:space="preserve">XPS 150 mm pod UT </t>
  </si>
  <si>
    <t>6,55*2,60</t>
  </si>
  <si>
    <t>(68,48-6,55-16,10)*2,60</t>
  </si>
  <si>
    <t>11,60*2,60" 1.NP</t>
  </si>
  <si>
    <t>2*3,00*2,60</t>
  </si>
  <si>
    <t>0,60*2,60</t>
  </si>
  <si>
    <t>2*5,20*2,60</t>
  </si>
  <si>
    <t>5,40*2,60</t>
  </si>
  <si>
    <t>(2,36+2*3,20)*(4,30-2,60)</t>
  </si>
  <si>
    <t>2,36*1,10</t>
  </si>
  <si>
    <t>(16,70+2,00)*2,60</t>
  </si>
  <si>
    <t>(0,80+25,30)*1,90</t>
  </si>
  <si>
    <t>15,14*1,90</t>
  </si>
  <si>
    <t>Dle Tz statiky: Výtahová šachta je v horní části je pružně oddělena od ostatních konstrukcí dilatační spárou tl. 30mm vyplněnou polystyrenem.</t>
  </si>
  <si>
    <t>Upravit spoje proti zatečení betonu.</t>
  </si>
  <si>
    <t>2,00*19,56</t>
  </si>
  <si>
    <t>28375907</t>
  </si>
  <si>
    <t>deska EPS 150 pro konstrukce s vysokým zatížením λ=0,035 tl 30mm</t>
  </si>
  <si>
    <t>-2037862574</t>
  </si>
  <si>
    <t>1968032633</t>
  </si>
  <si>
    <t>380,002*1,05 'Přepočtené koeficientem množství</t>
  </si>
  <si>
    <t>63142027</t>
  </si>
  <si>
    <t>deska tepelně izolační minerální kontaktních fasád podélné vlákno λ=0,035-0,036 tl 140mm</t>
  </si>
  <si>
    <t>-786071684</t>
  </si>
  <si>
    <t>8,74*1,05 'Přepočtené koeficientem množství</t>
  </si>
  <si>
    <t>-306305050</t>
  </si>
  <si>
    <t>783801403</t>
  </si>
  <si>
    <t>Oprášení omítek před provedením nátěru</t>
  </si>
  <si>
    <t>-1557004116</t>
  </si>
  <si>
    <t>783823135</t>
  </si>
  <si>
    <t>Penetrační nátěr hladkých, tenkovrstvých zrnitých nebo štukových omítek</t>
  </si>
  <si>
    <t>-1873581605</t>
  </si>
  <si>
    <t>783846543</t>
  </si>
  <si>
    <t>Antigraffiti nátěr trvalý do 100 cyklů odstranění graffiti hrubých povrchů</t>
  </si>
  <si>
    <t>-280576766</t>
  </si>
  <si>
    <t>výměra výška 2,5 od ut</t>
  </si>
  <si>
    <t>6,55*2,50</t>
  </si>
  <si>
    <t>(68,48-6,55-11,60)*2,50</t>
  </si>
  <si>
    <t>11,60*2,50" 1.NP</t>
  </si>
  <si>
    <t>2*3,00*2,50</t>
  </si>
  <si>
    <t>0,60*2,50</t>
  </si>
  <si>
    <t>2*5,20*2,50</t>
  </si>
  <si>
    <t>5,40*2,50</t>
  </si>
  <si>
    <t>9,45*2,50</t>
  </si>
  <si>
    <t>3*(0,96+1,26)*2*2,50</t>
  </si>
  <si>
    <t>44,95*2,50</t>
  </si>
  <si>
    <t>(0,15+0,65)*2,50</t>
  </si>
  <si>
    <t>17,75*2,50</t>
  </si>
  <si>
    <t>-6,20*2,50</t>
  </si>
  <si>
    <t>-5,05*2,50</t>
  </si>
  <si>
    <t>5,71*2,50</t>
  </si>
  <si>
    <t>0,21*2,50</t>
  </si>
  <si>
    <t>6,10*2,50</t>
  </si>
  <si>
    <t>fasáda místností 1.PP pod terasou (půdorys 1.PP)</t>
  </si>
  <si>
    <t>3,50*2,50</t>
  </si>
  <si>
    <t>5,30*1,20</t>
  </si>
  <si>
    <t>9,50*1,90</t>
  </si>
  <si>
    <t>západní fasáda</t>
  </si>
  <si>
    <t>10,26*2,50</t>
  </si>
  <si>
    <t>A6sokly</t>
  </si>
  <si>
    <t>48,759</t>
  </si>
  <si>
    <t>A3sokly</t>
  </si>
  <si>
    <t>316,43</t>
  </si>
  <si>
    <t>A6soklschody</t>
  </si>
  <si>
    <t>14,4</t>
  </si>
  <si>
    <t>A3</t>
  </si>
  <si>
    <t>190,621</t>
  </si>
  <si>
    <t>A6</t>
  </si>
  <si>
    <t>83,45</t>
  </si>
  <si>
    <t>ST01</t>
  </si>
  <si>
    <t>239,91</t>
  </si>
  <si>
    <t>ST01vytazeni</t>
  </si>
  <si>
    <t>120,461</t>
  </si>
  <si>
    <t>ST02</t>
  </si>
  <si>
    <t>59,22</t>
  </si>
  <si>
    <t>STŘ - Střechy</t>
  </si>
  <si>
    <t>ST02vytazeni</t>
  </si>
  <si>
    <t>34,6</t>
  </si>
  <si>
    <t>ST03</t>
  </si>
  <si>
    <t>512,97</t>
  </si>
  <si>
    <t>ST03vytazeni</t>
  </si>
  <si>
    <t>161,56</t>
  </si>
  <si>
    <t>ST04</t>
  </si>
  <si>
    <t>19,2</t>
  </si>
  <si>
    <t>ST04vytazeni</t>
  </si>
  <si>
    <t>1,6</t>
  </si>
  <si>
    <t>ST05</t>
  </si>
  <si>
    <t>25,92</t>
  </si>
  <si>
    <t>ST05vytazeni</t>
  </si>
  <si>
    <t>8,04</t>
  </si>
  <si>
    <t>TIatikysvisla</t>
  </si>
  <si>
    <t>190,196</t>
  </si>
  <si>
    <t>TIatikyvodorovna</t>
  </si>
  <si>
    <t>118,473</t>
  </si>
  <si>
    <t>TIsvisla_uvnitratiky</t>
  </si>
  <si>
    <t>106,64</t>
  </si>
  <si>
    <t xml:space="preserve">    712 - Povlakové krytiny</t>
  </si>
  <si>
    <t xml:space="preserve">    762 - Konstrukce tesařské</t>
  </si>
  <si>
    <t xml:space="preserve">    767.ZÁCH - Záchytný systém proti pádu (montáž a dodávka, kompletní provedení vč. souvisejících prací)</t>
  </si>
  <si>
    <t>Potěr cementový samonivelační litý C25 tl přes 35 do 40 mm</t>
  </si>
  <si>
    <t>851239012</t>
  </si>
  <si>
    <t>Vyrovnávací cementový potěr CT-C30-F7 40 tl. 40 mm</t>
  </si>
  <si>
    <t>-1376084244</t>
  </si>
  <si>
    <t>střecha (koeficient 1/3 dle pravidel ÚRS)</t>
  </si>
  <si>
    <t>ST01/3</t>
  </si>
  <si>
    <t>ST02/3</t>
  </si>
  <si>
    <t>ST03/3</t>
  </si>
  <si>
    <t>ST04/3</t>
  </si>
  <si>
    <t>ST05/3</t>
  </si>
  <si>
    <t>175168679</t>
  </si>
  <si>
    <t>vyčištění a příprava stávající žb stropní kce před provedením nové střešní skladby</t>
  </si>
  <si>
    <t>-986931371</t>
  </si>
  <si>
    <t>-984484168</t>
  </si>
  <si>
    <t>712</t>
  </si>
  <si>
    <t>Povlakové krytiny</t>
  </si>
  <si>
    <t>712311101</t>
  </si>
  <si>
    <t>Provedení povlakové krytiny střech do 10° za studena lakem penetračním nebo asfaltovým</t>
  </si>
  <si>
    <t>-1872385769</t>
  </si>
  <si>
    <t>712333507</t>
  </si>
  <si>
    <t>Provedení povlakové krytiny střech do 10° pásy mechanicky kotvené do trapézového plechu nebo dřeva tl TI přes 240 mm v počtu kotev přes 9 do 10 kusů/m2</t>
  </si>
  <si>
    <t>-1842343393</t>
  </si>
  <si>
    <t>Podkladní asfaltový pás - mechanické kotvení šrouby s plastovými teleskopy (dle skladeb)</t>
  </si>
  <si>
    <t>Podkladní asfaltový pás - mechanické kotvení šrouby s podložkou</t>
  </si>
  <si>
    <t>712334507</t>
  </si>
  <si>
    <t>Provedení povlakové krytiny střech do 10° pásy mechanicky kotvené do betonu tl TI přes 240 mm v počtu kotev přes 9 do 10 kusů/m2</t>
  </si>
  <si>
    <t>116867893</t>
  </si>
  <si>
    <t>712341559</t>
  </si>
  <si>
    <t>Provedení povlakové krytiny střech do 10° pásy NAIP přitavením v plné ploše</t>
  </si>
  <si>
    <t>1932909140</t>
  </si>
  <si>
    <t>Dle výkresu střechy a řezů</t>
  </si>
  <si>
    <t>Vrchní asfaltový pás - asfaltový pás modifikovaný SBS tl. 4 mm s vložkou z PES rohože</t>
  </si>
  <si>
    <t>skladba ST01</t>
  </si>
  <si>
    <t>střecha 4.NP</t>
  </si>
  <si>
    <t>15,50*8,50</t>
  </si>
  <si>
    <t>4,70*6,50</t>
  </si>
  <si>
    <t>odečet strojovny výtahu</t>
  </si>
  <si>
    <t>-3,80*4,15</t>
  </si>
  <si>
    <t>střecha krčku (výkres Krček)</t>
  </si>
  <si>
    <t>5,80*16,10</t>
  </si>
  <si>
    <t>skladba ST02 (terasa 5.00.05)</t>
  </si>
  <si>
    <t>6,30*9,40</t>
  </si>
  <si>
    <t>skladba ST03</t>
  </si>
  <si>
    <t>50,10*9,60</t>
  </si>
  <si>
    <t>nad schodištěm</t>
  </si>
  <si>
    <t>5,00*5,35</t>
  </si>
  <si>
    <t>0,65*1,20</t>
  </si>
  <si>
    <t>nad novou přístavbou výtahové šachty</t>
  </si>
  <si>
    <t>1,60*2,80</t>
  </si>
  <si>
    <t>skladba ST04 - nad novým venkovním schodištěm</t>
  </si>
  <si>
    <t>6,00*3,20</t>
  </si>
  <si>
    <t>skladba ST05</t>
  </si>
  <si>
    <t>25,92" 1.00.15 terasa</t>
  </si>
  <si>
    <t>Parozábrana - pás z SBS modifikovaného asfaltu, vložka Al fólie</t>
  </si>
  <si>
    <t>712341715.1</t>
  </si>
  <si>
    <t>Zaizolování prostupů střešní skladbou kruhový průřez, průměr do 300 mm (dodávka a montáž)</t>
  </si>
  <si>
    <t>-1379423004</t>
  </si>
  <si>
    <t>Dle výkresu střechy</t>
  </si>
  <si>
    <t>prostupy ve střeše ST 01</t>
  </si>
  <si>
    <t>prostupy ve střeše ST 02</t>
  </si>
  <si>
    <t>prostupy ve střeše ST03</t>
  </si>
  <si>
    <t>712341719.1</t>
  </si>
  <si>
    <t>Zaizolování prostupů střešní skladbou hranatého průřezu pl přes 0,09 do 0,25 m2 (dodávka a montáž)</t>
  </si>
  <si>
    <t>1078248980</t>
  </si>
  <si>
    <t>712363353.1</t>
  </si>
  <si>
    <t>Doplňkové lišty pro střešní skladby (dodávka a montáž)</t>
  </si>
  <si>
    <t>1298799408</t>
  </si>
  <si>
    <t>700,0" množství doplňkových lišt a prvků střešní skladby neuvedených v kapitole klempířských prvků úměrné ploše střechy (0,6 m/m2)</t>
  </si>
  <si>
    <t>712811101</t>
  </si>
  <si>
    <t>Provedení povlakové krytiny vytažením na konstrukce za studena nátěrem penetračním</t>
  </si>
  <si>
    <t>-951870979</t>
  </si>
  <si>
    <t>-143452169</t>
  </si>
  <si>
    <t>1183,481*0,00035 'Přepočtené koeficientem množství</t>
  </si>
  <si>
    <t>712841559</t>
  </si>
  <si>
    <t>Provedení povlakové krytiny vytažením na konstrukce pásy přitavením NAIP</t>
  </si>
  <si>
    <t>-2130723917</t>
  </si>
  <si>
    <t>Vrchní asfaltový pás</t>
  </si>
  <si>
    <t>vytažení na atiku (řez B3)</t>
  </si>
  <si>
    <t>(2*8,50+15,50+6,50+2,50+0,50*2)*(0,80+0,50)</t>
  </si>
  <si>
    <t>vytažení na strojovnu výtahu</t>
  </si>
  <si>
    <t>(3,80+4,15)*2*0,50</t>
  </si>
  <si>
    <t>vytažení na atiky - délka dle K04</t>
  </si>
  <si>
    <t>38,945*(0,76+0,50)</t>
  </si>
  <si>
    <t>svislá plocha na nižší střechu (řez B2) - XPS 180 mm</t>
  </si>
  <si>
    <t>6,30*1,30</t>
  </si>
  <si>
    <t>skladba ST02 (řez A)</t>
  </si>
  <si>
    <t>vytažení na atiku</t>
  </si>
  <si>
    <t>(2*6,30+9,40+0,50*2)*(0,80+0,50)</t>
  </si>
  <si>
    <t>vytažení na stěnu 5.NP</t>
  </si>
  <si>
    <t>9,40*0,50</t>
  </si>
  <si>
    <t>vytažení na atiku (řez A)</t>
  </si>
  <si>
    <t>(50,10*2-1,60-5,00+9,60*2+0,40*2)*(0,80+0,40)</t>
  </si>
  <si>
    <t>vytažení na atiku nad schodištěm</t>
  </si>
  <si>
    <t>(5,00+5,35*2)*(0,80+0,40)</t>
  </si>
  <si>
    <t>vytažení na atiku nad novou přístavbou výtahové šachty</t>
  </si>
  <si>
    <t>(1,60+2,80*2+0,40*2)*(0,40+0,40)</t>
  </si>
  <si>
    <t>skladba ST04</t>
  </si>
  <si>
    <t>vytažení na strojovnu výtahu (řez A2)</t>
  </si>
  <si>
    <t>3,20*0,50</t>
  </si>
  <si>
    <t>(4,65+5,40)*2*0,40" 1.00.15 terasa</t>
  </si>
  <si>
    <t>Podkladní asfaltový pás</t>
  </si>
  <si>
    <t>Parozábrana</t>
  </si>
  <si>
    <t>1401005715</t>
  </si>
  <si>
    <t>Podkladní asfaltový pás - asfaltový pás modifikovaný SBS tl. 4 mm s vložkou ze skleněné tkaniny</t>
  </si>
  <si>
    <t>ST01*1.15</t>
  </si>
  <si>
    <t>ST02*1.15</t>
  </si>
  <si>
    <t>ST03*1.15</t>
  </si>
  <si>
    <t>ST04*1.15</t>
  </si>
  <si>
    <t>ST05*1.15</t>
  </si>
  <si>
    <t>ST01vytazeni*1.20</t>
  </si>
  <si>
    <t>ST02vytazeni*1.20</t>
  </si>
  <si>
    <t>ST03vytazeni*1.20</t>
  </si>
  <si>
    <t>ST04vytazeni*1.20</t>
  </si>
  <si>
    <t>ST05vytazeni*1.20</t>
  </si>
  <si>
    <t>62855003</t>
  </si>
  <si>
    <t>pás asfaltový natavitelný modifikovaný SBS s vložkou z polyesterové rohože a hrubozrnným břidličným posypem na horním povrchu tl 4,0mm</t>
  </si>
  <si>
    <t>1312050962</t>
  </si>
  <si>
    <t>dle tab. skladeb - Vrchní asfaltový pás - asfaltový pás modifikovaný SBS tl. 4 mm s vložkou z PES rohože, horní povrch břidličný posyp</t>
  </si>
  <si>
    <t>62856011</t>
  </si>
  <si>
    <t>pás asfaltový natavitelný modifikovaný SBS s vložkou z hliníkové fólie s textilií a spalitelnou PE fólií nebo jemnozrnným minerálním posypem na horním povrchu tl 4,0mm</t>
  </si>
  <si>
    <t>-619310827</t>
  </si>
  <si>
    <t>dle tabulky skladeb - Parozábrana - pás z SBS modifikovaného asfaltu, vložka Al fólie, horní povrch jemnozrnný minerální posyp</t>
  </si>
  <si>
    <t>712998202</t>
  </si>
  <si>
    <t>Montáž bezpečnostního přepadu z PVC DN 125</t>
  </si>
  <si>
    <t>-1053064413</t>
  </si>
  <si>
    <t>Dle Tz statiky: v atice budou provedeny nouzové přepady po 4,0m v úrovni horní hrany střešního pláště</t>
  </si>
  <si>
    <t>Atika mezi osami 1-2</t>
  </si>
  <si>
    <t>(2*6,00+9,24)/4,00</t>
  </si>
  <si>
    <t>Atika mezi osami 2-11</t>
  </si>
  <si>
    <t>(49,80+15,20+2,85)*2/4,00</t>
  </si>
  <si>
    <t>Atika vpravo od osy 11</t>
  </si>
  <si>
    <t>(5,00+2*15,30+14,70)/4,00</t>
  </si>
  <si>
    <t>Atika terasy 1.00.15</t>
  </si>
  <si>
    <t>(4,00+5,50)/4,00</t>
  </si>
  <si>
    <t>0,815</t>
  </si>
  <si>
    <t>28342773</t>
  </si>
  <si>
    <t>přepad bezpečnostní atikový DN 125 s manžetou pro hydroizolaci z PVC-P</t>
  </si>
  <si>
    <t>-2080618551</t>
  </si>
  <si>
    <t>721242106</t>
  </si>
  <si>
    <t>Lapač střešních splavenin z PP se zápachovou klapkou a lapacím košem</t>
  </si>
  <si>
    <t>-1475016357</t>
  </si>
  <si>
    <t>998712103</t>
  </si>
  <si>
    <t>Přesun hmot tonážní pro krytiny povlakové v objektech v přes 12 do 24 m</t>
  </si>
  <si>
    <t>831258661</t>
  </si>
  <si>
    <t>713131121</t>
  </si>
  <si>
    <t>Montáž izolace tepelné stěn přichycením dráty rohoží, pásů, dílců, desek</t>
  </si>
  <si>
    <t>985019607</t>
  </si>
  <si>
    <t>Izolace vložená do kce atiky</t>
  </si>
  <si>
    <t>skladba ST03 (řez A)</t>
  </si>
  <si>
    <t>(50,10*2-1,60-5,00+9,60*2+0,40*2)*0,80</t>
  </si>
  <si>
    <t>atika nad schodištěm</t>
  </si>
  <si>
    <t>(5,00+5,35*2)*0,80</t>
  </si>
  <si>
    <t>atika nad novou přístavbou výtahové šachty</t>
  </si>
  <si>
    <t>(1,60+2,80*2+0,40*2)*0,40</t>
  </si>
  <si>
    <t>713131341</t>
  </si>
  <si>
    <t>Montáž izolace tepelné stěn lepením bodově nízkoexpanzní (PUR) pěnou s mechanickým kotvením rohoží, pásů, dílců, desek tl do 100mm</t>
  </si>
  <si>
    <t>-492209186</t>
  </si>
  <si>
    <t>Zateplení vnitřní svislé strany atiky</t>
  </si>
  <si>
    <t xml:space="preserve">skladba ST01 </t>
  </si>
  <si>
    <t>4.NP (řez A)</t>
  </si>
  <si>
    <t>(2*8,50+15,50+6,50+2,50+0,50*2)*0,80</t>
  </si>
  <si>
    <t>délka dle K04</t>
  </si>
  <si>
    <t>38,945*0,80</t>
  </si>
  <si>
    <t>(2*6,30+9,40+0,50*2)*0,80</t>
  </si>
  <si>
    <t>Zateplení vrchní strany atiky</t>
  </si>
  <si>
    <t>skladba ST01 (řez A)</t>
  </si>
  <si>
    <t>(2*8,50+15,50+6,50+2,50+0,50*2)*0,60</t>
  </si>
  <si>
    <t>38,945*0,50</t>
  </si>
  <si>
    <t>(2*6,30+9,40+0,50*2)*0,50</t>
  </si>
  <si>
    <t>(50,10*2-1,60-5,00+9,60*2+0,40*2)*0,40</t>
  </si>
  <si>
    <t>(1,60+2,80*2+0,40*2)*0,50</t>
  </si>
  <si>
    <t>Zateplení vrchní strany venkovních panelů balkonů 5.NP (řez B2) - miner.vlna</t>
  </si>
  <si>
    <t>12,80*0,50</t>
  </si>
  <si>
    <t>37,25*0,50</t>
  </si>
  <si>
    <t>-1611326515</t>
  </si>
  <si>
    <t>296,836*1,05 'Přepočtené koeficientem množství</t>
  </si>
  <si>
    <t>28376103</t>
  </si>
  <si>
    <t>klín izolační spádový z čedičové minerální vaty 50kPa</t>
  </si>
  <si>
    <t>-1603144768</t>
  </si>
  <si>
    <t>TIatikyvodorovna*0,07</t>
  </si>
  <si>
    <t xml:space="preserve">Zateplení vrchní strany venkovních panelů balkonů 5.NP (řez B2) </t>
  </si>
  <si>
    <t>12,80*0,50*0,07</t>
  </si>
  <si>
    <t>37,25*0,50*0,07</t>
  </si>
  <si>
    <t>10,045*1,05 'Přepočtené koeficientem množství</t>
  </si>
  <si>
    <t>713131343</t>
  </si>
  <si>
    <t>Montáž izolace tepelné stěn lepením bodově nízkoexpanzní (PUR) pěnou s mechanickým kotvením rohoží, pásů, dílců, desek tl přes 140 do 200 mm</t>
  </si>
  <si>
    <t>-956420011</t>
  </si>
  <si>
    <t>EPS 150 mm</t>
  </si>
  <si>
    <t>------------------------</t>
  </si>
  <si>
    <t xml:space="preserve">Krček - svislá plocha na nižší střechu (řez B2) </t>
  </si>
  <si>
    <t>28375992</t>
  </si>
  <si>
    <t>deska EPS 150 pro konstrukce s vysokým zatížením λ=0,035 tl 180mm</t>
  </si>
  <si>
    <t>-627836009</t>
  </si>
  <si>
    <t>8,19*1,05 'Přepočtené koeficientem množství</t>
  </si>
  <si>
    <t>713141131</t>
  </si>
  <si>
    <t>Montáž izolace tepelné střech plochých lepené za studena plně 1 vrstva rohoží, pásů, dílců, desek</t>
  </si>
  <si>
    <t>-407483301</t>
  </si>
  <si>
    <t>28375914</t>
  </si>
  <si>
    <t>deska EPS 150 pro konstrukce s vysokým zatížením λ=0,035 tl 100mm</t>
  </si>
  <si>
    <t>1389435646</t>
  </si>
  <si>
    <t>Tepelná izolace - expandovaný polystyren EPS 150 λd,max = 0,035 W/(m.K) - dle skladeb</t>
  </si>
  <si>
    <t>752,88*1,05 'Přepočtené koeficientem množství</t>
  </si>
  <si>
    <t>28375915</t>
  </si>
  <si>
    <t>deska EPS 150 pro konstrukce s vysokým zatížením λ=0,035 tl 120mm</t>
  </si>
  <si>
    <t>1774504908</t>
  </si>
  <si>
    <t>713141331</t>
  </si>
  <si>
    <t>Montáž izolace tepelné střech plochých lepené za studena zplna, spádová vrstva</t>
  </si>
  <si>
    <t>-225008585</t>
  </si>
  <si>
    <t>28376143</t>
  </si>
  <si>
    <t>klín izolační spád do 5% EPS 200</t>
  </si>
  <si>
    <t>689574054</t>
  </si>
  <si>
    <t>Tepelná izolace a spádová vrstva (3 %) - expandovaný polystyren EPS 200 λd,max = 0,034 W/(m.K) - dle skladeb</t>
  </si>
  <si>
    <t xml:space="preserve">min. 50 mm (skladby), max. 400 mm </t>
  </si>
  <si>
    <t>ST01*(0,05+0,40)/2</t>
  </si>
  <si>
    <t>větší tloušťka spádové vrstvy na střeše krčku (řez B2) .. 50-700 mm</t>
  </si>
  <si>
    <t>5,80*16,10*((0,05+0,70)/2-(0,05+0,40)/2)</t>
  </si>
  <si>
    <t>ST02*(0,05+0,40)/2</t>
  </si>
  <si>
    <t>ST03*(0,05+0,40)/2</t>
  </si>
  <si>
    <t>S06 .. klíny tl. 100-110 mm</t>
  </si>
  <si>
    <t>S06*(0,10+0,11)/2</t>
  </si>
  <si>
    <t>211,469*1,05 'Přepočtené koeficientem množství</t>
  </si>
  <si>
    <t>28376115.1</t>
  </si>
  <si>
    <t>spádová vrstva (2 %) a tepelná izolace - klín izolační z PIR desek s oboustranným kašírováním Al fólií, λ = 0,022, minimální tloušťka 105 mm</t>
  </si>
  <si>
    <t>1643226883</t>
  </si>
  <si>
    <t>25,92*1,05 'Přepočtené koeficientem množství</t>
  </si>
  <si>
    <t>-1347354193</t>
  </si>
  <si>
    <t>762</t>
  </si>
  <si>
    <t>Konstrukce tesařské</t>
  </si>
  <si>
    <t>762341147</t>
  </si>
  <si>
    <t>Bednění střech rovných sklon do 60° z cementotřískových desek tl 24 mm na pero a drážku kotvených k ocelovým profilům</t>
  </si>
  <si>
    <t>214972267</t>
  </si>
  <si>
    <t>762361312</t>
  </si>
  <si>
    <t>Konstrukční a vyrovnávací vrstva pod klempířské prvky (atiky) z desek dřevoštěpkových tl 22 mm</t>
  </si>
  <si>
    <t>753888101</t>
  </si>
  <si>
    <t>Desky vrchní strany atiky</t>
  </si>
  <si>
    <t>délka dle délky K04 - oplechování atiky krčku</t>
  </si>
  <si>
    <t>atika nad schodištěm (řez B2)</t>
  </si>
  <si>
    <t>atika nad novou přístavbou výtahové šachty (řez A2)</t>
  </si>
  <si>
    <t xml:space="preserve">Pod oplechování venkovních panelů balkonů 5.NP (řez B2) </t>
  </si>
  <si>
    <t>762395000</t>
  </si>
  <si>
    <t>Spojovací prostředky krovů, bednění, laťování, nadstřešních konstrukcí</t>
  </si>
  <si>
    <t>-623081259</t>
  </si>
  <si>
    <t>ST03*0,024</t>
  </si>
  <si>
    <t>ST04*0,024</t>
  </si>
  <si>
    <t>vrstva pod klempířské prvky</t>
  </si>
  <si>
    <t>143,498*0,022</t>
  </si>
  <si>
    <t>998762103</t>
  </si>
  <si>
    <t>Přesun hmot tonážní pro kce tesařské v objektech v přes 12 do 24 m</t>
  </si>
  <si>
    <t>155160166</t>
  </si>
  <si>
    <t>767.ZÁCH</t>
  </si>
  <si>
    <t>Záchytný systém proti pádu (montáž a dodávka, kompletní provedení vč. souvisejících prací)</t>
  </si>
  <si>
    <t>767881100.1</t>
  </si>
  <si>
    <t>U1 - Nerezový kotvící bod záchytného systému střechy, délka 700 mm</t>
  </si>
  <si>
    <t>225631692</t>
  </si>
  <si>
    <t>Přesný popis jednotlivých prvků záchytného systému viz pd D.1.1.30.9 "Záchytný systém".</t>
  </si>
  <si>
    <t>Součástí jednotkových cen položek záchytného systému je zajištění vodonepropustnosti prostupů  hydroizolační vrstvou.</t>
  </si>
  <si>
    <t>U1.1-21</t>
  </si>
  <si>
    <t>767881105.1</t>
  </si>
  <si>
    <t>U2 - Nerezový kotvící bod záchytného systému střechy, délka 500 mm, větší průměr kotvícího bodu</t>
  </si>
  <si>
    <t>75213187</t>
  </si>
  <si>
    <t>U2.1-2.11</t>
  </si>
  <si>
    <t>767881110.1</t>
  </si>
  <si>
    <t>Permanentní nerezové lano záchytného systému střechy min. tl. 8 mm vč. příslušenství (např. koncovek, štítků apod.)</t>
  </si>
  <si>
    <t>983554833</t>
  </si>
  <si>
    <t>767881120.1</t>
  </si>
  <si>
    <t>Set pro údržbu střechy - zachycovací postroj, spojovací lano 15m a vak</t>
  </si>
  <si>
    <t>-27768578</t>
  </si>
  <si>
    <t>-1955230761</t>
  </si>
  <si>
    <t>A3sokly*0,10</t>
  </si>
  <si>
    <t>A6sokly*0,10</t>
  </si>
  <si>
    <t>16*(0,15+0,30)" 1.00.15 terasa - schodiště</t>
  </si>
  <si>
    <t>-2094425566</t>
  </si>
  <si>
    <t>dlažba A6</t>
  </si>
  <si>
    <t>16*1,25" 1.00.15 terasa - schodiště</t>
  </si>
  <si>
    <t>-1745031701</t>
  </si>
  <si>
    <t>20*1,1 'Přepočtené koeficientem množství</t>
  </si>
  <si>
    <t>771161023</t>
  </si>
  <si>
    <t>Montáž profilu ukončujícího pro balkony a terasy</t>
  </si>
  <si>
    <t>-186328329</t>
  </si>
  <si>
    <t>Dlažba A3</t>
  </si>
  <si>
    <t>balkony</t>
  </si>
  <si>
    <t>(2,395+0,10+0,18)*10</t>
  </si>
  <si>
    <t>(2,395+0,10+0,18)*12</t>
  </si>
  <si>
    <t>(2,395+0,10+0,18)*14</t>
  </si>
  <si>
    <t>(2,64+2,61)</t>
  </si>
  <si>
    <t>(5,53+6*5,50)</t>
  </si>
  <si>
    <t>5905439.1</t>
  </si>
  <si>
    <t>balkonová lišta (okapnicový profil) hliníkový, šířka 40 cm, vč. příslušenství (spojky, rohy apod.)</t>
  </si>
  <si>
    <t>-803293370</t>
  </si>
  <si>
    <t>177,53*1,05 'Přepočtené koeficientem množství</t>
  </si>
  <si>
    <t>1055663018</t>
  </si>
  <si>
    <t>771274231</t>
  </si>
  <si>
    <t>Montáž obkladů podstupnic z dlaždic keramických hladkých lepených cementovým flexibilním lepidlem v do 150 mm</t>
  </si>
  <si>
    <t>-954222464</t>
  </si>
  <si>
    <t>771474111</t>
  </si>
  <si>
    <t>Montáž soklů z dlaždic keramických rovných lepených cementovým flexibilním lepidlem v do 65 mm</t>
  </si>
  <si>
    <t>639884795</t>
  </si>
  <si>
    <t>sokl dlažby A6</t>
  </si>
  <si>
    <t>21,429" 1.00.15 terasa</t>
  </si>
  <si>
    <t>-(1,55+1,16)</t>
  </si>
  <si>
    <t>31,04" 5.00.05 terasa</t>
  </si>
  <si>
    <t>771474112</t>
  </si>
  <si>
    <t>Montáž soklů z dlaždic keramických rovných lepených cementovým flexibilním lepidlem v přes 65 do 90 mm</t>
  </si>
  <si>
    <t>566319228</t>
  </si>
  <si>
    <t>sokl dlažby A3</t>
  </si>
  <si>
    <t>16*(0,15+0,30)*2" 1.00.15 terasa - schodiště</t>
  </si>
  <si>
    <t>Balkony 1.NP-4.NP</t>
  </si>
  <si>
    <t>(10+12+2*14)*(2,395+2*1,25)</t>
  </si>
  <si>
    <t xml:space="preserve">Balkony 5.NP </t>
  </si>
  <si>
    <t>5,53+5,50*6+2,64+2,61</t>
  </si>
  <si>
    <t>0,75*2*9</t>
  </si>
  <si>
    <t>771474132</t>
  </si>
  <si>
    <t>Montáž soklů z dlaždic keramických schodišťových stupňovitých lepených cementovým flexibilním lepidlem v přes 65 do 90 mm</t>
  </si>
  <si>
    <t>-1489041975</t>
  </si>
  <si>
    <t>59761175.A3</t>
  </si>
  <si>
    <t>A3 - sokl keramický mrazuvzdorný výška 8,5 cm (odpovídající dlažbě A3)</t>
  </si>
  <si>
    <t>1164487885</t>
  </si>
  <si>
    <t>316,43*1,1 'Přepočtené koeficientem množství</t>
  </si>
  <si>
    <t>59761175.A6</t>
  </si>
  <si>
    <t>A6 - sokl keramický mrazuvzdorný výška 6 cm (nažezaný z dlažby A6)</t>
  </si>
  <si>
    <t>-1644815614</t>
  </si>
  <si>
    <t>63,159*1,1 'Přepočtené koeficientem množství</t>
  </si>
  <si>
    <t>-1343687310</t>
  </si>
  <si>
    <t>737034099</t>
  </si>
  <si>
    <t>379,589*1,05 'Přepočtené koeficientem množství</t>
  </si>
  <si>
    <t>772528123</t>
  </si>
  <si>
    <t>Kladení dlažby na sucho na terče plochy do 0,25 m2 v terče přes 70 do 100 mm</t>
  </si>
  <si>
    <t>101709426</t>
  </si>
  <si>
    <t>(2,395+0,10+0,18)*1,20*10</t>
  </si>
  <si>
    <t>(2,395+0,10+0,18)*1,20*12</t>
  </si>
  <si>
    <t>(2,395+0,10+0,18)*1,20*14</t>
  </si>
  <si>
    <t>(2,64+2,61)*0,60</t>
  </si>
  <si>
    <t>(5,53+6*5,50)*0,70</t>
  </si>
  <si>
    <t>59761119.1</t>
  </si>
  <si>
    <t>A3 - mrazuvzdorná a rektifikovaná dlažba v šedé barvě v betonovém designu o rozměru 45x45 cm a tloušťce 10 mm s matným povrchem, protiskluznost: R10/B, vysoce odolné proti opotřebení</t>
  </si>
  <si>
    <t>552258040</t>
  </si>
  <si>
    <t>190,621*1,1 'Přepočtené koeficientem množství</t>
  </si>
  <si>
    <t>772528123.1</t>
  </si>
  <si>
    <t>Kladení dlažby na sucho na terče plochy přes 0,25 m2 v terče přes 50 do 160 mm</t>
  </si>
  <si>
    <t>1774239873</t>
  </si>
  <si>
    <t>Dlažba A6</t>
  </si>
  <si>
    <t>1.00.15 terasa</t>
  </si>
  <si>
    <t>5.00.05 terasa</t>
  </si>
  <si>
    <t>57,53</t>
  </si>
  <si>
    <t>59761144.1</t>
  </si>
  <si>
    <t>A6 - mrazuvzdorná a rektifikovaná dlažba v šedé barvě v betonovém designu o rozměru 60x60 cm a tloušťce 20 mm s matným povrchem, Vysoce odolné proti opotřebení, protiskluznost R11</t>
  </si>
  <si>
    <t>21853657</t>
  </si>
  <si>
    <t>90,65*1,1 'Přepočtené koeficientem množství</t>
  </si>
  <si>
    <t>1398642811</t>
  </si>
  <si>
    <t>DOZ - Výtahy</t>
  </si>
  <si>
    <t xml:space="preserve">Podrobný, úplný popis a parametry všech konstrukcí, prací, výrobků a materiálů viz projektová dokumentace. Jednotkové ceny musí obsahovat dodávku a montáž položek. Jednotkové ceny musí zahrnovat kompletní provedení položek, související přípravné práce, detaily, doplňky, povrchové úpravy, zkoušky, příp. jiné dodávky a činnosti nutné k bezvadnému provedení díla. </t>
  </si>
  <si>
    <t>21-M.VÝT - Dopravní zařízení (podrobný popis zařízení viz pd)</t>
  </si>
  <si>
    <t>21-M.VÝT</t>
  </si>
  <si>
    <t>Dopravní zařízení (podrobný popis zařízení viz pd)</t>
  </si>
  <si>
    <t>2100000</t>
  </si>
  <si>
    <t>Demontáž, odvoz a ekologická likvidace stávajícího výtahu vč. doplňků, souvisejících demontážních prací - půdorysná vel. klece cca 1100x1400 mm</t>
  </si>
  <si>
    <t>-1894419625</t>
  </si>
  <si>
    <t>2100100</t>
  </si>
  <si>
    <t>Osobní výtah - jmenovitá nosnost 540 kg, vnitřní výška klece 2050 mm, vnitřní šířka klece 900 mm, vnitřní hloubka klece 1520 mm, 6 stanic - montáž a dodávka vč. doplňků, souvisejících prací, přesunu hmot, kompletní provedení</t>
  </si>
  <si>
    <t>-565147355</t>
  </si>
  <si>
    <t>Poznámka k položce:
Podrobný popis položek tohoto oddílu viz D.1.1.32 Výtahy.</t>
  </si>
  <si>
    <t>2100200</t>
  </si>
  <si>
    <t>Evakuační výtah - jmenovitá nosnost 1000 kg, vnitřní výška klece 2200 mm, vnitřní šířka klece 1100 mm, vnitřní hloubka klece 2100 mm, 6 stanic - montáž a dodávka vč. doplňků, souvisejících prací, přesunu hmot, kompletní provedení</t>
  </si>
  <si>
    <t>-1635242041</t>
  </si>
  <si>
    <t>2100300</t>
  </si>
  <si>
    <t>Repase stávajícího výtahu vč. doplňků - očistění a uvedení do původního stavu, související práce, přesun hmot, přepojení na nový elektrický rozvod, kompletní provedení</t>
  </si>
  <si>
    <t>1244484955</t>
  </si>
  <si>
    <t>VYR - Výrobky</t>
  </si>
  <si>
    <t>Úroveň 3:</t>
  </si>
  <si>
    <t>01 - Klempířské prvky</t>
  </si>
  <si>
    <t>Podrobný popis položek tohoto oddílu viz D.1.1.30.4 KLEMPÍŘSKÉ VÝROBKY.  Jednotkové ceny musí obsahovat dodávku a montáž položek, ztratné (pokud není uvedeno jinak). Jednotkové ceny musí zahrnovat kompletní provedení položek, související přípravné práce, detaily, doplňky, kotvení, povrchové úpravy, zkoušky, příp. jiné dodávky a činnosti nutné k bezvadnému provedení díla.</t>
  </si>
  <si>
    <t>1 - Klempířské prvky</t>
  </si>
  <si>
    <t>764521403</t>
  </si>
  <si>
    <t>OK1 - Žlab podokapní půlkruhový z Al plechu rš 250 mm (legovaný hliník)</t>
  </si>
  <si>
    <t>1315424792</t>
  </si>
  <si>
    <t>Poznámka k položce:
Podrobný popis položek tohoto oddílu viz D.1.1.30.4 KLEMPÍŘSKÉ VÝROBKY.</t>
  </si>
  <si>
    <t>764521443</t>
  </si>
  <si>
    <t>Kotlík oválný (trychtýřový) pro podokapní žlaby z Al plechu 250/80 mm</t>
  </si>
  <si>
    <t>-523721907</t>
  </si>
  <si>
    <t>764528421</t>
  </si>
  <si>
    <t>OK2 - Svody kruhové včetně objímek, kolen, odskoků z Al plechu průměru 80 mm (legovaný hliník)</t>
  </si>
  <si>
    <t>-1881611285</t>
  </si>
  <si>
    <t>Pol3</t>
  </si>
  <si>
    <t>Nový vnější parapet,Hliník s práškovým lakováním tl. 0,8mm,r.š.280mm, ozn.K01</t>
  </si>
  <si>
    <t>Pol4</t>
  </si>
  <si>
    <t>Nové vnější oplechování,Hliník s práškovým lakováním tl. 0,8mm,r.š.1065mm, ozn.K02</t>
  </si>
  <si>
    <t>Pol5</t>
  </si>
  <si>
    <t>Nový vnější parapet,Hliník s práškovým lakováním tl. 0,8mm,r.š.870mm, ozn.K03</t>
  </si>
  <si>
    <t>Pol6</t>
  </si>
  <si>
    <t>Oplechování atiky krčku,Hliník s práškovým lakováním tl. 0,8mm,r.š.700mm, ozn.K04</t>
  </si>
  <si>
    <t>Pol7</t>
  </si>
  <si>
    <t>Oplechování atiky,Hliník s práškovým lakováním tl. 0,8mm,r.š.750mm, ozn.K05</t>
  </si>
  <si>
    <t>Pol8</t>
  </si>
  <si>
    <t>Oplechování atika,Hliník s práškovým lakováním tl. 0,8mm,r.š.550mm, ozn.K06</t>
  </si>
  <si>
    <t>Pol9</t>
  </si>
  <si>
    <t>Nové oplechování bočního schodiště,Hliník s práškovým lakováním tl. 0,8mm,r.š.635mm, ozn.K07</t>
  </si>
  <si>
    <t>Pol10</t>
  </si>
  <si>
    <t>Nové oplechování bočního schodiště,Hliník s práškovým lakováním tl. 0,8mm,r.š.400mm, ozn.K08</t>
  </si>
  <si>
    <t>Pol11</t>
  </si>
  <si>
    <t>Oplechování atika,Hliník s práškovým lakováním tl. 0,8mm,r.š.690mm, ozn.K09</t>
  </si>
  <si>
    <t>Pol12</t>
  </si>
  <si>
    <t>Oplechování,Hliník s práškovým lakováním tl. 0,8mm,r.š.640mm, ozn.K10</t>
  </si>
  <si>
    <t>Pol13</t>
  </si>
  <si>
    <t>Oplechování komínů VZT,Hliník s práškovým lakováním tl. 0,8mm,r.š.1120mm, ozn.K11</t>
  </si>
  <si>
    <t>Pol14</t>
  </si>
  <si>
    <t>Nové oplechování soklu,Hliník s práškovým lakováním tl. 0,8mm,r.š.490mm, ozn.K12</t>
  </si>
  <si>
    <t>Pol15</t>
  </si>
  <si>
    <t>Nový vnější parapet,Hliník s práškovým lakováním tl. 0,8mm,r.š.400mm, ozn.K13</t>
  </si>
  <si>
    <t>02 - Ostatní výrobky</t>
  </si>
  <si>
    <t>Podrobný popis položek tohoto oddílu viz D.1.1.30.8 OSTATNÍ VÝROBKY.  Jednotkové ceny musí obsahovat dodávku a montáž položek, ztratné (pokud není uvedeno jinak). Jednotkové ceny musí zahrnovat kompletní provedení položek, související přípravné práce, detaily, doplňky, dilatace, kotvení, povrchové úpravy, zkoušky, příp. jiné dodávky a činnosti nutné k bezvadnému provedení díla.</t>
  </si>
  <si>
    <t>1 - Ostatní výrobky</t>
  </si>
  <si>
    <t>Pol16</t>
  </si>
  <si>
    <t>Síť proti ptactvu včetně montáže. Kotvení na profily L nebo očka. Síť z polyethylenu. Hmotnost sítě. 25 g / m2 . Velikost oka 50 mm . Síla materiálu: 0,9 mm  Materiál: Polyethylen (PET).  Barva:  béžová. Provedení: uzlová, skaná  Zakončení síťoviny: síť j</t>
  </si>
  <si>
    <t>ks</t>
  </si>
  <si>
    <t>Poznámka k položce:
Podrobný popis položek tohoto oddílu viz D.1.1.30.8 OSTATNÍ VÝROBKY.</t>
  </si>
  <si>
    <t>Pol17</t>
  </si>
  <si>
    <t>Turniket s otočnými křídly. Samonosná skříň z nerezového plechu  tl.1,5 mm. a skleněná otočná křídla z  transparentního plexiskla, příp. tvrzeného  skla. Doplněn skleněnou pevnou zástěnou do šíře chodby. Napojení na EPS. Ozn. OS02</t>
  </si>
  <si>
    <t>Pol18</t>
  </si>
  <si>
    <t>Motorová branka. Křídlo ze skla. Možnost otevření na obě strany, automatické zavření. Napojení na EPS. Ozn. OS03</t>
  </si>
  <si>
    <t>Pol19</t>
  </si>
  <si>
    <t>Schodišťová plošina pro přímé schodiště. Pojezdová dráha z eloxovaného hliníku. Pojezdová dráha plošiny kotvena na zeď i na sloupky pomocí rozpěrných nebo chemických kotev. V místě kolejnic nesmí být pod omítkou žádné rozvody. Ozn. OS04</t>
  </si>
  <si>
    <t>03 - Dveře</t>
  </si>
  <si>
    <t>Podrobný popis položek tohoto oddílu viz D.1.1.30.3 TABULKA DVEŘÍ.  Elektromechanické zámky nejsou součástí položek dveří. Jsou samostatně vykázány v soupisu prací Slaboproudu.  Jednotkové ceny musí obsahovat dodávku a montáž položek, ztratné (pokud není uvedeno jinak). Jednotkové ceny musí zahrnovat kompletní provedení položek, související přípravné práce, detaily, doplňky, dilatace, kotvení, těsnění k okolním konstrukcím s příp.požární odoloností, povrchové úpravy, zkoušky, příp. jiné dodávky a činnosti nutné k bezvadnému provedení díla.</t>
  </si>
  <si>
    <t>1 - Dveře</t>
  </si>
  <si>
    <t>Pol20</t>
  </si>
  <si>
    <t>Vnitřní otočné dvoukřídlé s bočním světlíkem a nadsvětlíkem, vel.4 400×2 650mm, zasklení bezpečnostní; PO EW 30 DP1 C3 vč.zárubně a kování, ozn.D01</t>
  </si>
  <si>
    <t xml:space="preserve">Poznámka k položce:
Podrobný popis položek tohoto oddílu viz D.1.1.30.3 TABULKA DVEŘÍ.
Dle Stz: Dveře budou mít na vnější straně ve výši 200 mm nad klikou umístěn štítek s hmatným orientačním znakem a s příslušným nápisem v Braillově písmu jako je text „WC ženy“, muži . Braillovo písmo bude mít parametry standardní sazby. .. Tyto štítky budou budou součástí položek dveří. 
Elektromechanické zámky nejsou součástí položek dveří. Jsou samostatně vykázány v soupisu prací Slaboproudu. </t>
  </si>
  <si>
    <t>Pol21</t>
  </si>
  <si>
    <t>Vnitřní otočné dvoukřídlé s bočním světlíkem a nadsvětlíkem, vel.4 500×2 640mm, zasklení bezpečnostní; PO EI 30 DP3 C3 S200 vč.zárubně a kování, ozn.D02</t>
  </si>
  <si>
    <t>Pol22</t>
  </si>
  <si>
    <t>Vnitřní otočné jednokřídlé s nadsvětlíkem, vel.1 000×2 640mm, zasklení bezpečnostní; vč.zárubně a kování, ozn.D03a</t>
  </si>
  <si>
    <t>Pol23</t>
  </si>
  <si>
    <t>Vnitřní otočné jednokřídlé s nadsvětlíkem, vel.1 000×2 640mm, zasklení bezpečnostní; PO EI 30 DP3 C3 S200 vč.zárubně a kování, ozn.D03b</t>
  </si>
  <si>
    <t>Pol24</t>
  </si>
  <si>
    <t>Vnitřní otočné jednokřídlé s nadsvětlíkem, vel.1 000×2 640mm, zasklení bezpečnostní; PO EI 30 DP3 C3 S200 vč.zárubně a kování, ozn.D04a</t>
  </si>
  <si>
    <t>Pol25</t>
  </si>
  <si>
    <t>Vnitřní otočné jednokřídlé s nadsvětlíkem, vel.1 000×2 640mm, zasklení bezpečnostní; PO EI 30 DP3 C3 S200 vč.zárubně a kování, ozn.D04b</t>
  </si>
  <si>
    <t>Pol26</t>
  </si>
  <si>
    <t>Vnitřní otočné jednokřídlé, vel.900×2 020mm, zasklení bezpečnostní; PO EI 30 DP1 C3 vč.zárubně a kování, ozn.D05</t>
  </si>
  <si>
    <t>Pol27</t>
  </si>
  <si>
    <t>Vnitřní otočné jednokřídlé, vel.1 000×2 020mm, vč.zárubně a kování, ozn.D06</t>
  </si>
  <si>
    <t>Pol28</t>
  </si>
  <si>
    <t>Vnitřní otočné jednokřídlé, vel.980×2 010mm, zasklení bezpečnostní; PO EI 30 DP3 C3 S200 vč.zárubně a kování, ozn.D07</t>
  </si>
  <si>
    <t>Pol29</t>
  </si>
  <si>
    <t>Vnitřní otočné dvoukřídlé, vel.1 500×2 150mm, vč.zárubně a kování, ozn.D08</t>
  </si>
  <si>
    <t>Pol30</t>
  </si>
  <si>
    <t>Vnitřní otočné jednokřídlé, vel.900×2 020mm, vč.zárubně a kování, ozn.D09</t>
  </si>
  <si>
    <t>Pol31</t>
  </si>
  <si>
    <t>Vnitřní otočné dvoukřídlé, vel.1 700×2 020mm, zasklení bezpečnostní; PO EI 30 DP3 C3 S200 vč.zárubně a kování, ozn.D10</t>
  </si>
  <si>
    <t>Pol32</t>
  </si>
  <si>
    <t>Vnitřní otočné jednokřídlé, vel.1 000×2 020mm, EI 30 DP3 C3 S200 vč.zárubně a kování, ozn.D11</t>
  </si>
  <si>
    <t>Pol33</t>
  </si>
  <si>
    <t>Vnitřní otočné dvoukřídlé s nadsvětlíkem, vel.1 500×2 640mm, zasklení bezpečnostní  vč.zárubně a kování, ozn.D12</t>
  </si>
  <si>
    <t>Pol34</t>
  </si>
  <si>
    <t>Vnitřní otočné dvoukřídlé s nadsvětlíkem, vel.1 500×2 640mm, zasklení bezpečnostní; PO EW 30 DP3 C3 vč.zárubně a kování, ozn.D13</t>
  </si>
  <si>
    <t>Pol35</t>
  </si>
  <si>
    <t>Vnitřní otočné dvoukřídlé s nadsvětlíkem, vel.1 500×2 700mm, zasklení bezpečnostní; PO EI 30 DP3 C3 vč.zárubně a kování, ozn.D14a</t>
  </si>
  <si>
    <t>Pol36</t>
  </si>
  <si>
    <t>Vnitřní otočné dvoukřídlé s nadsvětlíkem, vel.1 500×2 700mm, zasklení bezpečnostní; PO EI 30 DP3 C3 vč.zárubně a kování, ozn.D14b</t>
  </si>
  <si>
    <t>Pol37</t>
  </si>
  <si>
    <t>Vnitřní otočné jednokřídlé, vel.800×2 020mm vč.zárubně a kování, ozn.D15</t>
  </si>
  <si>
    <t>Pol38</t>
  </si>
  <si>
    <t>Vnitřní otočné jednokřídlé, vel.900×2 020mm, PO EW 30 DP3 C3 vč.zárubně a kování, ozn.D16</t>
  </si>
  <si>
    <t>Pol39</t>
  </si>
  <si>
    <t>Vnitřní otočné jednokřídlé, vel.1 000×2 020mm, PO EW 30 DP3 C3 vč.zárubně a kování, ozn.D17</t>
  </si>
  <si>
    <t>Pol40</t>
  </si>
  <si>
    <t>Vnitřní otočné jednokřídlé, vel.1 000×2 020mm, PO EI 30 DP3 C3 vč.zárubně a kování, ozn.D18</t>
  </si>
  <si>
    <t>Pol41</t>
  </si>
  <si>
    <t>Vnitřní otočné jednokřídlé, vel.1 000×2 020mm, PO EI 30 DP3 C3 S200 vč.zárubně a kování, ozn.D19</t>
  </si>
  <si>
    <t>Pol42</t>
  </si>
  <si>
    <t>Vnitřní otočné jednokřídlé, vel.900×2 020mm, PO EI 30 DP3 C3 S200 vč.zárubně a kování, ozn.D20</t>
  </si>
  <si>
    <t>Pol43a</t>
  </si>
  <si>
    <t>Vnitřní otočné jednokřídlé, vel.900×2 020mm, PO EI 30 DP3 C3 vč.zárubně a kování, ozn.D21a</t>
  </si>
  <si>
    <t>Pol43b</t>
  </si>
  <si>
    <t>Vnitřní otočné jednokřídlé, vel.900×2 020mm, PO EI 30 DP3 C3 vč.zárubně a kování, ozn.D21b</t>
  </si>
  <si>
    <t>-1961359414</t>
  </si>
  <si>
    <t>Pol44</t>
  </si>
  <si>
    <t>Vnitřní otočné jednokřídlé, vel.900×2 020mm, EW 30 DP3 C3 vč.zárubně a kování, ozn.D22a</t>
  </si>
  <si>
    <t>Pol45</t>
  </si>
  <si>
    <t>Vnitřní otočné jednokřídlé, vel.900×2 020mm, EW 30 DP3 C3 vč.zárubně a kování, ozn.D22b</t>
  </si>
  <si>
    <t>Pol46</t>
  </si>
  <si>
    <t>Vnitřní otočné jednokřídlé, vel.1 000×2 020mm vč.zárubně a kování, ozn.D23a</t>
  </si>
  <si>
    <t>Pol47</t>
  </si>
  <si>
    <t>Vnitřní otočné jednokřídlé, vel.1 000×2 020mm vč.zárubně a kování, ozn.D23b</t>
  </si>
  <si>
    <t>Pol47c</t>
  </si>
  <si>
    <t>Vnitřní otočné jednokřídlé, vel.1 000×2 020mm vč.zárubně a kování, ozn.D23c</t>
  </si>
  <si>
    <t>-814083212</t>
  </si>
  <si>
    <t>Pol47d</t>
  </si>
  <si>
    <t>Vnitřní otočné jednokřídlé, vel.1 000×2 020mm, PO EW 30 DP3 vč.zárubně a kování, ozn.D23d</t>
  </si>
  <si>
    <t>1917747181</t>
  </si>
  <si>
    <t>Pol48</t>
  </si>
  <si>
    <t>Vnitřní otočné jednokřídlé, vel.800×2 020mm, vč.zárubně a kování, ozn.D24a</t>
  </si>
  <si>
    <t>Pol49</t>
  </si>
  <si>
    <t>Vnitřní otočné jednokřídlé, vel.800×2 020mm vč.zárubně a kování, ozn.D24b</t>
  </si>
  <si>
    <t>Pol50</t>
  </si>
  <si>
    <t>Vnitřní otočné jednokřídlé, vel.1 000×2 020mm vč.zárubně a kování, ozn.D24c</t>
  </si>
  <si>
    <t>Pol51</t>
  </si>
  <si>
    <t>Vnitřní otočné jednokřídlé, vel.1 000×2 020mm vč.zárubně a kování, ozn.D24d</t>
  </si>
  <si>
    <t>Pol52</t>
  </si>
  <si>
    <t>Vnitřní posuvné, vel.780×2 010mm vč.zárubně a kování, ozn.D24e</t>
  </si>
  <si>
    <t>Pol53</t>
  </si>
  <si>
    <t>Vnitřní otočné jednokřídlé, vel.800×2 020mm vč.zárubně a kování, ozn.D24f</t>
  </si>
  <si>
    <t>Pol54</t>
  </si>
  <si>
    <t>Vnitřní otočné jednokřídlé, vel.800×2 020mm vč.zárubně a kování, ozn.D24g</t>
  </si>
  <si>
    <t>Pol54h</t>
  </si>
  <si>
    <t>Vnitřní otočné jednokřídlé, vel.800×2 020mm vč.zárubně a kování, ozn.D24h</t>
  </si>
  <si>
    <t>521175553</t>
  </si>
  <si>
    <t>Pol55</t>
  </si>
  <si>
    <t>Vnitřní otočné jednokřídlé, vel.900×2 020mm vč.zárubně a kování, ozn.D25</t>
  </si>
  <si>
    <t>Pol56</t>
  </si>
  <si>
    <t>Vnitřní otočné jednokřídlé, vel.1 000×2 020mm vč.zárubně a kování, ozn.D26</t>
  </si>
  <si>
    <t>Pol57</t>
  </si>
  <si>
    <t>Vnitřní otočné jednokřídlé, vel.900×2 020mm, PO EI 30 DP1 C3 S200 vč.zárubně a kování, ozn.D27</t>
  </si>
  <si>
    <t>Pol58</t>
  </si>
  <si>
    <t>Vnitřní otočné jednokřídlé, vel.900×2 020mm vč.zárubně a kování, ozn.D28a</t>
  </si>
  <si>
    <t>Pol59</t>
  </si>
  <si>
    <t>Vnitřní otočné jednokřídlé, vel.900×2 020mm vč.zárubně a kování, ozn.D28b</t>
  </si>
  <si>
    <t>Pol60</t>
  </si>
  <si>
    <t>Vnitřní otočné dvoukřídlé, vel.1 500×2 020mm vč.zárubně a kování, ozn.D29</t>
  </si>
  <si>
    <t>Pol61</t>
  </si>
  <si>
    <t>Vnější otočné jednokřídlé, vel.1 000×2 150mm, PO EI 30 DP1 C3 vč.zárubně a kování, ozn.D30</t>
  </si>
  <si>
    <t>Pol62</t>
  </si>
  <si>
    <t>Vnější otočné dvoukřídlé, vel.1 350×2 150mm, PO EI 30 DP1 C3 vč.zárubně a kování, ozn.D31</t>
  </si>
  <si>
    <t>Pol63</t>
  </si>
  <si>
    <t>Vnější otočné dvoukřídlé s bočním světlíkem a nadsvětlíkem, vel.4 200×3 070mm, zasklení Izolační trojsklo; bezpečnostní  vč.zárubně a kování, ozn.D32</t>
  </si>
  <si>
    <t>Pol64</t>
  </si>
  <si>
    <t>Vnější otočné jednokřídlé, vel.900×850mm vč.zárubně a kování, ozn.D33</t>
  </si>
  <si>
    <t>Pol65</t>
  </si>
  <si>
    <t>Vnitřní otočné jednokřídlé, vel.1 000×1 550mm vč.zárubně a kování, ozn.D34</t>
  </si>
  <si>
    <t>Pol66</t>
  </si>
  <si>
    <t>Vnější otočné dvoukřídlé, vel.2 400×1 950mm vč.zárubně a kování, ozn.D35</t>
  </si>
  <si>
    <t>Pol67</t>
  </si>
  <si>
    <t>Vnější otočné dvoukřídlé, vel.2 400×2 020mm vč.zárubně a kování, ozn.D36</t>
  </si>
  <si>
    <t>Pol68</t>
  </si>
  <si>
    <t>Vnitřní otočné jednokřídlé, vel.900×2 020mm vč.zárubně a kování, ozn.D37</t>
  </si>
  <si>
    <t>Pol69</t>
  </si>
  <si>
    <t>Vnější otočné jednokřídlé, vel.900×2 020mm, PO EI 30 DP1 vč.zárubně a kování, ozn.D38</t>
  </si>
  <si>
    <t>Pol70</t>
  </si>
  <si>
    <t>Vnější otočné jednokřídlé, vel.1 000×2 150mm, PO EI 30 DP3 C3 vč.zárubně a kování, ozn.D39</t>
  </si>
  <si>
    <t>Pol7010</t>
  </si>
  <si>
    <t>Systém generálního klíče pro dveře</t>
  </si>
  <si>
    <t>-564002223</t>
  </si>
  <si>
    <t>Pol7015</t>
  </si>
  <si>
    <t>Klíče pro dveře začleněné do systému generálního klíče</t>
  </si>
  <si>
    <t>-1037186340</t>
  </si>
  <si>
    <t>Pol7020</t>
  </si>
  <si>
    <t>Bezpečnostní (protikolizní) samolepky prosklených stěn a dveří</t>
  </si>
  <si>
    <t>1618528772</t>
  </si>
  <si>
    <t>Délka vyjadřuje šíři prosklených dveří a prosklených stěn</t>
  </si>
  <si>
    <t>D01</t>
  </si>
  <si>
    <t>4,40</t>
  </si>
  <si>
    <t>D02</t>
  </si>
  <si>
    <t>4,50</t>
  </si>
  <si>
    <t>D03a</t>
  </si>
  <si>
    <t>D03b</t>
  </si>
  <si>
    <t>5*1,00</t>
  </si>
  <si>
    <t>D04a</t>
  </si>
  <si>
    <t>D04b</t>
  </si>
  <si>
    <t>4*1,00</t>
  </si>
  <si>
    <t>D05</t>
  </si>
  <si>
    <t>0,90</t>
  </si>
  <si>
    <t>D07</t>
  </si>
  <si>
    <t>0,98</t>
  </si>
  <si>
    <t>D10</t>
  </si>
  <si>
    <t>1,70</t>
  </si>
  <si>
    <t>D12</t>
  </si>
  <si>
    <t>1,50</t>
  </si>
  <si>
    <t>D14a</t>
  </si>
  <si>
    <t>2*1,50</t>
  </si>
  <si>
    <t>D32</t>
  </si>
  <si>
    <t>4,20</t>
  </si>
  <si>
    <t>prosklené fasády</t>
  </si>
  <si>
    <t>LOP1</t>
  </si>
  <si>
    <t>4,95</t>
  </si>
  <si>
    <t>LOP2</t>
  </si>
  <si>
    <t>3,60</t>
  </si>
  <si>
    <t>LOP3</t>
  </si>
  <si>
    <t>5,875</t>
  </si>
  <si>
    <t>04 - Prosklené fasády, okna, vnitřní parapety, žaluzie a rolety</t>
  </si>
  <si>
    <t>Podrobný popis položek tohoto oddílu viz D.1.1.30.2 TABULKA OKEN, D.1.1.30.6 TRUHLÁŘSKÉ VÝROBKY, D.1.1.30.7 ŽALUZIE A ROLETY.  Jednotkové ceny musí obsahovat dodávku a montáž položek, ztratné (pokud není uvedeno jinak). Jednotkové ceny musí zahrnovat kompletní provedení položek, související přípravné práce, detaily, doplňky, dilatace, kotvení, těsnění k okolním konstrukcím s příp.požární odoloností, povrchové úpravy, zkoušky, příp. jiné dodávky a činnosti nutné k bezvadnému provedení díla.</t>
  </si>
  <si>
    <t>0. - Prosklené fasády (LOP)</t>
  </si>
  <si>
    <t>1. - Okna</t>
  </si>
  <si>
    <t>2. - Vnitřní parapety</t>
  </si>
  <si>
    <t>3. - Žaluzie a rolety</t>
  </si>
  <si>
    <t>0.</t>
  </si>
  <si>
    <t>Prosklené fasády (LOP)</t>
  </si>
  <si>
    <t>Pol71</t>
  </si>
  <si>
    <t>Prosklená fasáda vel.4950x16130mm, hliníkový rám okna - tl.min 190mm, kování - motorické otevírání části prosklené fasády na základě signálu EPS; Typ 2;  Typ 4, ozn. LOP1</t>
  </si>
  <si>
    <t>1782507829</t>
  </si>
  <si>
    <t>Poznámka k položce:
Podrobný popis položek tohoto oddílu viz D.1.1.30.2 TABULKA OKEN.</t>
  </si>
  <si>
    <t>Pol72</t>
  </si>
  <si>
    <t>Prosklená fasáda vel.3600x16130mm, hliníkový rám okna - tl. min 190mm, kování - motorické otevírání části prosklené fasády na základě signálu EPS; Typ 2, ozn. LOP2</t>
  </si>
  <si>
    <t>-81571144</t>
  </si>
  <si>
    <t>Pol73</t>
  </si>
  <si>
    <t>Prosklená fasáda vel.5875x13040mm. Hliníkový rám okna - tl. min 190mm, kování - motorické otevírání části prosklené fasády na základě signálu EPS; Typ 2; Typ 4, ozn. LOP3</t>
  </si>
  <si>
    <t>110816135</t>
  </si>
  <si>
    <t>1.</t>
  </si>
  <si>
    <t>Okna</t>
  </si>
  <si>
    <t>Pol74</t>
  </si>
  <si>
    <t>Jednoduché okno, otevíravé, výklopné. vel.1 200×1 800mm, zasklení tepelně izolační trojsklo vč. kování, ozn.O01</t>
  </si>
  <si>
    <t>Pol75</t>
  </si>
  <si>
    <t>Jednoduché okno, neotevíravé. vel.900×600mm, zasklení tepelně izolační trojsklo, PO EI 30 DP1 vč. kování, ozn.O02</t>
  </si>
  <si>
    <t>Pol76</t>
  </si>
  <si>
    <t>Jednoduché okno, otevíravé, výklopné. vel.900×600mm, zasklení tepelně izolační trojsklo vč. kování, ozn.O03</t>
  </si>
  <si>
    <t>Pol77</t>
  </si>
  <si>
    <t>Dvoukřídlé okno, otevíravé, výklopné. vel.2 400×1 800mm, zasklení tepelně izolační trojsklo vč. kování, ozn.O04</t>
  </si>
  <si>
    <t>Pol78</t>
  </si>
  <si>
    <t>Jednoduché okno, otevíravé, výklopné. vel.970×750mm, zasklení tepelně izolační trojsklo vč. kování, ozn.O05</t>
  </si>
  <si>
    <t>Pol79</t>
  </si>
  <si>
    <t>Jednoduché okno, otevíravé, výklopné. vel.1 350×1 800mm, zasklení tepelně izolační trojsklo vč. kování, ozn.O06</t>
  </si>
  <si>
    <t>Pol80</t>
  </si>
  <si>
    <t>Jednoduché okno, neotevíravé. vel.1 700×1 070mm, zasklení tepelně izolační trojsklo, PO EI 30 DP1 vč. kování, ozn.O07</t>
  </si>
  <si>
    <t>Pol81</t>
  </si>
  <si>
    <t>Dvoukřídlé okno, otevíravé, výklopné. vel.1 800×1 800mm, zasklení tepelně izolační trojsklo vč. kování, ozn.O08</t>
  </si>
  <si>
    <t>Pol82</t>
  </si>
  <si>
    <t>Dvoukřídlé, otevíravé, výklopné. vel.1 800×2 050mm, zasklení tepelně izolační trojsklo vč. kování, ozn.O09</t>
  </si>
  <si>
    <t>Pol83</t>
  </si>
  <si>
    <t>Dvoukřídlé okno, otevíravé, výklopné. vel.1 950×1 800mm, zasklení tepelně izolační trojsklo vč. kování, ozn.O10</t>
  </si>
  <si>
    <t>Pol84</t>
  </si>
  <si>
    <t>Dvoukřídlé okno, otevíravé, výklopné. vel.1 950×2 030mm, zasklení tepelně izolační trojsklo vč. kování, ozn.O11</t>
  </si>
  <si>
    <t>Pol85</t>
  </si>
  <si>
    <t>Jednoduché okno, výklopné. vel.1 960×600mm, zasklení tepelně izolační trojsklo vč. kování, ozn.O12</t>
  </si>
  <si>
    <t>Pol86</t>
  </si>
  <si>
    <t>Trojkřídlé okno se sloupkem, otevíravé, výklopné. vel.2 400×1 430mm, zasklení tepelně izolační trojsklo vč. kování, ozn.O13</t>
  </si>
  <si>
    <t>Pol87</t>
  </si>
  <si>
    <t>Dvoukřídlé okno, otevíravé, výklopné. vel.2 400×1 920mm, zasklení tepelně izolační trojsklo vč. kování, ozn.O14</t>
  </si>
  <si>
    <t>Pol88</t>
  </si>
  <si>
    <t>Dvoukřídlé okno, otevíravé, výklopné. vel.2 400×2 050mm, zasklení tepelně izolační trojsklo vč. kování, ozn.O15</t>
  </si>
  <si>
    <t>Pol89</t>
  </si>
  <si>
    <t>Dvoukřídlé okno. Levá část neotevíravá dle PBŘ , pravá část otevíravá a výklopná. vel.2 500×2 030mm, zasklení tepelně izolační trojsklo, PO EI 30 DP1 vč. kování, ozn.O16</t>
  </si>
  <si>
    <t>Pol90</t>
  </si>
  <si>
    <t>Trojkřídlé okno se sloupkem, otevíravé, výklopné. vel.2 675×1 800mm, zasklení tepelně izolační trojsklo vč. kování, ozn.O17</t>
  </si>
  <si>
    <t>Pol91</t>
  </si>
  <si>
    <t>Trojkřídlé okno se sloupkem, otevíravé, výklopné. vel.2 675×1 920mm, zasklení tepelně izolační trojsklo vč. kování, ozn.O18</t>
  </si>
  <si>
    <t>Pol92</t>
  </si>
  <si>
    <t>Čtyřkřídlé okno se sloupkem, otevíravé, výklopné. vel.3 900×900mm, zasklení tepelně izolační trojsklo vč. kování, ozn.O19</t>
  </si>
  <si>
    <t>Pol93</t>
  </si>
  <si>
    <t>Čtyřkřídlé okno, neotevíravé. vel.3 900×1 800mm, zasklení tepelně izolační trojsklo, PO EI 30 DP1 vč. kování, ozn.O20</t>
  </si>
  <si>
    <t>Pol94</t>
  </si>
  <si>
    <t>Čtyřkřídlé okno se sloupkem, otevíravé, výklopné. vel.3 900×1 800mm, zasklení tepelně izolační trojsklo vč. kování, ozn.O21</t>
  </si>
  <si>
    <t>Pol95</t>
  </si>
  <si>
    <t>Čtyřkřídlé okno se sloupkem, otevíravé, výklopné. vel.3 900×2 030mm, zasklení tepelně izolační trojsklo vč. kování, ozn.O22</t>
  </si>
  <si>
    <t>Pol96</t>
  </si>
  <si>
    <t>Čtyřkřídlé okno se sloupkem min. 200 mm, otevíravé, výklopné. vel.4 000×1 800mm, zasklení tepelně izolační trojsklo vč. kování, ozn.O23</t>
  </si>
  <si>
    <t>Pol97</t>
  </si>
  <si>
    <t>Čtyřkřídlé okno se sloupkem, otevíravé, výklopné. vel.4 500×2 030mm, zasklení tepelně izolační trojsklo vč. kování, ozn.O24</t>
  </si>
  <si>
    <t>Pol98</t>
  </si>
  <si>
    <t>Čtyřkřídlé okno se sloupkem min. 200 mm, otevíravé, výklopné. vel.4 500×2 030mm, zasklení tepelně izolační trojsklo vč. kování, ozn.O25</t>
  </si>
  <si>
    <t>Pol99</t>
  </si>
  <si>
    <t>Čtyřkřídlé okno se sloupkem min. 200 mm, otevíravé, výklopné. vel.4 500×2 030mm, zasklení tepelně izolační trojsklo vč. kování, ozn.O26</t>
  </si>
  <si>
    <t>Pol100</t>
  </si>
  <si>
    <t>Čtyřkřídlé okno se sloupkem, otevíravé, výklopné. vel.5 400×1 800mm, zasklení tepelně izolační trojsklo vč. kování, ozn.O27</t>
  </si>
  <si>
    <t>Pol101</t>
  </si>
  <si>
    <t>Čtyřkřídlé okno se sloupkem, otevíravé, výklopné. vel.5 500×1 800mm, zasklení tepelně izolační trojsklo vč. kování, ozn.O28</t>
  </si>
  <si>
    <t>Pol102</t>
  </si>
  <si>
    <t>Pol103</t>
  </si>
  <si>
    <t>Pol104</t>
  </si>
  <si>
    <t>Trojkřídlé okno se sloupky a nadsvětlíky. Okna otevíravé, výklopné. Nadsvětlík: výklopný. vel.2 350×1 650mm, zasklení tepelně izolační trojsklo vč. kování, ozn.O31</t>
  </si>
  <si>
    <t>Pol105</t>
  </si>
  <si>
    <t>Balkonové dveře s bočními okny a nadsvětlíky. Balkonové dveře otevíravé a výklopné. Boční okna otevíravá, výklopná. Nadsvětlík: výklopný. vel.800×2 000mm, zasklení tepelně izolační trojsklo vč. kování, ozn.O32</t>
  </si>
  <si>
    <t>Pol106</t>
  </si>
  <si>
    <t>Ext. dveře s bočním oknem. Okno otevíravé, výklopné. Dveře hladké plné (bez zasklení). vel.2 100×1 970mm, zasklení tepelně izolační trojsklo vč. kování, ozn.O33</t>
  </si>
  <si>
    <t>2.</t>
  </si>
  <si>
    <t>Vnitřní parapety</t>
  </si>
  <si>
    <t>766694116</t>
  </si>
  <si>
    <t>Montáž parapetních desek dřevěných nebo plastových š do 30 cm</t>
  </si>
  <si>
    <t>-1384674390</t>
  </si>
  <si>
    <t>Poznámka k položce:
Podrobný popis položek tohoto oddílu viz D.1.1.30.6 TRUHLÁŘSKÉ VÝROBKY.</t>
  </si>
  <si>
    <t>766694126</t>
  </si>
  <si>
    <t>Montáž parapetních desek dřevěných nebo plastových š přes 30 cm</t>
  </si>
  <si>
    <t>290737553</t>
  </si>
  <si>
    <t>61140077</t>
  </si>
  <si>
    <t>VP6 - parapet plastový vnitřní š do 150mm</t>
  </si>
  <si>
    <t>-1464810370</t>
  </si>
  <si>
    <t>VP6 - š. 120 mm</t>
  </si>
  <si>
    <t>3,28</t>
  </si>
  <si>
    <t>61140078</t>
  </si>
  <si>
    <t>VP1 - parapet plastový vnitřní š do 200mm</t>
  </si>
  <si>
    <t>143977778</t>
  </si>
  <si>
    <t>VP1 šíře 170 mm</t>
  </si>
  <si>
    <t>210,575</t>
  </si>
  <si>
    <t>61144401</t>
  </si>
  <si>
    <t>VP5 - parapet plastový vnitřní š do 250mm</t>
  </si>
  <si>
    <t>864690781</t>
  </si>
  <si>
    <t>VP5 - š. 240 mm</t>
  </si>
  <si>
    <t>53,15</t>
  </si>
  <si>
    <t>61144403</t>
  </si>
  <si>
    <t>VP2 - parapet plastový vnitřní š do 350mm</t>
  </si>
  <si>
    <t>1862863390</t>
  </si>
  <si>
    <t>VP2 šíře 320 mm</t>
  </si>
  <si>
    <t>21,225</t>
  </si>
  <si>
    <t>61144404</t>
  </si>
  <si>
    <t>VP4 - parapet plastový vnitřní š do 400mm</t>
  </si>
  <si>
    <t>-845892192</t>
  </si>
  <si>
    <t>VP4 - š. 370 mm</t>
  </si>
  <si>
    <t>16,37</t>
  </si>
  <si>
    <t>61144405</t>
  </si>
  <si>
    <t>VP3 - parapet plastový vnitřní š do 500mm</t>
  </si>
  <si>
    <t>79606800</t>
  </si>
  <si>
    <t>VP3 šíře 420 mm</t>
  </si>
  <si>
    <t>61144019</t>
  </si>
  <si>
    <t>koncovka k parapetu plastovému vnitřnímu 1 pár</t>
  </si>
  <si>
    <t>sada</t>
  </si>
  <si>
    <t>766669280</t>
  </si>
  <si>
    <t>3.</t>
  </si>
  <si>
    <t>Žaluzie a rolety</t>
  </si>
  <si>
    <t>Pol127</t>
  </si>
  <si>
    <t>Lišta pro závěs ozn. VL</t>
  </si>
  <si>
    <t>1057339215</t>
  </si>
  <si>
    <t>Poznámka k položce:
Podrobný popis položek tohoto oddílu viz D.1.1.30.7 ŽALUZIE A ROLETY.</t>
  </si>
  <si>
    <t>2*1,35</t>
  </si>
  <si>
    <t>4*1,80</t>
  </si>
  <si>
    <t>3*1,85</t>
  </si>
  <si>
    <t>1*1,95</t>
  </si>
  <si>
    <t>3*2,05</t>
  </si>
  <si>
    <t>7*2,35</t>
  </si>
  <si>
    <t>5*2,60</t>
  </si>
  <si>
    <t>69*2,75</t>
  </si>
  <si>
    <t>1*3,90</t>
  </si>
  <si>
    <t>4*4,20</t>
  </si>
  <si>
    <t>5*5,20</t>
  </si>
  <si>
    <t>Pol128</t>
  </si>
  <si>
    <t>Vnější žaluzie pro balkonová okna ze 3 žaluzií v 1 boxu délka 2350 mm, výška okna 2x1650 + 1x2550 mm a podomítkový žaluziový box vel.130x270mm, ozn. VR01</t>
  </si>
  <si>
    <t>-88950959</t>
  </si>
  <si>
    <t>Pol129</t>
  </si>
  <si>
    <t>Vnější žaluzie v boxu délka 2400 mm, výška okna 1920 mm a podomítkový žaluziový box vel.130x220mm, ozn. VR02</t>
  </si>
  <si>
    <t>-1267460578</t>
  </si>
  <si>
    <t>Pol130</t>
  </si>
  <si>
    <t>Vnější žaluzie v boxu délka 2675 mm, výška okna 1920 mm a podomítkový žaluziový box vel.130x220mm, ozn. VR02</t>
  </si>
  <si>
    <t>1551858238</t>
  </si>
  <si>
    <t>Pol131</t>
  </si>
  <si>
    <t>Vnější žaluzie v boxu délka 1800 mm, výška okna 1800 mm a podomítkový žaluziový box vel.130x220mm, ozn. VR03</t>
  </si>
  <si>
    <t>723052077</t>
  </si>
  <si>
    <t>Pol132</t>
  </si>
  <si>
    <t>Vnější žaluzie v boxu délka 2400 mm, výška okna 1800 mm a podomítkový žaluziový box vel.130x220mm, ozn. VR03</t>
  </si>
  <si>
    <t>-1480233630</t>
  </si>
  <si>
    <t>Pol133</t>
  </si>
  <si>
    <t>Vnější žaluzie v boxu délka 2675 mm, výška okna 1800 mm a podomítkový žaluziový box vel.130x220mm, ozn. VR03</t>
  </si>
  <si>
    <t>1525413927</t>
  </si>
  <si>
    <t>Pol134</t>
  </si>
  <si>
    <t>Vnější žaluzie v boxu délka 3900 mm, výška okna 1800 mm a podomítkový žaluziový box vel.130x220mm, ozn. VR03</t>
  </si>
  <si>
    <t>-1171223465</t>
  </si>
  <si>
    <t>Pol135</t>
  </si>
  <si>
    <t>Vnější žaluzie v boxu délka 1800 mm, výška okna 2050 mm a podomítkový žaluziový box vel.130x220mm, ozn. VR04</t>
  </si>
  <si>
    <t>-976139724</t>
  </si>
  <si>
    <t>Pol136</t>
  </si>
  <si>
    <t>Vnější žaluzie v boxu délka 2400 mm, výška okna 2050 mm a podomítkový žaluziový box vel.130x220mm, ozn. VR04</t>
  </si>
  <si>
    <t>1040681568</t>
  </si>
  <si>
    <t>Pol137</t>
  </si>
  <si>
    <t>Vnější žaluzie v boxu délka 2500 mm, výška okna 2030 mm a podomítkový žaluziový box vel.130x220mm, ozn. VR05</t>
  </si>
  <si>
    <t>-1143316972</t>
  </si>
  <si>
    <t>Pol138</t>
  </si>
  <si>
    <t>Vnější žaluzie v boxu délka 4500 mm, výška okna 2030 mm a podomítkový žaluziový box vel.130x220mm, ozn. VR05</t>
  </si>
  <si>
    <t>-1738056700</t>
  </si>
  <si>
    <t>Pol139</t>
  </si>
  <si>
    <t>Vnitřní požární roleta v boxu délka 1850 mm, výška 2680 mm, EW 30 DP1 a roletový box vel. 190x250 mm, ozn. VR06</t>
  </si>
  <si>
    <t>-1506700517</t>
  </si>
  <si>
    <t>Pol140</t>
  </si>
  <si>
    <t>Vnější žaluzie v boxu délka 2350 mm, výška okna 1650 mm a podomítkový žaluziový box vel.130x220mm, ozn. VR07</t>
  </si>
  <si>
    <t>695198977</t>
  </si>
  <si>
    <t>Pol141</t>
  </si>
  <si>
    <t>Vnitřní požární roleta v boxu délka 3280 mm, výška 2680 mm, EI 60 DP1 a roletový box vel. 190x250 mm, ozn. VR08</t>
  </si>
  <si>
    <t>1106421553</t>
  </si>
  <si>
    <t>nater</t>
  </si>
  <si>
    <t>89,445</t>
  </si>
  <si>
    <t>05 - Zámečnické prvky</t>
  </si>
  <si>
    <t>Podrobný popis položek tohoto oddílu viz D.1.1.30.5 ZÁMEČNICKÉ VÝROBKY.  Jednotkové ceny musí obsahovat dodávku a montáž položek, ztratné (pokud není uvedeno jinak). Jednotkové ceny musí zahrnovat kompletní provedení položek, související přípravné práce, detaily, doplňky, dilatace, kotvení, povrchové úpravy, zkoušky, příp. jiné dodávky a činnosti nutné k bezvadnému provedení díla.</t>
  </si>
  <si>
    <t>0. - Zámečnické prvky - Zábradlí</t>
  </si>
  <si>
    <t>1 - Zámečnické prvky - Ostatní výrobky</t>
  </si>
  <si>
    <t>2 - Zakládání</t>
  </si>
  <si>
    <t>6 - Úpravy povrchů, podlahy a osazování výplní</t>
  </si>
  <si>
    <t>9 - Ostatní konstrukce a práce, bourání</t>
  </si>
  <si>
    <t>997 - Přesun sutě</t>
  </si>
  <si>
    <t>998 - Přesun hmot</t>
  </si>
  <si>
    <t>Zámečnické prvky - Zábradlí</t>
  </si>
  <si>
    <t>Z01a</t>
  </si>
  <si>
    <t>Nové exteriérové zábradlí, ocelové, včetně koncovek madla z oceli, výška 600 mm, ozn.Z01a</t>
  </si>
  <si>
    <t>-1570107692</t>
  </si>
  <si>
    <t>Poznámka k položce:
Součástí položek je dodávka, montáž, povrchová úprava, přesun hmot a ostatní souvisejícíkontrukce a práce, kompletní provedení. Bližší popis viz pd, především D.1.1.30.5 Tabulka zámečnických výrobků.</t>
  </si>
  <si>
    <t>Z01b</t>
  </si>
  <si>
    <t>Nové ext. balkonové zábradlí, ocelové, výška 600 mm, ozn.Z01b</t>
  </si>
  <si>
    <t>286615436</t>
  </si>
  <si>
    <t>Z02a</t>
  </si>
  <si>
    <t>Nové ext. balkonové zábradlí, ocelové, výška 1000 mm, ozn.Z02a</t>
  </si>
  <si>
    <t>1704217090</t>
  </si>
  <si>
    <t>Z02b</t>
  </si>
  <si>
    <t>Nové ext. balkonové zábradlí, ocelové, výška 1000 mm, ozn.Z02b</t>
  </si>
  <si>
    <t>-612862323</t>
  </si>
  <si>
    <t>Z02c</t>
  </si>
  <si>
    <t>Nové ext. balkonové zábradlí, ocelové, výška 1000 mm, ozn.Z02c</t>
  </si>
  <si>
    <t>-1997425636</t>
  </si>
  <si>
    <t>Z03</t>
  </si>
  <si>
    <t>Stávající schodišťové madlo, dřevěné včetně ocelových profilů k upevnění, ozn.Z03</t>
  </si>
  <si>
    <t>660780898</t>
  </si>
  <si>
    <t>Poznámka k položce:
Madla v průběhu rekonstrukce demontována a repasována dle stávajícího stavu - přebrousit a zatmelit. Barevnost dle stávajícího stavu (namoření dřevěných částí dle stávajícího stavu). Madlo bude poté připevněno do rámu okna nového obvodového pláště/ zdi.</t>
  </si>
  <si>
    <t>Z04</t>
  </si>
  <si>
    <t>Nové schodišťové madlo, dřevěné včetně ocelových profilů k upevnění, ozn.Z04</t>
  </si>
  <si>
    <t>697095485</t>
  </si>
  <si>
    <t>Z05</t>
  </si>
  <si>
    <t>Stávající schodišťové madlo, dřevěné včetně ocelových profilů k upevnění, ozn.Z05</t>
  </si>
  <si>
    <t>1216926305</t>
  </si>
  <si>
    <t>Poznámka k položce:
Schodišťové madla z dýhované laťovky připevněna přes ocelovou podložku chem. kotvou do zdi. V průběhu rekonstrukce demontována a repasována dle stávajícího stavu - přebrousit a zatmelit. Barevnost dle stávajícího stavu (namoření dřevěných částí dle stávajícího stavu).</t>
  </si>
  <si>
    <t>Z06</t>
  </si>
  <si>
    <t>Stávající zábradlí, ocelové , ozn.Z06</t>
  </si>
  <si>
    <t>1147460625</t>
  </si>
  <si>
    <t>Poznámka k položce:
Stávající ocelové zábradlí bude obroušeno, očištěno a nově nalakováno.</t>
  </si>
  <si>
    <t>Z07</t>
  </si>
  <si>
    <t>Nové int. zábradlí, ocelové, výška 1000 mm, ozn.Z07</t>
  </si>
  <si>
    <t>-630530278</t>
  </si>
  <si>
    <t>Z08</t>
  </si>
  <si>
    <t>Nové ext. madlo ocelové, včetně koncovek madla z nerezové oceli., ozn.Z08</t>
  </si>
  <si>
    <t>925767709</t>
  </si>
  <si>
    <t>Z09</t>
  </si>
  <si>
    <t>Nové dřevěné schodišťové zábradlí včetně ocelových profilů k upevnění, ozn.Z09</t>
  </si>
  <si>
    <t>1870384286</t>
  </si>
  <si>
    <t>Z10</t>
  </si>
  <si>
    <t>Stávající dřevěné schodišťové madlo + dřevěné panelové zábradlí, ozn.Z10</t>
  </si>
  <si>
    <t>1923389734</t>
  </si>
  <si>
    <t>Poznámka k položce:
Repase stávajícího dřevěného zábradlí. Nátěr kovových částí antikorozní barvou RAL 7016. Repase stávajícího dřevěného madla a panelů - přebrousit a zatmelit. namoření dřevěných částí dle stávajícího stavu.</t>
  </si>
  <si>
    <t>Z11</t>
  </si>
  <si>
    <t>Nové exteriérové zábradlí ocelové, včetně koncovek madla z oceli, ozn. Z11</t>
  </si>
  <si>
    <t>-297363536</t>
  </si>
  <si>
    <t>Z12</t>
  </si>
  <si>
    <t>Nové exteriérové zábradlí únikového schodiště ocelové, včetně koncovek madla z oceli, ozn. Z12</t>
  </si>
  <si>
    <t>-1148325170</t>
  </si>
  <si>
    <t>Zámečnické prvky - Ostatní výrobky</t>
  </si>
  <si>
    <t>ZM01</t>
  </si>
  <si>
    <t>Pororoštové schodiště + konstrukce vel.11x180x200mm,ocelový pozinkovaný plech ozn.ZM01</t>
  </si>
  <si>
    <t>ZM02</t>
  </si>
  <si>
    <t>Evakuační žebřík, šířka: 560 mm, ocel, antikorozní nátěrový systém, ozn.ZM02</t>
  </si>
  <si>
    <t>ZM03</t>
  </si>
  <si>
    <t>Vstupní branka, ocel, antikorozní nátěrový systém, ozn.ZM03</t>
  </si>
  <si>
    <t>Pozn.: Odstranění stávající podezdívky viz soupis prací bouracích prací.</t>
  </si>
  <si>
    <t>ZM04</t>
  </si>
  <si>
    <t>Podstavec vel. dle ventilátoru cca 600x600x700 mm,pozinkovaná ocel ozn.ZM04</t>
  </si>
  <si>
    <t>ZM05.1</t>
  </si>
  <si>
    <t>Nová dvoukřídlá vjezdová brána, celková šíře 4700 mm, ocel, antikorozní nátěrový systém, ozn. ZM05</t>
  </si>
  <si>
    <t>-1269589887</t>
  </si>
  <si>
    <t>ZM05.2</t>
  </si>
  <si>
    <t>Repase stávající ocelové vjezdové brány, šíře 4700 mm, ozn. ZM05</t>
  </si>
  <si>
    <t>1378815401</t>
  </si>
  <si>
    <t>Výměna poškozených částí.</t>
  </si>
  <si>
    <t>Pozn. Odstranění stávajícího nátěru a nový nátěr viz samostatné položky.</t>
  </si>
  <si>
    <t>ZM05.3</t>
  </si>
  <si>
    <t>Nový plot (sloupky, plotová pole), výška 1300 mm, ocel, antikorozní nátěrový systém, ozn. ZM05</t>
  </si>
  <si>
    <t>590683551</t>
  </si>
  <si>
    <t>Nový plot v délce 50% z celkové délky.</t>
  </si>
  <si>
    <t>78,00*0.50</t>
  </si>
  <si>
    <t>ZM05.4</t>
  </si>
  <si>
    <t>Repase stávajícího ocelového plotu (sloupky, plotová pole), výška 1300 mm, ozn. ZM05</t>
  </si>
  <si>
    <t>1926167121</t>
  </si>
  <si>
    <t>Výměna poškozených částí repasované délky plotu.</t>
  </si>
  <si>
    <t>Repasovaná část = 50% z celkové délky plotu.</t>
  </si>
  <si>
    <t>275313711</t>
  </si>
  <si>
    <t>Základové patky z betonu tř. C 20/25</t>
  </si>
  <si>
    <t>545058429</t>
  </si>
  <si>
    <t>Nová branka</t>
  </si>
  <si>
    <t>2*0,50*0,50*1,00</t>
  </si>
  <si>
    <t>Nová dvoukřídlá brána</t>
  </si>
  <si>
    <t>622325103</t>
  </si>
  <si>
    <t>Oprava vnější vápenocementové hladké omítky složitosti 1 stěn v rozsahu přes 30 do 50 %</t>
  </si>
  <si>
    <t>-398551428</t>
  </si>
  <si>
    <t>Oprava povrchu stávající podezdívky plotu</t>
  </si>
  <si>
    <t>78,00*(2*0,50+0,20)</t>
  </si>
  <si>
    <t>-1458493407</t>
  </si>
  <si>
    <t>966072811</t>
  </si>
  <si>
    <t>Rozebrání rámového oplocení na ocelové sloupky v přes 1 do 2 m</t>
  </si>
  <si>
    <t>1108534655</t>
  </si>
  <si>
    <t>Dmt stávajícího poškozeného plotu nahrazovaného novým plotem ZM05.</t>
  </si>
  <si>
    <t>50% celkové délky plotu</t>
  </si>
  <si>
    <t>966073812</t>
  </si>
  <si>
    <t>Rozebrání vrat a vrátek k oplocení pl přes 6 do 10 m2</t>
  </si>
  <si>
    <t>-675533008</t>
  </si>
  <si>
    <t>Dmt stávající nahrazované brány</t>
  </si>
  <si>
    <t>985131311</t>
  </si>
  <si>
    <t>Ruční dočištění ploch stěn, rubu kleneb a podlah ocelových kartáči</t>
  </si>
  <si>
    <t>-703513561</t>
  </si>
  <si>
    <t>997</t>
  </si>
  <si>
    <t>Přesun sutě</t>
  </si>
  <si>
    <t>997013501</t>
  </si>
  <si>
    <t>Odvoz suti a vybouraných hmot na skládku nebo meziskládku do 1 km se složením</t>
  </si>
  <si>
    <t>1261272505</t>
  </si>
  <si>
    <t>997013509</t>
  </si>
  <si>
    <t>Příplatek k odvozu suti a vybouraných hmot na skládku ZKD 1 km přes 1 km</t>
  </si>
  <si>
    <t>1999219159</t>
  </si>
  <si>
    <t>0,646*14 'Přepočtené koeficientem množství</t>
  </si>
  <si>
    <t>997013900.1</t>
  </si>
  <si>
    <t>Odpočet za odevzdání kovového odpadu do výkupu</t>
  </si>
  <si>
    <t>313585018</t>
  </si>
  <si>
    <t>998232110</t>
  </si>
  <si>
    <t>Přesun hmot pro oplocení zděné z cihel nebo tvárnic v do 3 m</t>
  </si>
  <si>
    <t>596278888</t>
  </si>
  <si>
    <t>783301303</t>
  </si>
  <si>
    <t>Bezoplachové odrezivění zámečnických konstrukcí</t>
  </si>
  <si>
    <t>-651394936</t>
  </si>
  <si>
    <t>příprava podkladu stávajícího plotu a brány před provedením nového nátěrového systému</t>
  </si>
  <si>
    <t>-634039600</t>
  </si>
  <si>
    <t>783301401</t>
  </si>
  <si>
    <t>Ometení zámečnických konstrukcí</t>
  </si>
  <si>
    <t>-1019546617</t>
  </si>
  <si>
    <t>783306809</t>
  </si>
  <si>
    <t>Odstranění nátěru ze zámečnických konstrukcí okartáčováním</t>
  </si>
  <si>
    <t>-337081279</t>
  </si>
  <si>
    <t>-590411477</t>
  </si>
  <si>
    <t>ÚRS - Množství oboustranných nátěrů pletiv včetně lemování se určuje v m2 z rozměrů oplocení podle projektu:</t>
  </si>
  <si>
    <t>1,5x plochou pro velikost ok přes 30 do 50?mm</t>
  </si>
  <si>
    <t>Nátěr stávajícího ponechaného oplocení (50% celkové délky stávajícího oplocení v.1,3 m ul. El. Krásnohorské)</t>
  </si>
  <si>
    <t>78,00*0.50*1,30*1.5</t>
  </si>
  <si>
    <t>Nátěr stávající repasované brány</t>
  </si>
  <si>
    <t>4,70*1,90*1.5</t>
  </si>
  <si>
    <t>Pozn.: Nátěr nových výrobků je součástí položek dodávky a montáže příslušných prvků ZM.</t>
  </si>
  <si>
    <t>-806176557</t>
  </si>
  <si>
    <t>-215568507</t>
  </si>
  <si>
    <t>leseni</t>
  </si>
  <si>
    <t>154,63</t>
  </si>
  <si>
    <t>lesenido25m</t>
  </si>
  <si>
    <t>3706,278</t>
  </si>
  <si>
    <t>OST - Ostatní konstrukce a práce, lešení</t>
  </si>
  <si>
    <t>HZS - Hodinové zúčtovací sazby</t>
  </si>
  <si>
    <t>727111000.1</t>
  </si>
  <si>
    <t>Protipožární ucpávky a zaizolování prostupů vedení konstrukcemi</t>
  </si>
  <si>
    <t>247659673</t>
  </si>
  <si>
    <t>protipožární ucpávky v rozpočtech specialistů samostatně neuvedené</t>
  </si>
  <si>
    <t>941111121</t>
  </si>
  <si>
    <t>Montáž lešení řadového trubkového lehkého s podlahami zatížení do 200 kg/m2 š od 0,9 do 1,2 m v do 10 m</t>
  </si>
  <si>
    <t>-1312379229</t>
  </si>
  <si>
    <t>pohled východní</t>
  </si>
  <si>
    <t>7,10*6,40</t>
  </si>
  <si>
    <t>pohled západní</t>
  </si>
  <si>
    <t>15,30*5,90</t>
  </si>
  <si>
    <t>4,30*4,40</t>
  </si>
  <si>
    <t>941111122</t>
  </si>
  <si>
    <t>Montáž lešení řadového trubkového lehkého s podlahami zatížení do 200 kg/m2 š od 0,9 do 1,2 m v přes 10 do 25 m</t>
  </si>
  <si>
    <t>-1200092480</t>
  </si>
  <si>
    <t>Ve výpočtech přičteny přesahy lešení přes rohy budovy v délce 1,0 m dle pravidel rozpočtování.</t>
  </si>
  <si>
    <t>(10,26+2*1,00)*14,60</t>
  </si>
  <si>
    <t>(6,55+1,00)*14,70</t>
  </si>
  <si>
    <t>(68,48-6,55-16,10)*17,70</t>
  </si>
  <si>
    <t>(16,50+1,00)*(15,50)+4,40*0,90</t>
  </si>
  <si>
    <t>2*(3,00+1,00)*17,70</t>
  </si>
  <si>
    <t>(0,60+1,00)*17,70</t>
  </si>
  <si>
    <t>2*(5,20+1,00)*17,70</t>
  </si>
  <si>
    <t>(5,40+1,00)*17,70</t>
  </si>
  <si>
    <t>(15,90+2*1,00)*16,90</t>
  </si>
  <si>
    <t>(44,95+1,00)*16,20</t>
  </si>
  <si>
    <t>(0,15+0,65)*16,20</t>
  </si>
  <si>
    <t>17,75*16,50</t>
  </si>
  <si>
    <t>-6,20*2,40</t>
  </si>
  <si>
    <t>-5,05*3,20</t>
  </si>
  <si>
    <t>(5,71+1,00)*17,60</t>
  </si>
  <si>
    <t>0,21*17,60</t>
  </si>
  <si>
    <t>(10,80+1,00)*17,60</t>
  </si>
  <si>
    <t>nástavba 5.NP</t>
  </si>
  <si>
    <t>(50,70+2*1,00)*3,30</t>
  </si>
  <si>
    <t>941111221</t>
  </si>
  <si>
    <t>Příplatek k lešení řadovému trubkovému lehkému s podlahami do 200 kg/m2 š od 0,9 do 1,2 m v 10 m za každý den použití</t>
  </si>
  <si>
    <t>-920488220</t>
  </si>
  <si>
    <t>60*leseni</t>
  </si>
  <si>
    <t>941111222</t>
  </si>
  <si>
    <t>Příplatek k lešení řadovému trubkovému lehkému s podlahami do 200 kg/m2 š od 0,9 do 1,2 m v přes 10 do 25 m za každý den použití</t>
  </si>
  <si>
    <t>-451780654</t>
  </si>
  <si>
    <t>60*lesenido25m</t>
  </si>
  <si>
    <t>941111821</t>
  </si>
  <si>
    <t>Demontáž lešení řadového trubkového lehkého s podlahami zatížení do 200 kg/m2 š od 0,9 do 1,2 m v do 10 m</t>
  </si>
  <si>
    <t>-2037320978</t>
  </si>
  <si>
    <t>941111822</t>
  </si>
  <si>
    <t>Demontáž lešení řadového trubkového lehkého s podlahami zatížení do 200 kg/m2 š od 0,9 do 1,2 m v přes 10 do 25 m</t>
  </si>
  <si>
    <t>2049569610</t>
  </si>
  <si>
    <t>944611111</t>
  </si>
  <si>
    <t>Montáž ochranné plachty z textilie z umělých vláken</t>
  </si>
  <si>
    <t>-277208366</t>
  </si>
  <si>
    <t>944611211</t>
  </si>
  <si>
    <t>Příplatek k ochranné plachtě za každý den použití</t>
  </si>
  <si>
    <t>641472363</t>
  </si>
  <si>
    <t>944611811</t>
  </si>
  <si>
    <t>Demontáž ochranné plachty z textilie z umělých vláken</t>
  </si>
  <si>
    <t>1140631117</t>
  </si>
  <si>
    <t>944711113</t>
  </si>
  <si>
    <t>Montáž záchytné stříšky š přes 2 do 2,5 m</t>
  </si>
  <si>
    <t>1397894235</t>
  </si>
  <si>
    <t>944711213</t>
  </si>
  <si>
    <t>Příplatek k záchytné stříšce š přes 2 do 2,5 m za každý den použití</t>
  </si>
  <si>
    <t>-492833748</t>
  </si>
  <si>
    <t>10*60</t>
  </si>
  <si>
    <t>944711813</t>
  </si>
  <si>
    <t>Demontáž záchytné stříšky š přes 2 do 2,5 m</t>
  </si>
  <si>
    <t>-1821644345</t>
  </si>
  <si>
    <t>949101111</t>
  </si>
  <si>
    <t>Lešení pomocné pro objekty pozemních staveb s lešeňovou podlahou v do 1,9 m zatížení do 150 kg/m2</t>
  </si>
  <si>
    <t>-705565867</t>
  </si>
  <si>
    <t>Práce v interiéru</t>
  </si>
  <si>
    <t xml:space="preserve">Celkové plochy dle Tbm </t>
  </si>
  <si>
    <t>Suterén</t>
  </si>
  <si>
    <t>83,75</t>
  </si>
  <si>
    <t>624,15</t>
  </si>
  <si>
    <t>683,86</t>
  </si>
  <si>
    <t>603,43</t>
  </si>
  <si>
    <t>598,26</t>
  </si>
  <si>
    <t>593,01</t>
  </si>
  <si>
    <t>471,13</t>
  </si>
  <si>
    <t xml:space="preserve">Balkóny 1.NP-4.NP </t>
  </si>
  <si>
    <t>Balkóny 5.NP</t>
  </si>
  <si>
    <t>Práce na střeše</t>
  </si>
  <si>
    <t>osa 11</t>
  </si>
  <si>
    <t>(2,70+3,20)*1,00</t>
  </si>
  <si>
    <t>strojovna výtahu</t>
  </si>
  <si>
    <t>(2*4,30+6,30)*1,00</t>
  </si>
  <si>
    <t xml:space="preserve">Ostatní pomocné lešení </t>
  </si>
  <si>
    <t>100,00</t>
  </si>
  <si>
    <t>949101112</t>
  </si>
  <si>
    <t>Lešení pomocné pro objekty pozemních staveb s lešeňovou podlahou v přes 1,9 do 3,5 m zatížení do 150 kg/m2</t>
  </si>
  <si>
    <t>-102754629</t>
  </si>
  <si>
    <t>osa 2</t>
  </si>
  <si>
    <t>10,11*1,00</t>
  </si>
  <si>
    <t>Podhled 2.NP z jižní fasády (řez A)</t>
  </si>
  <si>
    <t>9,50*5,10</t>
  </si>
  <si>
    <t>978100100.1</t>
  </si>
  <si>
    <t>Přenosný hasící přístroj práškový P6 s hasící schopností 21A vč. umístění (uchycení)</t>
  </si>
  <si>
    <t>952222504</t>
  </si>
  <si>
    <t>Dle půdorysů PBŘ</t>
  </si>
  <si>
    <t>LFP_DPS_D13_302_2.PP</t>
  </si>
  <si>
    <t>LFP_DPS_D13_303_1.PP</t>
  </si>
  <si>
    <t>-1.00.01</t>
  </si>
  <si>
    <t>-1.00.05</t>
  </si>
  <si>
    <t>LFP_DPS_D13_304_1.NP</t>
  </si>
  <si>
    <t>1.00.02b</t>
  </si>
  <si>
    <t>1.00.02a</t>
  </si>
  <si>
    <t>1.00.04</t>
  </si>
  <si>
    <t>1.00.05</t>
  </si>
  <si>
    <t>1.00.11</t>
  </si>
  <si>
    <t>1.00.12</t>
  </si>
  <si>
    <t xml:space="preserve">Pro požární úseky určené k ubytování (pokoje) podle projektovaného počtu ubytovaných osob. </t>
  </si>
  <si>
    <t>LFP_DPS_D13_305_2NP</t>
  </si>
  <si>
    <t>2.00.02b</t>
  </si>
  <si>
    <t>2.00.02a</t>
  </si>
  <si>
    <t>2.00.05</t>
  </si>
  <si>
    <t>2.00.04</t>
  </si>
  <si>
    <t>LFP_DPS_D13_306_3.NP</t>
  </si>
  <si>
    <t>3.00.02b</t>
  </si>
  <si>
    <t>3.00.02a</t>
  </si>
  <si>
    <t>3.00.04</t>
  </si>
  <si>
    <t>3.09.01</t>
  </si>
  <si>
    <t>3.09.02</t>
  </si>
  <si>
    <t>3.09.10</t>
  </si>
  <si>
    <t>Určeno pro požární úseky určené k ubytování (pokoje) podle projektovaného počtu ubytovaných osob.</t>
  </si>
  <si>
    <t>Pro požární úseky určené k ubytování (pokoje) podle projektovaného počtu ubytovaných osob v objektu Dostavby KPŠ Plzeň.</t>
  </si>
  <si>
    <t>LFP_DPS_D13_307_4.NP</t>
  </si>
  <si>
    <t>4.00.02b</t>
  </si>
  <si>
    <t>4.00.02a</t>
  </si>
  <si>
    <t>4.09.08</t>
  </si>
  <si>
    <t>4.09.09</t>
  </si>
  <si>
    <t>4.00.04</t>
  </si>
  <si>
    <t>LFP_DPS_D13_308_5.NP</t>
  </si>
  <si>
    <t>5.00.02c</t>
  </si>
  <si>
    <t>5.00.02b</t>
  </si>
  <si>
    <t>5.00.02a</t>
  </si>
  <si>
    <t>5.00.04</t>
  </si>
  <si>
    <t>LFP_DPS_D13_309_STŘ</t>
  </si>
  <si>
    <t>978100110.1</t>
  </si>
  <si>
    <t>Přenosný hasící přístroj CO2 s hasící schopností 55B vč. umístění (uchycení)</t>
  </si>
  <si>
    <t>2032198842</t>
  </si>
  <si>
    <t>-1.00.21 - započteno v 1.PP</t>
  </si>
  <si>
    <t>-1.00.07</t>
  </si>
  <si>
    <t>-1.00.19</t>
  </si>
  <si>
    <t>1.00.13</t>
  </si>
  <si>
    <t>3.00.05</t>
  </si>
  <si>
    <t>978100200.1</t>
  </si>
  <si>
    <t>Cedulky směru úniku (značení únikových cest)</t>
  </si>
  <si>
    <t>-1980604949</t>
  </si>
  <si>
    <t>978100210.1</t>
  </si>
  <si>
    <t>Značení protipožáních zařízení (hydrant, hasící přístroje) a ostatní doplňkové cedulky související s požární bezpečností</t>
  </si>
  <si>
    <t>-656700086</t>
  </si>
  <si>
    <t>Dle počtu hasících přístrojů</t>
  </si>
  <si>
    <t>87+7</t>
  </si>
  <si>
    <t>Dle hydrantů</t>
  </si>
  <si>
    <t>ostatní cedulky</t>
  </si>
  <si>
    <t>HZS</t>
  </si>
  <si>
    <t>Hodinové zúčtovací sazby</t>
  </si>
  <si>
    <t>HZS1291</t>
  </si>
  <si>
    <t>Hodinová zúčtovací sazba pomocný stavební dělník</t>
  </si>
  <si>
    <t>512</t>
  </si>
  <si>
    <t>385478624</t>
  </si>
  <si>
    <t>Pomocné práce, např. dovyklizení stávajícího vybavení, mobiliáře a ostatních prvků</t>
  </si>
  <si>
    <t>HZS1292</t>
  </si>
  <si>
    <t>Hodinová zúčtovací sazba stavební dělník</t>
  </si>
  <si>
    <t>61336292</t>
  </si>
  <si>
    <t>Položky tohoto oddílu se využijí pro práce samostatně neuvedené. Např. pro stavební přípomoci specialistům TZB (technického zařízení budov).</t>
  </si>
  <si>
    <t>Hodinové zúčtovací sazby budou realizovány na pokyn investora, fakturovány na základě skutečnosti a zápisu ve stavebním deníku.</t>
  </si>
  <si>
    <t>HZS1302</t>
  </si>
  <si>
    <t>Hodinová zúčtovací sazba zedník specialista</t>
  </si>
  <si>
    <t>988810824</t>
  </si>
  <si>
    <t>HZS1312</t>
  </si>
  <si>
    <t>Hodinová zúčtovací sazba omítkář - štukatér</t>
  </si>
  <si>
    <t>-1014454836</t>
  </si>
  <si>
    <t>HZS1332</t>
  </si>
  <si>
    <t>Hodinová zúčtovací sazba montér konstrukcí specialista</t>
  </si>
  <si>
    <t>-729934404</t>
  </si>
  <si>
    <t>HZS2172</t>
  </si>
  <si>
    <t>Hodinová zúčtovací sazba sádrokartonář odborný</t>
  </si>
  <si>
    <t>-1508850085</t>
  </si>
  <si>
    <t>HZS2322</t>
  </si>
  <si>
    <t>Hodinová zúčtovací sazba obkladač odborný</t>
  </si>
  <si>
    <t>-1931884371</t>
  </si>
  <si>
    <t>HZS2332</t>
  </si>
  <si>
    <t>Hodinová zúčtovací sazba podlahář odborný</t>
  </si>
  <si>
    <t>1308911506</t>
  </si>
  <si>
    <t>asfalt</t>
  </si>
  <si>
    <t>30,986</t>
  </si>
  <si>
    <t>kamenivo</t>
  </si>
  <si>
    <t>15,196</t>
  </si>
  <si>
    <t>kov</t>
  </si>
  <si>
    <t>2,975</t>
  </si>
  <si>
    <t>smes</t>
  </si>
  <si>
    <t>389,335</t>
  </si>
  <si>
    <t>zb</t>
  </si>
  <si>
    <t>103,717</t>
  </si>
  <si>
    <t>skl_P01</t>
  </si>
  <si>
    <t>1697,96</t>
  </si>
  <si>
    <t>skl_P04</t>
  </si>
  <si>
    <t>202,55</t>
  </si>
  <si>
    <t>skl_P06</t>
  </si>
  <si>
    <t>9,14</t>
  </si>
  <si>
    <t>skl_P07</t>
  </si>
  <si>
    <t>653,25</t>
  </si>
  <si>
    <t>BOU - Bourací a demontážní práce</t>
  </si>
  <si>
    <t>skl_P08</t>
  </si>
  <si>
    <t>127,92</t>
  </si>
  <si>
    <t>skl_SP1</t>
  </si>
  <si>
    <t>342,25</t>
  </si>
  <si>
    <t>skl_SP2</t>
  </si>
  <si>
    <t>308,8</t>
  </si>
  <si>
    <t>skl_P02</t>
  </si>
  <si>
    <t>178,69</t>
  </si>
  <si>
    <t>skl_P03</t>
  </si>
  <si>
    <t>121,54</t>
  </si>
  <si>
    <t>skl_P05</t>
  </si>
  <si>
    <t>125,19</t>
  </si>
  <si>
    <t>plast</t>
  </si>
  <si>
    <t>5,842</t>
  </si>
  <si>
    <t>izolace</t>
  </si>
  <si>
    <t>12,141</t>
  </si>
  <si>
    <t>beton</t>
  </si>
  <si>
    <t>943,871</t>
  </si>
  <si>
    <t xml:space="preserve">    997 - Přesun sutě</t>
  </si>
  <si>
    <t xml:space="preserve">    764 - Konstrukce klempířské</t>
  </si>
  <si>
    <t xml:space="preserve">    766 - Konstrukce truhlářské</t>
  </si>
  <si>
    <t xml:space="preserve">    775 - Podlahy skládané</t>
  </si>
  <si>
    <t>113106121</t>
  </si>
  <si>
    <t>Rozebrání dlažeb z betonových nebo kamenných dlaždic komunikací pro pěší ručně</t>
  </si>
  <si>
    <t>510313015</t>
  </si>
  <si>
    <t>Odstranění stávajícího okapového chodníku podél východní strany krčku</t>
  </si>
  <si>
    <t>113107162</t>
  </si>
  <si>
    <t>Odstranění podkladu z kameniva drceného tl přes 100 do 200 mm strojně pl přes 50 do 200 m2</t>
  </si>
  <si>
    <t>-1131129091</t>
  </si>
  <si>
    <t>Odstranění stávajícího asfaltového krytu v průjezdu východní fasády pro provedení izolace budovy</t>
  </si>
  <si>
    <t>Odstranění stávajícího asfaltového chodníku vedoucího ze západní strany ke krčku pro provedení izolace krčku</t>
  </si>
  <si>
    <t>Pozn.: Odstranění stávajího krytu v plochách řešených v rámci pd SO 02 viz rozpočet SO 02. Např. plocha dvora při JV rohu budovy.</t>
  </si>
  <si>
    <t>113107171</t>
  </si>
  <si>
    <t>Odstranění podkladu z betonu prostého tl přes 100 do 150 mm strojně pl přes 50 do 200 m2</t>
  </si>
  <si>
    <t>-600058845</t>
  </si>
  <si>
    <t>113107181</t>
  </si>
  <si>
    <t>Odstranění podkladu živičného tl do 50 mm strojně pl přes 50 do 200 m2</t>
  </si>
  <si>
    <t>-1748574552</t>
  </si>
  <si>
    <t>113107182</t>
  </si>
  <si>
    <t>Odstranění podkladu živičného tl přes 50 do 100 mm strojně pl přes 50 do 200 m2</t>
  </si>
  <si>
    <t>-706803063</t>
  </si>
  <si>
    <t>919735113</t>
  </si>
  <si>
    <t>Řezání stávajícího živičného krytu hl přes 100 do 150 mm</t>
  </si>
  <si>
    <t>1059296129</t>
  </si>
  <si>
    <t>11,50+4,10*2</t>
  </si>
  <si>
    <t>Odstraněnío asfaltového chodníku vedoucího ze západní strany ke krčku pro provedení izolace krčku</t>
  </si>
  <si>
    <t>961044111</t>
  </si>
  <si>
    <t>Bourání základů z betonu prostého</t>
  </si>
  <si>
    <t>497135923</t>
  </si>
  <si>
    <t>bourání základů stávající dvoukřídlé vjezdové brány nahrazované novou bránou ZM05</t>
  </si>
  <si>
    <t>962031132</t>
  </si>
  <si>
    <t>Bourání příček nebo přizdívek z cihel pálených tl do 100 mm</t>
  </si>
  <si>
    <t>1417980364</t>
  </si>
  <si>
    <t>5,6*2,58</t>
  </si>
  <si>
    <t>9,4*3,05</t>
  </si>
  <si>
    <t>1,45*3,05</t>
  </si>
  <si>
    <t>9,575*3,05</t>
  </si>
  <si>
    <t>0,15*3,05</t>
  </si>
  <si>
    <t>0,6*3,05</t>
  </si>
  <si>
    <t>0,4*3,05</t>
  </si>
  <si>
    <t>0,3*3,05</t>
  </si>
  <si>
    <t>21,35*3,05</t>
  </si>
  <si>
    <t>5,2*3,05</t>
  </si>
  <si>
    <t>0,27*3,05</t>
  </si>
  <si>
    <t>1,4*3,05</t>
  </si>
  <si>
    <t>2,4*3,05</t>
  </si>
  <si>
    <t>3,4*3,05</t>
  </si>
  <si>
    <t>4,4*3,05</t>
  </si>
  <si>
    <t>5,4*3,05</t>
  </si>
  <si>
    <t>6,4*3,05</t>
  </si>
  <si>
    <t>7,4*3,05</t>
  </si>
  <si>
    <t>8,4*3,05</t>
  </si>
  <si>
    <t>10,4*3,05</t>
  </si>
  <si>
    <t>11,4*3,05</t>
  </si>
  <si>
    <t>12,4*3,05</t>
  </si>
  <si>
    <t>9,45*3,05</t>
  </si>
  <si>
    <t>1,9*3,05</t>
  </si>
  <si>
    <t>27,062*3,05</t>
  </si>
  <si>
    <t>3,375*3,05</t>
  </si>
  <si>
    <t>3,5*3,05</t>
  </si>
  <si>
    <t>1,3*3,05</t>
  </si>
  <si>
    <t>4,49*3,05</t>
  </si>
  <si>
    <t>5,45*3,05</t>
  </si>
  <si>
    <t>1,7*3,05</t>
  </si>
  <si>
    <t>1,5*3,05</t>
  </si>
  <si>
    <t>odpočet otvorů</t>
  </si>
  <si>
    <t>-0,8*1,97</t>
  </si>
  <si>
    <t>-0,6*1,97*3</t>
  </si>
  <si>
    <t>-0,9*1,97</t>
  </si>
  <si>
    <t>-1,2*1,97*2</t>
  </si>
  <si>
    <t>-0,6*1,97*5</t>
  </si>
  <si>
    <t>-0,6*1,97*6</t>
  </si>
  <si>
    <t>-0,8*1,97*2</t>
  </si>
  <si>
    <t>-0,7*1,97*2</t>
  </si>
  <si>
    <t>-1,45*1,97</t>
  </si>
  <si>
    <t>962031133</t>
  </si>
  <si>
    <t>Bourání příček nebo přizdívek z cihel pálených tl přes 100 do 150 mm</t>
  </si>
  <si>
    <t>-924118796</t>
  </si>
  <si>
    <t>tl.125mm</t>
  </si>
  <si>
    <t>3,6*2,58</t>
  </si>
  <si>
    <t>2,15*2,58</t>
  </si>
  <si>
    <t>0,75*2,58</t>
  </si>
  <si>
    <t>4,4*2,58</t>
  </si>
  <si>
    <t>0,15*2,58</t>
  </si>
  <si>
    <t>0,3*2,58</t>
  </si>
  <si>
    <t>2,5*2,58</t>
  </si>
  <si>
    <t>6,5*2,58</t>
  </si>
  <si>
    <t>2,75*2,58</t>
  </si>
  <si>
    <t>1,3*2,58</t>
  </si>
  <si>
    <t>2,4*2,58</t>
  </si>
  <si>
    <t>0,9*2,58</t>
  </si>
  <si>
    <t>1,92*2,58</t>
  </si>
  <si>
    <t>4,5*2,58</t>
  </si>
  <si>
    <t>1,25*3,05</t>
  </si>
  <si>
    <t>0,35*3,05</t>
  </si>
  <si>
    <t>0,92*3,05</t>
  </si>
  <si>
    <t>0,25*3,05</t>
  </si>
  <si>
    <t>5,85*3,05</t>
  </si>
  <si>
    <t>1,17*3,05</t>
  </si>
  <si>
    <t>1*3,05</t>
  </si>
  <si>
    <t>tl.150mm</t>
  </si>
  <si>
    <t>12,675*2,58</t>
  </si>
  <si>
    <t>1,55*3,05</t>
  </si>
  <si>
    <t>5,23*3,05</t>
  </si>
  <si>
    <t>4,2*3,05</t>
  </si>
  <si>
    <t>1,35*3,05</t>
  </si>
  <si>
    <t>6,3*3,05</t>
  </si>
  <si>
    <t>0,9*3,05</t>
  </si>
  <si>
    <t>8,7*3,05</t>
  </si>
  <si>
    <t>11,07*3,05</t>
  </si>
  <si>
    <t>0,78*3,05</t>
  </si>
  <si>
    <t>0,5*3,05</t>
  </si>
  <si>
    <t>-0,9*1,97*2</t>
  </si>
  <si>
    <t>-0,6*1,97*4</t>
  </si>
  <si>
    <t>-1,5*1,97*2</t>
  </si>
  <si>
    <t>-0,6*1,97*2</t>
  </si>
  <si>
    <t>-0,7*1,97</t>
  </si>
  <si>
    <t>-0,8*1,97*15</t>
  </si>
  <si>
    <t>-0,6*1,97</t>
  </si>
  <si>
    <t>-1,45*1,97*2</t>
  </si>
  <si>
    <t>-1,6*1,97</t>
  </si>
  <si>
    <t>4NP</t>
  </si>
  <si>
    <t>962052210</t>
  </si>
  <si>
    <t>Bourání zdiva nadzákladového ze ŽB do 1 m3</t>
  </si>
  <si>
    <t>-700865734</t>
  </si>
  <si>
    <t>Dle Tz statiky: Parapetní panely jsou sendvičové o tloušťce 300mm. Uvažuji tedy 250 mm železobetonu.</t>
  </si>
  <si>
    <t>viz D.1.1.3-9</t>
  </si>
  <si>
    <t>3,00*0,95*0,25*10</t>
  </si>
  <si>
    <t>3,00*0,95*0,25*12</t>
  </si>
  <si>
    <t>3,00*0,95*0,25*14</t>
  </si>
  <si>
    <t>965042141</t>
  </si>
  <si>
    <t>Bourání podkladů pod dlažby nebo mazanin betonových nebo z litého asfaltu tl do 100 mm pl přes 4 m2</t>
  </si>
  <si>
    <t>-1720494634</t>
  </si>
  <si>
    <t>skl_P01*0,025</t>
  </si>
  <si>
    <t>skl_P04*0,035</t>
  </si>
  <si>
    <t>skl_P06*0,065</t>
  </si>
  <si>
    <t>skl_P07*0,08</t>
  </si>
  <si>
    <t>skl_P08*0,06</t>
  </si>
  <si>
    <t>965045113</t>
  </si>
  <si>
    <t>Bourání potěrů cementových nebo pískocementových tl do 50 mm pl přes 4 m2</t>
  </si>
  <si>
    <t>-2037968677</t>
  </si>
  <si>
    <t>"mč.-1.00.01 - TELEFONNÍ ÚSTŘEDNA" 21,19</t>
  </si>
  <si>
    <t>"mč.-1.00.04 - CHODBA" 60,12</t>
  </si>
  <si>
    <t>"mč.-1.00.05 - SKLAD" 30,56</t>
  </si>
  <si>
    <t>"mč.-1.00.06 - SKLAD" 32,35</t>
  </si>
  <si>
    <t>"mč.-1.00.07 - CHODBA" 53,61</t>
  </si>
  <si>
    <t>"mč.-1.00.08 - DÍLNA" 30,69</t>
  </si>
  <si>
    <t>"mč.-1.00.09 - FOTOLABORATOŘ" 37,3</t>
  </si>
  <si>
    <t>"mč.-1.00.11 - ARCHIV" 18,07</t>
  </si>
  <si>
    <t>"mč.-1.00.12 - ŠATNA ŽEN" 15,28</t>
  </si>
  <si>
    <t>"mč.-1.00.16 - CHODBA" 18,2</t>
  </si>
  <si>
    <t>"mč.-1.00.19 - PŘEDSÍŇ" 16,38</t>
  </si>
  <si>
    <t>"mč.-1.00.23 - VÝMĚNÍKOVÁ STANICE" 80,24</t>
  </si>
  <si>
    <t>"mč.-1.00.24 - DEPOZITÁŘ KNIHOVNY" 59,85</t>
  </si>
  <si>
    <t>"mč.-1.00.25 - DEPOZITÁŘ KNIHOVNY" 21,83</t>
  </si>
  <si>
    <t>"mč.-1.00.26 - DEPOZITÁŘ KNIHOVNY" 30,41</t>
  </si>
  <si>
    <t>"mč.-1.00.27 - SCHODIŠTĚ" 20,14</t>
  </si>
  <si>
    <t>"mč.4.00.06 - HALA" 20,33</t>
  </si>
  <si>
    <t>"mč.4.00.07 - UČEBNA" 86,7</t>
  </si>
  <si>
    <t>965081213</t>
  </si>
  <si>
    <t>Bourání podlah z dlaždic keramických nebo xylolitových tl do 10 mm plochy přes 1 m2</t>
  </si>
  <si>
    <t>-1732261749</t>
  </si>
  <si>
    <t>skladba P04</t>
  </si>
  <si>
    <t>"mč.-1.00.03 - PŘEDSÍŇ" 3,44</t>
  </si>
  <si>
    <t>"mč.-1.00.10a - ROZMNOŽOVNA" 7,23</t>
  </si>
  <si>
    <t>"mč.-1.00.10b - ROZMNOŽOVNA" 10,66</t>
  </si>
  <si>
    <t>"mč.-1.00.13 - PŘEDSÍŇ" 2,03</t>
  </si>
  <si>
    <t>"mč.-1.00.14 - WC" 1,26</t>
  </si>
  <si>
    <t>"mč.-1.00.15 - SPRCHA" 1,26</t>
  </si>
  <si>
    <t>"mč.-1.00.17 - PŘEDSÍŇ" 3,65</t>
  </si>
  <si>
    <t>"mč.-1.00.18 - ŠATNA" 6,79</t>
  </si>
  <si>
    <t>"mč.-1.00.20 - ŠATNA" 9,06</t>
  </si>
  <si>
    <t>"mč.-1.00.21 - SPRCHA" 0,81</t>
  </si>
  <si>
    <t>"mč.-1.00.22 - WC" 1,24</t>
  </si>
  <si>
    <t>"mč.1.00.08 - UMÝVÁRNA" 2,17</t>
  </si>
  <si>
    <t>"mč.1.00.09 - WC" 1,73</t>
  </si>
  <si>
    <t>"mč.1.00.13 - UMÝVÁRKA" 8,51</t>
  </si>
  <si>
    <t>"mč.1.00.14 - PŘEDSÍŇ" 2,23</t>
  </si>
  <si>
    <t>"mč.1.00.14a - WC" 1,31</t>
  </si>
  <si>
    <t>"mč.1.00.14b - WC" 1,26</t>
  </si>
  <si>
    <t>"mč.1.00.14c - WC" 1,26</t>
  </si>
  <si>
    <t>"mč.1.00.15 - ÚKLID" 0,99</t>
  </si>
  <si>
    <t>"mč.1.00.18 - PŘEDSÍŇ" 2,07</t>
  </si>
  <si>
    <t>"mč.1.00.19 - WC" 1,33</t>
  </si>
  <si>
    <t>"mč.2.00.05 - ÚKLIDOVÁ KOMORA" 7,82</t>
  </si>
  <si>
    <t>"mč.2.00.08 - UMÝVÁRNA" 2,02</t>
  </si>
  <si>
    <t>"mč.2.00.09 - WC" 1,67</t>
  </si>
  <si>
    <t>"mč.2.00.10 - ÚKLIDOVÁ MÍSTNOST" 1,5</t>
  </si>
  <si>
    <t>"mč.2.00.11 - UMÝVÁRNA" 1,37</t>
  </si>
  <si>
    <t>"mč.2.00.12 - PŘEDSÍŇ" 1,13</t>
  </si>
  <si>
    <t>"mč.2.00.13 - WC" 1,25</t>
  </si>
  <si>
    <t>"mč.2.00.14 - UMÝVÁRKA" 8,51</t>
  </si>
  <si>
    <t>"mč.2.00.15 - ÚKLID" 0,99</t>
  </si>
  <si>
    <t>"mč.2.00.16 - PŘEDSÍŇ" 2,23</t>
  </si>
  <si>
    <t>"mč.2.00.16a - WC" 1,31</t>
  </si>
  <si>
    <t>"mč.2.00.16b - WC" 1,26</t>
  </si>
  <si>
    <t>"mč.2.00.16c - WC" 1,26</t>
  </si>
  <si>
    <t>"mč.2.00.17 - KUCHYŇKA" 5</t>
  </si>
  <si>
    <t>"mč.2.00.18 - PŘEDSÍŇ" 2,07</t>
  </si>
  <si>
    <t>"mč.2.00.19 - WC" 1,33</t>
  </si>
  <si>
    <t>"mč.2.16.04 - UMÝVÁRKA" 2,14</t>
  </si>
  <si>
    <t>"mč.2.16.05 - WC" 1,62</t>
  </si>
  <si>
    <t>"mč.3.00.05 - ÚKLIDOVÁ KOMORA" 7,82</t>
  </si>
  <si>
    <t>"mč.3.00.08 - UMÝVÁRNA" 1,96</t>
  </si>
  <si>
    <t>"mč.3.00.09 - WC" 1,85</t>
  </si>
  <si>
    <t>"mč.3.00.10 - SKLAD" 3,14</t>
  </si>
  <si>
    <t>"mč.3.00.11 - SKLAD" 1,4</t>
  </si>
  <si>
    <t>"mč.3.00.12 - UMÝVÁRKA" 8,51</t>
  </si>
  <si>
    <t>"mč.3.00.13 - PŘEDSÍŇ" 2,23</t>
  </si>
  <si>
    <t>"mč.3.00.13a - WC" 1,31</t>
  </si>
  <si>
    <t>"mč.3.00.13b - WC" 1,26</t>
  </si>
  <si>
    <t>"mč.3.00.13c - WC" 1,26</t>
  </si>
  <si>
    <t>"mč.3.00.15 - KUCHYŇKA" 5</t>
  </si>
  <si>
    <t>"mč.3.00.15 - ÚKLID" 0,99</t>
  </si>
  <si>
    <t>"mč.3.00.16 - PŘEDSÍŇ" 2,07</t>
  </si>
  <si>
    <t>"mč.3.00.17 - WC" 1,33</t>
  </si>
  <si>
    <t>"mč.3.16.04 - UMÝVÁRKA" 2,14</t>
  </si>
  <si>
    <t>"mč.3.16.05 - WC" 1,62</t>
  </si>
  <si>
    <t>"mč.4.00.05 - ÚKLIDOVÁ KOMORA" 7,82</t>
  </si>
  <si>
    <t>"mč.4.00.08 - UMÝVÁRNA" 1,96</t>
  </si>
  <si>
    <t>"mč.4.00.09 - WC" 1,85</t>
  </si>
  <si>
    <t>"mč.4.00.10 - SKLAD" 3,14</t>
  </si>
  <si>
    <t>"mč.4.00.11 - SKLAD" 1,4</t>
  </si>
  <si>
    <t>"mč.4.00.12 - UMÝVÁRKA" 8,51</t>
  </si>
  <si>
    <t>"mč.4.00.13 - PŘEDSÍŇ" 2,23</t>
  </si>
  <si>
    <t>"mč.4.00.13a - WC" 1,31</t>
  </si>
  <si>
    <t>"mč.4.00.13b - WC" 1,26</t>
  </si>
  <si>
    <t>"mč.4.00.13c - WC" 1,26</t>
  </si>
  <si>
    <t>"mč.4.00.15 - KUCHYŇKA" 5</t>
  </si>
  <si>
    <t>"mč.4.00.15 - ÚKLID" 0,99</t>
  </si>
  <si>
    <t>"mč.4.00.16 - PŘEDSÍŇ" 2,07</t>
  </si>
  <si>
    <t>"mč.4.00.17 - WC" 1,33</t>
  </si>
  <si>
    <t>"mč.4.16.04 - UMÝVÁRKA" 2,14</t>
  </si>
  <si>
    <t>"mč.4.16.05 - WC" 1,62</t>
  </si>
  <si>
    <t>skladba P05</t>
  </si>
  <si>
    <t>0,9*2,675*(10+14+14+14)</t>
  </si>
  <si>
    <t>965081333</t>
  </si>
  <si>
    <t>Bourání podlah z dlaždic betonových, teracových nebo čedičových tl do 30 mm plochy přes 1 m2</t>
  </si>
  <si>
    <t>-1520056224</t>
  </si>
  <si>
    <t>skladba P06</t>
  </si>
  <si>
    <t>"mč.-1.00.02 - BATERIE" 9,14</t>
  </si>
  <si>
    <t>966008212</t>
  </si>
  <si>
    <t>Bourání odvodňovacího žlabu z betonových příkopových tvárnic š přes 500 do 800 mm</t>
  </si>
  <si>
    <t>-822713063</t>
  </si>
  <si>
    <t xml:space="preserve">Odstranění stávajícího žlabu podél severní fasády </t>
  </si>
  <si>
    <t>45,50+5,50+5,70</t>
  </si>
  <si>
    <t>2131661298</t>
  </si>
  <si>
    <t>demontáž části oplocení pro novou branku ZM03</t>
  </si>
  <si>
    <t>9670226</t>
  </si>
  <si>
    <t>Odstranění podkladní separační folie</t>
  </si>
  <si>
    <t>-308048072</t>
  </si>
  <si>
    <t>skl_P04*2</t>
  </si>
  <si>
    <t>skl_P05*2</t>
  </si>
  <si>
    <t>96806224</t>
  </si>
  <si>
    <t>Vybourání rámů oken  včetně křídel</t>
  </si>
  <si>
    <t>-942029394</t>
  </si>
  <si>
    <t>0,6*0,9*28</t>
  </si>
  <si>
    <t>0,97*0,75*5</t>
  </si>
  <si>
    <t>1,96*0,6*2</t>
  </si>
  <si>
    <t>0,6*0,9</t>
  </si>
  <si>
    <t>1,95*2,03</t>
  </si>
  <si>
    <t>1,35*2,03</t>
  </si>
  <si>
    <t>2,04*2,05*3</t>
  </si>
  <si>
    <t>2,675*2,99*14</t>
  </si>
  <si>
    <t>5,5*2,05*3</t>
  </si>
  <si>
    <t>5,4*2,05*4</t>
  </si>
  <si>
    <t>6,78*2,84</t>
  </si>
  <si>
    <t>4,95*2,05</t>
  </si>
  <si>
    <t>3,6*2,05</t>
  </si>
  <si>
    <t>3,9*2,03*2</t>
  </si>
  <si>
    <t>krček</t>
  </si>
  <si>
    <t>6,78*2,99</t>
  </si>
  <si>
    <t>6,68*3,95</t>
  </si>
  <si>
    <t>0,6*0,9*2</t>
  </si>
  <si>
    <t>0,9*0,9</t>
  </si>
  <si>
    <t>1,95*2,03*2</t>
  </si>
  <si>
    <t>1,8*2,05*2</t>
  </si>
  <si>
    <t>3,9*0,9</t>
  </si>
  <si>
    <t>2,55*0,9</t>
  </si>
  <si>
    <t>2,4*2,05</t>
  </si>
  <si>
    <t>2,675*2,05*16</t>
  </si>
  <si>
    <t>5,4*2,05*3</t>
  </si>
  <si>
    <t>4,95*2,05*2</t>
  </si>
  <si>
    <t>5,52*2,05</t>
  </si>
  <si>
    <t>4,5*2,03</t>
  </si>
  <si>
    <t>0,6*2,3</t>
  </si>
  <si>
    <t>1,8*2,05</t>
  </si>
  <si>
    <t>0,9*2,3</t>
  </si>
  <si>
    <t>2,6*2,05</t>
  </si>
  <si>
    <t>5,4*2,05</t>
  </si>
  <si>
    <t>1,2*0,9</t>
  </si>
  <si>
    <t>96806245</t>
  </si>
  <si>
    <t>Vybourání dveřních zárubní vč.vyvěšení křídel</t>
  </si>
  <si>
    <t>-374560594</t>
  </si>
  <si>
    <t>1,5*1,97*2</t>
  </si>
  <si>
    <t>1,6*1,97*3</t>
  </si>
  <si>
    <t>2,3*2,1*4</t>
  </si>
  <si>
    <t>4,5*3,0</t>
  </si>
  <si>
    <t>0,6*1,97*5</t>
  </si>
  <si>
    <t>0,8*1,97*4</t>
  </si>
  <si>
    <t>0,9*1,97*11</t>
  </si>
  <si>
    <t>1,2*1,97*2</t>
  </si>
  <si>
    <t>1,45*1,97*3</t>
  </si>
  <si>
    <t>1,6*2,15*2</t>
  </si>
  <si>
    <t>0,6*1,97*7</t>
  </si>
  <si>
    <t>6,07*3,0</t>
  </si>
  <si>
    <t>0,7*1,97*2</t>
  </si>
  <si>
    <t>0,8*1,97*17</t>
  </si>
  <si>
    <t>0,9*1,97*2</t>
  </si>
  <si>
    <t>1,45*1,97</t>
  </si>
  <si>
    <t>1,62*1,97</t>
  </si>
  <si>
    <t>4,5*3,0*2</t>
  </si>
  <si>
    <t>5,875*3,0</t>
  </si>
  <si>
    <t>0,6*1,97*12</t>
  </si>
  <si>
    <t>0,6*1,97*8</t>
  </si>
  <si>
    <t>0,7*1,97*3</t>
  </si>
  <si>
    <t>0,8*1,97*19</t>
  </si>
  <si>
    <t>0,8*1,97*18</t>
  </si>
  <si>
    <t>1,1*1,97</t>
  </si>
  <si>
    <t>971042551</t>
  </si>
  <si>
    <t>Vybourání otvorů v betonových příčkách a zdech pl do 1 m2</t>
  </si>
  <si>
    <t>854966798</t>
  </si>
  <si>
    <t>1,50*0,60*0,35</t>
  </si>
  <si>
    <t>ostatní otvory v rozpočtech specialistů Tzb samostatně neuvedené (např. viz řez B3 - otvor pro větrací stěnovou mřížku)</t>
  </si>
  <si>
    <t>10*0,60*0,40*0,22</t>
  </si>
  <si>
    <t>971052551</t>
  </si>
  <si>
    <t>Vybourání nebo prorážení otvorů v ŽB příčkách a zdech pl do 1 m2 tl do 600 mm</t>
  </si>
  <si>
    <t>-1310645558</t>
  </si>
  <si>
    <t>ubourání stávající podezdívky plotu pro osazení nové branky ZM03</t>
  </si>
  <si>
    <t>1,22*0,50*0,30</t>
  </si>
  <si>
    <t>972054221</t>
  </si>
  <si>
    <t>Vybourání otvorů v ŽB stropech nebo klenbách pl do 0,09 m2 tl do 100 mm</t>
  </si>
  <si>
    <t>128937791</t>
  </si>
  <si>
    <t>Dle Tz statiky: Nové prostupy ve stropních konstrukcí (budou zajištěny pomocí ocelových příloží .. přílože viz samostatná položka části KCE)</t>
  </si>
  <si>
    <t>Stropy mají tl. 250 mm. Proto jsou malé otvory započteny v položce tl. do 100 mm a následně i do 150 mm</t>
  </si>
  <si>
    <t>Prostupy dle D.1.2.03</t>
  </si>
  <si>
    <t>972054241</t>
  </si>
  <si>
    <t>Vybourání otvorů v ŽB stropech nebo klenbách pl do 0,09 m2 tl do 150 mm</t>
  </si>
  <si>
    <t>586670197</t>
  </si>
  <si>
    <t>972054321</t>
  </si>
  <si>
    <t>Vybourání otvorů v ŽB stropech nebo klenbách pl do 0,25 m2 tl do 100 mm</t>
  </si>
  <si>
    <t>1879563969</t>
  </si>
  <si>
    <t>972054341</t>
  </si>
  <si>
    <t>Vybourání otvorů v ŽB stropech nebo klenbách pl do 0,25 m2 tl do 150 mm</t>
  </si>
  <si>
    <t>1503920256</t>
  </si>
  <si>
    <t>972054491</t>
  </si>
  <si>
    <t>Vybourání otvorů v ŽB stropech nebo klenbách pl do 1 m2 tl přes 80 mm</t>
  </si>
  <si>
    <t>176512046</t>
  </si>
  <si>
    <t>1,10*0,25*0,25</t>
  </si>
  <si>
    <t>0,78*0,35*0,25</t>
  </si>
  <si>
    <t>1,175*0,225*0,25*2</t>
  </si>
  <si>
    <t>1,725*0,225*0,25</t>
  </si>
  <si>
    <t>977151123</t>
  </si>
  <si>
    <t>Jádrové vrty diamantovými korunkami do stavebních materiálů D přes 130 do 150 mm</t>
  </si>
  <si>
    <t>1932305799</t>
  </si>
  <si>
    <t>Vrty do žb atiky pro nouzové přepady po 4,0m v úrovni horní hrany střešního pláště</t>
  </si>
  <si>
    <t>(2*6,00+9,24)/4,00*0,25</t>
  </si>
  <si>
    <t xml:space="preserve">Atika nové výtahové šachty </t>
  </si>
  <si>
    <t>(2,85*2+1,40)/4,00*0,25</t>
  </si>
  <si>
    <t>(5,00+2*15,30+14,70)/4,00*0,25</t>
  </si>
  <si>
    <t>ostatní jádrové vrty v rozpočtech specialistů Tzb samostatně neuvedené</t>
  </si>
  <si>
    <t>10*0,25</t>
  </si>
  <si>
    <t>977151128</t>
  </si>
  <si>
    <t>Jádrové vrty diamantovými korunkami do stavebních materiálů D přes 250 do 300 mm</t>
  </si>
  <si>
    <t>1301908992</t>
  </si>
  <si>
    <t>ostatní jádrové vrty v rozpočtech specialistů Tzb samostatně neuvedené (např. viz řez B3 - kruhový prostup dle Vzt)</t>
  </si>
  <si>
    <t>5*0,25</t>
  </si>
  <si>
    <t>977151221</t>
  </si>
  <si>
    <t>Jádrové vrty dovrchní diamantovými korunkami do stavebních materiálů D přes 110 do 120 mm</t>
  </si>
  <si>
    <t>1624265676</t>
  </si>
  <si>
    <t>jádrové vrty v rozpočtech specialistů Tzb samostatně neuvedené</t>
  </si>
  <si>
    <t>977212111</t>
  </si>
  <si>
    <t>Řezání diamantovým lanem ŽB kcí s výztuží průměru do 16 mm</t>
  </si>
  <si>
    <t>1837757949</t>
  </si>
  <si>
    <t>řezání vč. příp. doplňkového vrtání apod. pro vytvoření otvorů ve stropech</t>
  </si>
  <si>
    <t>otvory do 0,09 m2 .. průměrná vel. 250x250 mm</t>
  </si>
  <si>
    <t>73*0,25*4*0,25</t>
  </si>
  <si>
    <t>otvory do 0,25 m2 .. průměrná vel. 500x300 mm</t>
  </si>
  <si>
    <t>86*(0,50+0,30)*2*0,25</t>
  </si>
  <si>
    <t>otvory do 1 m2</t>
  </si>
  <si>
    <t>(1,10+0,25)*2*0,25</t>
  </si>
  <si>
    <t>(0,78+0,35)*2*0,25</t>
  </si>
  <si>
    <t>(1,175+0,225)*2*0,25</t>
  </si>
  <si>
    <t>(1,725+0,225)*2*0,25</t>
  </si>
  <si>
    <t>978011191</t>
  </si>
  <si>
    <t>Otlučení (osekání) vnitřní vápenné nebo vápenocementové omítky stropů v rozsahu přes 50 do 100 %</t>
  </si>
  <si>
    <t>-819680566</t>
  </si>
  <si>
    <t>otlučení omítky stropů v místnostech, ve kterých nebude dle Tbm proveden podhled, ale nová omítka</t>
  </si>
  <si>
    <t>978013191</t>
  </si>
  <si>
    <t>Otlučení (osekání) vnitřní vápenné nebo vápenocementové omítky stěn v rozsahu přes 50 do 100 %</t>
  </si>
  <si>
    <t>-231740555</t>
  </si>
  <si>
    <t>Otlučení omítky před provedením nové omítky</t>
  </si>
  <si>
    <t>Výměra dle plochy nové vnitřní omítky .. 40% nové omítky je na stávajících konstrukcích</t>
  </si>
  <si>
    <t>Plochy nové vnitřní omítky viz část "ARS" soupisu prací</t>
  </si>
  <si>
    <t>Dle: Vápenocementová omítka hladká jednovrstvá vnitřních stěn</t>
  </si>
  <si>
    <t>72,796*0.40</t>
  </si>
  <si>
    <t>Dle: Vápenocementová omítka štuková dvouvrstvá vnitřních stěn</t>
  </si>
  <si>
    <t>1142,143*0.40</t>
  </si>
  <si>
    <t>Dle: Omítka sanační jádrová vnitřních stěn</t>
  </si>
  <si>
    <t>247,971*0.40</t>
  </si>
  <si>
    <t>Dle: Sádrová nebo vápenosádrová omítka</t>
  </si>
  <si>
    <t>8593,992*0.40</t>
  </si>
  <si>
    <t>978059511</t>
  </si>
  <si>
    <t>Odsekání a odebrání obkladů stěn z vnitřních obkládaček plochy do 1 m2</t>
  </si>
  <si>
    <t>-726182287</t>
  </si>
  <si>
    <t>otlučení obkladů na ponechávaných kcích</t>
  </si>
  <si>
    <t>-1.00.03</t>
  </si>
  <si>
    <t>0,40*1,05</t>
  </si>
  <si>
    <t>1.NP-4.NP (dle 2.NP)</t>
  </si>
  <si>
    <t>0,40*2,00*8*4</t>
  </si>
  <si>
    <t>978059541</t>
  </si>
  <si>
    <t>Odsekání a odebrání obkladů stěn z vnitřních obkládaček plochy přes 1 m2</t>
  </si>
  <si>
    <t>-1391638992</t>
  </si>
  <si>
    <t>-1.00.13-15</t>
  </si>
  <si>
    <t>(1,40+1,45)*2*2,00</t>
  </si>
  <si>
    <t>(1,40+0,90)*2*2,00</t>
  </si>
  <si>
    <t>stěny osa 2-3</t>
  </si>
  <si>
    <t>2,50*1,50*4</t>
  </si>
  <si>
    <t>stěny osa 4-5</t>
  </si>
  <si>
    <t>1,00*1,50*4</t>
  </si>
  <si>
    <t>5,95*1,50*4</t>
  </si>
  <si>
    <t>stěny osa 11</t>
  </si>
  <si>
    <t>2,70*1,50*4</t>
  </si>
  <si>
    <t>(1,00+0,75)*1,50</t>
  </si>
  <si>
    <t>978059641</t>
  </si>
  <si>
    <t>Odsekání a odebrání obkladů stěn z vnějších obkládaček plochy přes 1 m2</t>
  </si>
  <si>
    <t>-1042902126</t>
  </si>
  <si>
    <t>Otlučení stávajícího kabřincového obkladu fasády</t>
  </si>
  <si>
    <t>997006000.1</t>
  </si>
  <si>
    <t>Demontážní práce materiálu obsahujícího azbest, kontrolované pásmo, vnitrostaveništní doprava, odborné nakládání, odvoz nebezpečného odpadu obsahujícího azbest</t>
  </si>
  <si>
    <t>-1152070759</t>
  </si>
  <si>
    <t>množství bude fakturováno dle skutečnosti</t>
  </si>
  <si>
    <t>3.00</t>
  </si>
  <si>
    <t>997006004</t>
  </si>
  <si>
    <t>Pytlování nebezpečného odpadu s obsahem azbestu</t>
  </si>
  <si>
    <t>729032926</t>
  </si>
  <si>
    <t>997013114</t>
  </si>
  <si>
    <t>Vnitrostaveništní doprava suti a vybouraných hmot pro budovy v přes 12 do 15 m</t>
  </si>
  <si>
    <t>1369869699</t>
  </si>
  <si>
    <t>807329830</t>
  </si>
  <si>
    <t>-1125580963</t>
  </si>
  <si>
    <t>1946,675*14 'Přepočtené koeficientem množství</t>
  </si>
  <si>
    <t>997013813</t>
  </si>
  <si>
    <t>Poplatek za uložení na skládce (skládkovné) stavebního odpadu z plastických hmot kód odpadu 17 02 03</t>
  </si>
  <si>
    <t>270041559</t>
  </si>
  <si>
    <t>oddíl 776</t>
  </si>
  <si>
    <t>5.842</t>
  </si>
  <si>
    <t>997013814</t>
  </si>
  <si>
    <t>Poplatek za uložení na skládce (skládkovné) stavebního odpadu izolací kód odpadu 17 06 04</t>
  </si>
  <si>
    <t>-653423884</t>
  </si>
  <si>
    <t>oddíl 711</t>
  </si>
  <si>
    <t>2.65</t>
  </si>
  <si>
    <t>oddíl 713</t>
  </si>
  <si>
    <t>9.491</t>
  </si>
  <si>
    <t>997013821</t>
  </si>
  <si>
    <t>Poplatek za uložení na skládce (skládkovné) stavebního odpadu s obsahem azbestu kód odpadu 17 06 05</t>
  </si>
  <si>
    <t>-779927568</t>
  </si>
  <si>
    <t>997013861</t>
  </si>
  <si>
    <t>Poplatek za uložení stavebního odpadu na recyklační skládce (skládkovné) z prostého betonu kód odpadu 17 01 01</t>
  </si>
  <si>
    <t>-904805447</t>
  </si>
  <si>
    <t>mazaniny</t>
  </si>
  <si>
    <t>242.147</t>
  </si>
  <si>
    <t>potěry</t>
  </si>
  <si>
    <t>374.246</t>
  </si>
  <si>
    <t>keramzitové střešní násypy</t>
  </si>
  <si>
    <t>54.688</t>
  </si>
  <si>
    <t>108.725</t>
  </si>
  <si>
    <t>164.065</t>
  </si>
  <si>
    <t>997013862</t>
  </si>
  <si>
    <t>Poplatek za uložení stavebního odpadu na recyklační skládce (skládkovné) z armovaného betonu kód odpadu 17 01 01</t>
  </si>
  <si>
    <t>1262975879</t>
  </si>
  <si>
    <t>bourání žb zdiva</t>
  </si>
  <si>
    <t>85.50</t>
  </si>
  <si>
    <t>bourání otvorů v žb stropech</t>
  </si>
  <si>
    <t>1.606</t>
  </si>
  <si>
    <t>2.336</t>
  </si>
  <si>
    <t>5.16</t>
  </si>
  <si>
    <t>7.74</t>
  </si>
  <si>
    <t>1.375</t>
  </si>
  <si>
    <t>997013869</t>
  </si>
  <si>
    <t>Poplatek za uložení stavebního odpadu na recyklační skládce (skládkovné) ze směsí betonu, cihel a keramických výrobků kód odpadu 17 01 07</t>
  </si>
  <si>
    <t>-1964146257</t>
  </si>
  <si>
    <t>celková hmotnost suti</t>
  </si>
  <si>
    <t>1938.136</t>
  </si>
  <si>
    <t>sut</t>
  </si>
  <si>
    <t>odečet ostatních typů suti</t>
  </si>
  <si>
    <t>-plast</t>
  </si>
  <si>
    <t>-izolace</t>
  </si>
  <si>
    <t>-beton</t>
  </si>
  <si>
    <t>-zb</t>
  </si>
  <si>
    <t>-smes</t>
  </si>
  <si>
    <t>-kamenivo</t>
  </si>
  <si>
    <t>-asfalt</t>
  </si>
  <si>
    <t>-kov</t>
  </si>
  <si>
    <t>997013871</t>
  </si>
  <si>
    <t>Poplatek za uložení stavebního odpadu na recyklační skládce (skládkovné) směsného stavebního a demoličního kód odpadu 17 09 04</t>
  </si>
  <si>
    <t>2014185232</t>
  </si>
  <si>
    <t>20% z celkové hmotnosti suti</t>
  </si>
  <si>
    <t>1946.675*0.20</t>
  </si>
  <si>
    <t>997013873</t>
  </si>
  <si>
    <t>Poplatek za uložení stavebního odpadu na recyklační skládce (skládkovné) zeminy a kamení zatříděného do Katalogu odpadů pod kódem 17 05 04</t>
  </si>
  <si>
    <t>2053645179</t>
  </si>
  <si>
    <t>podklad z kameniva</t>
  </si>
  <si>
    <t>15.196</t>
  </si>
  <si>
    <t>997013875</t>
  </si>
  <si>
    <t>Poplatek za uložení stavebního odpadu na recyklační skládce (skládkovné) asfaltového bez obsahu dehtu zatříděného do Katalogu odpadů pod kódem 17 03 02</t>
  </si>
  <si>
    <t>2948323</t>
  </si>
  <si>
    <t>oddíl 1 - stávající živičné vrstvy zpevněné plochy bourané v rámci tohoto soupisu prací</t>
  </si>
  <si>
    <t>5.135</t>
  </si>
  <si>
    <t>11.528</t>
  </si>
  <si>
    <t>oddíl 712</t>
  </si>
  <si>
    <t>pásy</t>
  </si>
  <si>
    <t>3.581</t>
  </si>
  <si>
    <t>10.742</t>
  </si>
  <si>
    <t>-81809442</t>
  </si>
  <si>
    <t>klempířské prvky</t>
  </si>
  <si>
    <t>1.539</t>
  </si>
  <si>
    <t>zámečnické prvky .. 50% hmotnosti</t>
  </si>
  <si>
    <t>2.871*0.50</t>
  </si>
  <si>
    <t>711131811</t>
  </si>
  <si>
    <t>Odstranění izolace proti zemní vlhkosti vodorovné</t>
  </si>
  <si>
    <t>1748267997</t>
  </si>
  <si>
    <t>712340833</t>
  </si>
  <si>
    <t>Odstranění povlakové krytiny střech do 10° z pásů NAIP přitavených v plné ploše třívrstvé</t>
  </si>
  <si>
    <t>-1705110126</t>
  </si>
  <si>
    <t>skladba SP1</t>
  </si>
  <si>
    <t>37,0*9,25</t>
  </si>
  <si>
    <t>skladba SP2</t>
  </si>
  <si>
    <t>9,4*19,0+15,5*8,4</t>
  </si>
  <si>
    <t>712340834</t>
  </si>
  <si>
    <t>Příplatek k odstranění povlakové krytiny střech do 10° z pásů NAIP přitavených v plné ploše ZKD vrstvu</t>
  </si>
  <si>
    <t>-2130152118</t>
  </si>
  <si>
    <t>ve skladbě SP1 zjištěny 4 vrstvy asf- pásů</t>
  </si>
  <si>
    <t>712990812</t>
  </si>
  <si>
    <t>Odstranění povlakové krytiny střech do 10° násypu nebo nánosu tl do 50 mm</t>
  </si>
  <si>
    <t>1599192962</t>
  </si>
  <si>
    <t>712990813</t>
  </si>
  <si>
    <t>Odstranění povlakové krytiny střech do 10° násypu nebo nánosu tl přes 50 do 100 mm</t>
  </si>
  <si>
    <t>177698749</t>
  </si>
  <si>
    <t>712990816</t>
  </si>
  <si>
    <t>Příplatek k odstranění násypu nebo nánosu do 10° povlakové krytiny za každých dalších 50 mm tloušťky</t>
  </si>
  <si>
    <t>-1066898261</t>
  </si>
  <si>
    <t>skl_SP1*3</t>
  </si>
  <si>
    <t>skl_SP2*3</t>
  </si>
  <si>
    <t>713120821</t>
  </si>
  <si>
    <t>Odstranění tepelné izolace podlah volně kladené z polystyrenu suchého tl do 100 mm</t>
  </si>
  <si>
    <t>791300353</t>
  </si>
  <si>
    <t>713140811</t>
  </si>
  <si>
    <t>Odstranění tepelné izolace střech nadstřešní volně kladené z vláknitých materiálů suchých tl do 100 mm</t>
  </si>
  <si>
    <t>-1001292154</t>
  </si>
  <si>
    <t>764</t>
  </si>
  <si>
    <t>Konstrukce klempířské</t>
  </si>
  <si>
    <t>764002811</t>
  </si>
  <si>
    <t>Demontáž okapového plechu do suti v krytině povlakové</t>
  </si>
  <si>
    <t>1901848692</t>
  </si>
  <si>
    <t>okapový plech balkonů</t>
  </si>
  <si>
    <t>2,70*10</t>
  </si>
  <si>
    <t>2,70*12</t>
  </si>
  <si>
    <t>2,70*14</t>
  </si>
  <si>
    <t>764002841</t>
  </si>
  <si>
    <t>Demontáž oplechování horních ploch zdí a nadezdívek do suti</t>
  </si>
  <si>
    <t>608286218</t>
  </si>
  <si>
    <t>dle výměr nového oplechování atik uvedených v tabulce klempířských výrobků</t>
  </si>
  <si>
    <t>38,945</t>
  </si>
  <si>
    <t>70,574</t>
  </si>
  <si>
    <t>K06</t>
  </si>
  <si>
    <t>121,60</t>
  </si>
  <si>
    <t>74,69</t>
  </si>
  <si>
    <t>764002851</t>
  </si>
  <si>
    <t>Demontáž oplechování parapetů do suti</t>
  </si>
  <si>
    <t>1148381345</t>
  </si>
  <si>
    <t>dle výměr nových parapetů uvedených v tabulce klempířských výrobků</t>
  </si>
  <si>
    <t>K01</t>
  </si>
  <si>
    <t>15,45</t>
  </si>
  <si>
    <t>766</t>
  </si>
  <si>
    <t>Konstrukce truhlářské</t>
  </si>
  <si>
    <t>766411812</t>
  </si>
  <si>
    <t>Demontáž truhlářského obložení stěn z panelů plochy přes 1,5 m2</t>
  </si>
  <si>
    <t>-346857999</t>
  </si>
  <si>
    <t>stávající stav m. 2.00.06 učebna</t>
  </si>
  <si>
    <t>2*4,25*(2,10+0,50)</t>
  </si>
  <si>
    <t>2*5,20*(1,00+0,50)</t>
  </si>
  <si>
    <t>(1,10+1,90)*(3,55+0,50)</t>
  </si>
  <si>
    <t>6,60*(1,00+0,50)</t>
  </si>
  <si>
    <t>766411822</t>
  </si>
  <si>
    <t>Demontáž truhlářského obložení stěn podkladových roštů</t>
  </si>
  <si>
    <t>1165831302</t>
  </si>
  <si>
    <t>766431812</t>
  </si>
  <si>
    <t>Demontáž truhlářského obložení sloupů a pilířů z panelů plochy přes 1,5 m2</t>
  </si>
  <si>
    <t>-1226912495</t>
  </si>
  <si>
    <t>4*(0,50+1,00)*3,55</t>
  </si>
  <si>
    <t>2*(2*1,00+1,20)*3,55</t>
  </si>
  <si>
    <t>766431822</t>
  </si>
  <si>
    <t>Demontáž truhlářského obložení sloupů a pilířů podkladových roštů</t>
  </si>
  <si>
    <t>-1160478185</t>
  </si>
  <si>
    <t>766691811</t>
  </si>
  <si>
    <t>Demontáž parapetních desek dřevěných nebo plastových šířky do 300 mm</t>
  </si>
  <si>
    <t>-1386821111</t>
  </si>
  <si>
    <t>0,9*28</t>
  </si>
  <si>
    <t>0,97*5</t>
  </si>
  <si>
    <t>1,96*2</t>
  </si>
  <si>
    <t>0,9</t>
  </si>
  <si>
    <t>1,95</t>
  </si>
  <si>
    <t>1,35</t>
  </si>
  <si>
    <t>2,04*3</t>
  </si>
  <si>
    <t>2,675*14</t>
  </si>
  <si>
    <t>5,5*3</t>
  </si>
  <si>
    <t>5,4*4</t>
  </si>
  <si>
    <t>6,78</t>
  </si>
  <si>
    <t>3,6</t>
  </si>
  <si>
    <t>3,9*2</t>
  </si>
  <si>
    <t>0,6*2</t>
  </si>
  <si>
    <t>1,95*2</t>
  </si>
  <si>
    <t>1,8*2</t>
  </si>
  <si>
    <t>3,9</t>
  </si>
  <si>
    <t>2,55</t>
  </si>
  <si>
    <t>2,4</t>
  </si>
  <si>
    <t>2,675*16</t>
  </si>
  <si>
    <t>5,4*3</t>
  </si>
  <si>
    <t>4,95*2</t>
  </si>
  <si>
    <t>5,52</t>
  </si>
  <si>
    <t>4,5</t>
  </si>
  <si>
    <t>0,6</t>
  </si>
  <si>
    <t>1,8</t>
  </si>
  <si>
    <t>2,6</t>
  </si>
  <si>
    <t>5,4</t>
  </si>
  <si>
    <t>1,2</t>
  </si>
  <si>
    <t>766691812.1</t>
  </si>
  <si>
    <t>Demontáž krytů radiátorů</t>
  </si>
  <si>
    <t>-1811392430</t>
  </si>
  <si>
    <t>na chodbách mezi sloupy - měřeno na půdorysech stávajícího stavu</t>
  </si>
  <si>
    <t>5,50*7*5</t>
  </si>
  <si>
    <t>767114825</t>
  </si>
  <si>
    <t>Demontáž stěn a příček rámových zasklených vnějších plochy přes 15 m2</t>
  </si>
  <si>
    <t>1263685512</t>
  </si>
  <si>
    <t>1. strana schodiště</t>
  </si>
  <si>
    <t>4,95*13,16</t>
  </si>
  <si>
    <t>2. strana schodiště</t>
  </si>
  <si>
    <t>5,875*13,04</t>
  </si>
  <si>
    <t>4,20*3,07</t>
  </si>
  <si>
    <t>767162812</t>
  </si>
  <si>
    <t>Demontáž zábradlí balkónového nebo lodžiového rovného včetně výplně dl přes 3,0 do 6,0 m</t>
  </si>
  <si>
    <t>1169251974</t>
  </si>
  <si>
    <t>lodžiové zábradlí</t>
  </si>
  <si>
    <t>1.np</t>
  </si>
  <si>
    <t>2.np</t>
  </si>
  <si>
    <t>3.np</t>
  </si>
  <si>
    <t>4.np</t>
  </si>
  <si>
    <t>775</t>
  </si>
  <si>
    <t>Podlahy skládané</t>
  </si>
  <si>
    <t>775511800</t>
  </si>
  <si>
    <t>Demontáž podlah vlysových lepených s lištami lepenými do suti</t>
  </si>
  <si>
    <t>1729214041</t>
  </si>
  <si>
    <t>"mč.1.00.01 - SPOLEČNÝ PROSTOR" 54,31</t>
  </si>
  <si>
    <t>"mč.1.00.02 - CHODBA" 27,3</t>
  </si>
  <si>
    <t>"mč.1.00.04 - SCHODIŠTĚ" 22,73</t>
  </si>
  <si>
    <t>"mč.1.00.05 - SCHODIŠTĚ" 19,91</t>
  </si>
  <si>
    <t>"mč.1.00.10 - PŘEDSÍŇ" 13,4</t>
  </si>
  <si>
    <t>"mč.1.00.12 - KOLEJNÁ" 41,04</t>
  </si>
  <si>
    <t>776201812</t>
  </si>
  <si>
    <t>Demontáž lepených povlakových podlah s podložkou ručně</t>
  </si>
  <si>
    <t>-1912749818</t>
  </si>
  <si>
    <t>skladba P01</t>
  </si>
  <si>
    <t>"mč.1.00.03 - CHODBA" 85,04</t>
  </si>
  <si>
    <t>"mč.1.00.06 - POSILOVNA" 41,82</t>
  </si>
  <si>
    <t>"mč.1.00.07 - ÚKLIDOVÁ KOMORA" 7,71</t>
  </si>
  <si>
    <t>"mč.1.00.11 - SKLAD" 4,77</t>
  </si>
  <si>
    <t>"mč.1.01.01 - PŘEDSÍŇ" 3,61</t>
  </si>
  <si>
    <t>"mč.1.01.02 - POKOJ" 13,28</t>
  </si>
  <si>
    <t>"mč.1.02.01 - PŘEDSÍŇ" 3,59</t>
  </si>
  <si>
    <t>"mč.1.02.02 - POKOJ" 13,28</t>
  </si>
  <si>
    <t>"mč.1.03.01 - PŘEDSÍŇ" 3,59</t>
  </si>
  <si>
    <t>"mč.1.03.02 - POKOJ" 13,28</t>
  </si>
  <si>
    <t>"mč.1.04.01 - PŘEDSÍŇ" 3,59</t>
  </si>
  <si>
    <t>"mč.1.04.02 - POKOJ" 13,28</t>
  </si>
  <si>
    <t>"mč.1.05.01 - PŘEDSÍŇ" 3,59</t>
  </si>
  <si>
    <t>"mč.1.05.02 - POKOJ" 13,28</t>
  </si>
  <si>
    <t>"mč.1.06.01 - PŘEDSÍŇ" 3,59</t>
  </si>
  <si>
    <t>"mč.1.06.02 - POKOJ" 13,28</t>
  </si>
  <si>
    <t>"mč.1.07.01 - PŘEDSÍŇ" 3,67</t>
  </si>
  <si>
    <t>"mč.1.07.02 - POKOJ" 13,28</t>
  </si>
  <si>
    <t>"mč.1.08.01 - PŘEDSÍŇ" 4,15</t>
  </si>
  <si>
    <t>"mč.1.08.02 - POKOJ" 15,71</t>
  </si>
  <si>
    <t>"mč.1.09.01 - PŘEDSÍŇ" 3,51</t>
  </si>
  <si>
    <t>"mč.1.09.02 - POKOJ" 13,28</t>
  </si>
  <si>
    <t>"mč.1.10.01 - POKOJ" 13,28</t>
  </si>
  <si>
    <t>"mč.1.10.02 - PŘEDSÍŇ" 3,56</t>
  </si>
  <si>
    <t>"mč.1.11.01 - PŘEDSÍŇ" 3,94</t>
  </si>
  <si>
    <t>"mč.1.11.02 - POKOJ" 14,55</t>
  </si>
  <si>
    <t>"mč.1.12.01 - PŘEDSÍŇ" 3,59</t>
  </si>
  <si>
    <t>"mč.1.12.02 - POKOJ" 12,67</t>
  </si>
  <si>
    <t>"mč.1.13.01 - PŘEDSÍŇ" 4,38</t>
  </si>
  <si>
    <t>"mč.1.13.02 - POKOJ" 14,3</t>
  </si>
  <si>
    <t>"mč.2.00.03 - CHODBA" 96,48</t>
  </si>
  <si>
    <t>"mč.2.00.04 - CHODBA" 11,83</t>
  </si>
  <si>
    <t>"mč.2.00.06 - UČEBNA" 86,76</t>
  </si>
  <si>
    <t>"mč.2.00.07 - PRACOVNA" 13,47</t>
  </si>
  <si>
    <t>"mč.2.01.01 - PŘEDSÍŇ" 3,61</t>
  </si>
  <si>
    <t>"mč.2.01.02 - POKOJ" 13,28</t>
  </si>
  <si>
    <t>"mč.2.02.01 - PŘEDSÍŇ" 3,59</t>
  </si>
  <si>
    <t>"mč.2.02.02 - POKOJ" 13,28</t>
  </si>
  <si>
    <t>"mč.2.03.01 - PŘEDSÍŇ" 3,59</t>
  </si>
  <si>
    <t>"mč.2.03.02 - POKOJ" 13,28</t>
  </si>
  <si>
    <t>"mč.2.04.01 - PŘEDSÍŇ" 3,59</t>
  </si>
  <si>
    <t>"mč.2.04.02 - POKOJ" 13,28</t>
  </si>
  <si>
    <t>"mč.2.05.01 - PŘEDSÍŇ" 3,59</t>
  </si>
  <si>
    <t>"mč.2.05.02 - POKOJ" 13,28</t>
  </si>
  <si>
    <t>"mč.2.06.01 - PŘEDSÍŇ" 3,59</t>
  </si>
  <si>
    <t>"mč.2.06.02 - POKOJ" 13,28</t>
  </si>
  <si>
    <t>"mč.2.07.01 - PŘEDSÍŇ" 3,59</t>
  </si>
  <si>
    <t>"mč.2.07.02 - POKOJ" 13,28</t>
  </si>
  <si>
    <t>"mč.2.08.01 - PŘEDSÍŇ" 3,59</t>
  </si>
  <si>
    <t>"mč.2.08.02 - POKOJ" 13,28</t>
  </si>
  <si>
    <t>"mč.2.09.01 - PŘEDSÍŇ" 3,67</t>
  </si>
  <si>
    <t>"mč.2.09.02 - POKOJ" 13,28</t>
  </si>
  <si>
    <t>"mč.2.10.01 - PŘEDSÍŇ" 4,15</t>
  </si>
  <si>
    <t>"mč.2.10.02 - POKOJ" 15,71</t>
  </si>
  <si>
    <t>"mč.2.11.01 - PŘEDSÍŇ" 3,51</t>
  </si>
  <si>
    <t>"mč.2.11.02 - POKOJ" 13,28</t>
  </si>
  <si>
    <t>"mč.2.12.01 - POKOJ" 13,28</t>
  </si>
  <si>
    <t>"mč.2.12.02 - PŘEDSÍŇ" 3,56</t>
  </si>
  <si>
    <t>"mč.2.13.01 - PŘEDSÍŇ" 3,94</t>
  </si>
  <si>
    <t>"mč.2.13.02 - POKOJ" 14,55</t>
  </si>
  <si>
    <t>"mč.2.14.01 - PŘEDSÍŇ" 3,59</t>
  </si>
  <si>
    <t>"mč.2.14.02 - POKOJ" 12,67</t>
  </si>
  <si>
    <t>"mč.2.15.01 - PŘEDSÍŇ" 4,38</t>
  </si>
  <si>
    <t>"mč.2.15.02 - POKOJ" 14,3</t>
  </si>
  <si>
    <t>"mč.2.16.01 - PŘEDSÍŇ" 17,03</t>
  </si>
  <si>
    <t>"mč.2.16.02 - POKOJ" 13,28</t>
  </si>
  <si>
    <t>"mč.2.16.03 - POKOJ" 15,6</t>
  </si>
  <si>
    <t>"mč.3.00.03 - CHODBA" 96,48</t>
  </si>
  <si>
    <t>"mč.3.00.04 - CHODBA" 11,81</t>
  </si>
  <si>
    <t>"mč.3.01.01 - PŘEDSÍŇ" 3,61</t>
  </si>
  <si>
    <t>"mč.3.01.02 - POKOJ" 13,28</t>
  </si>
  <si>
    <t>"mč.3.01.01 - PŘEDSÍŇ" 3,59</t>
  </si>
  <si>
    <t>"mč.3.08.01 - PŘEDSÍŇ" 3,59</t>
  </si>
  <si>
    <t>"mč.3.08.02 - POKOJ" 13,28</t>
  </si>
  <si>
    <t>"mč.3.09.01 - PŘEDSÍŇ" 3,67</t>
  </si>
  <si>
    <t>"mč.3.09.02 - POKOJ" 13,28</t>
  </si>
  <si>
    <t>"mč.3.10.01 - PŘEDSÍŇ" 4,15</t>
  </si>
  <si>
    <t>"mč.3.10.02 - POKOJ" 15,71</t>
  </si>
  <si>
    <t>"mč.3.11.01 - PŘEDSÍŇ" 3,51</t>
  </si>
  <si>
    <t>"mč.3.11.02 - POKOJ" 13,28</t>
  </si>
  <si>
    <t>"mč.3.12.01 - POKOJ" 13,28</t>
  </si>
  <si>
    <t>"mč.3.12.02 - PŘEDSÍŇ" 3,56</t>
  </si>
  <si>
    <t>"mč.3.13.01 - PŘEDSÍŇ" 3,94</t>
  </si>
  <si>
    <t>"mč.3.13.02 - POKOJ" 14,55</t>
  </si>
  <si>
    <t>"mč.3.14.01 - PŘEDSÍŇ" 3,59</t>
  </si>
  <si>
    <t>"mč.3.14.02 - POKOJ" 12,67</t>
  </si>
  <si>
    <t>"mč.3.15.01 - PŘEDSÍŇ" 4,38</t>
  </si>
  <si>
    <t>"mč.3.15.02 - POKOJ" 14,3</t>
  </si>
  <si>
    <t>"mč.3.16.01 - PŘEDSÍŇ" 17,03</t>
  </si>
  <si>
    <t>"mč.3.16.02 - POKOJ" 13,28</t>
  </si>
  <si>
    <t>"mč.3.16.03 - POKOJ" 15,6</t>
  </si>
  <si>
    <t>"mč.4.00.03 - CHODBA" 96,48</t>
  </si>
  <si>
    <t>"mč.4.00.04 - CHODBA" 5,92</t>
  </si>
  <si>
    <t>"mč.4.01.01 - PŘEDSÍŇ" 3,61</t>
  </si>
  <si>
    <t>"mč.4.01.02 - POKOJ" 13,28</t>
  </si>
  <si>
    <t>"mč.4.02.01 - PŘEDSÍŇ" 3,59</t>
  </si>
  <si>
    <t>"mč.4.02.02 - POKOJ" 13,28</t>
  </si>
  <si>
    <t>"mč.4.03.01 - PŘEDSÍŇ" 3,59</t>
  </si>
  <si>
    <t>"mč.4.03.02 - POKOJ" 13,28</t>
  </si>
  <si>
    <t>"mč.4.04.01 - PŘEDSÍŇ" 3,59</t>
  </si>
  <si>
    <t>"mč.4.04.02 - POKOJ" 13,28</t>
  </si>
  <si>
    <t>"mč.4.05.01 - PŘEDSÍŇ" 3,59</t>
  </si>
  <si>
    <t>"mč.4.05.02 - POKOJ" 13,28</t>
  </si>
  <si>
    <t>"mč.4.06.01 - PŘEDSÍŇ" 3,59</t>
  </si>
  <si>
    <t>"mč.4.06.02 - POKOJ" 13,28</t>
  </si>
  <si>
    <t>"mč.4.07.01 - PŘEDSÍŇ" 3,59</t>
  </si>
  <si>
    <t>"mč.4.07.02 - POKOJ" 13,28</t>
  </si>
  <si>
    <t>"mč.4.08.01 - PŘEDSÍŇ" 3,59</t>
  </si>
  <si>
    <t>"mč.4.08.02 - POKOJ" 13,28</t>
  </si>
  <si>
    <t>"mč.4.09.01 - PŘEDSÍŇ" 3,67</t>
  </si>
  <si>
    <t>"mč.4.09.02 - POKOJ" 13,28</t>
  </si>
  <si>
    <t>"mč.4.10.01 - PŘEDSÍŇ" 4,15</t>
  </si>
  <si>
    <t>"mč.4.10.02 - POKOJ" 15,71</t>
  </si>
  <si>
    <t>"mč.4.11.01 - PŘEDSÍŇ" 3,51</t>
  </si>
  <si>
    <t>"mč.4.11.02 - POKOJ" 13,28</t>
  </si>
  <si>
    <t>"mč.4.12.03 - POKOJ" 13,28</t>
  </si>
  <si>
    <t>"mč.4.12.06 - PŘEDSÍŇ" 3,56</t>
  </si>
  <si>
    <t>"mč.4.13.01 - PŘEDSÍŇ" 3,94</t>
  </si>
  <si>
    <t>"mč.4.13.02 - POKOJ" 14,55</t>
  </si>
  <si>
    <t>"mč.4.14.01 - PŘEDSÍŇ" 3,59</t>
  </si>
  <si>
    <t>"mč.4.14.02 - POKOJ" 12,67</t>
  </si>
  <si>
    <t>"mč.4.15.01 - PŘEDSÍŇ" 4,38</t>
  </si>
  <si>
    <t>"mč.4.15.02 - POKOJ" 14,3</t>
  </si>
  <si>
    <t>"mč.4.16.01 - PŘEDSÍŇ" 17,03</t>
  </si>
  <si>
    <t>"mč.4.16.02 - POKOJ" 13,28</t>
  </si>
  <si>
    <t>"mč.4.16.03 - POKOJ" 15,6</t>
  </si>
  <si>
    <t>skladba P03</t>
  </si>
  <si>
    <t>"mč.1.00.16 - SKLAD PRÁDLA" 3,84</t>
  </si>
  <si>
    <t>"mč.1.00.17 - KUCHYŇKA" 5</t>
  </si>
  <si>
    <t>"mč.2.00.20 - SKLAD PRÁDLA" 3,84</t>
  </si>
  <si>
    <t>"mč.3.00.06 - HALA" 14,48</t>
  </si>
  <si>
    <t>"mč.3.00.07 - UČEBNA" 86,7</t>
  </si>
  <si>
    <t>"mč.3.00.18 - SKLAD PRÁDLA" 3,84</t>
  </si>
  <si>
    <t>"mč.4.00.18 - SKLAD PRÁDLA" 3,84</t>
  </si>
  <si>
    <t>skladba P08</t>
  </si>
  <si>
    <t>"mč.2.00.01 - SCHODIŠTĚ" 22,73</t>
  </si>
  <si>
    <t>"mč.2.00.02 - SCHODIŠTĚ" 19,91</t>
  </si>
  <si>
    <t>"mč.3.00.01 - SCHODIŠTĚ" 22,73</t>
  </si>
  <si>
    <t>"mč.3.00.02 - SCHODIŠTĚ" 19,91</t>
  </si>
  <si>
    <t>"mč.4.00.01 - SCHODIŠTĚ" 22,73</t>
  </si>
  <si>
    <t>"mč.4.00.02 - SCHODIŠTĚ" 19,91</t>
  </si>
  <si>
    <t>784121001</t>
  </si>
  <si>
    <t>Oškrabání malby v místnostech v do 3,80 m</t>
  </si>
  <si>
    <t>1071402649</t>
  </si>
  <si>
    <t>oškrábání malby na kcích, na kterých nebude otlučena omítka (na většině kcí je uvažováno otlučení omítky, viz samostatná položka)</t>
  </si>
  <si>
    <t>5*110,00</t>
  </si>
  <si>
    <t>ZTI - Zdravotní technika</t>
  </si>
  <si>
    <t xml:space="preserve">Nové zařizovací předměty a další položky související se ZTI viz část soupisu prací "Výrobky - Prvky pro zdravotně technické instalace". Zpracováno dle metodiky ÚRS s maximálním zatříděním položek (popisu činností) dle Třídníku stavebních konstrukcí a prací. Položky, které databáze neobsahuje, oceněny dle brutto ceníků příslušných dodavatelů.  Jsou-li ve výkazu výměr uvedeny odkazy na firmy, názvy nebo specifická označení výrobků apod., jsou takové odkazy pouze informativní a slouží pouze pro určení technické úrovně a provozních parametrů. Z zhotoviteli umožňují v souladu s §182, zákona č. 134/2016 Sb. o veřejných zakázkách použít i jiných kvalitativně a technicky obdobných zařízení, která mají podobnou nebo minimálně stejnou kvalitu, účinnost a výkon, parametry použití, ev. hlučnost (která bezpodmínečně splňuje platné hygienické normy).   Celková množství u jednotlivých položek (kusy, metry) byla odměřena a sečtena digitálně z výkresů.    Nabídková cena musí zahrnovat nejen přípravu, dodávku, dopravu a montáž, ale i veškeré související náklady, spojené s realizací, od zadání po předání stavby do užívání, včetně nákladů na koordinaci, uvedení do provozu, dokončovací práce, údržbu do doby předání, potřebné zkoušky a atesty, odstranění závad, předání dokladů o skutečném provedení, dokladů nutných pro kolaudační řízení aj. </t>
  </si>
  <si>
    <t xml:space="preserve">    721 - Zdravotechnika - vnitřní kanalizace</t>
  </si>
  <si>
    <t xml:space="preserve">    722 - Zdravotechnika - vnitřní vodovod</t>
  </si>
  <si>
    <t xml:space="preserve">    725 - Zdravotechnika - zařizovací předměty</t>
  </si>
  <si>
    <t xml:space="preserve">    725.1 - Prvky pro zdravotně technické instalace_montáž a dodávka vč.přesunu hmot,doplňků,kompletní provedení</t>
  </si>
  <si>
    <t>VRN9 - Ostatní náklady</t>
  </si>
  <si>
    <t>359901111</t>
  </si>
  <si>
    <t>Vyčištění stok jakékoliv výšky</t>
  </si>
  <si>
    <t>359901212</t>
  </si>
  <si>
    <t>Monitoring stok (kamerový systém) jakékoli výšky stávající kanalizace</t>
  </si>
  <si>
    <t>713463131</t>
  </si>
  <si>
    <t>Montáž izolace tepelné potrubí a ohybů tvarovkami nebo deskami potrubními pouzdry bez povrchové úpravy (izolační materiál ve specifikaci) přilepenými v příčných a podélných spojích izolace potrubí jednovrstvá, tloušťky izolace do 25 mm</t>
  </si>
  <si>
    <t>28377104</t>
  </si>
  <si>
    <t>pouzdro izolační potrubní z pěnového polyetylenu 22/13mm</t>
  </si>
  <si>
    <t>28377045</t>
  </si>
  <si>
    <t>pouzdro izolační potrubní z pěnového polyetylenu 22/20mm</t>
  </si>
  <si>
    <t>28377112</t>
  </si>
  <si>
    <t>pouzdro izolační potrubní z pěnového polyetylenu 28/13mm</t>
  </si>
  <si>
    <t>28377049</t>
  </si>
  <si>
    <t>pouzdro izolační potrubní z pěnového polyetylenu 28/25mm</t>
  </si>
  <si>
    <t>28377116</t>
  </si>
  <si>
    <t>pouzdro izolační potrubní z pěnového polyetylenu 35/13mm</t>
  </si>
  <si>
    <t>28377119</t>
  </si>
  <si>
    <t>pouzdro izolační potrubní z pěnového polyetylenu 45/13mm</t>
  </si>
  <si>
    <t>28377123</t>
  </si>
  <si>
    <t>pouzdro izolační potrubní z pěnového polyetylenu 54/13mm</t>
  </si>
  <si>
    <t>28377122</t>
  </si>
  <si>
    <t>pouzdro izolační potrubní z pěnového polyetylenu 63/13mm</t>
  </si>
  <si>
    <t>28377071</t>
  </si>
  <si>
    <t>pouzdro izolační potrubní z pěnového polyetylenu 76/13mm</t>
  </si>
  <si>
    <t>28377078</t>
  </si>
  <si>
    <t>pouzdro izolační potrubní z pěnového polyetylenu 110/13mm</t>
  </si>
  <si>
    <t>713463211</t>
  </si>
  <si>
    <t>Montáž izolace tepelné potrubí a ohybů tvarovkami nebo deskami potrubními pouzdry s povrchovou úpravou hliníkovou fólií (izolační materiál ve specifikaci) přelepenými samolepící hliníkovou páskou potrubí jednovrstvá D do 50 mm</t>
  </si>
  <si>
    <t>63154532</t>
  </si>
  <si>
    <t>pouzdro izolační potrubní z minerální vlny s Al fólií max. 250/100°C 35/30mm</t>
  </si>
  <si>
    <t>63154533</t>
  </si>
  <si>
    <t>pouzdro izolační potrubní z minerální vlny s Al fólií max. 250/100°C 42/30mm</t>
  </si>
  <si>
    <t>713463212</t>
  </si>
  <si>
    <t>Montáž izolace tepelné potrubí a ohybů tvarovkami nebo deskami potrubními pouzdry s povrchovou úpravou hliníkovou fólií (izolační materiál ve specifikaci) přelepenými samolepící hliníkovou páskou potrubí jednovrstvá D přes 50 do 100 mm</t>
  </si>
  <si>
    <t>63154014</t>
  </si>
  <si>
    <t>pouzdro izolační potrubní z minerální vlny s Al fólií max. 250/100°C 54/30mm</t>
  </si>
  <si>
    <t>63154019</t>
  </si>
  <si>
    <t>pouzdro izolační potrubní z minerální vlny s Al fólií max. 250/100°C 64/40mm</t>
  </si>
  <si>
    <t>998713202</t>
  </si>
  <si>
    <t>Přesun hmot pro izolace tepelné stanovený procentní sazbou (%) z ceny vodorovná dopravní vzdálenost do 50 m s užitím mechanizace v objektech výšky přes 6 do 12 m</t>
  </si>
  <si>
    <t>%</t>
  </si>
  <si>
    <t>1731303368</t>
  </si>
  <si>
    <t>721</t>
  </si>
  <si>
    <t>Zdravotechnika - vnitřní kanalizace</t>
  </si>
  <si>
    <t>721171808</t>
  </si>
  <si>
    <t>Demontáž potrubí z novodurových trub odpadních nebo připojovacích přes 75 do D 114</t>
  </si>
  <si>
    <t>721171915</t>
  </si>
  <si>
    <t>Opravy odpadního potrubí plastového propojení dosavadního potrubí DN 110</t>
  </si>
  <si>
    <t>Poznámka k položce:
Poznámka k položce: Napojení se na stávající svodné potrubí kanalizace</t>
  </si>
  <si>
    <t>721173401</t>
  </si>
  <si>
    <t>Potrubí z trub PVC SN4 svodné (ležaté) DN 110</t>
  </si>
  <si>
    <t>721173402</t>
  </si>
  <si>
    <t>Potrubí z trub PVC SN4 svodné (ležaté) DN 125</t>
  </si>
  <si>
    <t>721174025</t>
  </si>
  <si>
    <t>Potrubí z trub polypropylenových odpadní (svislé) DN 110</t>
  </si>
  <si>
    <t>721174026</t>
  </si>
  <si>
    <t>Potrubí z trub polypropylenových odpadní (svislé) DN 125</t>
  </si>
  <si>
    <t>721174027</t>
  </si>
  <si>
    <t>Potrubí z trub polypropylenových odpadní (svislé) DN 160</t>
  </si>
  <si>
    <t>721174041</t>
  </si>
  <si>
    <t>Potrubí z trub polypropylenových připojovací DN 32</t>
  </si>
  <si>
    <t>721174042</t>
  </si>
  <si>
    <t>Potrubí z trub polypropylenových připojovací DN 40</t>
  </si>
  <si>
    <t>721174043</t>
  </si>
  <si>
    <t>Potrubí z trub polypropylenových připojovací DN 50</t>
  </si>
  <si>
    <t>721175203</t>
  </si>
  <si>
    <t>Plastové potrubí odhlučněné třívrstvé připojovací DN 50</t>
  </si>
  <si>
    <t>721175212</t>
  </si>
  <si>
    <t>Plastové potrubí odhlučněné třívrstvé odpadní (svislé) DN 110</t>
  </si>
  <si>
    <t>721175R01</t>
  </si>
  <si>
    <t>Potrubí pro odvod kondenzátu průměr 10 mm</t>
  </si>
  <si>
    <t>721175R02</t>
  </si>
  <si>
    <t>Potrubí pro odvod kondenzátu průměr 18 mm</t>
  </si>
  <si>
    <t>721175R03</t>
  </si>
  <si>
    <t>Potrubí pro odvod kondenzátu průměr 25 mm</t>
  </si>
  <si>
    <t>721211422</t>
  </si>
  <si>
    <t>Podlahové vpusti se svislým odtokem DN 50/75/110 mřížka nerez 138x138</t>
  </si>
  <si>
    <t>721226R10</t>
  </si>
  <si>
    <t>Podomítková předinstalační sada DN40/50 k pračkám-myčkám - pro jeden spotřebič</t>
  </si>
  <si>
    <t>721226R11</t>
  </si>
  <si>
    <t>Podomítková předinstalační sada DN40/50 k pračkám-sušičkám - pro dva spotřebiče</t>
  </si>
  <si>
    <t>721226R01</t>
  </si>
  <si>
    <t>Vodní ZU pro odvod kondenzátu DN40 s připojením DN32 popř. d 12-18 mm, s přídavnou mechanickou uzávěrkou a čistící vložkou, s otáčivým ramenem odtoku</t>
  </si>
  <si>
    <t>721226R02</t>
  </si>
  <si>
    <t>Podomítkový sifon ke klimatizačním jednotkám DN32 - 100x100mm</t>
  </si>
  <si>
    <t>721233R12</t>
  </si>
  <si>
    <t>Střešní vtoky (vpusti) polypropylenové (PP) pro ploché střechy s odtokem svislým DN 110, elektrický ohřev</t>
  </si>
  <si>
    <t>721233R21</t>
  </si>
  <si>
    <t>Střešní vtoky (vpusti) polypropylenové (PP) pro ploché střechy s odtokem vodorovným DN 75/110, elektrický ohřev</t>
  </si>
  <si>
    <t>721273153</t>
  </si>
  <si>
    <t>Ventilační hlavice z polypropylenu (PP) DN 110</t>
  </si>
  <si>
    <t>721274R02</t>
  </si>
  <si>
    <t>Kanalizační přivzdušňovací ventil DN 100 - podomítková verze</t>
  </si>
  <si>
    <t>721274R50</t>
  </si>
  <si>
    <t>PŘEČERPÁVACÍ STANICE KONDENZÁTU - VÝTLAČNÁ VÝŠKA 5,5 m, PRŮTOK 0,3 m3/h, výkon motoru 0,75 kW</t>
  </si>
  <si>
    <t>725980R21</t>
  </si>
  <si>
    <t>Dvířka 200x200 mm</t>
  </si>
  <si>
    <t>721290111</t>
  </si>
  <si>
    <t>Zkouška těsnosti kanalizace v objektech vodou do DN 125</t>
  </si>
  <si>
    <t>721290112</t>
  </si>
  <si>
    <t>Zkouška těsnosti kanalizace v objektech vodou DN 150 nebo DN 200</t>
  </si>
  <si>
    <t>998721202</t>
  </si>
  <si>
    <t>Přesun hmot pro vnitřní kanalizaci stanovený procentní sazbou (%) z ceny vodorovná dopravní vzdálenost do 50 m základní v objektech výšky přes 6 do 12 m</t>
  </si>
  <si>
    <t>-594370193</t>
  </si>
  <si>
    <t>722</t>
  </si>
  <si>
    <t>Zdravotechnika - vnitřní vodovod</t>
  </si>
  <si>
    <t>722130233</t>
  </si>
  <si>
    <t>Potrubí z ocelových trubek pozinkovaných závitových svařovaných běžných DN 25</t>
  </si>
  <si>
    <t>722130234</t>
  </si>
  <si>
    <t>Potrubí z ocelových trubek pozinkovaných závitových svařovaných běžných DN 32</t>
  </si>
  <si>
    <t>722130235</t>
  </si>
  <si>
    <t>Potrubí z ocelových trubek pozinkovaných závitových svařovaných běžných DN 40</t>
  </si>
  <si>
    <t>722130236</t>
  </si>
  <si>
    <t>Potrubí z ocelových trubek pozinkovaných závitových svařovaných běžných DN 50</t>
  </si>
  <si>
    <t>722170801</t>
  </si>
  <si>
    <t>Demontáž rozvodů vody z plastů do Ø 25 mm</t>
  </si>
  <si>
    <t>722170804</t>
  </si>
  <si>
    <t>Demontáž rozvodů vody z plastů přes 25 do Ø 50 mm</t>
  </si>
  <si>
    <t>722173918</t>
  </si>
  <si>
    <t>Spoje rozvodů vody z plastů svary polyfuzí D přes 63 do 75 mm</t>
  </si>
  <si>
    <t>Poznámka k položce:
Poznámka k položce: Napojení se na stávající rozvody vodovodu</t>
  </si>
  <si>
    <t>722175002</t>
  </si>
  <si>
    <t>Potrubí z plastových trubek z polypropylenu PP-RCT svařovaných polyfúzně D 20 x 2,8</t>
  </si>
  <si>
    <t>722175003</t>
  </si>
  <si>
    <t>Potrubí z plastových trubek z polypropylenu PP-RCT svařovaných polyfúzně D 25 x 3,5</t>
  </si>
  <si>
    <t>722175004</t>
  </si>
  <si>
    <t>Potrubí z plastových trubek z polypropylenu PP-RCT svařovaných polyfúzně D 32 x 4,4</t>
  </si>
  <si>
    <t>722175005</t>
  </si>
  <si>
    <t>Potrubí z plastových trubek z polypropylenu PP-RCT svařovaných polyfúzně D 40 x 5,5</t>
  </si>
  <si>
    <t>722175006</t>
  </si>
  <si>
    <t>Potrubí z plastových trubek z polypropylenu PP-RCT svařovaných polyfúzně D 50 x 6,9</t>
  </si>
  <si>
    <t>722175007</t>
  </si>
  <si>
    <t>Potrubí z plastových trubek z polypropylenu PP-RCT svařovaných polyfúzně D 63 x 8,6</t>
  </si>
  <si>
    <t>722175008</t>
  </si>
  <si>
    <t>Potrubí z plastových trubek z polypropylenu PP-RCT svařovaných polyfúzně D 75 x 8,4</t>
  </si>
  <si>
    <t>722221134</t>
  </si>
  <si>
    <t>Armatury s jedním závitem ventily výtokové G 1/2"</t>
  </si>
  <si>
    <t>soubor</t>
  </si>
  <si>
    <t>722224116</t>
  </si>
  <si>
    <t>Armatury s jedním závitem kohouty plnicí a vypouštěcí PN 10 G 3/4"</t>
  </si>
  <si>
    <t>722232043</t>
  </si>
  <si>
    <t>Armatury se dvěma závity kulové kohouty PN 42 do 185 °C přímé vnitřní závit G 1/2"</t>
  </si>
  <si>
    <t>722232044</t>
  </si>
  <si>
    <t>Armatury se dvěma závity kulové kohouty PN 42 do 185 °C přímé vnitřní závit G 3/4"</t>
  </si>
  <si>
    <t>722232045</t>
  </si>
  <si>
    <t>Armatury se dvěma závity kulové kohouty PN 42 do 185 °C přímé vnitřní závit G 1"</t>
  </si>
  <si>
    <t>722232046</t>
  </si>
  <si>
    <t>Armatury se dvěma závity kulové kohouty PN 42 do 185 °C přímé vnitřní závit G 5/4"</t>
  </si>
  <si>
    <t>138</t>
  </si>
  <si>
    <t>722232048</t>
  </si>
  <si>
    <t>Armatury se dvěma závity kulové kohouty PN 42 do 185 °C přímé vnitřní závit G 2"</t>
  </si>
  <si>
    <t>722232049</t>
  </si>
  <si>
    <t>Armatury se dvěma závity kulové kohouty PN 42 do 185 °C přímé vnitřní závit G 2 1/2"</t>
  </si>
  <si>
    <t>142</t>
  </si>
  <si>
    <t>722232066</t>
  </si>
  <si>
    <t>Armatury se dvěma závity kulové kohouty PN 42 do 185 °C přímé vnitřní závit s vypouštěním G 2"</t>
  </si>
  <si>
    <t>722232R06</t>
  </si>
  <si>
    <t>Armatury se dvěma závity zpětná kontrolovatelné armatury typ EA PN 10 do 65 °C G 2"</t>
  </si>
  <si>
    <t>722234R01</t>
  </si>
  <si>
    <t>Vyvažovací ventil na cirkulaci G 1/2"</t>
  </si>
  <si>
    <t>722250133</t>
  </si>
  <si>
    <t>Požární příslušenství a armatury hydrantový systém s tvarově stálou hadicí celoplechový D 25 x 30 m</t>
  </si>
  <si>
    <t>722263R55</t>
  </si>
  <si>
    <t>Vodoměr Q = 25 m3/h - DN50 s dálkovým odečtem vody</t>
  </si>
  <si>
    <t>725813111</t>
  </si>
  <si>
    <t>Ventily rohové bez připojovací trubičky nebo flexi hadičky G 1/2"</t>
  </si>
  <si>
    <t>55190005</t>
  </si>
  <si>
    <t>flexi hadice ohebná k baterii D 8x12mm F 1/2"xM10 500mm</t>
  </si>
  <si>
    <t>725813112</t>
  </si>
  <si>
    <t>Ventily rohové bez připojovací trubičky nebo flexi hadičky pračkové G 3/4"</t>
  </si>
  <si>
    <t>722290226</t>
  </si>
  <si>
    <t>Zkoušky, proplach a desinfekce vodovodního potrubí zkoušky těsnosti vodovodního potrubí závitového do DN 50</t>
  </si>
  <si>
    <t>722290234</t>
  </si>
  <si>
    <t>Zkoušky, proplach a desinfekce vodovodního potrubí proplach a desinfekce vodovodního potrubí do DN 80</t>
  </si>
  <si>
    <t>722290246</t>
  </si>
  <si>
    <t>Zkoušky, proplach a desinfekce vodovodního potrubí zkoušky těsnosti vodovodního potrubí plastového do DN 40</t>
  </si>
  <si>
    <t>722290249</t>
  </si>
  <si>
    <t>Zkoušky, proplach a desinfekce vodovodního potrubí zkoušky těsnosti vodovodního potrubí plastového přes DN 40 do DN 90</t>
  </si>
  <si>
    <t>998722202</t>
  </si>
  <si>
    <t>Přesun hmot pro vnitřní vodovod stanovený procentní sazbou (%) z ceny vodorovná dopravní vzdálenost do 50 m základní v objektech výšky přes 6 do 12 m</t>
  </si>
  <si>
    <t>2121864126</t>
  </si>
  <si>
    <t>725</t>
  </si>
  <si>
    <t>Zdravotechnika - zařizovací předměty</t>
  </si>
  <si>
    <t>725110811</t>
  </si>
  <si>
    <t>Demontáž klozetů splachovacích s nádrží nebo tlakovým splachovačem</t>
  </si>
  <si>
    <t>725122813</t>
  </si>
  <si>
    <t>Demontáž pisoárů s nádrží a 1 záchodkem</t>
  </si>
  <si>
    <t>725210821</t>
  </si>
  <si>
    <t>Demontáž umyvadel bez výtokových armatur umyvadel</t>
  </si>
  <si>
    <t>725240811</t>
  </si>
  <si>
    <t>Demontáž sprchových kabin a vaniček bez výtokových armatur kabin</t>
  </si>
  <si>
    <t>725240812</t>
  </si>
  <si>
    <t>Demontáž sprchových kabin a vaniček bez výtokových armatur vaniček</t>
  </si>
  <si>
    <t>725330820</t>
  </si>
  <si>
    <t>Demontáž výlevek bez výtokových armatur a bez nádrže a splachovacího potrubí diturvitových</t>
  </si>
  <si>
    <t>725820801</t>
  </si>
  <si>
    <t>Demontáž baterií nástěnných do G 3/4</t>
  </si>
  <si>
    <t>725820802</t>
  </si>
  <si>
    <t>Demontáž baterií stojánkových do 1 otvoru</t>
  </si>
  <si>
    <t>725860811</t>
  </si>
  <si>
    <t>Demontáž zápachových uzávěrek pro zařizovací předměty jednoduchých</t>
  </si>
  <si>
    <t>725.1</t>
  </si>
  <si>
    <t>Prvky pro zdravotně technické instalace_montáž a dodávka vč.přesunu hmot,doplňků,kompletní provedení</t>
  </si>
  <si>
    <t>725.ZT_01</t>
  </si>
  <si>
    <t>ZT_01 - Klozet závěsný pro tělesně postižené, instalační předstěna</t>
  </si>
  <si>
    <t>1373734011</t>
  </si>
  <si>
    <t>Poznámka k položce:
Podrobný popis prvků viz pd, především D.1.1.30.10 "ZDRAVOTNĚ TECHNICKÉ INSTALACE". 
Položky obsahují dodávku a montáž prvků vč. souvisejících prací, napojení a doplňků, kompletní provedení.</t>
  </si>
  <si>
    <t>725.ZT_02</t>
  </si>
  <si>
    <t>ZT_02 - Klozet závěsný, instalační předstěna</t>
  </si>
  <si>
    <t>-636223449</t>
  </si>
  <si>
    <t>725.ZT_03.VÝL</t>
  </si>
  <si>
    <t>ZT_03 - Závěsná výlevka s plastovou mřížkou</t>
  </si>
  <si>
    <t>1087329481</t>
  </si>
  <si>
    <t>725.ZT_03.BAT</t>
  </si>
  <si>
    <t>ZT_03 - Nástěnná baterie pro výlevku</t>
  </si>
  <si>
    <t>293861001</t>
  </si>
  <si>
    <t>725.ZT_04</t>
  </si>
  <si>
    <t>ZT_04 - Umyvadlo</t>
  </si>
  <si>
    <t>130873429</t>
  </si>
  <si>
    <t>725.ZT_05</t>
  </si>
  <si>
    <t>ZT_05 - Umývátko</t>
  </si>
  <si>
    <t>-466431081</t>
  </si>
  <si>
    <t>725.ZT_06</t>
  </si>
  <si>
    <t>ZT_06 - Umyvadlo pro tělesně postižené</t>
  </si>
  <si>
    <t>-2026959788</t>
  </si>
  <si>
    <t>725.ZT_07</t>
  </si>
  <si>
    <t>ZT_07 - Skříňka pro umyvadlo</t>
  </si>
  <si>
    <t>2074927461</t>
  </si>
  <si>
    <t>725.ZT_08</t>
  </si>
  <si>
    <t>ZT_08 - Skříňka pro umývátko</t>
  </si>
  <si>
    <t>584267067</t>
  </si>
  <si>
    <t>725.ZT_09</t>
  </si>
  <si>
    <t>ZT_09 - Umyvadlová stojánková baterie</t>
  </si>
  <si>
    <t>1395954317</t>
  </si>
  <si>
    <t>725.ZT_10</t>
  </si>
  <si>
    <t>ZT_10 - Umyvadlový sifon</t>
  </si>
  <si>
    <t>-1809940571</t>
  </si>
  <si>
    <t>725.ZT_11</t>
  </si>
  <si>
    <t>ZT_11 - Pisoár</t>
  </si>
  <si>
    <t>-1782865688</t>
  </si>
  <si>
    <t>725.ZT_12</t>
  </si>
  <si>
    <t>ZT_12 - Zrcadlo s led osvětlením</t>
  </si>
  <si>
    <t>-2099339018</t>
  </si>
  <si>
    <t>725.ZT_13</t>
  </si>
  <si>
    <t>ZT_13 - Wc štětka</t>
  </si>
  <si>
    <t>1226282348</t>
  </si>
  <si>
    <t>725.ZT_14</t>
  </si>
  <si>
    <t>ZT_14 - Sprchová sedačka</t>
  </si>
  <si>
    <t>1464600694</t>
  </si>
  <si>
    <t>725.ZT_15</t>
  </si>
  <si>
    <t>ZT_15 - Sanitární příčka</t>
  </si>
  <si>
    <t>978510608</t>
  </si>
  <si>
    <t>m.3.09.07</t>
  </si>
  <si>
    <t>(2,05-2*0,80+2,10)*2,05</t>
  </si>
  <si>
    <t>725.ZT_15.DV</t>
  </si>
  <si>
    <t>ZT_15 - Dveře sanitární příčky</t>
  </si>
  <si>
    <t>-1692600163</t>
  </si>
  <si>
    <t>725.ZT_16</t>
  </si>
  <si>
    <t>ZT_16 - Polička</t>
  </si>
  <si>
    <t>-982671365</t>
  </si>
  <si>
    <t>725.ZT_17.PRA</t>
  </si>
  <si>
    <t>ZT_17 - Pračka</t>
  </si>
  <si>
    <t>1830819071</t>
  </si>
  <si>
    <t>725.ZT_17.SUŠ</t>
  </si>
  <si>
    <t>ZT_17 - Sušička</t>
  </si>
  <si>
    <t>-1679381001</t>
  </si>
  <si>
    <t>725.ZT_18a</t>
  </si>
  <si>
    <t>ZT_18a - Sprchové dveře s pevnou stěnou</t>
  </si>
  <si>
    <t>1747553980</t>
  </si>
  <si>
    <t>725.ZT_18b</t>
  </si>
  <si>
    <t>Zt_18b - Sprchové dveře s pevnou stěnou</t>
  </si>
  <si>
    <t>-342550827</t>
  </si>
  <si>
    <t>725.ZT_18c</t>
  </si>
  <si>
    <t>Zt_18c - Pevná sprchová zástěna</t>
  </si>
  <si>
    <t>736511469</t>
  </si>
  <si>
    <t>725.ZT_19</t>
  </si>
  <si>
    <t>Zt_19 - Čtvercový odtokový žlab</t>
  </si>
  <si>
    <t>1585018729</t>
  </si>
  <si>
    <t>725.ZT_20</t>
  </si>
  <si>
    <t>Zt_20 - Sprchová baterie + sprchová hadice 1,7 m + sprchová
tyč o délce 700 mm s vertikálním posunem + mýdelník</t>
  </si>
  <si>
    <t>-1654483975</t>
  </si>
  <si>
    <t>725.ZT_21</t>
  </si>
  <si>
    <t>Zt_21 - Sada madel pro zdravotně postižené</t>
  </si>
  <si>
    <t>-924937908</t>
  </si>
  <si>
    <t>725.ZT_22</t>
  </si>
  <si>
    <t>Zt_22 - Dávkovač mýdla</t>
  </si>
  <si>
    <t>-1648774145</t>
  </si>
  <si>
    <t>6+2</t>
  </si>
  <si>
    <t>725.ZT_23</t>
  </si>
  <si>
    <t>Zt_23 - Nástěnný koš</t>
  </si>
  <si>
    <t>-41217487</t>
  </si>
  <si>
    <t>725.ZT_24</t>
  </si>
  <si>
    <t>Zt_24 - Zásobník na papírové ručníky</t>
  </si>
  <si>
    <t>-883170883</t>
  </si>
  <si>
    <t>5+1</t>
  </si>
  <si>
    <t>725.ZT_26</t>
  </si>
  <si>
    <t>Zt_26 - Zásobník toaletního papíru</t>
  </si>
  <si>
    <t>-1276486441</t>
  </si>
  <si>
    <t>725.ZT_27</t>
  </si>
  <si>
    <t>Zt_27 - Držák toaletního papíru</t>
  </si>
  <si>
    <t>-905035279</t>
  </si>
  <si>
    <t>725.ZT_28</t>
  </si>
  <si>
    <t>Zt_28 - Háček</t>
  </si>
  <si>
    <t>16568135</t>
  </si>
  <si>
    <t>725.ZT_29</t>
  </si>
  <si>
    <t>Zt_29 - Dvouháček</t>
  </si>
  <si>
    <t>-364420432</t>
  </si>
  <si>
    <t>725.ZT_30</t>
  </si>
  <si>
    <t>Zt_30 - Drátěný držák</t>
  </si>
  <si>
    <t>-1078221334</t>
  </si>
  <si>
    <t>HZS2491</t>
  </si>
  <si>
    <t>Hodinové zúčtovací sazby profesí PSV zednické výpomoci a pomocné práce PSV dělník zednických výpomocí</t>
  </si>
  <si>
    <t>262144</t>
  </si>
  <si>
    <t>VRN9</t>
  </si>
  <si>
    <t>Ostatní náklady</t>
  </si>
  <si>
    <t>091003R01</t>
  </si>
  <si>
    <t>Odvoz a likvidace odpadu, odvoz na skládku nebo do technických služeb, skládkovné, poplatky</t>
  </si>
  <si>
    <t>091003R02</t>
  </si>
  <si>
    <t>Protipožární ucpávky prostupu rozvodů vody, kanalizace a požárního vodovodu  u požárně dělících stěn (manžety, pásky, tmely, pěny)  - cca 400 prostupů - průměr 20-100 mm</t>
  </si>
  <si>
    <t>38,94</t>
  </si>
  <si>
    <t>jama20</t>
  </si>
  <si>
    <t>14,2</t>
  </si>
  <si>
    <t>jama100</t>
  </si>
  <si>
    <t>68,88</t>
  </si>
  <si>
    <t>ryha50</t>
  </si>
  <si>
    <t>27,7</t>
  </si>
  <si>
    <t>71,84</t>
  </si>
  <si>
    <t>DEŠ - Dešťová kanalizace</t>
  </si>
  <si>
    <t>Ing. Vojtěch Tluček</t>
  </si>
  <si>
    <t>Podrobný, úplný popis a parametry všech konstrukcí, prací, výrobků a materiálů viz projektová dokumentace. Jednotkové ceny musí obsahovat dodávku a montáž položek, ztratné (pokud není uvedeno jinak). Jednotkové ceny musí zahrnovat kompletní provedení položek, související přípravné práce, detaily, doplňky, zkoušky, příp. jiné dodávky a činnosti nutné k bezvadnému provedení díl</t>
  </si>
  <si>
    <t xml:space="preserve">    8 - Trubní vedení</t>
  </si>
  <si>
    <t>131351201</t>
  </si>
  <si>
    <t>Hloubení jam zapažených v hornině třídy těžitelnosti II skupiny 4 objem do 20 m3 strojně</t>
  </si>
  <si>
    <t>-2011864371</t>
  </si>
  <si>
    <t>Výměry jsou převzaty z výkazu výměr Dešťové kanalizace.</t>
  </si>
  <si>
    <t>Výkop pro vsaky</t>
  </si>
  <si>
    <t>5,70</t>
  </si>
  <si>
    <t>Výkop pro RŠ a UV</t>
  </si>
  <si>
    <t>8,50</t>
  </si>
  <si>
    <t>131351203</t>
  </si>
  <si>
    <t>Hloubení jam zapažených v hornině třídy těžitelnosti II skupiny 4 objem do 100 m3 strojně</t>
  </si>
  <si>
    <t>435564463</t>
  </si>
  <si>
    <t>Výkop pro nádrž</t>
  </si>
  <si>
    <t>132354202</t>
  </si>
  <si>
    <t>Hloubení zapažených rýh š do 2000 mm v hornině třídy těžitelnosti II skupiny 4 objem do 50 m3</t>
  </si>
  <si>
    <t>649622185</t>
  </si>
  <si>
    <t>Výkop rýhy pro potrubí</t>
  </si>
  <si>
    <t>27,70</t>
  </si>
  <si>
    <t>151101101</t>
  </si>
  <si>
    <t>Zřízení příložného pažení a rozepření stěn rýh hl do 2 m</t>
  </si>
  <si>
    <t>-569362274</t>
  </si>
  <si>
    <t>Pažení rýhy pro potrubí</t>
  </si>
  <si>
    <t>30,65</t>
  </si>
  <si>
    <t>151101111</t>
  </si>
  <si>
    <t>Odstranění příložného pažení a rozepření stěn rýh hl do 2 m</t>
  </si>
  <si>
    <t>1490378676</t>
  </si>
  <si>
    <t>-162029560</t>
  </si>
  <si>
    <t>Pažení výkopu pro RŠ a UV</t>
  </si>
  <si>
    <t>8,61</t>
  </si>
  <si>
    <t>Pažení výkopu pro nádrž</t>
  </si>
  <si>
    <t>48,71</t>
  </si>
  <si>
    <t>-1946124082</t>
  </si>
  <si>
    <t>151101301</t>
  </si>
  <si>
    <t>Zřízení rozepření stěn při pažení příložném hl do 4 m</t>
  </si>
  <si>
    <t>1123008313</t>
  </si>
  <si>
    <t>Rozepření pažení výkopu pro RŠ a UV</t>
  </si>
  <si>
    <t>Rozepření pažení výkopu pro nádrž</t>
  </si>
  <si>
    <t>68,90</t>
  </si>
  <si>
    <t>151101311</t>
  </si>
  <si>
    <t>Odstranění rozepření stěn při pažení příložném hl do 4 m</t>
  </si>
  <si>
    <t>-945364321</t>
  </si>
  <si>
    <t>-218070136</t>
  </si>
  <si>
    <t>-1862654686</t>
  </si>
  <si>
    <t>-79956641</t>
  </si>
  <si>
    <t>27651856</t>
  </si>
  <si>
    <t>220987542</t>
  </si>
  <si>
    <t>Zásyp potrubí</t>
  </si>
  <si>
    <t>13,65</t>
  </si>
  <si>
    <t>Zásyp vsaků</t>
  </si>
  <si>
    <t>4,70</t>
  </si>
  <si>
    <t>Zásyp RŠ a UV</t>
  </si>
  <si>
    <t>7,54</t>
  </si>
  <si>
    <t>Zásyp nádrže</t>
  </si>
  <si>
    <t>45,95</t>
  </si>
  <si>
    <t>382122113</t>
  </si>
  <si>
    <t>Montáž dna ŽB prefabrikovaných pravoúhlých nádrží včetně těsnění výšky do 1 m délky přes 5 do 6,5 m</t>
  </si>
  <si>
    <t>-341854612</t>
  </si>
  <si>
    <t>59226092</t>
  </si>
  <si>
    <t>dno pravoúhlé nádrže nízké 2800x5800x870 stěna tl 100mm užitný objem 13,94m3</t>
  </si>
  <si>
    <t>-1208264531</t>
  </si>
  <si>
    <t>Ve výkazu materiálu: Dno retenčně akumulační nádrže 6,0 x 3,0 x 0,99 m</t>
  </si>
  <si>
    <t>382122313</t>
  </si>
  <si>
    <t>Montáž zákrytové desky ŽB prefabrikovaných pravoúhlých nádrží délky přes 5 do 6,5 m</t>
  </si>
  <si>
    <t>443777621</t>
  </si>
  <si>
    <t>59226107</t>
  </si>
  <si>
    <t>deska zákrytová pravoúhlé nádrže nízké 2800x5800x250 otvor 1x d 600mm</t>
  </si>
  <si>
    <t>324887074</t>
  </si>
  <si>
    <t>Zákrytová deska retenčně akumulační nádrže 6,0 x 3,0 x 0,25 m</t>
  </si>
  <si>
    <t>894410231</t>
  </si>
  <si>
    <t>Osazení betonových dílců pro kanalizační šachty DN 800 skruž přechodová (konus)</t>
  </si>
  <si>
    <t>1484024703</t>
  </si>
  <si>
    <t>59224402.1</t>
  </si>
  <si>
    <t>přechodový konus betonové šachty DN 800/600 stupadla poplastovaná</t>
  </si>
  <si>
    <t>1236262190</t>
  </si>
  <si>
    <t>894411311</t>
  </si>
  <si>
    <t>Osazení betonových nebo železobetonových dílců pro šachty skruží rovných</t>
  </si>
  <si>
    <t>-1949805612</t>
  </si>
  <si>
    <t>59224409</t>
  </si>
  <si>
    <t>skruž betonové šachty DN 800 kanalizační 80x50x9cm stupadla poplastovaná</t>
  </si>
  <si>
    <t>-1355325525</t>
  </si>
  <si>
    <t>89124260.1</t>
  </si>
  <si>
    <t>Vírový ventil s regulovaným odtokem 0,2 l/s (montáž a dodávka)</t>
  </si>
  <si>
    <t>-1729700055</t>
  </si>
  <si>
    <t>451541111</t>
  </si>
  <si>
    <t>Lože pod nádrž otevřený výkop ze štěrkodrtě</t>
  </si>
  <si>
    <t>498227282</t>
  </si>
  <si>
    <t>Lože pod nádrž 6x3 m, přesah 500 mm, tl. cca 500 mm</t>
  </si>
  <si>
    <t>(6,00+2*0,50)*(3,00+2*0,50)*0,50</t>
  </si>
  <si>
    <t>Pozn.: Pro kontaktní vrstvu s prefabrikáty použít frakci 4-8 tloušťky min. 50mm. Započteno v obejmu výše.</t>
  </si>
  <si>
    <t>451573111</t>
  </si>
  <si>
    <t>Lože pod potrubí otevřený výkop ze štěrkopísku</t>
  </si>
  <si>
    <t>189045768</t>
  </si>
  <si>
    <t>Jemnozrnný materiál na obsyp a lože</t>
  </si>
  <si>
    <t>14,08</t>
  </si>
  <si>
    <t>631311134</t>
  </si>
  <si>
    <t>Mazanina tl přes 120 do 240 mm z betonu prostého bez zvýšených nároků na prostředí tř. C 16/20</t>
  </si>
  <si>
    <t>-42151818</t>
  </si>
  <si>
    <t>roznášecí pokladní beton prstenců poklopů (viz D.1.4.5.07)</t>
  </si>
  <si>
    <t>3,14*0,90*0,20*0,20*3</t>
  </si>
  <si>
    <t>Trubní vedení</t>
  </si>
  <si>
    <t>871313123</t>
  </si>
  <si>
    <t>Montáž kanalizačního potrubí hladkého plnostěnného z PV DN 150</t>
  </si>
  <si>
    <t>1664124407</t>
  </si>
  <si>
    <t>28612003</t>
  </si>
  <si>
    <t>trubka kanalizační PVC plnostěnná DN 150x3000mm</t>
  </si>
  <si>
    <t>677740032</t>
  </si>
  <si>
    <t>23,98*1,03 'Přepočtené koeficientem množství</t>
  </si>
  <si>
    <t>877310310</t>
  </si>
  <si>
    <t>Montáž kolen na kanalizačním potrubí z PP nebo tvrdého PVC trub hladkých plnostěnných DN 150</t>
  </si>
  <si>
    <t>-931901784</t>
  </si>
  <si>
    <t>28612203</t>
  </si>
  <si>
    <t>koleno kanalizační plastové PVC KG DN 160/90° SN12/16</t>
  </si>
  <si>
    <t>-1379145752</t>
  </si>
  <si>
    <t>892312121</t>
  </si>
  <si>
    <t>Tlaková zkouška vzduchem potrubí DN 150 těsnícím vakem ucpávkovým</t>
  </si>
  <si>
    <t>úsek</t>
  </si>
  <si>
    <t>-373056595</t>
  </si>
  <si>
    <t>894416100.1</t>
  </si>
  <si>
    <t>Sorpční uliční vpust pr. 1000 mm, odtok DN 200, včetně poklopu (montáž a dodávka)</t>
  </si>
  <si>
    <t>1960878620</t>
  </si>
  <si>
    <t>894812311</t>
  </si>
  <si>
    <t>Revizní a čistící šachta z PP typ DN 600/160 šachtové dno průtočné</t>
  </si>
  <si>
    <t>72607259</t>
  </si>
  <si>
    <t>894812331</t>
  </si>
  <si>
    <t>Revizní a čistící šachta z PP DN 600 šachtová roura korugovaná světlé hloubky 1000 mm</t>
  </si>
  <si>
    <t>-1080162739</t>
  </si>
  <si>
    <t>894812356</t>
  </si>
  <si>
    <t>Revizní a čistící šachta z PP DN 600 poklop litinový pro třídu zatížení B125 s betonovým prstencem</t>
  </si>
  <si>
    <t>-630786784</t>
  </si>
  <si>
    <t>Dle výkazu materiálu: Poklopová sestava POKLOP LIT. B125; BET. KÓNUS - pro vsakovací zařízení</t>
  </si>
  <si>
    <t>894812376</t>
  </si>
  <si>
    <t>Revizní a čistící šachta z PP DN 600 poklop litinový pro třídu zatížení D400 s betonovým prstencem</t>
  </si>
  <si>
    <t>-1745967325</t>
  </si>
  <si>
    <t>Dle výkazu materiálu: Poklopová sestava POKLOP LIT. D400; BET. KÓNUS - pro šachtu D1</t>
  </si>
  <si>
    <t>897171111</t>
  </si>
  <si>
    <t>Akumulační boxy z PP pro vsakování dešťových vod pod pochozí plochy a plochy zatížené osobními automobily objemu do 10 m3</t>
  </si>
  <si>
    <t>-88538376</t>
  </si>
  <si>
    <t>Dle výkazu materiálu: Vsakovací zařízení 0,8 x 1,6 x 0,7 m</t>
  </si>
  <si>
    <t>0,80*1,60*0,70</t>
  </si>
  <si>
    <t>Pozn.: Součástí této položky je dle metodiky ÚRS obalení boxů geotextilií vč. její dodávky.</t>
  </si>
  <si>
    <t>899104112</t>
  </si>
  <si>
    <t>Osazení poklopů litinových, ocelových nebo železobetonových včetně rámů pro třídu zatížení D400, E600</t>
  </si>
  <si>
    <t>524488786</t>
  </si>
  <si>
    <t>28661935</t>
  </si>
  <si>
    <t>poklop šachtový litinový DN 600 pro třídu zatížení D400</t>
  </si>
  <si>
    <t>1580507846</t>
  </si>
  <si>
    <t>Poklop DN 600 D400 pro akumulační nádrž (bez prstence, bude osazen na betonový kónus)</t>
  </si>
  <si>
    <t>952903112</t>
  </si>
  <si>
    <t>Vyčištění objektů ČOV, nádrží, žlabů a kanálů při v do 3,5 m</t>
  </si>
  <si>
    <t>-1044502881</t>
  </si>
  <si>
    <t>2,80*5,80</t>
  </si>
  <si>
    <t>998144471</t>
  </si>
  <si>
    <t>Přesun hmot pro montované betonové nádrže, jímky a zásobníky v do 25 m</t>
  </si>
  <si>
    <t>1897346026</t>
  </si>
  <si>
    <t>HZS2211</t>
  </si>
  <si>
    <t>Hodinová zúčtovací sazba instalatér</t>
  </si>
  <si>
    <t>121679771</t>
  </si>
  <si>
    <t>Doplňkové práce samostatně neuvedené (např. napojení na stávající potrubí a šachty apod.)</t>
  </si>
  <si>
    <t>VYT - Vytápění</t>
  </si>
  <si>
    <t xml:space="preserve">Zpracováno dle metodiky ÚRS s maximálním zatříděním položek (popisu činností) dle Třídníku stavebních konstrukcí a prací. Položky, které databáze neobsahuje, oceněny dle brutto ceníků příslušných dodavatelů.  Jsou-li ve výkazu výměr uvedeny odkazy na firmy, názvy nebo specifická označení výrobků apod., jsou takové odkazy pouze informativní a slouží pouze pro určení technické úrovně a provozních parametrů. Z zhotoviteli umožňují v souladu s §182, zákona č. 134/2016 Sb. o veřejných zakázkách použít i jiných kvalitativně a technicky obdobných zařízení, která mají podobnou nebo minimálně stejnou kvalitu, účinnost a výkon, parametry použití, ev. hlučnost (která bezpodmínečně splňuje platné hygienické normy).   Celková množství u jednotlivých položek (kusy, metry) byla odměřena a sečtena digitálně z výkresů.    Nabídková cena musí zahrnovat nejen přípravu, dodávku, dopravu a montáž, ale i veškeré související náklady, spojené s realizací, od zadání po předání stavby do užívání, včetně nákladů na koordinaci, uvedení do provozu, dokončovací práce, údržbu do doby předání, potřebné zkoušky a atesty, odstranění závad, předání dokladů o skutečném provedení, dokladů nutných pro kolaudační řízení aj. 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</si>
  <si>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</si>
  <si>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</si>
  <si>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</si>
  <si>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</si>
  <si>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>63154012</t>
  </si>
  <si>
    <t>pouzdro izolační potrubní z minerální vlny s Al fólií max. 250/100°C 15/30mm</t>
  </si>
  <si>
    <t>63154013</t>
  </si>
  <si>
    <t>pouzdro izolační potrubní z minerální vlny s Al fólií max. 250/100°C 18/30mm</t>
  </si>
  <si>
    <t>63154530</t>
  </si>
  <si>
    <t>pouzdro izolační potrubní z minerální vlny s Al fólií max. 250/100°C 22/30mm</t>
  </si>
  <si>
    <t>63154531</t>
  </si>
  <si>
    <t>pouzdro izolační potrubní z minerální vlny s Al fólií max. 250/100°C 28/30mm</t>
  </si>
  <si>
    <t>63154572</t>
  </si>
  <si>
    <t>pouzdro izolační potrubní z minerální vlny s Al fólií max. 250/100°C 35/40mm</t>
  </si>
  <si>
    <t>63154573</t>
  </si>
  <si>
    <t>pouzdro izolační potrubní z minerální vlny s Al fólií max. 250/100°C 42/40mm</t>
  </si>
  <si>
    <t>63154018</t>
  </si>
  <si>
    <t>pouzdro izolační potrubní z minerální vlny s Al fólií max. 250/100°C 54/40mm</t>
  </si>
  <si>
    <t>63154024</t>
  </si>
  <si>
    <t>pouzdro izolační potrubní z minerální vlny s Al fólií max. 250/100°C 70/50mm</t>
  </si>
  <si>
    <t>63154608</t>
  </si>
  <si>
    <t>pouzdro izolační potrubní z minerální vlny s Al fólií max. 250/100°C 89/50mm</t>
  </si>
  <si>
    <t>713463213</t>
  </si>
  <si>
    <t>Montáž izolace tepelné potrubí a ohybů tvarovkami nebo deskami potrubními pouzdry s povrchovou úpravou hliníkovou fólií (izolační materiál ve specifikaci) přelepenými samolepící hliníkovou páskou potrubí jednovrstvá D přes 100 do 150 mm</t>
  </si>
  <si>
    <t>63154610</t>
  </si>
  <si>
    <t>pouzdro izolační potrubní z minerální vlny s Al fólií max. 250/100°C 108/50mm</t>
  </si>
  <si>
    <t>63154038</t>
  </si>
  <si>
    <t>pouzdro izolační potrubní z minerální vlny s Al fólií max. 250/100°C 159/60mm</t>
  </si>
  <si>
    <t>-737113094</t>
  </si>
  <si>
    <t>732</t>
  </si>
  <si>
    <t>Ústřední vytápění - strojovny</t>
  </si>
  <si>
    <t>732111R01</t>
  </si>
  <si>
    <t>Trubkový rozdělovač DN 200 l=1900, 100kg  Izolace PUR pěrna TR 200 m=0,9kg 2 ks fixní stojan l=600mm m=2,5kg</t>
  </si>
  <si>
    <t>998732202</t>
  </si>
  <si>
    <t>Přesun hmot pro strojovny stanovený procentní sazbou (%) z ceny vodorovná dopravní vzdálenost do 50 m základní v objektech výšky přes 6 do 12 m</t>
  </si>
  <si>
    <t>-60381835</t>
  </si>
  <si>
    <t>733</t>
  </si>
  <si>
    <t>Ústřední vytápění - rozvodné potrubí</t>
  </si>
  <si>
    <t>733120819</t>
  </si>
  <si>
    <t>Demontáž potrubí z trubek ocelových hladkých Ø přes 38 do 60,3</t>
  </si>
  <si>
    <t>733120832</t>
  </si>
  <si>
    <t>Demontáž potrubí z trubek ocelových hladkých Ø přes 89 do 133</t>
  </si>
  <si>
    <t>733120836</t>
  </si>
  <si>
    <t>Demontáž potrubí z trubek ocelových hladkých Ø přes 133 do 159</t>
  </si>
  <si>
    <t>733111107</t>
  </si>
  <si>
    <t>Potrubí z trubek ocelových závitových černých spojovaných svařováním bezešvých běžných nízkotlakých PN 16 do 115°C DN 40</t>
  </si>
  <si>
    <t>733111108</t>
  </si>
  <si>
    <t>Potrubí z trubek ocelových závitových černých spojovaných svařováním bezešvých běžných nízkotlakých PN 16 do 115°C DN 50</t>
  </si>
  <si>
    <t>733121124</t>
  </si>
  <si>
    <t>Potrubí z trubek ocelových hladkých spojovaných svařováním černých bezešvých nízkotlakých T= do +115°C Ø 76/3,6</t>
  </si>
  <si>
    <t>733121125</t>
  </si>
  <si>
    <t>Potrubí z trubek ocelových hladkých spojovaných svařováním černých bezešvých nízkotlakých T= do +115°C Ø 89/3,6</t>
  </si>
  <si>
    <t>733121128</t>
  </si>
  <si>
    <t>Potrubí z trubek ocelových hladkých spojovaných svařováním černých bezešvých nízkotlakých T= do +115°C Ø 108/4,0</t>
  </si>
  <si>
    <t>733121135</t>
  </si>
  <si>
    <t>Potrubí z trubek ocelových hladkých spojovaných svařováním černých bezešvých nízkotlakých T= do +115°C Ø 159/4,5</t>
  </si>
  <si>
    <t>733190107</t>
  </si>
  <si>
    <t>Zkoušky těsnosti potrubí, manžety prostupové z trubek ocelových zkoušky těsnosti potrubí (za provozu) z trubek ocelových závitových DN do 40</t>
  </si>
  <si>
    <t>733190108</t>
  </si>
  <si>
    <t>Zkoušky těsnosti potrubí, manžety prostupové z trubek ocelových zkoušky těsnosti potrubí (za provozu) z trubek ocelových závitových DN 40 do 50</t>
  </si>
  <si>
    <t>733190225</t>
  </si>
  <si>
    <t>Zkoušky těsnosti potrubí, manžety prostupové z trubek ocelových zkoušky těsnosti potrubí (za provozu) z trubek ocelových hladkých Ø přes 60,3/2,9 do 89/5,0</t>
  </si>
  <si>
    <t>733190232</t>
  </si>
  <si>
    <t>Zkoušky těsnosti potrubí, manžety prostupové z trubek ocelových zkoušky těsnosti potrubí (za provozu) z trubek ocelových hladkých Ø přes 89/5,0 do 133/5,0</t>
  </si>
  <si>
    <t>733190235</t>
  </si>
  <si>
    <t>Zkoušky těsnosti potrubí, manžety prostupové z trubek ocelových zkoušky těsnosti potrubí (za provozu) z trubek ocelových hladkých Ø přes 133/5,0 do 159/6,3</t>
  </si>
  <si>
    <t>733221101</t>
  </si>
  <si>
    <t>Potrubí z trubek měděných měkkých spojovaných měkkým pájením Ø do 12/1</t>
  </si>
  <si>
    <t>Poznámka k položce:
Poznámka k položce: Impulsní měděné potrubí D 6 mm</t>
  </si>
  <si>
    <t>733222302</t>
  </si>
  <si>
    <t>Potrubí z trubek měděných polotvrdých spojovaných lisováním PN 16, T= +110°C Ø 15/1</t>
  </si>
  <si>
    <t>733222303</t>
  </si>
  <si>
    <t>Potrubí z trubek měděných polotvrdých spojovaných lisováním PN 16, T= +110°C Ø 18/1</t>
  </si>
  <si>
    <t>733222304</t>
  </si>
  <si>
    <t>Potrubí z trubek měděných polotvrdých spojovaných lisováním PN 16, T= +110°C Ø 22/1</t>
  </si>
  <si>
    <t>733223304</t>
  </si>
  <si>
    <t>Potrubí z trubek měděných tvrdých spojovaných lisováním PN 16, T= +110°C Ø 28/1,5</t>
  </si>
  <si>
    <t>733223305</t>
  </si>
  <si>
    <t>Potrubí z trubek měděných tvrdých spojovaných lisováním PN 16, T= +110°C Ø 35/1,5</t>
  </si>
  <si>
    <t>733223306</t>
  </si>
  <si>
    <t>Potrubí z trubek měděných tvrdých spojovaných lisováním PN 16, T= +110°C Ø 42/1,5</t>
  </si>
  <si>
    <t>733291101</t>
  </si>
  <si>
    <t>Zkoušky těsnosti potrubí z trubek měděných Ø do 35/1,5</t>
  </si>
  <si>
    <t>733291102</t>
  </si>
  <si>
    <t>Zkoušky těsnosti potrubí z trubek měděných Ø přes 35/1,5 do 64/2,0</t>
  </si>
  <si>
    <t>998733202</t>
  </si>
  <si>
    <t>Přesun hmot pro rozvody potrubí stanovený procentní sazbou z ceny vodorovná dopravní vzdálenost do 50 m základní v objektech výšky přes 6 do 12 m</t>
  </si>
  <si>
    <t>-325619976</t>
  </si>
  <si>
    <t>734</t>
  </si>
  <si>
    <t>Ústřední vytápění - armatury</t>
  </si>
  <si>
    <t>734163447</t>
  </si>
  <si>
    <t>Filtry z uhlíkové oceli s čístícím víkem nebo vypouštěcí zátkou PN 40 do 400°C DN 65</t>
  </si>
  <si>
    <t>734163448</t>
  </si>
  <si>
    <t>Filtry z uhlíkové oceli s čístícím víkem nebo vypouštěcí zátkou PN 40 do 400°C DN 80</t>
  </si>
  <si>
    <t>734163449</t>
  </si>
  <si>
    <t>Filtry z uhlíkové oceli s čístícím víkem nebo vypouštěcí zátkou PN 40 do 400°C DN 100</t>
  </si>
  <si>
    <t>734163451</t>
  </si>
  <si>
    <t>Filtry z uhlíkové oceli s čístícím víkem nebo vypouštěcí zátkou PN 40 do 400°C DN 150</t>
  </si>
  <si>
    <t>734192416</t>
  </si>
  <si>
    <t>Ostatní přírubové armatury klapky zpětné samočinné PN 16 do 400°C (L 10 117 516) DN 65</t>
  </si>
  <si>
    <t>734192417</t>
  </si>
  <si>
    <t>Ostatní přírubové armatury klapky zpětné samočinné PN 16 do 400°C (L 10 117 516) DN 80</t>
  </si>
  <si>
    <t>734192418</t>
  </si>
  <si>
    <t>Ostatní přírubové armatury klapky zpětné samočinné PN 16 do 400°C (L 10 117 516) DN 100</t>
  </si>
  <si>
    <t>734193215</t>
  </si>
  <si>
    <t>Ostatní přírubové armatury klapky mezipřírubové uzavírací PN 16 do 120°C disk nerezová ocel DN 65</t>
  </si>
  <si>
    <t>734193216</t>
  </si>
  <si>
    <t>Ostatní přírubové armatury klapky mezipřírubové uzavírací PN 16 do 120°C disk nerezová ocel DN 80</t>
  </si>
  <si>
    <t>734193217</t>
  </si>
  <si>
    <t>Ostatní přírubové armatury klapky mezipřírubové uzavírací PN 16 do 120°C disk nerezová ocel DN 100</t>
  </si>
  <si>
    <t>734193218</t>
  </si>
  <si>
    <t>Ostatní přírubové armatury klapky mezipřírubové uzavírací PN 16 do 120°C disk nerezová ocel DN 125</t>
  </si>
  <si>
    <t>734211113</t>
  </si>
  <si>
    <t>Ventily odvzdušňovací závitové otopných těles PN 6 do 120°C G 3/8</t>
  </si>
  <si>
    <t>734220R09</t>
  </si>
  <si>
    <t>Smyčkový vyvažovací a uzavírací ventil, úsekový/ stoupačkový, s vypouštěním, včetně měřících koncovek, G 3/8 PN 16</t>
  </si>
  <si>
    <t>734220R10</t>
  </si>
  <si>
    <t>Smyčkový vyvažovací a uzavírací ventil, úsekový/ stoupačkový, s vypouštěním, včetně měřících koncovek, G 1/2 PN 16</t>
  </si>
  <si>
    <t>734220R11</t>
  </si>
  <si>
    <t>Smyčkový vyvažovací a uzavírací ventil, úsekový/ stoupačkový, s vypouštěním, včetně měřících koncovek, G 3/4 PN 16</t>
  </si>
  <si>
    <t>734220R15</t>
  </si>
  <si>
    <t>Smyčkový vyvažovací a uzavírací ventil, úsekový/ stoupačkový, s vypouštěním, včetně měřících koncovek, G 2 PN 16</t>
  </si>
  <si>
    <t>734221682</t>
  </si>
  <si>
    <t>Ventily regulační závitové hlavice termostatické pro ovládání ventilů PN 10 do 110°C kapalinové otopných těles VK</t>
  </si>
  <si>
    <t>734261402</t>
  </si>
  <si>
    <t>Šroubení připojovací armatury radiátorů VK PN 10 do 110°C, regulační uzavíratelné rohové G 1/2 x 18</t>
  </si>
  <si>
    <t>734261R01</t>
  </si>
  <si>
    <t>Armatura připojovací rohová (typu HM) G 1/2 pro spodní středové připojení koupelnových těles, vč. termostatické hlavice</t>
  </si>
  <si>
    <t>734291123</t>
  </si>
  <si>
    <t>Ostatní armatury kohouty plnicí a vypouštěcí PN 10 do 90°C G 1/2</t>
  </si>
  <si>
    <t>734292712</t>
  </si>
  <si>
    <t>Ostatní armatury kulové kohouty PN 42 do 185°C přímé vnitřní závit G 3/8</t>
  </si>
  <si>
    <t>734292713</t>
  </si>
  <si>
    <t>Ostatní armatury kulové kohouty PN 42 do 185°C přímé vnitřní závit G 1/2</t>
  </si>
  <si>
    <t>734292714</t>
  </si>
  <si>
    <t>Ostatní armatury kulové kohouty PN 42 do 185°C přímé vnitřní závit G 3/4</t>
  </si>
  <si>
    <t>734292715</t>
  </si>
  <si>
    <t>Ostatní armatury kulové kohouty PN 42 do 185°C přímé vnitřní závit G 1</t>
  </si>
  <si>
    <t>734292716</t>
  </si>
  <si>
    <t>Ostatní armatury kulové kohouty PN 42 do 185°C přímé vnitřní závit G 1 1/4</t>
  </si>
  <si>
    <t>734R10000</t>
  </si>
  <si>
    <t>Osový kompenzátor, lisovací spojky z červeného bronzu, vlnovec z ušlechtilé oceli d15</t>
  </si>
  <si>
    <t>734R10001</t>
  </si>
  <si>
    <t>Osový kompenzátor, lisovací spojky z červeného bronzu, vlnovec z ušlechtilé oceli d18</t>
  </si>
  <si>
    <t>734R10002</t>
  </si>
  <si>
    <t>Vyvažovací ventil STAF 125 PN 25</t>
  </si>
  <si>
    <t>734R10003</t>
  </si>
  <si>
    <t>Regulátor tlakové digerence DA 516 Kvs 30m3/h DN 40/50 L 190mm 10-100kPa</t>
  </si>
  <si>
    <t>734R10004</t>
  </si>
  <si>
    <t>Regulátor tlakové digerence DA 516 Kvs 12m3/h DN 25/32 L 150mm 10-100kPa</t>
  </si>
  <si>
    <t>734R10005</t>
  </si>
  <si>
    <t>Ultrazvukový měřič spotřeby tepla DN 25 jmen. Průtok 6m3/h, s M-Bus modulem pro dálkový odečet PN 25</t>
  </si>
  <si>
    <t>734R10006</t>
  </si>
  <si>
    <t>Ultrazvukový měřič spotřeby tepla DN 65 jmen. Průtok 25m3/h, s M-Bus modulem pro dálkový odečet PN 25</t>
  </si>
  <si>
    <t>734411127</t>
  </si>
  <si>
    <t>Teploměry technické s pevným stonkem a jímkou zadní připojení (axiální) průměr 100 mm délka stonku 100 mm</t>
  </si>
  <si>
    <t>734421112</t>
  </si>
  <si>
    <t>Tlakoměry s pevným stonkem a zpětnou klapkou zadní připojení (axiální) tlaku 0-16 bar průměru 63 mm</t>
  </si>
  <si>
    <t>734424101</t>
  </si>
  <si>
    <t>Tlakoměry kondenzační smyčky k přivaření, PN 250 do 300°C zahnuté</t>
  </si>
  <si>
    <t>998734202</t>
  </si>
  <si>
    <t>Přesun hmot pro armatury stanovený procentní sazbou (%) z ceny vodorovná dopravní vzdálenost do 50 m základní v objektech výšky přes 6 do 12 m</t>
  </si>
  <si>
    <t>245484935</t>
  </si>
  <si>
    <t>735</t>
  </si>
  <si>
    <t>Ústřední vytápění - otopná tělesa</t>
  </si>
  <si>
    <t>735111R10</t>
  </si>
  <si>
    <t>Demontáž otopných těles litinových článkových</t>
  </si>
  <si>
    <t>735152252</t>
  </si>
  <si>
    <t>Otopná tělesa panelová VK jednodesková PN 1,0 MPa, T do 110°C s jednou přídavnou přestupní plochou výšky tělesa 500 mm stavební délky / výkonu 500 mm / 429 W</t>
  </si>
  <si>
    <t>735152253</t>
  </si>
  <si>
    <t>Otopná tělesa panelová VK jednodesková PN 1,0 MPa, T do 110°C s jednou přídavnou přestupní plochou výšky tělesa 500 mm stavební délky / výkonu 600 mm / 515 W</t>
  </si>
  <si>
    <t>735152254</t>
  </si>
  <si>
    <t>Otopná tělesa panelová VK jednodesková PN 1,0 MPa, T do 110°C s jednou přídavnou přestupní plochou výšky tělesa 500 mm stavební délky / výkonu 700 mm / 601 W</t>
  </si>
  <si>
    <t>735152255</t>
  </si>
  <si>
    <t>Otopná tělesa panelová VK jednodesková PN 1,0 MPa, T do 110°C s jednou přídavnou přestupní plochou výšky tělesa 500 mm stavební délky / výkonu 800 mm / 686 W</t>
  </si>
  <si>
    <t>735152256</t>
  </si>
  <si>
    <t>Otopná tělesa panelová VK jednodesková PN 1,0 MPa, T do 110°C s jednou přídavnou přestupní plochou výšky tělesa 500 mm stavební délky / výkonu 900 mm / 772 W</t>
  </si>
  <si>
    <t>735152452</t>
  </si>
  <si>
    <t>Otopná tělesa panelová VK dvoudesková PN 1,0 MPa, T do 110°C s jednou přídavnou přestupní plochou výšky tělesa 500 mm stavební délky / výkonu 500 mm / 559 W</t>
  </si>
  <si>
    <t>735152453</t>
  </si>
  <si>
    <t>Otopná tělesa panelová VK dvoudesková PN 1,0 MPa, T do 110°C s jednou přídavnou přestupní plochou výšky tělesa 500 mm stavební délky / výkonu 600 mm / 670 W</t>
  </si>
  <si>
    <t>735152454</t>
  </si>
  <si>
    <t>Otopná tělesa panelová VK dvoudesková PN 1,0 MPa, T do 110°C s jednou přídavnou přestupní plochou výšky tělesa 500 mm stavební délky / výkonu 700 mm / 782 W</t>
  </si>
  <si>
    <t>735152455</t>
  </si>
  <si>
    <t>Otopná tělesa panelová VK dvoudesková PN 1,0 MPa, T do 110°C s jednou přídavnou přestupní plochou výšky tělesa 500 mm stavební délky / výkonu 800 mm / 894 W</t>
  </si>
  <si>
    <t>735152456</t>
  </si>
  <si>
    <t>Otopná tělesa panelová VK dvoudesková PN 1,0 MPa, T do 110°C s jednou přídavnou přestupní plochou výšky tělesa 500 mm stavební délky / výkonu 900 mm / 1005 W</t>
  </si>
  <si>
    <t>735152556</t>
  </si>
  <si>
    <t>Otopná tělesa panelová VK dvoudesková PN 1,0 MPa, T do 110°C se dvěma přídavnými přestupními plochami výšky tělesa 500 mm stavební délky / výkonu 900 mm / 1307 W</t>
  </si>
  <si>
    <t>735152562</t>
  </si>
  <si>
    <t>Otopná tělesa panelová VK dvoudesková PN 1,0 MPa, T do 110°C se dvěma přídavnými přestupními plochami výšky tělesa 500 mm stavební délky / výkonu 1800 mm / 2614 W</t>
  </si>
  <si>
    <t>735152599</t>
  </si>
  <si>
    <t>Otopná tělesa panelová VK dvoudesková PN 1,0 MPa, T do 110°C se dvěma přídavnými přestupními plochami výšky tělesa 900 mm stavební délky / výkonu 1200 mm / 2776 W</t>
  </si>
  <si>
    <t>735152R76</t>
  </si>
  <si>
    <t>Otopná tělesa panelová VK dvoudesková PN 1,0 MPa, T do 110°C se dvěma přídavnými přestupními plochami výšky tělesa 700 mm stavební délky / výkonu 900 mm / 1511 W</t>
  </si>
  <si>
    <t>735R10000</t>
  </si>
  <si>
    <t>Otopná tělesa koupelnová trubkové se středovým připojením KT-M 1220/450</t>
  </si>
  <si>
    <t>735R10001</t>
  </si>
  <si>
    <t>Otopná tělesa koupelnová trubkové se středovým připojením KT-M 1500/450</t>
  </si>
  <si>
    <t>735R10002</t>
  </si>
  <si>
    <t>Otopná tělesa koupelnová trubkové se středovým připojením KT-M 1500/600</t>
  </si>
  <si>
    <t>735R10003</t>
  </si>
  <si>
    <t>Otopná tělesa koupelnová trubkové se středovým připojením KT-M 1820/450</t>
  </si>
  <si>
    <t>735R10004</t>
  </si>
  <si>
    <t>Otopná tělesa koupelnová trubkové se středovým připojením KT-M 1820/600</t>
  </si>
  <si>
    <t>735R10005</t>
  </si>
  <si>
    <t>Otopná tělesa koupelnová trubkové se středovým připojením KT-M 700/450</t>
  </si>
  <si>
    <t>735R10006</t>
  </si>
  <si>
    <t>Otopná tělesa koupelnová trubkové se středovým připojením KT-M 700/600</t>
  </si>
  <si>
    <t>735R10007</t>
  </si>
  <si>
    <t>Otopná tělesa koupelnová trubkové se středovým připojením KT-M 900/450</t>
  </si>
  <si>
    <t>735R20000</t>
  </si>
  <si>
    <t>Otopná  vertikální desková otopná tělesa se středovým připojením VER - M 11 /1200/514</t>
  </si>
  <si>
    <t>735R20001</t>
  </si>
  <si>
    <t>Otopná  vertikální desková otopná tělesa se středovým připojením VER - M 11 /1400/514</t>
  </si>
  <si>
    <t>204</t>
  </si>
  <si>
    <t>735R20002</t>
  </si>
  <si>
    <t>Otopná  vertikální desková otopná tělesa se středovým připojením VER - M 11 /700/514</t>
  </si>
  <si>
    <t>206</t>
  </si>
  <si>
    <t>735R20003</t>
  </si>
  <si>
    <t>Otopná  vertikální desková otopná tělesa se středovým připojením VER - M 11 /800/514</t>
  </si>
  <si>
    <t>735R20004</t>
  </si>
  <si>
    <t>Otopná  vertikální desková otopná tělesa se středovým připojením VER - M 11 /900/514</t>
  </si>
  <si>
    <t>735R20005</t>
  </si>
  <si>
    <t>Otopná  vertikální desková otopná tělesa se středovým připojením VER - M 20 /1100/514</t>
  </si>
  <si>
    <t>212</t>
  </si>
  <si>
    <t>735R20006</t>
  </si>
  <si>
    <t>Otopná  vertikální desková otopná tělesa se středovým připojením VER - M 20 /1400/218</t>
  </si>
  <si>
    <t>735R20007</t>
  </si>
  <si>
    <t>Otopná  vertikální desková otopná tělesa se středovým připojením VER - M 20 /1400/366</t>
  </si>
  <si>
    <t>735R20008</t>
  </si>
  <si>
    <t>Otopná  vertikální desková otopná tělesa se středovým připojením VER - M 20 /1400/514</t>
  </si>
  <si>
    <t>735R20009</t>
  </si>
  <si>
    <t>Otopná  vertikální desková otopná tělesa se středovým připojením VER - M 20 /1600/218</t>
  </si>
  <si>
    <t>735R20010</t>
  </si>
  <si>
    <t>Otopná  vertikální desková otopná tělesa se středovým připojením VER - M 20 /1600/366</t>
  </si>
  <si>
    <t>735R20011</t>
  </si>
  <si>
    <t>Otopná  vertikální desková otopná tělesa se středovým připojením VER - M 20 /1800/218</t>
  </si>
  <si>
    <t>735R20012</t>
  </si>
  <si>
    <t>Otopná  vertikální desková otopná tělesa se středovým připojením VER - M 20 /2000/218</t>
  </si>
  <si>
    <t>735R20013</t>
  </si>
  <si>
    <t>Otopná  vertikální desková otopná tělesa se středovým připojením VER - M 20 /800/514</t>
  </si>
  <si>
    <t>998735202</t>
  </si>
  <si>
    <t>Přesun hmot pro otopná tělesa stanovený procentní sazbou (%) z ceny vodorovná dopravní vzdálenost do 50 m základní v objektech výšky přes 6 do 12 m</t>
  </si>
  <si>
    <t>-1652004059</t>
  </si>
  <si>
    <t>783614551</t>
  </si>
  <si>
    <t>Základní nátěr armatur a kovových potrubí jednonásobný potrubí do DN 50 mm syntetický</t>
  </si>
  <si>
    <t>783614561</t>
  </si>
  <si>
    <t>Základní nátěr armatur a kovových potrubí jednonásobný potrubí přes DN 50 do DN 100 mm syntetický</t>
  </si>
  <si>
    <t>783614571</t>
  </si>
  <si>
    <t>Základní nátěr armatur a kovových potrubí jednonásobný potrubí přes DN 100 do DN 150 mm syntetický</t>
  </si>
  <si>
    <t>238</t>
  </si>
  <si>
    <t>242</t>
  </si>
  <si>
    <t>091003R03</t>
  </si>
  <si>
    <t>Protipožární ucpávky prostupu rozvodů vytápění u požárně dělících stěn (manžety, pásky, tmely, pěny)  - cca 220 prostupů - průměr 20-100 mm</t>
  </si>
  <si>
    <t>244</t>
  </si>
  <si>
    <t>CHL - Chlazení</t>
  </si>
  <si>
    <t xml:space="preserve">    751 - Vzduchotechnika</t>
  </si>
  <si>
    <t>VRN - Vedlejší rozpočtové náklady</t>
  </si>
  <si>
    <t xml:space="preserve">    VRN4 - Inženýrská činnost</t>
  </si>
  <si>
    <t xml:space="preserve">    VRN9 - Ostatní náklady</t>
  </si>
  <si>
    <t>283R0001</t>
  </si>
  <si>
    <t>tepelná izolace na bázi kaučuku, po potrubí 15,88 mm, tloušťka 13 mm, teplotní odolnost min. 120 °C, součinitel tepelné vodivosti 0,041 až 0,052 W/mK</t>
  </si>
  <si>
    <t>283R0002</t>
  </si>
  <si>
    <t>tepelná izolace na bázi kaučuku, po potrubí 15,88 mm, tloušťka 19 mm, teplotní odolnost min. 120 °C, součinitel tepelné vodivosti 0,041 až 0,052 W/mK</t>
  </si>
  <si>
    <t>283R0003</t>
  </si>
  <si>
    <t>tepelná izolace na bázi kaučuku, po potrubí 12,77 mm, tloušťka 13 mm, teplotní odolnost min. 120 °C, součinitel tepelné vodivosti 0,041 až 0,052 W/mK</t>
  </si>
  <si>
    <t>283R0004</t>
  </si>
  <si>
    <t>tepelná izolace na bázi kaučuku, po potrubí 9,52 mm, tloušťka 13 mm, teplotní odolnost min. 120 °C, součinitel tepelné vodivosti 0,041 až 0,052 W/mK</t>
  </si>
  <si>
    <t>283R0005</t>
  </si>
  <si>
    <t>tepelná izolace na bázi kaučuku, po potrubí 6,35 mm, tloušťka 13 mm, teplotní odolnost min. 120 °C, součinitel tepelné vodivosti 0,041 až 0,052 W/mK</t>
  </si>
  <si>
    <t>283R0006</t>
  </si>
  <si>
    <t>tepelná izolace na bázi kaučuku, po potrubí 10,7 mm, tloušťka 13 mm, teplotní odolnost min. 120 °C, součinitel tepelné vodivosti 0,041 až 0,052 W/mK</t>
  </si>
  <si>
    <t>283R0007</t>
  </si>
  <si>
    <t>tepelná izolace na bázi kaučuku, po potrubí 10,7 mm, tloušťka 19 mm, teplotní odolnost min. 120 °C, součinitel tepelné vodivosti 0,041 až 0,052 W/mK</t>
  </si>
  <si>
    <t>283R0008</t>
  </si>
  <si>
    <t>283R0009</t>
  </si>
  <si>
    <t>tepelná izolace na bázi kaučuku, po potrubí 6,35 mm, tloušťka 19 mm, teplotní odolnost min. 120 °C, součinitel tepelné vodivosti 0,041 až 0,052 W/mK</t>
  </si>
  <si>
    <t>1673989084</t>
  </si>
  <si>
    <t>751</t>
  </si>
  <si>
    <t>751R80000</t>
  </si>
  <si>
    <t>Venkovní klimatizační jednotka typu mini VRF chladící výkon 15,5kW, topný výkon 16,5kW, příkon 5,34kW, 3x400V, 16A, hladina akustického tlaku 54dB(A) až 56dB(A), SEER 6,38, objemový průtok vzduchu 4800m3/h, EER 3,03, COP 4,02</t>
  </si>
  <si>
    <t>Poznámka k položce:
rozměry š. 1050mm, h 370mm, v 981mm hmotnost jednotky 94kg, celková hmotnost chladiva R410a 9,7kg</t>
  </si>
  <si>
    <t>751R80001</t>
  </si>
  <si>
    <t>Vnitřní klimatizační kazetové jednotka, č.m. -1.00.09, chladící výkon 5,6kW, topný výkon 6,3kW, příkon 30W, 230V, 6A, objemový průtok vzduchu 840/900/960/1080m3/h, hladina akustického tlaku 26/27/29/31dB(A)</t>
  </si>
  <si>
    <t>Poznámka k položce:
rozměry š:840 d:840 v:298mm hmotnost 24kg, včetně čerpadla kondenzátu</t>
  </si>
  <si>
    <t>751R80002</t>
  </si>
  <si>
    <t>Vnitřní klimatizační kazetové jednotka, č.m. 1.00.05, chladící výkon 3,6kW, topný výkon 4,0kW, příkon 30W, 230V, 6A, objemový průtok vzduchu 780/840/960/1080m3/h, hladina akustického tlaku 26/27/29/31dB(A)</t>
  </si>
  <si>
    <t>Poznámka k položce:
rozměry š:840 d:840 v:298mm hmotnost 19kg, včetně čerpadla kondenzátu</t>
  </si>
  <si>
    <t>751R80003</t>
  </si>
  <si>
    <t>Vnitřní klimatizační kazetové jednotka, č.m. 1.00.12, chladící výkon 7,1kW, topný výkon 8,0kW, příkon 30W, 230V, 6A, objemový průtok vzduchu 840/900/960/1080m3/h, hladina akustického tlaku 28/32dB(A)</t>
  </si>
  <si>
    <t>751R80004</t>
  </si>
  <si>
    <t>Doplnění chladiva R410a do systému</t>
  </si>
  <si>
    <t>751R80005</t>
  </si>
  <si>
    <t>Kabelový dálkový ovladač</t>
  </si>
  <si>
    <t>751R90000</t>
  </si>
  <si>
    <t>Venkovní chladící jednotka typu Split s celoročním provozem, SILOVÉ NAPOJENÍ VNITŘNÍ JEDNOTKY,  chladící výkon 3,5(1,5-4,0)kW, hladina akustického tlaku 31 až 46dB(A), SEER 9,00</t>
  </si>
  <si>
    <t>Poznámka k položce:
rozměry š. 800mm h: 285mm v: 550mm, hmotnost 34kg,  příkon 0,76kW, 230V, 10A, chladiva R 32 
Vnitřní jednotka  objemový průtok vzduchu 600/696/822/984m3/h, hladina akustického tlaku 28/32dB(A) rozměry š:923 h:250 v:305mm hmotnost 12,5kg</t>
  </si>
  <si>
    <t>751R90001</t>
  </si>
  <si>
    <t>Interface pro připojení na internet, připojení kabelového ovladače, hlášení, chodu a poruchy, funkce blokování, dálkový zap/vyp, změna režimu, možnost aktivace autorestartu pro výpadku napájení</t>
  </si>
  <si>
    <t>751R90002</t>
  </si>
  <si>
    <t>751R90003</t>
  </si>
  <si>
    <t>Doplnění chladiva  R32  do systému</t>
  </si>
  <si>
    <t>751R90900</t>
  </si>
  <si>
    <t>Základová konstrukce proti zasypání jednotky sněhem min. výška rámu nad střechou 0,5m hmotnost jednotky do 50kg</t>
  </si>
  <si>
    <t>751R90901</t>
  </si>
  <si>
    <t>Konstrukce pro uchycení jednotky do zdi hmotnost jednotky do 50kg</t>
  </si>
  <si>
    <t>751R90902</t>
  </si>
  <si>
    <t>Konstrukce pro uchycení jednotky do zdi hmotnost jednotky do 120kg</t>
  </si>
  <si>
    <t>751R90903</t>
  </si>
  <si>
    <t>Gumové kompenzátory zabranňující přenos vibrací do konstrukce pro 1 jednotku</t>
  </si>
  <si>
    <t>751R90904</t>
  </si>
  <si>
    <t>Chladírenské potrubí - měděné Vnější průměr 15,88 mm, tloušťka stěny 0,8 mm, bezešvé měděné odkysličené kyselinou fosforečnou, vhodné pro chladivo R 410</t>
  </si>
  <si>
    <t>751R90905</t>
  </si>
  <si>
    <t>Chladírenské potrubí - měděné Vnější průměr 12,77 mm, tloušťka stěny 0,8 mm, bezešvé měděné odkysličené kyselinou fosforečnou, vhodné pro chladivo R 411</t>
  </si>
  <si>
    <t>751R90906</t>
  </si>
  <si>
    <t>Chladírenské potrubí - měděné Vnější průměr 9,52mm, tloušťka stěny 0,8 mm, bezešvé měděné odkysličené kyselinou fosforečnou, vhodné pro chladivo R 410</t>
  </si>
  <si>
    <t>751R90907</t>
  </si>
  <si>
    <t>Chladírenské potrubí - měděné Vnější průměr 6,35mm, tloušťka stěny 0,8 mm, bezešvé měděné odkysličené kyselinou fosforečnou, vhodné pro chladivo R 410</t>
  </si>
  <si>
    <t>751R90908</t>
  </si>
  <si>
    <t>Chladírenské potrubí - měděné Vnější průměr 10,7mm, tloušťka stěny 0,8 mm, bezešvé měděné odkysličené kyselinou fosforečnou, vhodné pro chladivo R 32</t>
  </si>
  <si>
    <t>751R90909</t>
  </si>
  <si>
    <t>Chladírenské potrubí - měděné Vnější průměr 6,35mm, tloušťka stěny 0,8 mm, bezešvé měděné odkysličené kyselinou fosforečnou, vhodné pro chladivo R 32</t>
  </si>
  <si>
    <t>28613962</t>
  </si>
  <si>
    <t>trubka ochranná PEHD 63x3,6mm</t>
  </si>
  <si>
    <t>998751201</t>
  </si>
  <si>
    <t>Přesun hmot pro vzduchotechniku stanovený procentní sazbou (%) z ceny vodorovná dopravní vzdálenost do 50 m základní v objektech výšky do 12 m</t>
  </si>
  <si>
    <t>-1176287474</t>
  </si>
  <si>
    <t>VRN4</t>
  </si>
  <si>
    <t>Inženýrská činnost</t>
  </si>
  <si>
    <t>043114R05</t>
  </si>
  <si>
    <t>Zkoušky zatěžovací, komplexní a provozní, zaregulování, uvedení do provozu, zaškolení obsluhy</t>
  </si>
  <si>
    <t>091003R04</t>
  </si>
  <si>
    <t>EL - Elektroinstalace</t>
  </si>
  <si>
    <t>SIL - Silnoproud a hromosvod</t>
  </si>
  <si>
    <t>Karel Sommer</t>
  </si>
  <si>
    <t>Provedení příslušné projektové dokumentace (dokumentace skutečného provedení stavby, realizační / dílenská / dodavatelská dokumentace) bude dle zadání investora oceněno v rámci soupisu prací "VRN - Vedlejší rozpočtové náklady" společného pro stavební část a všechny specialisty TZB.  Z tohoto důvodu nejsou výše zmíněné položky součástí tohoto dílčího soupisu prací.</t>
  </si>
  <si>
    <t>1 - C21M – Elektromontáže</t>
  </si>
  <si>
    <t>2 - Hromosvod</t>
  </si>
  <si>
    <t>3 - Stavební přípomoce</t>
  </si>
  <si>
    <t>4 - Revize, DSPS, zkoušky</t>
  </si>
  <si>
    <t>5 - Materiály</t>
  </si>
  <si>
    <t>99 - Podružný materiál</t>
  </si>
  <si>
    <t>C21M – Elektromontáže</t>
  </si>
  <si>
    <t>7421001</t>
  </si>
  <si>
    <t>trubka plastová ohebná instalační průměr 16mm (VU)</t>
  </si>
  <si>
    <t>7421002</t>
  </si>
  <si>
    <t>trubka plastová ohebná instalační průměr 23mm  (VU)</t>
  </si>
  <si>
    <t>7421003</t>
  </si>
  <si>
    <t>trubka plastová ohebná instalační průměr 32mm  (VU)</t>
  </si>
  <si>
    <t>7421004</t>
  </si>
  <si>
    <t>trubka plastová ohebná instalační průměr 40mm (VU)</t>
  </si>
  <si>
    <t>7421005</t>
  </si>
  <si>
    <t>trubka plastová ohebná instalační průměr 63mm (VU)</t>
  </si>
  <si>
    <t>7421006</t>
  </si>
  <si>
    <t>trubka plastová pevná instalační průměr 23mm  (VU)</t>
  </si>
  <si>
    <t>7421007</t>
  </si>
  <si>
    <t>trubka plastová pevná instalační průměr 32mm  (VU)</t>
  </si>
  <si>
    <t>7421008</t>
  </si>
  <si>
    <t>lišta vkladací vč. víčka a systémových prvků</t>
  </si>
  <si>
    <t>7421009</t>
  </si>
  <si>
    <t>krabice přístrojová (1901, KU 68/1, KP 67, KP 68; KZ 3) bez zapojení</t>
  </si>
  <si>
    <t>7421010</t>
  </si>
  <si>
    <t>krabice odbočná s víčkem (1902, KO 68, KU 68) kruhová bez zapojení</t>
  </si>
  <si>
    <t>7421011</t>
  </si>
  <si>
    <t>krabice odbočná s víčkem a svork. (1903, KR 68) kruhová vč. zapojení</t>
  </si>
  <si>
    <t>7421012</t>
  </si>
  <si>
    <t>krabice KT250</t>
  </si>
  <si>
    <t>7421013</t>
  </si>
  <si>
    <t>ukončení vodiče v rozvaděči vč. zapojení a koncovky do 2.5mm2</t>
  </si>
  <si>
    <t>7421014</t>
  </si>
  <si>
    <t>ukončení vodiče v rozvaděči vč. zapojení a koncovky do 6mm2</t>
  </si>
  <si>
    <t>7421015</t>
  </si>
  <si>
    <t>ukončení vodiče v rozvaděči vč. zapojení a koncovky do 16mm2</t>
  </si>
  <si>
    <t>7421016</t>
  </si>
  <si>
    <t>ukončení vodiče v rozvaděči vč. zapojení a koncovky do 50mm2</t>
  </si>
  <si>
    <t>7421017</t>
  </si>
  <si>
    <t>ukončení vodiče v rozvaděči vč. zapojení a koncovky do 150mm2</t>
  </si>
  <si>
    <t>7421018</t>
  </si>
  <si>
    <t>ukončení vodiče v rozvaděči vč. zapojení a koncovky do 185mm2</t>
  </si>
  <si>
    <t>7421019</t>
  </si>
  <si>
    <t>spínač nástěnný prostředí obyčejné 1-pólový řazení 1</t>
  </si>
  <si>
    <t>7421020</t>
  </si>
  <si>
    <t>spínač nástěnný prostředí vlhké 1-pólový řazení 1</t>
  </si>
  <si>
    <t>7421021</t>
  </si>
  <si>
    <t>sériový přepínač nástěnný prostředí obyčejné řazení 5</t>
  </si>
  <si>
    <t>7421022</t>
  </si>
  <si>
    <t>sériový přepínač nástěnný prostředí obyčejné řazení 5a</t>
  </si>
  <si>
    <t>7421023</t>
  </si>
  <si>
    <t>střídavý přepínač nástěnný prostředí obyčejné řazení 6</t>
  </si>
  <si>
    <t>7421024</t>
  </si>
  <si>
    <t>křižový přepínač nástěnný prostředí obyčejné řazení 7</t>
  </si>
  <si>
    <t>7421025</t>
  </si>
  <si>
    <t>tlačítkový ovladač I/0 / stmívače</t>
  </si>
  <si>
    <t>7421026</t>
  </si>
  <si>
    <t>žaluziový ovladač</t>
  </si>
  <si>
    <t>7421027</t>
  </si>
  <si>
    <t>zásuvka v krabici prostředí obyčejné 10/16A 250V 2P+Z</t>
  </si>
  <si>
    <t>7421028</t>
  </si>
  <si>
    <t>zásuvka v krabici prostředí vlhké 10/16A 250V 2P+Z</t>
  </si>
  <si>
    <t>7421029</t>
  </si>
  <si>
    <t>zásuvka v krabici prostředí vlhké 16A 400V</t>
  </si>
  <si>
    <t>7421030</t>
  </si>
  <si>
    <t>montáž MEB</t>
  </si>
  <si>
    <t>7421031</t>
  </si>
  <si>
    <t>montáž pohyb. čidla / přítomnosti</t>
  </si>
  <si>
    <t>7421032</t>
  </si>
  <si>
    <t>montáž a zapojení oceloplech. rozvodnic do 50kg</t>
  </si>
  <si>
    <t>7421032.1</t>
  </si>
  <si>
    <t>montáž Přídržný magnet 85 kg s tlačítkem, včetně kotvy s kloubem</t>
  </si>
  <si>
    <t>-1606458654</t>
  </si>
  <si>
    <t>7421033</t>
  </si>
  <si>
    <t>montáž a zapojení oceloplech. rozvodnic do 100kg</t>
  </si>
  <si>
    <t>7421034</t>
  </si>
  <si>
    <t>montáž a zapojení oceloplech. rozvodnic nad 250kg</t>
  </si>
  <si>
    <t>7421035</t>
  </si>
  <si>
    <t>montáž UPS</t>
  </si>
  <si>
    <t>7421036</t>
  </si>
  <si>
    <t>montáž nouzové signalizace pro inv.</t>
  </si>
  <si>
    <t>7421037</t>
  </si>
  <si>
    <t>montáž ŘJ otv. Oken</t>
  </si>
  <si>
    <t>7421038</t>
  </si>
  <si>
    <t>montáž nouzového svítidla</t>
  </si>
  <si>
    <t>7421039</t>
  </si>
  <si>
    <t>montáž svítidla</t>
  </si>
  <si>
    <t>7421040</t>
  </si>
  <si>
    <t>vodič 2x1.5mm2</t>
  </si>
  <si>
    <t>7421041</t>
  </si>
  <si>
    <t>vodič 3x1.5mm2</t>
  </si>
  <si>
    <t>7421042</t>
  </si>
  <si>
    <t>vodič 5x1.5mm2</t>
  </si>
  <si>
    <t>7421043</t>
  </si>
  <si>
    <t>vodič 3x2.5mm2</t>
  </si>
  <si>
    <t>7421044</t>
  </si>
  <si>
    <t>vodič 5x2.5mm2</t>
  </si>
  <si>
    <t>7421044a</t>
  </si>
  <si>
    <t>vodič 4x1,5mm2</t>
  </si>
  <si>
    <t>-489895317</t>
  </si>
  <si>
    <t>7421045</t>
  </si>
  <si>
    <t>vodič 3x4mm2</t>
  </si>
  <si>
    <t>7421046</t>
  </si>
  <si>
    <t>vodič 5x4mm2</t>
  </si>
  <si>
    <t>7421047</t>
  </si>
  <si>
    <t>vodič 5x6mm2</t>
  </si>
  <si>
    <t>7421048</t>
  </si>
  <si>
    <t>vodič 4x10mm2 / 5x10mm2</t>
  </si>
  <si>
    <t>7421049</t>
  </si>
  <si>
    <t>1-YY 1x150</t>
  </si>
  <si>
    <t>7421050</t>
  </si>
  <si>
    <t>CY 2.5mm2 (H07V-U) zelenožlutý</t>
  </si>
  <si>
    <t>7421051</t>
  </si>
  <si>
    <t>CY 4mm2 (H07V-U) zelenožlutý</t>
  </si>
  <si>
    <t>7421052</t>
  </si>
  <si>
    <t>CY 6mm2 (H07V-U) zelenožlutý</t>
  </si>
  <si>
    <t>7421053</t>
  </si>
  <si>
    <t>CY 16mm2 (H07V-U) zelenožlutý</t>
  </si>
  <si>
    <t>7421054</t>
  </si>
  <si>
    <t>CYA 25mm2 (H07V-U) zelenožlutý</t>
  </si>
  <si>
    <t>7421055</t>
  </si>
  <si>
    <t>CYA 95mm2 (H07V-U) zelenožlutý</t>
  </si>
  <si>
    <t>7421056</t>
  </si>
  <si>
    <t>TOTAL/CENTRAL/FVE STOP</t>
  </si>
  <si>
    <t>7421057</t>
  </si>
  <si>
    <t>montáž zdroj 24 V</t>
  </si>
  <si>
    <t>7421058</t>
  </si>
  <si>
    <t>montáž doběhové relé</t>
  </si>
  <si>
    <t>7421059</t>
  </si>
  <si>
    <t>montáž kab. žlabu + žebřík</t>
  </si>
  <si>
    <t>7421060</t>
  </si>
  <si>
    <t>požární ucpávky vč. štítku</t>
  </si>
  <si>
    <t>Hromosvod</t>
  </si>
  <si>
    <t>7422001</t>
  </si>
  <si>
    <t>uzemění v zemi FeZn průměru 8-10mm a FeZn 30/4 vč. svorek, propojení a izolace spojů</t>
  </si>
  <si>
    <t>7422002</t>
  </si>
  <si>
    <t>jímací tyč nad 1,5m délky vč. upevnění (podpůrná tr. vč. trojnožky)</t>
  </si>
  <si>
    <t>7422003</t>
  </si>
  <si>
    <t>svorky hromosvodové do 2 šroubu (SS, SR 03)</t>
  </si>
  <si>
    <t>7422004</t>
  </si>
  <si>
    <t>svorky hromosvodové nad 2 šrouby (ST, SJ, SK, SZ, SR01, 02)</t>
  </si>
  <si>
    <t>7422005</t>
  </si>
  <si>
    <t>montáž podpůrné trubky</t>
  </si>
  <si>
    <t>7422006</t>
  </si>
  <si>
    <t>označení svodu štítky smalt/umělá hmota</t>
  </si>
  <si>
    <t>7422007</t>
  </si>
  <si>
    <t>zatlučení zemnící tyče do 2,0 m</t>
  </si>
  <si>
    <t>7422008</t>
  </si>
  <si>
    <t>tvarováni mont. dílu - jímače, ochranné trubky, úhelníky</t>
  </si>
  <si>
    <t>7422009</t>
  </si>
  <si>
    <t>montáž vodiče HVI vč. podpěr</t>
  </si>
  <si>
    <t>7422010</t>
  </si>
  <si>
    <t>zemní práce</t>
  </si>
  <si>
    <t>7422011</t>
  </si>
  <si>
    <t>montáž uzemňovacího drátu AlMgSi průměr 8mm vč. podpěr</t>
  </si>
  <si>
    <t>Stavební přípomoce</t>
  </si>
  <si>
    <t>7423001</t>
  </si>
  <si>
    <t>Drážkování vč. vyspravení</t>
  </si>
  <si>
    <t>7423002</t>
  </si>
  <si>
    <t>Krabice (KP, KO, KR, KT)</t>
  </si>
  <si>
    <t>7423003</t>
  </si>
  <si>
    <t>Odvoz vybouraného mat. do 1km</t>
  </si>
  <si>
    <t>7423003a</t>
  </si>
  <si>
    <t>Demontáž stávající instalace a hromosvodu</t>
  </si>
  <si>
    <t>-1187093350</t>
  </si>
  <si>
    <t>7423004</t>
  </si>
  <si>
    <t>Poplatky skládka</t>
  </si>
  <si>
    <t>7423005</t>
  </si>
  <si>
    <t>Provrtání do vel. 20</t>
  </si>
  <si>
    <t>7423006</t>
  </si>
  <si>
    <t>Provrtání do vel. 40</t>
  </si>
  <si>
    <t>Revize, DSPS, zkoušky</t>
  </si>
  <si>
    <t>7424001</t>
  </si>
  <si>
    <t>Celk.prohl.el.zaříz.a vyhot.rev.zp.do 500.tis.mont.</t>
  </si>
  <si>
    <t>kpl</t>
  </si>
  <si>
    <t>7424002</t>
  </si>
  <si>
    <t>Celk.prohl.el.zaříz.a vyhot.rev.zp.do 250.tis.mont. - hromosvod</t>
  </si>
  <si>
    <t>7424003</t>
  </si>
  <si>
    <t>Recyklační poplatky</t>
  </si>
  <si>
    <t>7424004</t>
  </si>
  <si>
    <t>Doprava materiálu</t>
  </si>
  <si>
    <t>7424005</t>
  </si>
  <si>
    <t>Vynesení materiálu do výšky 25 m</t>
  </si>
  <si>
    <t>7424005.1</t>
  </si>
  <si>
    <t>Kontrola TIČR</t>
  </si>
  <si>
    <t>332553152</t>
  </si>
  <si>
    <t>7424007</t>
  </si>
  <si>
    <t>Koordinace na stavbě</t>
  </si>
  <si>
    <t>7424008</t>
  </si>
  <si>
    <t>Kompletace koncových prvků</t>
  </si>
  <si>
    <t>h</t>
  </si>
  <si>
    <t>7424009</t>
  </si>
  <si>
    <t>Zanešení tras vodičů do PD</t>
  </si>
  <si>
    <t>7424011</t>
  </si>
  <si>
    <t>Měření zemního odporu pro 1 zemnič</t>
  </si>
  <si>
    <t>zemnič</t>
  </si>
  <si>
    <t>Materiály</t>
  </si>
  <si>
    <t>7425001</t>
  </si>
  <si>
    <t>7425002</t>
  </si>
  <si>
    <t>Rozvaděč RH vč. Vybavení</t>
  </si>
  <si>
    <t>7425003</t>
  </si>
  <si>
    <t>Rozvaděč RPO EI30 DP1 vč. Vybavení</t>
  </si>
  <si>
    <t>7425004</t>
  </si>
  <si>
    <t>UPS, off-line 20 kVA, baterie LiFePO, 60 minut</t>
  </si>
  <si>
    <t>7425005</t>
  </si>
  <si>
    <t>Rozvaděč RMS0.1 vč. Vybavení</t>
  </si>
  <si>
    <t>7425006</t>
  </si>
  <si>
    <t>Rozvaděč RMS1.1 vč. Vybavení</t>
  </si>
  <si>
    <t>7425007</t>
  </si>
  <si>
    <t>Rozvaděč RMS2.1 vč. Vybavení</t>
  </si>
  <si>
    <t>7425008</t>
  </si>
  <si>
    <t>Rozvaděč RMS2.2 EI-30 DP1 SS200 vč. Vybavení</t>
  </si>
  <si>
    <t>7425009</t>
  </si>
  <si>
    <t>Rozvaděč RMS3.1 vč. Vybavení</t>
  </si>
  <si>
    <t>7425010</t>
  </si>
  <si>
    <t>Rozvaděč RMS3.2 EI-30 DP1  SS200 vč. Vybavení</t>
  </si>
  <si>
    <t>7425011</t>
  </si>
  <si>
    <t>Rozvaděč RMS4.1 vč. Vybavení</t>
  </si>
  <si>
    <t>7425012</t>
  </si>
  <si>
    <t>Rozvaděč RMS4.2 EI-30 DP1  SS200 vč. Vybavení</t>
  </si>
  <si>
    <t>7425013</t>
  </si>
  <si>
    <t>Rozvaděč RMS5.1 vč. Vybavení</t>
  </si>
  <si>
    <t>7425013.1</t>
  </si>
  <si>
    <t>Nabíjecí stanice pro elektromobily, 2x 11 kW, AC, 400 V, každý vývod s třífázovým připojením 16 A, samostatné měření spotřeby pro každý vývod, integrovaná ochrana proti přetížení a přepětí, montáž na zeď nebo sloup, IP54</t>
  </si>
  <si>
    <t>-1444468228</t>
  </si>
  <si>
    <t>7425014</t>
  </si>
  <si>
    <t>doběhové relé</t>
  </si>
  <si>
    <t>7425015</t>
  </si>
  <si>
    <t>MEB</t>
  </si>
  <si>
    <t>7425016</t>
  </si>
  <si>
    <t>tlačítko TOTAL STOP</t>
  </si>
  <si>
    <t>7425017</t>
  </si>
  <si>
    <t>tlačítko CENTRAL STOP</t>
  </si>
  <si>
    <t>7425018</t>
  </si>
  <si>
    <t>tlačítko FVE STOP</t>
  </si>
  <si>
    <t>7425019</t>
  </si>
  <si>
    <t>pohybové čidlo 360°</t>
  </si>
  <si>
    <t>7425020</t>
  </si>
  <si>
    <t>trubka ohebná instal. PVC 2316 průměr 16mm</t>
  </si>
  <si>
    <t>7425021</t>
  </si>
  <si>
    <t>trubka ohebná instal. PVC 2323 průměr 23</t>
  </si>
  <si>
    <t>7425022</t>
  </si>
  <si>
    <t>trubka ohebná instal. 32</t>
  </si>
  <si>
    <t>7425023</t>
  </si>
  <si>
    <t>trubka ohebná instal. 40</t>
  </si>
  <si>
    <t>7425024</t>
  </si>
  <si>
    <t>trubka ohebná instal. 50</t>
  </si>
  <si>
    <t>7425025</t>
  </si>
  <si>
    <t>Pevná PVC Trubka 25mm včetně kotvícího materiálu</t>
  </si>
  <si>
    <t>7425026</t>
  </si>
  <si>
    <t>Pevná PVC Trubka 32mm včetně kotvícího materiálu</t>
  </si>
  <si>
    <t>7425027</t>
  </si>
  <si>
    <t>7425028</t>
  </si>
  <si>
    <t>krabice KO 68</t>
  </si>
  <si>
    <t>7425029</t>
  </si>
  <si>
    <t>krabice KR 68</t>
  </si>
  <si>
    <t>7425030</t>
  </si>
  <si>
    <t>krabice KU 68/1</t>
  </si>
  <si>
    <t>7425031</t>
  </si>
  <si>
    <t>krabice KT 250</t>
  </si>
  <si>
    <t>7425032</t>
  </si>
  <si>
    <t>spínač kolébkový č. 1</t>
  </si>
  <si>
    <t>240</t>
  </si>
  <si>
    <t>7425033</t>
  </si>
  <si>
    <t>spínač kolébkový č. 1; IP 45</t>
  </si>
  <si>
    <t>7425034</t>
  </si>
  <si>
    <t>spínač kolébkový č. 5</t>
  </si>
  <si>
    <t>7425035</t>
  </si>
  <si>
    <t>spínač kolébkový č. 5a (6+6)</t>
  </si>
  <si>
    <t>246</t>
  </si>
  <si>
    <t>7425036</t>
  </si>
  <si>
    <t>spínač kolébkový č. 6</t>
  </si>
  <si>
    <t>248</t>
  </si>
  <si>
    <t>7425037</t>
  </si>
  <si>
    <t>spínač kolébkový č. 7</t>
  </si>
  <si>
    <t>250</t>
  </si>
  <si>
    <t>7425038</t>
  </si>
  <si>
    <t>žaluziový ovladač s blokací</t>
  </si>
  <si>
    <t>252</t>
  </si>
  <si>
    <t>7425039</t>
  </si>
  <si>
    <t>tlačítko ovl. osvětlení I/0</t>
  </si>
  <si>
    <t>254</t>
  </si>
  <si>
    <t>7425040</t>
  </si>
  <si>
    <t>zásuvka 16A, 230 V IP44</t>
  </si>
  <si>
    <t>256</t>
  </si>
  <si>
    <t>7425041</t>
  </si>
  <si>
    <t>zásuvka v krabici prost.obyč.10/16A 250V 2P+Z</t>
  </si>
  <si>
    <t>258</t>
  </si>
  <si>
    <t>7425042</t>
  </si>
  <si>
    <t>zásuvka v krabici prost.obyč.10/16A 250V 2P+Z s př. ochranou</t>
  </si>
  <si>
    <t>260</t>
  </si>
  <si>
    <t>7425043</t>
  </si>
  <si>
    <t>zásuvka 400 V ; 16 A</t>
  </si>
  <si>
    <t>262</t>
  </si>
  <si>
    <t>7425044</t>
  </si>
  <si>
    <t>sada pro nouzovou signalizaci invalidé</t>
  </si>
  <si>
    <t>264</t>
  </si>
  <si>
    <t>7425045</t>
  </si>
  <si>
    <t>A -  Svítidlo vestavné  strop Knauf;</t>
  </si>
  <si>
    <t>266</t>
  </si>
  <si>
    <t>7425046</t>
  </si>
  <si>
    <t>A1 -  Svítidlo vestavné  strop Knauf;</t>
  </si>
  <si>
    <t>268</t>
  </si>
  <si>
    <t>7425047</t>
  </si>
  <si>
    <t>B -  Svítidlo vestavné</t>
  </si>
  <si>
    <t>270</t>
  </si>
  <si>
    <t>7425048</t>
  </si>
  <si>
    <t>el. jednotka cca. 1000-3000lm On/Off</t>
  </si>
  <si>
    <t>272</t>
  </si>
  <si>
    <t>7425049</t>
  </si>
  <si>
    <t>C -  Svítidlo vestavné</t>
  </si>
  <si>
    <t>274</t>
  </si>
  <si>
    <t>7425050</t>
  </si>
  <si>
    <t>276</t>
  </si>
  <si>
    <t>7425051</t>
  </si>
  <si>
    <t>D -  Svítidlo vestavné</t>
  </si>
  <si>
    <t>278</t>
  </si>
  <si>
    <t>7425052</t>
  </si>
  <si>
    <t>280</t>
  </si>
  <si>
    <t>7425053</t>
  </si>
  <si>
    <t>E -  Svítidlo přisazené/závěsné</t>
  </si>
  <si>
    <t>282</t>
  </si>
  <si>
    <t>7425054</t>
  </si>
  <si>
    <t>F -  Svítidlo vestavné  strop Knauf; konentor Adels</t>
  </si>
  <si>
    <t>284</t>
  </si>
  <si>
    <t>7425055</t>
  </si>
  <si>
    <t>G - Svítidlo vestavné  strop Knauf; konentor Adels</t>
  </si>
  <si>
    <t>286</t>
  </si>
  <si>
    <t>7425056</t>
  </si>
  <si>
    <t>H -  Svítidlo závěsné</t>
  </si>
  <si>
    <t>288</t>
  </si>
  <si>
    <t>7425057</t>
  </si>
  <si>
    <t>I -  Svítidlo závěsné</t>
  </si>
  <si>
    <t>290</t>
  </si>
  <si>
    <t>7425058</t>
  </si>
  <si>
    <t>J -  Svítidlo závěsné</t>
  </si>
  <si>
    <t>292</t>
  </si>
  <si>
    <t>7425059</t>
  </si>
  <si>
    <t>K -  Svítidlo vestavné</t>
  </si>
  <si>
    <t>294</t>
  </si>
  <si>
    <t>7425060</t>
  </si>
  <si>
    <t>L -  Svítidlo vestavné</t>
  </si>
  <si>
    <t>296</t>
  </si>
  <si>
    <t>7425061</t>
  </si>
  <si>
    <t>M -  Svítidlo stropní</t>
  </si>
  <si>
    <t>298</t>
  </si>
  <si>
    <t>7425062</t>
  </si>
  <si>
    <t>N -  Svítidlo stropní</t>
  </si>
  <si>
    <t>300</t>
  </si>
  <si>
    <t>7425063</t>
  </si>
  <si>
    <t>O -  Svítidlo závěsné</t>
  </si>
  <si>
    <t>302</t>
  </si>
  <si>
    <t>7425064</t>
  </si>
  <si>
    <t>P -  Svítidlo přisazené</t>
  </si>
  <si>
    <t>304</t>
  </si>
  <si>
    <t>7425065</t>
  </si>
  <si>
    <t>Nouzové svítidlo 3 W - 60min</t>
  </si>
  <si>
    <t>306</t>
  </si>
  <si>
    <t>7425065a</t>
  </si>
  <si>
    <t>Balkonové svítidlo IP54</t>
  </si>
  <si>
    <t>214454407</t>
  </si>
  <si>
    <t>7425065b</t>
  </si>
  <si>
    <t>Venkovní svítidlo IP54 s integrovaným pohybovým čislem</t>
  </si>
  <si>
    <t>659292448</t>
  </si>
  <si>
    <t>7425066</t>
  </si>
  <si>
    <t>řídící jednotka otvírání oken</t>
  </si>
  <si>
    <t>308</t>
  </si>
  <si>
    <t>7425067</t>
  </si>
  <si>
    <t>zdroj 230/24V</t>
  </si>
  <si>
    <t>310</t>
  </si>
  <si>
    <t>7425071</t>
  </si>
  <si>
    <t>soumrakové čidlo</t>
  </si>
  <si>
    <t>318</t>
  </si>
  <si>
    <t>7425073</t>
  </si>
  <si>
    <t>Přídržný magnet 85 kg s tlačítkem, včetně kotvy s kloubem</t>
  </si>
  <si>
    <t>322</t>
  </si>
  <si>
    <t>7425074</t>
  </si>
  <si>
    <t>FeZn průměr 10mm</t>
  </si>
  <si>
    <t>324</t>
  </si>
  <si>
    <t>7425075</t>
  </si>
  <si>
    <t>vodič HVI-long, D23mm, šedý č. produktu 819 132</t>
  </si>
  <si>
    <t>326</t>
  </si>
  <si>
    <t>7425076</t>
  </si>
  <si>
    <t>svorka připojovací SP01</t>
  </si>
  <si>
    <t>328</t>
  </si>
  <si>
    <t>7425077</t>
  </si>
  <si>
    <t>svorka UNI, 200 kVA</t>
  </si>
  <si>
    <t>330</t>
  </si>
  <si>
    <t>7425078</t>
  </si>
  <si>
    <t>plastová podložka</t>
  </si>
  <si>
    <t>332</t>
  </si>
  <si>
    <t>7425079</t>
  </si>
  <si>
    <t>zemnící tyč 1,5 m</t>
  </si>
  <si>
    <t>334</t>
  </si>
  <si>
    <t>7425080</t>
  </si>
  <si>
    <t>zavádění tyč 16/1000</t>
  </si>
  <si>
    <t>336</t>
  </si>
  <si>
    <t>7425081</t>
  </si>
  <si>
    <t>držák zaváděcí tyče</t>
  </si>
  <si>
    <t>338</t>
  </si>
  <si>
    <t>7425082</t>
  </si>
  <si>
    <t>gumoasfalt</t>
  </si>
  <si>
    <t>340</t>
  </si>
  <si>
    <t>7425083</t>
  </si>
  <si>
    <t>označovací štítek</t>
  </si>
  <si>
    <t>342</t>
  </si>
  <si>
    <t>7425084</t>
  </si>
  <si>
    <t>podpěra vedení PV 01</t>
  </si>
  <si>
    <t>344</t>
  </si>
  <si>
    <t>7425085</t>
  </si>
  <si>
    <t>podpěra vedení PV 21</t>
  </si>
  <si>
    <t>346</t>
  </si>
  <si>
    <t>7425086</t>
  </si>
  <si>
    <t>betonový podstavec</t>
  </si>
  <si>
    <t>348</t>
  </si>
  <si>
    <t>7425087</t>
  </si>
  <si>
    <t>gumová podložka pod betonový podstavec</t>
  </si>
  <si>
    <t>350</t>
  </si>
  <si>
    <t>7425088</t>
  </si>
  <si>
    <t>podpůrná trubka D 50mm L 4500mm</t>
  </si>
  <si>
    <t>352</t>
  </si>
  <si>
    <t>7425089</t>
  </si>
  <si>
    <t>tříramenný stativ sklopný</t>
  </si>
  <si>
    <t>354</t>
  </si>
  <si>
    <t>7425090</t>
  </si>
  <si>
    <t>upevňovací objímka s páskem</t>
  </si>
  <si>
    <t>356</t>
  </si>
  <si>
    <t>7425091</t>
  </si>
  <si>
    <t>podpěra vedení pro vodiče HVI, na ploché plochy</t>
  </si>
  <si>
    <t>358</t>
  </si>
  <si>
    <t>7425092</t>
  </si>
  <si>
    <t>adaptér pro uložení vodiče HVI</t>
  </si>
  <si>
    <t>360</t>
  </si>
  <si>
    <t>7425093</t>
  </si>
  <si>
    <t>podpěra vedení pro vodiče HVI, na kolmé plochy</t>
  </si>
  <si>
    <t>362</t>
  </si>
  <si>
    <t>7425094</t>
  </si>
  <si>
    <t>sada závitových tyčí 3x M16x340mm  č. produktu 105 396</t>
  </si>
  <si>
    <t>364</t>
  </si>
  <si>
    <t>7425095</t>
  </si>
  <si>
    <t>připojovací člen + montážní materiál, vodič HVI, vně trubky</t>
  </si>
  <si>
    <t>366</t>
  </si>
  <si>
    <t>7425096</t>
  </si>
  <si>
    <t>připojovací člen + montážní materiál, vodič HVI, uvnitř trubky</t>
  </si>
  <si>
    <t>368</t>
  </si>
  <si>
    <t>7425097</t>
  </si>
  <si>
    <t>připojovací člen + montážní materiál, vodič HVI, na uzem. Soustavu</t>
  </si>
  <si>
    <t>370</t>
  </si>
  <si>
    <t>7425098</t>
  </si>
  <si>
    <t>sada pro připojení vodičů HVI pro 4 vodiče</t>
  </si>
  <si>
    <t>372</t>
  </si>
  <si>
    <t>7425099</t>
  </si>
  <si>
    <t>PA svorka</t>
  </si>
  <si>
    <t>374</t>
  </si>
  <si>
    <t>7425100</t>
  </si>
  <si>
    <t>svorka pro zemnící tyčtyč SJ 02</t>
  </si>
  <si>
    <t>376</t>
  </si>
  <si>
    <t>7425101</t>
  </si>
  <si>
    <t>kabelový žlab 50x60, včetně kotvícího materiálu 2m/ks</t>
  </si>
  <si>
    <t>378</t>
  </si>
  <si>
    <t>7425102</t>
  </si>
  <si>
    <t>kabelový žebřík 200x60, včetně kotvícího materiálu 2m/ks</t>
  </si>
  <si>
    <t>380</t>
  </si>
  <si>
    <t>7425103</t>
  </si>
  <si>
    <t>kabelový žlab 100x60 EI30, včetně kotvícího materiálu 2m/ks</t>
  </si>
  <si>
    <t>382</t>
  </si>
  <si>
    <t>7425104</t>
  </si>
  <si>
    <t>kabelový kanál EI-60 (30mm) s vnitřními rozměry 100x700mm s oddělovací přepážkou pro ESI a ESL vč kotvícího materiálu</t>
  </si>
  <si>
    <t>384</t>
  </si>
  <si>
    <t>7425105</t>
  </si>
  <si>
    <t>CY  2.5mm2 (H07V-U) zelenožlutý</t>
  </si>
  <si>
    <t>386</t>
  </si>
  <si>
    <t>7425106</t>
  </si>
  <si>
    <t>CY  4mm2 (H07V-U) zelenožlutý</t>
  </si>
  <si>
    <t>388</t>
  </si>
  <si>
    <t>7425107</t>
  </si>
  <si>
    <t>CY  6mm2 (H07V-U) zelenožlutý</t>
  </si>
  <si>
    <t>390</t>
  </si>
  <si>
    <t>7425108</t>
  </si>
  <si>
    <t>392</t>
  </si>
  <si>
    <t>7425109</t>
  </si>
  <si>
    <t>CYA 16mm2 (H07V-U) zelenožlutý</t>
  </si>
  <si>
    <t>394</t>
  </si>
  <si>
    <t>7425110</t>
  </si>
  <si>
    <t>396</t>
  </si>
  <si>
    <t>7425111</t>
  </si>
  <si>
    <t>kabel 1-CXKH-V-J P60-R 3x1,5</t>
  </si>
  <si>
    <t>398</t>
  </si>
  <si>
    <t>7425112</t>
  </si>
  <si>
    <t>kabel 1-CXKH-V-J P60-R 3x2,5</t>
  </si>
  <si>
    <t>400</t>
  </si>
  <si>
    <t>7425113</t>
  </si>
  <si>
    <t>kabel 1-CXKH-V-J P60-R 5x1,5</t>
  </si>
  <si>
    <t>402</t>
  </si>
  <si>
    <t>7425114</t>
  </si>
  <si>
    <t>kabel 1-CXKH-V-J P60-R 5x2,5</t>
  </si>
  <si>
    <t>404</t>
  </si>
  <si>
    <t>7425115</t>
  </si>
  <si>
    <t>kabel 1-CXKH-V-J P60-R 5x4</t>
  </si>
  <si>
    <t>406</t>
  </si>
  <si>
    <t>7425116</t>
  </si>
  <si>
    <t>kabel 1-CXKH-V-J P60-R 5x6</t>
  </si>
  <si>
    <t>408</t>
  </si>
  <si>
    <t>7425117</t>
  </si>
  <si>
    <t>kabel 1-CXKH-R-J 3x1,5</t>
  </si>
  <si>
    <t>410</t>
  </si>
  <si>
    <t>7425118</t>
  </si>
  <si>
    <t>kabel 1-CXKH-R-J 3x2,5</t>
  </si>
  <si>
    <t>412</t>
  </si>
  <si>
    <t>7425118.1</t>
  </si>
  <si>
    <t>kabel 1-CXKH-R-J 5x10</t>
  </si>
  <si>
    <t>-1939712805</t>
  </si>
  <si>
    <t>7425119</t>
  </si>
  <si>
    <t>kabel CYKY 2Ox1.5mm2</t>
  </si>
  <si>
    <t>414</t>
  </si>
  <si>
    <t>7425120</t>
  </si>
  <si>
    <t>kabel CYKY 3Jx1.5mm2</t>
  </si>
  <si>
    <t>416</t>
  </si>
  <si>
    <t>7425121</t>
  </si>
  <si>
    <t>kabel CYKY 5Jx1.5mm2</t>
  </si>
  <si>
    <t>418</t>
  </si>
  <si>
    <t>7425122</t>
  </si>
  <si>
    <t>kabel CYKY 5Ox1.5mm2</t>
  </si>
  <si>
    <t>420</t>
  </si>
  <si>
    <t>7425123</t>
  </si>
  <si>
    <t>kabel CYKY 3Jx2.5mm2</t>
  </si>
  <si>
    <t>422</t>
  </si>
  <si>
    <t>7425124</t>
  </si>
  <si>
    <t>kabel CYKY 3Jx4mm2</t>
  </si>
  <si>
    <t>424</t>
  </si>
  <si>
    <t>7425125</t>
  </si>
  <si>
    <t>kabel CYKY 5Jx2.5mm2</t>
  </si>
  <si>
    <t>426</t>
  </si>
  <si>
    <t>7425125a</t>
  </si>
  <si>
    <t>kabel CYSY 4Jx1.5mm2</t>
  </si>
  <si>
    <t>2022732811</t>
  </si>
  <si>
    <t>7425126</t>
  </si>
  <si>
    <t>kabel CYKY 5Jx6mm2</t>
  </si>
  <si>
    <t>428</t>
  </si>
  <si>
    <t>7425127</t>
  </si>
  <si>
    <t>kabel CYKY 5Jx10mm2</t>
  </si>
  <si>
    <t>430</t>
  </si>
  <si>
    <t>7425128</t>
  </si>
  <si>
    <t>kabel 1xYY 150</t>
  </si>
  <si>
    <t>432</t>
  </si>
  <si>
    <t>7425129</t>
  </si>
  <si>
    <t>CXKH-V-J 4x10 P60-R</t>
  </si>
  <si>
    <t>434</t>
  </si>
  <si>
    <t>7425130</t>
  </si>
  <si>
    <t>Požární ucpávka na kabely vč. štítku</t>
  </si>
  <si>
    <t>436</t>
  </si>
  <si>
    <t>7425131</t>
  </si>
  <si>
    <t>dvourámeček</t>
  </si>
  <si>
    <t>438</t>
  </si>
  <si>
    <t>7425132</t>
  </si>
  <si>
    <t>třírámeček</t>
  </si>
  <si>
    <t>440</t>
  </si>
  <si>
    <t>7425133</t>
  </si>
  <si>
    <t>čtyřrámeček</t>
  </si>
  <si>
    <t>442</t>
  </si>
  <si>
    <t>7425134</t>
  </si>
  <si>
    <t>Bílá sádra</t>
  </si>
  <si>
    <t>444</t>
  </si>
  <si>
    <t>Podružný materiál</t>
  </si>
  <si>
    <t>9999991</t>
  </si>
  <si>
    <t>22525115</t>
  </si>
  <si>
    <t>SLA - Slaboproud</t>
  </si>
  <si>
    <t>1 - Bourací práce</t>
  </si>
  <si>
    <t>2 - C21M – Elektromontáže</t>
  </si>
  <si>
    <t>3 - Revize, DSPD, zkoušky</t>
  </si>
  <si>
    <t>4 - Materiály</t>
  </si>
  <si>
    <t>Bourací práce</t>
  </si>
  <si>
    <t>trubka plastová ohebná instalační průměr 16mm (PO)</t>
  </si>
  <si>
    <t>trubka plastová ohebná instalační průměr 23mm (PO)</t>
  </si>
  <si>
    <t>trubka plastová ohebná instalační průměr 36mm (PO)</t>
  </si>
  <si>
    <t>trubka plastová ohebná instalační průměr 40mm (PO)</t>
  </si>
  <si>
    <t>trubka plastová ohebná instalační průměr 50mm (PO)</t>
  </si>
  <si>
    <t>montáž vč. osazení RACK rozvaděče</t>
  </si>
  <si>
    <t>kabelový žlab bez víka vč. podpěrek</t>
  </si>
  <si>
    <t>demontáž stáv. instalace</t>
  </si>
  <si>
    <t>7422011a</t>
  </si>
  <si>
    <t>Instalace, zapojení čtečky</t>
  </si>
  <si>
    <t>-1059591699</t>
  </si>
  <si>
    <t>7422011b</t>
  </si>
  <si>
    <t>Instalace elektromechanického zámku</t>
  </si>
  <si>
    <t>-343140146</t>
  </si>
  <si>
    <t>7422011c</t>
  </si>
  <si>
    <t>Instalace, zapojení lokálního komunikačního serveru eBox</t>
  </si>
  <si>
    <t>-542878626</t>
  </si>
  <si>
    <t>7422011d</t>
  </si>
  <si>
    <t>Instalace, zapojení bezpečnostního relé eRelay</t>
  </si>
  <si>
    <t>-2080158285</t>
  </si>
  <si>
    <t>7422011e</t>
  </si>
  <si>
    <t>Implementace, nastavení, školení systému u zákazníka</t>
  </si>
  <si>
    <t>1217117827</t>
  </si>
  <si>
    <t>7422014</t>
  </si>
  <si>
    <t>vodič SYKFY 5x2x0,5</t>
  </si>
  <si>
    <t>7422015</t>
  </si>
  <si>
    <t>vodič UTP/FTP</t>
  </si>
  <si>
    <t>7422016</t>
  </si>
  <si>
    <t>datová zásuvka RJ 45, STA zás</t>
  </si>
  <si>
    <t>7422017</t>
  </si>
  <si>
    <t>konektor RJ45</t>
  </si>
  <si>
    <t>7422018</t>
  </si>
  <si>
    <t>7422019</t>
  </si>
  <si>
    <t>Ukončení optického vodiče v optické vaně - provaření</t>
  </si>
  <si>
    <t>-698466276</t>
  </si>
  <si>
    <t>Revize, DSPD, zkoušky</t>
  </si>
  <si>
    <t>7423007</t>
  </si>
  <si>
    <t>Odzkoučení a zprovoznění ACS systému</t>
  </si>
  <si>
    <t>7423008</t>
  </si>
  <si>
    <t>Revizní zkoušky a měření vodičů UTP</t>
  </si>
  <si>
    <t>7423009</t>
  </si>
  <si>
    <t>7423010</t>
  </si>
  <si>
    <t>7423010a</t>
  </si>
  <si>
    <t>Programové práce, zakázkový SW, analýza ACS</t>
  </si>
  <si>
    <t>-1750915553</t>
  </si>
  <si>
    <t>7423010b</t>
  </si>
  <si>
    <t>Synchronizace personálních záznamů obousměrná</t>
  </si>
  <si>
    <t>2003922797</t>
  </si>
  <si>
    <t>7423010c</t>
  </si>
  <si>
    <t>323512800</t>
  </si>
  <si>
    <t>7423010d</t>
  </si>
  <si>
    <t>Propojení se systémem bezdrátových zámků</t>
  </si>
  <si>
    <t>223774789</t>
  </si>
  <si>
    <t>7423011</t>
  </si>
  <si>
    <t>Vynesení materiálu do výšky 30 m</t>
  </si>
  <si>
    <t>7423014</t>
  </si>
  <si>
    <t>trubka ohebná instal. PVC 2332 průměr 32mm</t>
  </si>
  <si>
    <t>trubka ohebná instal. PVC průměr 40mm</t>
  </si>
  <si>
    <t>trubka ohebná instal. PVC průměr 50mm</t>
  </si>
  <si>
    <t>7424006</t>
  </si>
  <si>
    <t>kabel.žlab  100x60x0,8 mm</t>
  </si>
  <si>
    <t>kabel.žlab  50x60x0,8 mm</t>
  </si>
  <si>
    <t>7424010</t>
  </si>
  <si>
    <t>kabel.žebřík  200x110x0,8 mm</t>
  </si>
  <si>
    <t>kabel.žebřík  200x60x0,8 mm</t>
  </si>
  <si>
    <t>7424012</t>
  </si>
  <si>
    <t>nosník žlabu</t>
  </si>
  <si>
    <t>7424013</t>
  </si>
  <si>
    <t>HLRSLB stojanový (podrobný popis viz poznámka položky)</t>
  </si>
  <si>
    <t>Poznámka k položce:
42U,  800x800mm (vč, vybavení -ventilační deska na stropě 3x ventilátor + termostat, Modulární optická vana NE2000, 2x optický blok LC, 2x záslepka, Horizontální organizátor s plastovými sponami 2U, příslušenství (6x Rychloupínací modulární patch panel 48xRJ45, Cat.6a STP 2U ,Napájecí blok 9x zásuvka 2P+T,Rychloupínací police 360mm 2U)</t>
  </si>
  <si>
    <t>7424014</t>
  </si>
  <si>
    <t>RSLB2.0 stojanový (podrobný popis viz poznámka položky)</t>
  </si>
  <si>
    <t>Poznámka k položce:
42U,  600x800mm(vč, vybavení -ventilační deska na stropě 3x ventilátor + termostat, Modulární optická vana NE2000, 2x optický blok LC, 2x záslepka, Horizontální organizátor s plastovými sponami 2U, příslušenství (4x Rychloupínací modulární patch panel 48xRJ45, Cat.6a STP 2U, Napájecí blok 9x zásuvka 2P+T,Rychloupínací police 360mm 2U)</t>
  </si>
  <si>
    <t>7424015</t>
  </si>
  <si>
    <t>RSLB4.0 stojanový (podrobný popis viz poznámka položky)</t>
  </si>
  <si>
    <t>Poznámka k položce:
42U,  600x800mm (vč, vybavení -ventilační deska na stropě 3x ventilátor + termostat, Modulární optická vana NE2000, 2x optický blok LC, 2x záslepka, Horizontální organizátor s plastovými sponami 2U,  příslušenství (4x Rychloupínací modulární patch panel 48xRJ45, Cat.6a STP 2U,Napájecí blok 9x zásuvka 2P+T,Rychloupínací police 360mm 2U)</t>
  </si>
  <si>
    <t>7424015a</t>
  </si>
  <si>
    <t>eReader bezkontaktní snímač 13,56 MHz</t>
  </si>
  <si>
    <t>-1246483702</t>
  </si>
  <si>
    <t>7424015a1</t>
  </si>
  <si>
    <t>patch kabel 2m UTP, CAT6A, šedý</t>
  </si>
  <si>
    <t>660277592</t>
  </si>
  <si>
    <t>7424015b</t>
  </si>
  <si>
    <t>kryt snímače, černý (black)</t>
  </si>
  <si>
    <t>-953911689</t>
  </si>
  <si>
    <t>7424015c</t>
  </si>
  <si>
    <t>eRelay vzdálené bezpečnostní relé pro snímač a jedny dveře</t>
  </si>
  <si>
    <t>1811004010</t>
  </si>
  <si>
    <t>7424015d</t>
  </si>
  <si>
    <t>venkovní stříška pro snímače 135x89x88</t>
  </si>
  <si>
    <t>-80706876</t>
  </si>
  <si>
    <t>7424015e</t>
  </si>
  <si>
    <t>černá montážní podložka pro ER, 20mm, 82,5x125,8mm</t>
  </si>
  <si>
    <t>1043422895</t>
  </si>
  <si>
    <t>7424015f</t>
  </si>
  <si>
    <t>Napájecí adaptér 81W, 230V, 12-22V max.6A</t>
  </si>
  <si>
    <t>1811942395</t>
  </si>
  <si>
    <t>7424015g</t>
  </si>
  <si>
    <t>eBox lokální komunikační server pro snímače, 2xEthernet, RACK verze</t>
  </si>
  <si>
    <t>-81201324</t>
  </si>
  <si>
    <t>7424015h</t>
  </si>
  <si>
    <t>bezkontaktní snímač 13,56 MHz pro zadávání karet, USB</t>
  </si>
  <si>
    <t>-1964686100</t>
  </si>
  <si>
    <t>7424016</t>
  </si>
  <si>
    <t xml:space="preserve">Komunikační jednotka IP domácího telefonu </t>
  </si>
  <si>
    <t>7424018</t>
  </si>
  <si>
    <t>7424019</t>
  </si>
  <si>
    <t>elektromechanický samozamykací zámek</t>
  </si>
  <si>
    <t>7424027</t>
  </si>
  <si>
    <t>vodič UTP Cat 5E</t>
  </si>
  <si>
    <t>7424028</t>
  </si>
  <si>
    <t>vodič UTP Cat 5E B2ca-s1,d1,a1</t>
  </si>
  <si>
    <t>7424029</t>
  </si>
  <si>
    <t>vodič UTP Cat 6A</t>
  </si>
  <si>
    <t>7424030</t>
  </si>
  <si>
    <t>vodič UTP Cat 6A B2ca-s1,d1,a1</t>
  </si>
  <si>
    <t>7424032</t>
  </si>
  <si>
    <t>7424033</t>
  </si>
  <si>
    <t>vodič SYKFY 2x2x0,5</t>
  </si>
  <si>
    <t>7424034</t>
  </si>
  <si>
    <t>optický kabel, SINGLEMOD 12 vláken 9/125</t>
  </si>
  <si>
    <t>7424035</t>
  </si>
  <si>
    <t>Datová zásuvka 2x RJ45 - CAT6A,</t>
  </si>
  <si>
    <t>7424036</t>
  </si>
  <si>
    <t>Keystone CAT6A</t>
  </si>
  <si>
    <t>7424037</t>
  </si>
  <si>
    <t>koncovka RJ 45</t>
  </si>
  <si>
    <t>-1584993524</t>
  </si>
  <si>
    <t>FVE - FVE systém - LFP</t>
  </si>
  <si>
    <t>2 - Revize, DSPS, zkoušky</t>
  </si>
  <si>
    <t>3 - Materiály</t>
  </si>
  <si>
    <t>vodič CYKY-J 5x10</t>
  </si>
  <si>
    <t>Revizní zpráva</t>
  </si>
  <si>
    <t>Vybavení rozvaděče RH</t>
  </si>
  <si>
    <t>-152477398</t>
  </si>
  <si>
    <t>FV - FV systém</t>
  </si>
  <si>
    <t>montáž panelu FVE</t>
  </si>
  <si>
    <t>montáž a zapojení střídače</t>
  </si>
  <si>
    <t>vodič Solar 6mm2</t>
  </si>
  <si>
    <t>průrazy, vrtání, následné vyspravení</t>
  </si>
  <si>
    <t>vodič CY16 zž</t>
  </si>
  <si>
    <t>montáž konstrukce pro FVE panel</t>
  </si>
  <si>
    <t>Zaškolení investora</t>
  </si>
  <si>
    <t>Zprovoznění FV systému</t>
  </si>
  <si>
    <t>Střídač 25kw (6x MTTP)</t>
  </si>
  <si>
    <t>Přepěťové ochrany</t>
  </si>
  <si>
    <t>Kanál SK 40x33 stínící, délka 2m</t>
  </si>
  <si>
    <t>Optimizér s RSS funkcí</t>
  </si>
  <si>
    <t>FV panel s nízkým vývinem tep 500 Wp</t>
  </si>
  <si>
    <t>200*1,05 'Přepočtené koeficientem množství</t>
  </si>
  <si>
    <t>150*1,05 'Přepočtené koeficientem množství</t>
  </si>
  <si>
    <t>AC/DC rozvaděč pro 6 stringů</t>
  </si>
  <si>
    <t>Konstrukce pro FV panel vč. Kotvení (nerezová konstrukce se sklonem 15°, orientace V/Z)</t>
  </si>
  <si>
    <t>7423009.1</t>
  </si>
  <si>
    <t>Zátěz pro konstrukci FVE</t>
  </si>
  <si>
    <t>-1841448630</t>
  </si>
  <si>
    <t>Komunikátor pro RSS optimizéry</t>
  </si>
  <si>
    <t>-63087724</t>
  </si>
  <si>
    <t>NZS - NZS - EPS</t>
  </si>
  <si>
    <t>1 - Modulární požární ústředna</t>
  </si>
  <si>
    <t>2 - Kryt</t>
  </si>
  <si>
    <t>3 - Napájení</t>
  </si>
  <si>
    <t>4 - Modul ústředny</t>
  </si>
  <si>
    <t>5 - Bodový požární hlásič, Adresovatelný</t>
  </si>
  <si>
    <t>6 - Ruční tlačítkový hlásič požáru, Adresovatelný</t>
  </si>
  <si>
    <t>7 - Signalizační zařízení, Adresovatelný, Vizuální indikace</t>
  </si>
  <si>
    <t>8 - Modul rozhraní</t>
  </si>
  <si>
    <t>9 - Hasicí vybavení</t>
  </si>
  <si>
    <t>11 - NZS - Ustředna</t>
  </si>
  <si>
    <t>12 - Kabely a elektroinstalační materiál</t>
  </si>
  <si>
    <t>13 - Ostatní</t>
  </si>
  <si>
    <t>Modulární požární ústředna</t>
  </si>
  <si>
    <t>Ovládání ústředny, Prémiový</t>
  </si>
  <si>
    <t>Vzdálená klávesnice povrchová montáž, Redundance řídicí jednotky ústředny</t>
  </si>
  <si>
    <t>Kryt</t>
  </si>
  <si>
    <t>Skříň pro 6 modulů, Nástěnný</t>
  </si>
  <si>
    <t>Přídavná skříň s 12 modulovými sloty, Nástěnný</t>
  </si>
  <si>
    <t>Skříň pro napájecí zdroj, Velká, Nástěnný</t>
  </si>
  <si>
    <t>Lišta ústředny, Malá</t>
  </si>
  <si>
    <t>Lišta ústředny, Velká</t>
  </si>
  <si>
    <t>Zaslepovací kryt</t>
  </si>
  <si>
    <t>Sada kabelů, Duplicitní klávesnice</t>
  </si>
  <si>
    <t>Sada kabelů, Řídicí jednotka akumulátorů do akumulátoru</t>
  </si>
  <si>
    <t>Sada kabelů, Napájení řídicí jednotky akumulátorů</t>
  </si>
  <si>
    <t>nástěnná rozvodnice s požární odolností 30min</t>
  </si>
  <si>
    <t>Napájení</t>
  </si>
  <si>
    <t>Napájecí zdroj, 24V</t>
  </si>
  <si>
    <t>Držák napájecího zdroje, Pro jeden zdroj</t>
  </si>
  <si>
    <t>Držák napájecího zdroje, Kompaktní skříň</t>
  </si>
  <si>
    <t>Baterie (12 V), každá 24 Ah</t>
  </si>
  <si>
    <t>Modul ústředny</t>
  </si>
  <si>
    <t>Bateriový modul</t>
  </si>
  <si>
    <t>Sběrnice, Vysoký výkon (1500 mA)</t>
  </si>
  <si>
    <t>Sběrnice, Standardní výkon (300 mA)</t>
  </si>
  <si>
    <t>Komunikace, Externí oznamovací modul</t>
  </si>
  <si>
    <t>Vstupy a výstupy, 8 monitorovaných vstupů a 8 výstupů s otevřeným kolektorem</t>
  </si>
  <si>
    <t>Komunikace, Proudový okruh 20 mA a porty RS232</t>
  </si>
  <si>
    <t>Bodový požární hlásič, Adresovatelný</t>
  </si>
  <si>
    <t>Optický, Pouze automatická adresace</t>
  </si>
  <si>
    <t>Optický/tepelný</t>
  </si>
  <si>
    <t>Patice, Bez loga</t>
  </si>
  <si>
    <t>Příslušenství, Etikety pro označení až do výšky 4m</t>
  </si>
  <si>
    <t>Ruční tlačítkový hlásič požáru, Adresovatelný</t>
  </si>
  <si>
    <t>7426001</t>
  </si>
  <si>
    <t>Malá skříň, Jednočinný, Resetovatelný, Vnitřní, Červená, Povrchová montáž</t>
  </si>
  <si>
    <t>Signalizační zařízení, Adresovatelný, Vizuální indikace</t>
  </si>
  <si>
    <t>7427001</t>
  </si>
  <si>
    <t>Stroboskop, Vnitřní, Strop/stěna, Montáž patice, Červený záblesk</t>
  </si>
  <si>
    <t>7427002</t>
  </si>
  <si>
    <t>Modul rozhraní</t>
  </si>
  <si>
    <t>7428001</t>
  </si>
  <si>
    <t>Vstupy a výstupy, 8 monitorovaných vstupů a 1 reléový výstup, Povrchová montáž</t>
  </si>
  <si>
    <t>7428002</t>
  </si>
  <si>
    <t>Vstupy a výstupy, 2 sledované vstupy, Nástěnný</t>
  </si>
  <si>
    <t>7428003</t>
  </si>
  <si>
    <t>Vstupy a výstupy, 1 monitorovaný vstup a 1 výstup s otevřeným kolektorem, Vestavěný</t>
  </si>
  <si>
    <t>7428004</t>
  </si>
  <si>
    <t>Vstupy a výstupy, 8 reléových výstupů, Povrchová montáž</t>
  </si>
  <si>
    <t>7428005</t>
  </si>
  <si>
    <t>Vstupy a výstupy, 2 monitorované vstupy a 2 reléové výstupy, Povrchová montáž</t>
  </si>
  <si>
    <t>7428006</t>
  </si>
  <si>
    <t>Příslušenství, Skříň pro povrchovou montáž</t>
  </si>
  <si>
    <t>Hasicí vybavení</t>
  </si>
  <si>
    <t>7429001</t>
  </si>
  <si>
    <t>Adresovatelný, Klávesnice pro hasiče - OPPO</t>
  </si>
  <si>
    <t>7429002</t>
  </si>
  <si>
    <t>Běžný, Schránka na klíče pro hasiče odolná proti dešti vč majáku - KTPO</t>
  </si>
  <si>
    <t>NZS - Ustředna</t>
  </si>
  <si>
    <t>7421101</t>
  </si>
  <si>
    <t>Řídící jednotka NZS</t>
  </si>
  <si>
    <t>7421102</t>
  </si>
  <si>
    <t>napájecí zdroj 24V, modulový</t>
  </si>
  <si>
    <t>7421103</t>
  </si>
  <si>
    <t>zesilovač 2x500W</t>
  </si>
  <si>
    <t>7421104</t>
  </si>
  <si>
    <t>emergency stanice hlasatele</t>
  </si>
  <si>
    <t>7421105</t>
  </si>
  <si>
    <t>záložní baterie,12V/100Ah</t>
  </si>
  <si>
    <t>7421106</t>
  </si>
  <si>
    <t>6W skříňkový reproduktor</t>
  </si>
  <si>
    <t>7421107</t>
  </si>
  <si>
    <t>10W zvukový projektor</t>
  </si>
  <si>
    <t>7421108</t>
  </si>
  <si>
    <t>kryt pro povrchovou montáž</t>
  </si>
  <si>
    <t>7421109</t>
  </si>
  <si>
    <t>12W obousměrný zvukový projektor</t>
  </si>
  <si>
    <t>7421110</t>
  </si>
  <si>
    <t>zakončovací modul linky</t>
  </si>
  <si>
    <t>Kabely a elektroinstalační materiál</t>
  </si>
  <si>
    <t>7421201</t>
  </si>
  <si>
    <t>CXKH-V (J) P60-R 2x1,5</t>
  </si>
  <si>
    <t>7421202</t>
  </si>
  <si>
    <t>7421203</t>
  </si>
  <si>
    <t>keramická svorkovnice</t>
  </si>
  <si>
    <t>7421204</t>
  </si>
  <si>
    <t>Hnědý kabel funkční při požáru PH60-R 2x2,5 B2ca-s1d1a1</t>
  </si>
  <si>
    <t>7421205</t>
  </si>
  <si>
    <t>Hnědý stíněný kabel 5x2x0,8 PH60-R B2ca s1d1a1</t>
  </si>
  <si>
    <t>7421206</t>
  </si>
  <si>
    <t>Hnědý stíněný kabel 2x2x0,8 PH60-R B2ca s1d1a1</t>
  </si>
  <si>
    <t>7421207</t>
  </si>
  <si>
    <t>jednoduchá kovová příchytka na kabel 10mm</t>
  </si>
  <si>
    <t>7421208</t>
  </si>
  <si>
    <t>UTP Cat 6  B2ca-s1d1a1  kabel funkční při požáru PH60-R</t>
  </si>
  <si>
    <t>7421209</t>
  </si>
  <si>
    <t>Bezhalogenová instalační trubka průměr 25mm pevná včetně uchycení ke stěně nebo stropu</t>
  </si>
  <si>
    <t>7421210</t>
  </si>
  <si>
    <t>Protipožární ucpávka s odolností do EI 60  otvor do D40,tloušťka zdi do 300 mm</t>
  </si>
  <si>
    <t>7421211</t>
  </si>
  <si>
    <t>7421212</t>
  </si>
  <si>
    <t>vyvrtání otvoru do R=50mm</t>
  </si>
  <si>
    <t>7421213</t>
  </si>
  <si>
    <t>vyvrtání otvoru do R=30mm</t>
  </si>
  <si>
    <t>7421214</t>
  </si>
  <si>
    <t>Drážkování do 20mm</t>
  </si>
  <si>
    <t>Ostatní</t>
  </si>
  <si>
    <t>7421301</t>
  </si>
  <si>
    <t>ZDP  -(vč. dodavatelské dokumentace, měření, instalace, připojení, vč. Kotevního příslušenství, antény, držáku antény, vyměření tras, materiálu, revize )</t>
  </si>
  <si>
    <t>7421302</t>
  </si>
  <si>
    <t>Poplatek za podporu při uvedení do provozu</t>
  </si>
  <si>
    <t>7421303</t>
  </si>
  <si>
    <t>Provozní kniha EPS</t>
  </si>
  <si>
    <t>7421304</t>
  </si>
  <si>
    <t>podružný materiál</t>
  </si>
  <si>
    <t>7421305</t>
  </si>
  <si>
    <t>materiálová rezerva (5%)</t>
  </si>
  <si>
    <t>7421306</t>
  </si>
  <si>
    <t>Oživení a naprogramování systému EPS</t>
  </si>
  <si>
    <t>7421306.1</t>
  </si>
  <si>
    <t>Oživení a naprogramování systému NZS</t>
  </si>
  <si>
    <t>-1737451138</t>
  </si>
  <si>
    <t>7421307</t>
  </si>
  <si>
    <t>Revize systému EPS</t>
  </si>
  <si>
    <t>7421308</t>
  </si>
  <si>
    <t>Kompletace [hod.]</t>
  </si>
  <si>
    <t>7421309</t>
  </si>
  <si>
    <t>Značení trasy vedení [hod.]</t>
  </si>
  <si>
    <t>7421310</t>
  </si>
  <si>
    <t>Stavební přípomoci [hod.]</t>
  </si>
  <si>
    <t>7421311</t>
  </si>
  <si>
    <t>Spolupráce s ostatními profesemi stavby [hod.]</t>
  </si>
  <si>
    <t>7421312</t>
  </si>
  <si>
    <t>Ekologická likvidace odpadu</t>
  </si>
  <si>
    <t>7421313</t>
  </si>
  <si>
    <t>Zaškolení uživetele [hod.]</t>
  </si>
  <si>
    <t>7421314</t>
  </si>
  <si>
    <t>vedlejší náklady - cestovné + dopravné</t>
  </si>
  <si>
    <t>7421315</t>
  </si>
  <si>
    <t>inženýrská činnost [hod.]</t>
  </si>
  <si>
    <t>7421316</t>
  </si>
  <si>
    <t>Sledování zařízení EPS ve 14ti denním zkušebním provozu</t>
  </si>
  <si>
    <t>7421317</t>
  </si>
  <si>
    <t>VZT - Vzduchotechnika</t>
  </si>
  <si>
    <t xml:space="preserve">      751-1 - VZT Zařízení </t>
  </si>
  <si>
    <t xml:space="preserve">      751-2 - Tlumiče hluku</t>
  </si>
  <si>
    <t xml:space="preserve">      751-3 - Koncové prvky</t>
  </si>
  <si>
    <t xml:space="preserve">      751-4 - Ostatní prvky</t>
  </si>
  <si>
    <t xml:space="preserve">      751-5 - Potrubí</t>
  </si>
  <si>
    <t xml:space="preserve">      751-6 - Izolace a pomocné konstrukce</t>
  </si>
  <si>
    <t>751-1</t>
  </si>
  <si>
    <t xml:space="preserve">VZT Zařízení </t>
  </si>
  <si>
    <t>1.0.01</t>
  </si>
  <si>
    <t>Kompaktní VZT rekuperační jednotka,  Nástěnné provedení, připojovací hrdla 4x D200 (možnost instalace do skříně) Jmenovitý výkon 560 m3/h (při 0 Pa) Navržený průtok 400 m3/h (při 200 Pa) Rozměry jednotky (VxHxŠ) 1000x526x1070 mm</t>
  </si>
  <si>
    <t>55996952</t>
  </si>
  <si>
    <t>Poznámka k položce:
El. připojení 230 V/50 Hz/4,0 kW Akustické parametry (LwA): Potrubí ext. &lt;78 dB, potrubí. int. &lt;62dB, plášť &lt;45dB Interní příslušenství: Deskový výměník ZZT, obtoková klapka (bypass), el. předehřívač 230 V / 2,2 kW, el. ohřívač 230 V / 1,1 kW, regulace (časový program, regulace dle CO2, režim boost), Přívodní a odvodní filtry třídy G4 Ovládací panel, vč. modulu pro wi-fi Účinnost ZZT: Zimní 93 % , letní 84%</t>
  </si>
  <si>
    <t>1.0.01a</t>
  </si>
  <si>
    <t>Čidlo kouře do VZT potrubí, propojení s EPS dle profese elektro</t>
  </si>
  <si>
    <t>1385431052</t>
  </si>
  <si>
    <t>1.0.CO2</t>
  </si>
  <si>
    <t>Čidlo CO2 - prostorové, v rámci dodávky VZT jednotky</t>
  </si>
  <si>
    <t>-1535722462</t>
  </si>
  <si>
    <t>2.0.01</t>
  </si>
  <si>
    <t>-230230452</t>
  </si>
  <si>
    <t>Poznámka k položce:
 El. připojení 230 V/50 Hz/4,0 kW Akustické parametry (LwA): Potrubí ext. &lt;78 dB, potrubí. int. &lt;62dB, plášť &lt;45dB Interní příslušenství: Deskový výměník ZZT, obtoková klapka (bypass), el. předehřívač 230 V / 2,2 kW, el. ohřívač 230 V / 1,1 kW, regulace (časový program, regulace dle CO2, režim boost), Přívodní a odvodní filtry třídy G4 Ovládací panel, vč. modulu pro wi-fi Účinnost ZZT: Zimní 93 % , letní 84%</t>
  </si>
  <si>
    <t>2.0.01a</t>
  </si>
  <si>
    <t>-1868203477</t>
  </si>
  <si>
    <t>2.0.CO2</t>
  </si>
  <si>
    <t>308203565</t>
  </si>
  <si>
    <t>3.0.01</t>
  </si>
  <si>
    <t>-1413330415</t>
  </si>
  <si>
    <t>3.0.01a</t>
  </si>
  <si>
    <t>-1129025389</t>
  </si>
  <si>
    <t>3.0.CO2</t>
  </si>
  <si>
    <t>707109417</t>
  </si>
  <si>
    <t>4.0.01</t>
  </si>
  <si>
    <t>Kompaktní VZT rekuperační jednotka,  Nástěnné provedení, připojovací hrdla 4x D160 (možnost instalace do skříně) Jmenovitý výkon 360 m3/h (při 0 Pa) Navržený průtok 280 m3/h (při 200 Pa) Rozměry jednotky (VxHxŠ) 900x485x930 mm</t>
  </si>
  <si>
    <t>-441041413</t>
  </si>
  <si>
    <t>Poznámka k položce:
El. připojení 230 V/50 Hz/4,0 kW Akustické parametry (LwA): Potrubí ext. &lt;64 dB, potrubí. int. &lt;48 dB, plášť &lt;39 dB Interní příslušenství: Deskový výměník ZZT, obtoková klapka (bypass), el. předehřívač 230 V / 2,2 kW, el. ohřívač 230 V / 1,1 kW, regulace (časový program, regulace dle vlhkosti, režim boost), Přívodní a odvodní filtry třídy G4 Ovládací panel, vč. modulu pro wi-fi Účinnost ZZT: Zimní 95 % , letní 85%</t>
  </si>
  <si>
    <t>4.0.01a</t>
  </si>
  <si>
    <t>1869929258</t>
  </si>
  <si>
    <t>4.0.CO2</t>
  </si>
  <si>
    <t>1845266728</t>
  </si>
  <si>
    <t>4.0.H</t>
  </si>
  <si>
    <t>Čidlo vlhkosti - prostorové, v rámci dodávky VZT jednotky</t>
  </si>
  <si>
    <t>182575523</t>
  </si>
  <si>
    <t>5.0.01</t>
  </si>
  <si>
    <t>989059087</t>
  </si>
  <si>
    <t>5.0.01a</t>
  </si>
  <si>
    <t>1443254139</t>
  </si>
  <si>
    <t>5.0.CO2</t>
  </si>
  <si>
    <t>-1608292327</t>
  </si>
  <si>
    <t>6.1.01</t>
  </si>
  <si>
    <t>-1153930346</t>
  </si>
  <si>
    <t>6.1.01a</t>
  </si>
  <si>
    <t>-481876600</t>
  </si>
  <si>
    <t>6.1.CO2</t>
  </si>
  <si>
    <t>-1178209470</t>
  </si>
  <si>
    <t>7.1.01</t>
  </si>
  <si>
    <t>-1913671093</t>
  </si>
  <si>
    <t>7.1.01a</t>
  </si>
  <si>
    <t>241822010</t>
  </si>
  <si>
    <t>7.1.CO2</t>
  </si>
  <si>
    <t>-128430691</t>
  </si>
  <si>
    <t>8.2.01</t>
  </si>
  <si>
    <t>-758500624</t>
  </si>
  <si>
    <t>8.2.01a</t>
  </si>
  <si>
    <t>1645784639</t>
  </si>
  <si>
    <t>8.2.CO2</t>
  </si>
  <si>
    <t>1609699966</t>
  </si>
  <si>
    <t>9.1.01</t>
  </si>
  <si>
    <t>Radiální ventilátor do podhledu Max. průtok 107 m3/h (0 Pa) Návrhový průtok 90 m3/h (100 Pa) Instalace do podhledu - boční připojení Rozměry 265x265x100, Připojení d80 vč. doběhu 1-20 min Akustický tlak LwA (1m) = 46 dB</t>
  </si>
  <si>
    <t>2073284411</t>
  </si>
  <si>
    <t>9.1.02</t>
  </si>
  <si>
    <t>Radiální ventilátor do podhledu Max. průtok 66 m3/h (0 Pa) Návrhový průtok 50 m3/h (100 Pa) Instalace do podhledu - boční připojení Rozměry 265x265x100, Připojení d80 vč. doběhu 1-20 min Akustický tlak LwA (1m) = 36 dB</t>
  </si>
  <si>
    <t>-1085270590</t>
  </si>
  <si>
    <t>9.2.01</t>
  </si>
  <si>
    <t>1315949450</t>
  </si>
  <si>
    <t>9.2.02</t>
  </si>
  <si>
    <t>-352070147</t>
  </si>
  <si>
    <t>9.3.01</t>
  </si>
  <si>
    <t>-2055245103</t>
  </si>
  <si>
    <t>9.3.02</t>
  </si>
  <si>
    <t>-477885441</t>
  </si>
  <si>
    <t>9.4.01</t>
  </si>
  <si>
    <t>1262945014</t>
  </si>
  <si>
    <t>9.4.02</t>
  </si>
  <si>
    <t>-622647702</t>
  </si>
  <si>
    <t>9.5.01</t>
  </si>
  <si>
    <t>1800990681</t>
  </si>
  <si>
    <t>9.5.02</t>
  </si>
  <si>
    <t>1626683961</t>
  </si>
  <si>
    <t>10.1.01</t>
  </si>
  <si>
    <t>1064212775</t>
  </si>
  <si>
    <t>10.1.02</t>
  </si>
  <si>
    <t>Uzavírací klapka d100 se servopohonem (ON, OFF), el. připojení 230 V</t>
  </si>
  <si>
    <t>-749393274</t>
  </si>
  <si>
    <t>10.1.04</t>
  </si>
  <si>
    <t>Detektor chladiva s alarmem, prostorové čidlo úniku chladiva (kalibováno na R32) vč. alarmu, el. připojení 24 V</t>
  </si>
  <si>
    <t>-200676269</t>
  </si>
  <si>
    <t>10.2.01</t>
  </si>
  <si>
    <t>-490110535</t>
  </si>
  <si>
    <t>10.2.02</t>
  </si>
  <si>
    <t>978335599</t>
  </si>
  <si>
    <t>10.3.01</t>
  </si>
  <si>
    <t>-243945356</t>
  </si>
  <si>
    <t>10.3.02</t>
  </si>
  <si>
    <t>-163047147</t>
  </si>
  <si>
    <t>10.3.04</t>
  </si>
  <si>
    <t>-1107892164</t>
  </si>
  <si>
    <t>10.4.01</t>
  </si>
  <si>
    <t>1433109087</t>
  </si>
  <si>
    <t>10.4.02</t>
  </si>
  <si>
    <t>-917261201</t>
  </si>
  <si>
    <t>P1.1.02</t>
  </si>
  <si>
    <t>Přetlaková klapka 400x345 mm,  kovová, samočinná s nastavitelným otevíracím přetlakem  (nastavena na 50 Pa)</t>
  </si>
  <si>
    <t>298364202</t>
  </si>
  <si>
    <t>P1.5.02</t>
  </si>
  <si>
    <t>1765445853</t>
  </si>
  <si>
    <t>P1.6.01</t>
  </si>
  <si>
    <t>Zvukově izolovaný radiální potrubní ventilátor Instalace do venkovního prostředí, vč. stříšky Max. průtok 2700 m3/h (0 Pa) Návrhový průtok 1300 m3/h (300 Pa) rozměry (vxšxd) 650x650x750, připojení d355 mm, 40 kg  El. připojení: 400V, 0,300 kW</t>
  </si>
  <si>
    <t>-513423100</t>
  </si>
  <si>
    <t>P2.6.01</t>
  </si>
  <si>
    <t>Axiální potrubní ventilátor Instalace do venkovního prostředí Max. průtok 20 000 m3/h (0 Pa) Návrhový průtok 12 500 m3/h (400 pa) rozměry (DxP) 565x860, připojení d800mm, 120 kg El. připojení: 400V, 4,0 kW vč. pružných manžet a montáž. Konzol</t>
  </si>
  <si>
    <t>686032057</t>
  </si>
  <si>
    <t>P3.6.01</t>
  </si>
  <si>
    <t>Axiální potrubní ventilátor Instalace do venkovního prostředí Max. průtok 7600 m3/h (0 Pa) Návrhový průtok 3000 m3/h (300 pa) rozměry (DxP) 565x620, připojení d560mm, 60 kg El. připojení: 400V, 0,55 kW vč. pružných manžet a montáž. Konzol</t>
  </si>
  <si>
    <t>218879825</t>
  </si>
  <si>
    <t>P4.2.01</t>
  </si>
  <si>
    <t>Lamelová požární stěnová klapka Otvor 200x300mm +300x190 mm servopohon Servopohon, el. připojení 230V + 24V (ovládání signálem EPS, signalizace polohy, bez proudu uzavřeno, s možností ručního otevření pro kontrolu)  vč. těsnění a montážního příslušenství</t>
  </si>
  <si>
    <t>55506793</t>
  </si>
  <si>
    <t>P4.3.01</t>
  </si>
  <si>
    <t>1705000248</t>
  </si>
  <si>
    <t>P4.4.01</t>
  </si>
  <si>
    <t>65788006</t>
  </si>
  <si>
    <t>751-2</t>
  </si>
  <si>
    <t>Tlumiče hluku</t>
  </si>
  <si>
    <t>1.0.02</t>
  </si>
  <si>
    <t>Kruhový tlumič hluku D200, délky 1000mm (max. vnější průměr 300mm) průtok vzduchu 400 m3/h (dp &lt;25 Pa) Střední útlum min 8 dB</t>
  </si>
  <si>
    <t>1845024576</t>
  </si>
  <si>
    <t>2.0.02</t>
  </si>
  <si>
    <t>Kruhový tlumič hluku D200, délky 1000mm (max. vnější průměr 300 mm) průtok vzduchu 400 m3/h (dp &lt;25 Pa) Střední útlum min 8 dB</t>
  </si>
  <si>
    <t>2042374902</t>
  </si>
  <si>
    <t>3.0.02</t>
  </si>
  <si>
    <t>-1207789185</t>
  </si>
  <si>
    <t>4.0.02</t>
  </si>
  <si>
    <t>Kruhový tlumič hluku D160, délky 1000mm (max. vnější průměr 260 mm) průtok vzduchu 280 m3/h (dp &lt;25 Pa) Střední útlum min 13 dB</t>
  </si>
  <si>
    <t>85569008</t>
  </si>
  <si>
    <t>5.0.02</t>
  </si>
  <si>
    <t>-186372050</t>
  </si>
  <si>
    <t>6.1.02</t>
  </si>
  <si>
    <t>-817179718</t>
  </si>
  <si>
    <t>7.1.02</t>
  </si>
  <si>
    <t>763814654</t>
  </si>
  <si>
    <t>8.2.02</t>
  </si>
  <si>
    <t>-557367683</t>
  </si>
  <si>
    <t>751-3</t>
  </si>
  <si>
    <t>Koncové prvky</t>
  </si>
  <si>
    <t>1.0.03</t>
  </si>
  <si>
    <t>Talířový ventil přívodní D125, kovový, průtok vzduchu do 100 m3/h</t>
  </si>
  <si>
    <t>1912094074</t>
  </si>
  <si>
    <t>1.0.04</t>
  </si>
  <si>
    <t>Talířový ventil odvodní D125, kovový, průtok vzduchu do 100 m3/h</t>
  </si>
  <si>
    <t>-1616689957</t>
  </si>
  <si>
    <t>1.0.05a</t>
  </si>
  <si>
    <t>Protidešťová žaluzie 350x350 mm, vč. síťky proti hmyzu</t>
  </si>
  <si>
    <t>-1322713180</t>
  </si>
  <si>
    <t>1.0.05b</t>
  </si>
  <si>
    <t>Fasádní tvarovka pro sání/výfuk vzduchu, 350x350mm, potrubí D200</t>
  </si>
  <si>
    <t>1388472781</t>
  </si>
  <si>
    <t>2.0.03</t>
  </si>
  <si>
    <t>-692200798</t>
  </si>
  <si>
    <t>2.0.04</t>
  </si>
  <si>
    <t>-1912628213</t>
  </si>
  <si>
    <t>2.0.05a</t>
  </si>
  <si>
    <t>-1623386430</t>
  </si>
  <si>
    <t>2.0.05b</t>
  </si>
  <si>
    <t>424012512</t>
  </si>
  <si>
    <t>3.0.03</t>
  </si>
  <si>
    <t>-586152722</t>
  </si>
  <si>
    <t>3.0.04</t>
  </si>
  <si>
    <t>751395002</t>
  </si>
  <si>
    <t>3.0.06a</t>
  </si>
  <si>
    <t>1940199599</t>
  </si>
  <si>
    <t>3.0.06b</t>
  </si>
  <si>
    <t>1772696227</t>
  </si>
  <si>
    <t>3.0.07</t>
  </si>
  <si>
    <t>Přeslechový čtyřhranný kryt s hlukově izolovanými panely kryt 370x130 mm prostup 300x80 mm</t>
  </si>
  <si>
    <t>966042478</t>
  </si>
  <si>
    <t>4.0.03</t>
  </si>
  <si>
    <t>969331999</t>
  </si>
  <si>
    <t>4.0.04</t>
  </si>
  <si>
    <t>Talířový ventil přívodní D80, kovový, průtok vzduchu do 40 m3/h</t>
  </si>
  <si>
    <t>-1260648207</t>
  </si>
  <si>
    <t>4.0.05</t>
  </si>
  <si>
    <t>1836430433</t>
  </si>
  <si>
    <t>4.0.06</t>
  </si>
  <si>
    <t>Talířový ventil odvodní D100, kovový, průtok vzduchu do 50 m3/h</t>
  </si>
  <si>
    <t>-1206119762</t>
  </si>
  <si>
    <t>4.0.07a</t>
  </si>
  <si>
    <t>Protidešťová žaluzie 300x300 mm, vč. síťky proti hmyzu</t>
  </si>
  <si>
    <t>211763855</t>
  </si>
  <si>
    <t>4.0.07b</t>
  </si>
  <si>
    <t>Fasádní tvarovka pro sání/výfuk vzduchu, 350x350mm, potrubí D160</t>
  </si>
  <si>
    <t>1288155216</t>
  </si>
  <si>
    <t>5.0.03</t>
  </si>
  <si>
    <t>-1835204101</t>
  </si>
  <si>
    <t>5.0.03b</t>
  </si>
  <si>
    <t>Talířový ventil přívodní D100, kovový, průtok vzduchu do 50 m3/h</t>
  </si>
  <si>
    <t>2032557503</t>
  </si>
  <si>
    <t>5.0.04</t>
  </si>
  <si>
    <t>Talířový ventil odvodní D160, kovový, průtok vzduchu do 150 m3/h</t>
  </si>
  <si>
    <t>1971818783</t>
  </si>
  <si>
    <t>5.0.05</t>
  </si>
  <si>
    <t>-2056195531</t>
  </si>
  <si>
    <t>5.0.06</t>
  </si>
  <si>
    <t>Talířový ventil odvodní D80, kovový, průtok vzduchu do 25 m3/h</t>
  </si>
  <si>
    <t>1411333860</t>
  </si>
  <si>
    <t>5.0.07a</t>
  </si>
  <si>
    <t>222382123</t>
  </si>
  <si>
    <t>5.0.07b</t>
  </si>
  <si>
    <t>1757513550</t>
  </si>
  <si>
    <t>6.1.03</t>
  </si>
  <si>
    <t>1299587155</t>
  </si>
  <si>
    <t>6.1.04</t>
  </si>
  <si>
    <t>1783896695</t>
  </si>
  <si>
    <t>6.1.05a</t>
  </si>
  <si>
    <t>protidešťová žaluzie 350x350 mm, vč. síťky proti hmyzu</t>
  </si>
  <si>
    <t>-1987402981</t>
  </si>
  <si>
    <t>6.1.05b</t>
  </si>
  <si>
    <t>fasádní tvarovka pro sání/výfuk vzduchu, 350x350mm, potrubí D200</t>
  </si>
  <si>
    <t>-2001103837</t>
  </si>
  <si>
    <t>7.1.03</t>
  </si>
  <si>
    <t>-9768650</t>
  </si>
  <si>
    <t>7.1.04</t>
  </si>
  <si>
    <t>Talířový ventil přívodní D100, kovový, průtok vzduchu do 60 m3/h</t>
  </si>
  <si>
    <t>2007604998</t>
  </si>
  <si>
    <t>7.1.05</t>
  </si>
  <si>
    <t>-1277864498</t>
  </si>
  <si>
    <t>7.1.06</t>
  </si>
  <si>
    <t>Talířový ventil odvodní D80, kovový, průtok vzduchu do 50 m3/h</t>
  </si>
  <si>
    <t>7494812</t>
  </si>
  <si>
    <t>7.1.07a</t>
  </si>
  <si>
    <t>-936724123</t>
  </si>
  <si>
    <t>7.1.07b</t>
  </si>
  <si>
    <t>-391612199</t>
  </si>
  <si>
    <t>7.1.08</t>
  </si>
  <si>
    <t>2062408316</t>
  </si>
  <si>
    <t>8.2.03</t>
  </si>
  <si>
    <t>-72767596</t>
  </si>
  <si>
    <t>8.2.04</t>
  </si>
  <si>
    <t>-1135320233</t>
  </si>
  <si>
    <t>8.2.05a</t>
  </si>
  <si>
    <t>1654070182</t>
  </si>
  <si>
    <t>8.2.05b</t>
  </si>
  <si>
    <t>947403256</t>
  </si>
  <si>
    <t>8.2.06</t>
  </si>
  <si>
    <t>Přeslechový čtyřhranný kryt s hlukově izolovanými panely kryt 570x130 mm prostup 500x80 mm</t>
  </si>
  <si>
    <t>798907389</t>
  </si>
  <si>
    <t>9.6.03</t>
  </si>
  <si>
    <t>Protidešťová žaluzie d160, kovová, se síťkou proti hmyzu</t>
  </si>
  <si>
    <t>481459763</t>
  </si>
  <si>
    <t>9.6.05</t>
  </si>
  <si>
    <t>Protidešťová žaluzie d100, kovová, se síťkou proti hmyzu</t>
  </si>
  <si>
    <t>-166599779</t>
  </si>
  <si>
    <t>9.6.06</t>
  </si>
  <si>
    <t>Větrací hlavice d200, kovová</t>
  </si>
  <si>
    <t>-101037460</t>
  </si>
  <si>
    <t>9.6.07</t>
  </si>
  <si>
    <t>Větrací hlavice d125, kovová</t>
  </si>
  <si>
    <t>1259657956</t>
  </si>
  <si>
    <t>9.6.08</t>
  </si>
  <si>
    <t>Větrací hlavice d160, kovová</t>
  </si>
  <si>
    <t>1317025203</t>
  </si>
  <si>
    <t>10.1.03</t>
  </si>
  <si>
    <t>Protidešťová žaluzie100x100, kovová, se síťkou proti hmyzu</t>
  </si>
  <si>
    <t>-433678360</t>
  </si>
  <si>
    <t>10.3.03</t>
  </si>
  <si>
    <t>-1787333168</t>
  </si>
  <si>
    <t>10.6.02</t>
  </si>
  <si>
    <t>-1613875655</t>
  </si>
  <si>
    <t>P1.0.03</t>
  </si>
  <si>
    <t>Větrací vyústka 200x100 do čtyřhranného VZT potrubí Kovová, jednořadá,  vč. regulačního prvku, průtok 220 m3/h</t>
  </si>
  <si>
    <t>-721948196</t>
  </si>
  <si>
    <t>P1.1.03</t>
  </si>
  <si>
    <t>1819288595</t>
  </si>
  <si>
    <t>P1.2.03</t>
  </si>
  <si>
    <t>-171130947</t>
  </si>
  <si>
    <t>P1.3.03</t>
  </si>
  <si>
    <t>-1795478086</t>
  </si>
  <si>
    <t>P1.4.03</t>
  </si>
  <si>
    <t>-1669886977</t>
  </si>
  <si>
    <t>P1.5.03</t>
  </si>
  <si>
    <t>942686470</t>
  </si>
  <si>
    <t>P1.6.04</t>
  </si>
  <si>
    <t>Ochranná mřížka d355, se stříškou proti dešti a síťkou proti hmyzu</t>
  </si>
  <si>
    <t>1407686712</t>
  </si>
  <si>
    <t>P2.0.04</t>
  </si>
  <si>
    <t>Větrací vyústka 700x300 do čtyřhranného VZT potrubí Kovová, jednořadá,  vč. regulačního prvku, průtok 1900 m3/h</t>
  </si>
  <si>
    <t>1216904148</t>
  </si>
  <si>
    <t>P2.1.04</t>
  </si>
  <si>
    <t>-170969304</t>
  </si>
  <si>
    <t>P2.2.03</t>
  </si>
  <si>
    <t>Větrací vyústka 700x400 do čtyřhranného VZT potrubí Kovová, jednořadá,  vč. regulačního prvku, průtok 2550 m3/h</t>
  </si>
  <si>
    <t>1245874238</t>
  </si>
  <si>
    <t>P2.3.03</t>
  </si>
  <si>
    <t>220022928</t>
  </si>
  <si>
    <t>P2.4.03</t>
  </si>
  <si>
    <t>904707882</t>
  </si>
  <si>
    <t>P2.5.03</t>
  </si>
  <si>
    <t>831983249</t>
  </si>
  <si>
    <t>P2.6.04</t>
  </si>
  <si>
    <t>Ochranná mřížka d800, se stříškou proti dešti a síťkou proti hmyzu</t>
  </si>
  <si>
    <t>-60543886</t>
  </si>
  <si>
    <t>P3.1.03</t>
  </si>
  <si>
    <t>Větrací vyústka 300x300 do čtyřhranného VZT potrubí Kovová, jednořadá,  vč. regulačního prvku, průtok 700 m3/h</t>
  </si>
  <si>
    <t>-332180581</t>
  </si>
  <si>
    <t>P3.2.03</t>
  </si>
  <si>
    <t>861567552</t>
  </si>
  <si>
    <t>P3.3.03</t>
  </si>
  <si>
    <t>Větrací vyústka 300x300 do čtyřhranného VZT potrubí Kovová, jednořadá,  vč. regulačního prvku, průtok 800 m3/h</t>
  </si>
  <si>
    <t>115307544</t>
  </si>
  <si>
    <t>P3.4.03</t>
  </si>
  <si>
    <t>1793799244</t>
  </si>
  <si>
    <t>P3.6.04</t>
  </si>
  <si>
    <t>Ochranná mřížka d560, se stříškou proti dešti a síťkou proti hmyzu</t>
  </si>
  <si>
    <t>849745373</t>
  </si>
  <si>
    <t>751-4</t>
  </si>
  <si>
    <t>Ostatní prvky</t>
  </si>
  <si>
    <t>751-400</t>
  </si>
  <si>
    <t>Okenní akustická štěrbina s reakcí na vlhkost Průtok 5-35 m3/h (při 10 Pa), akustick7 útlum 37 dB vč. venkovního krytu, s manuálním ovládáním rozměry krytu 425x55x60 mm</t>
  </si>
  <si>
    <t>-2143355682</t>
  </si>
  <si>
    <t>751-401</t>
  </si>
  <si>
    <t>Zapravení čtyřhranných prostupů</t>
  </si>
  <si>
    <t>1401799390</t>
  </si>
  <si>
    <t>751-402</t>
  </si>
  <si>
    <t>Zapravení prostupu požárně dělící stěnou, protipožární pěna EI60, prostup d260</t>
  </si>
  <si>
    <t>127499203</t>
  </si>
  <si>
    <t>751-403</t>
  </si>
  <si>
    <t>Zapravení prostupu požárně dělící stěnou, protipožární pěna EI60, prostup d160</t>
  </si>
  <si>
    <t>-977525996</t>
  </si>
  <si>
    <t>751-404</t>
  </si>
  <si>
    <t>Zapravení prostupu požárně dělící stěnou, protipožární pěna EI60, prostup d125</t>
  </si>
  <si>
    <t>1364404249</t>
  </si>
  <si>
    <t>751-405</t>
  </si>
  <si>
    <t>Zapravení prostupu požárně dělící stěnou, protipožární pěna EI60, prostup d100</t>
  </si>
  <si>
    <t>-145448128</t>
  </si>
  <si>
    <t>751-406</t>
  </si>
  <si>
    <t>Zapravení prostupu požárně dělící stěnou, protipožární pěna EI60, prostup d80</t>
  </si>
  <si>
    <t>-1233356242</t>
  </si>
  <si>
    <t>751-5</t>
  </si>
  <si>
    <t>Potrubí</t>
  </si>
  <si>
    <t>751-500</t>
  </si>
  <si>
    <t>Kruhové VZT potrubí spirálně vinuté pozinkovaný plech, dimenze D800, 30% tvarovek</t>
  </si>
  <si>
    <t>bm</t>
  </si>
  <si>
    <t>-856923611</t>
  </si>
  <si>
    <t>751-501</t>
  </si>
  <si>
    <t>Kruhové VZT potrubí spirálně vinuté pozinkovaný plech, dimenze D560, 30% tvarovek</t>
  </si>
  <si>
    <t>-755826534</t>
  </si>
  <si>
    <t>751-502</t>
  </si>
  <si>
    <t>Kruhové VZT potrubí spirálně vinuté pozinkovaný plech, dimenze D355, 30% tvarovek</t>
  </si>
  <si>
    <t>-1497659792</t>
  </si>
  <si>
    <t>751-503</t>
  </si>
  <si>
    <t>Kruhové VZT potrubí spirálně vinuté pozinkovaný plech, dimenze D200, 30% tvarovek</t>
  </si>
  <si>
    <t>-1616071693</t>
  </si>
  <si>
    <t>751-504</t>
  </si>
  <si>
    <t>Kruhové VZT potrubí spirálně vinuté pozinkovaný plech, dimenze D160, 30% tvarovek</t>
  </si>
  <si>
    <t>-520777504</t>
  </si>
  <si>
    <t>751-505</t>
  </si>
  <si>
    <t>Kruhové VZT potrubí spirálně vinuté pozinkovaný plech, dimenze D125, 30% tvarovek</t>
  </si>
  <si>
    <t>1625394925</t>
  </si>
  <si>
    <t>751-506</t>
  </si>
  <si>
    <t>Kruhové VZT potrubí spirálně vinuté pozinkovaný plech, dimenze D100, 30% tvarovek</t>
  </si>
  <si>
    <t>-914391352</t>
  </si>
  <si>
    <t>751-507</t>
  </si>
  <si>
    <t>Kruhové VZT potrubí spirálně vinuté pozinkovaný plech, dimenze D80, 30% tvarovek</t>
  </si>
  <si>
    <t>-946415801</t>
  </si>
  <si>
    <t>751-508</t>
  </si>
  <si>
    <t>Flexibilní hliníkové potrubí s tepel. a hluk. Izolací tl. 25mm z minerální vlny, dimenze D200</t>
  </si>
  <si>
    <t>-151634900</t>
  </si>
  <si>
    <t>751-509</t>
  </si>
  <si>
    <t>Flexibilní hliníkové potrubí s tepel. a hluk. Izolací tl. 25mm z minerální vlny, dimenze D160</t>
  </si>
  <si>
    <t>905048126</t>
  </si>
  <si>
    <t>751-510</t>
  </si>
  <si>
    <t>Čtyřhranné VZT potrubí z pozinkovaného plechu, do obvodu 800 mm, 30% tvarovek</t>
  </si>
  <si>
    <t>-634445153</t>
  </si>
  <si>
    <t>751-511</t>
  </si>
  <si>
    <t>Čtyřhranné VZT potrubí z pozinkovaného plechu, do obvodu 1200 mm, 30% tvarovek</t>
  </si>
  <si>
    <t>959854280</t>
  </si>
  <si>
    <t>751-512</t>
  </si>
  <si>
    <t>Čtyřhranné VZT potrubí z pozinkovaného plechu, do obvodu 1500 mm, 30% tvarovek</t>
  </si>
  <si>
    <t>1473436085</t>
  </si>
  <si>
    <t>751-513</t>
  </si>
  <si>
    <t>Čtyřhranné VZT potrubí z pozinkovaného plechu, do obvodu 2260 mm, 30% tvarovek</t>
  </si>
  <si>
    <t>972363330</t>
  </si>
  <si>
    <t>751-514</t>
  </si>
  <si>
    <t>Čtyřhranné VZT potrubí z pozinkovaného plechu, do obvodu 4000 mm, 30% tvarovek</t>
  </si>
  <si>
    <t>-278525565</t>
  </si>
  <si>
    <t>751-515</t>
  </si>
  <si>
    <t>Flexibilní hliníkové potrubí, dimenze D160 (dopojení digestoří)</t>
  </si>
  <si>
    <t>-1651611442</t>
  </si>
  <si>
    <t>751-6</t>
  </si>
  <si>
    <t>Izolace a pomocné konstrukce</t>
  </si>
  <si>
    <t>751-600</t>
  </si>
  <si>
    <t>Protipožární izolace, tl. 75mm, minerální vlna EI45,  typ. B (odolnost z obou stran) čtyřhranné a kruhové potrubí, horizontální a vertikální</t>
  </si>
  <si>
    <t>-1253032873</t>
  </si>
  <si>
    <t>751-601</t>
  </si>
  <si>
    <t>Protipožární izolace, tl. 50mm, minerální vlna EI30,  typ. B (odolnost z obou stran) kruhové potrubí d80, horizontální</t>
  </si>
  <si>
    <t>-1938985440</t>
  </si>
  <si>
    <t>751-602</t>
  </si>
  <si>
    <t>Tepelná izolace tl. 30mm, minerální vlna</t>
  </si>
  <si>
    <t>-643460356</t>
  </si>
  <si>
    <t>751-603</t>
  </si>
  <si>
    <t>Oplechování VZT potrubí</t>
  </si>
  <si>
    <t>-1777328230</t>
  </si>
  <si>
    <t>Přesun hmot procentní pro vzduchotechniku v objektech v do 12 m</t>
  </si>
  <si>
    <t>2076967855</t>
  </si>
  <si>
    <t>Hodinová zúčtovací sazba dělník zednických výpomocí</t>
  </si>
  <si>
    <t>2143887350</t>
  </si>
  <si>
    <t>Zkoušky zatěžovací, komplexní a provozní, zaregulování</t>
  </si>
  <si>
    <t>1024</t>
  </si>
  <si>
    <t>1100614867</t>
  </si>
  <si>
    <t>Odvoz a likvidace odpadu</t>
  </si>
  <si>
    <t>796338319</t>
  </si>
  <si>
    <t>SO 02 - Komunikace</t>
  </si>
  <si>
    <t>Alej Svobody</t>
  </si>
  <si>
    <t>František Beránek</t>
  </si>
  <si>
    <t>M - Práce a dodávky M</t>
  </si>
  <si>
    <t xml:space="preserve">    23-M - Montáže potrubí</t>
  </si>
  <si>
    <t>111251101</t>
  </si>
  <si>
    <t>Odstranění křovin a stromů průměru kmene do 100 mm i s kořeny sklonu terénu do 1:5 z celkové plochy do 100 m2 strojně</t>
  </si>
  <si>
    <t>1756842136</t>
  </si>
  <si>
    <t>78,0+29,8+36,4</t>
  </si>
  <si>
    <t>111301111</t>
  </si>
  <si>
    <t>Sejmutí drnu tl do 100 mm s přemístěním do 50 m nebo naložením na dopravní prostředek</t>
  </si>
  <si>
    <t>-799794872</t>
  </si>
  <si>
    <t>" digitálně odměřeno z PD "</t>
  </si>
  <si>
    <t>544,5</t>
  </si>
  <si>
    <t>112151311</t>
  </si>
  <si>
    <t>Kácení stromu bez postupného spouštění koruny a kmene D přes 0,1 do 0,2 m</t>
  </si>
  <si>
    <t>93691489</t>
  </si>
  <si>
    <t>112151313</t>
  </si>
  <si>
    <t>Kácení stromu bez postupného spouštění koruny a kmene D přes 0,3 do 0,4 m</t>
  </si>
  <si>
    <t>-940674287</t>
  </si>
  <si>
    <t>112155215</t>
  </si>
  <si>
    <t>Štěpkování solitérních stromků a větví průměru kmene do 300 mm s naložením</t>
  </si>
  <si>
    <t>2041528192</t>
  </si>
  <si>
    <t>112155221</t>
  </si>
  <si>
    <t>Štěpkování solitérních stromků a větví průměru kmene přes 300 do 500 mm s naložením</t>
  </si>
  <si>
    <t>-2130506956</t>
  </si>
  <si>
    <t>112155315</t>
  </si>
  <si>
    <t>Štěpkování keřového porostu hustého s naložením</t>
  </si>
  <si>
    <t>-216051751</t>
  </si>
  <si>
    <t>112251101</t>
  </si>
  <si>
    <t>Odstranění pařezů průměru přes 100 do 300 mm</t>
  </si>
  <si>
    <t>-814161877</t>
  </si>
  <si>
    <t>112251102</t>
  </si>
  <si>
    <t>Odstranění pařezů průměru přes 300 do 500 mm</t>
  </si>
  <si>
    <t>-1558876669</t>
  </si>
  <si>
    <t>113106161</t>
  </si>
  <si>
    <t>Rozebrání dlažeb vozovek z drobných kostek s ložem z kameniva ručně</t>
  </si>
  <si>
    <t>491965408</t>
  </si>
  <si>
    <t>" dlážděná plocha "</t>
  </si>
  <si>
    <t>2,5</t>
  </si>
  <si>
    <t>" žlab "</t>
  </si>
  <si>
    <t>4,8</t>
  </si>
  <si>
    <t>" podél budovy "</t>
  </si>
  <si>
    <t>23,5*0,2</t>
  </si>
  <si>
    <t>113106187</t>
  </si>
  <si>
    <t>Rozebrání dlažeb vozovek ze zámkové dlažby s ložem z kameniva strojně pl do 50 m2</t>
  </si>
  <si>
    <t>-1269226827</t>
  </si>
  <si>
    <t>6,0</t>
  </si>
  <si>
    <t>113107164</t>
  </si>
  <si>
    <t>Odstranění podkladu z kameniva drceného tl přes 300 do 400 mm strojně pl přes 50 do 200 m2</t>
  </si>
  <si>
    <t>-749824999</t>
  </si>
  <si>
    <t>" ve vjezdu "</t>
  </si>
  <si>
    <t>92,0</t>
  </si>
  <si>
    <t>" plocha ve dvoře "</t>
  </si>
  <si>
    <t>232,5</t>
  </si>
  <si>
    <t>113107183</t>
  </si>
  <si>
    <t>Odstranění podkladu živičného tl přes 100 do 150 mm strojně pl přes 50 do 200 m2</t>
  </si>
  <si>
    <t>-1319248955</t>
  </si>
  <si>
    <t>" plocha vjezdu "</t>
  </si>
  <si>
    <t>92,00</t>
  </si>
  <si>
    <t>194,5</t>
  </si>
  <si>
    <t>113202111</t>
  </si>
  <si>
    <t>Vytrhání obrub krajníků obrubníků stojatých</t>
  </si>
  <si>
    <t>1065559300</t>
  </si>
  <si>
    <t>13,0+11,7+14,0+7,0</t>
  </si>
  <si>
    <t>121151113</t>
  </si>
  <si>
    <t>Sejmutí ornice plochy do 500 m2 tl vrstvy do 200 mm strojně</t>
  </si>
  <si>
    <t>1693863423</t>
  </si>
  <si>
    <t>122457203</t>
  </si>
  <si>
    <t>Odkopávky a prokopávky nezapažené pro silnice a dálnice v hornině třídy těžitelnosti II objem do 100 m3 strojně v omezeném prostoru</t>
  </si>
  <si>
    <t>-958690097</t>
  </si>
  <si>
    <t>" úprava aktivní zony v dvorním traktu "</t>
  </si>
  <si>
    <t>181,65*0,3</t>
  </si>
  <si>
    <t>" odkopávky v prostoru stávající zeleně pro konstrukční souvrství "</t>
  </si>
  <si>
    <t>544,5*0,3</t>
  </si>
  <si>
    <t>" zazubení svahu "</t>
  </si>
  <si>
    <t>(2,35*0,15+2,0*0,15+2,0*0,15)*33,75</t>
  </si>
  <si>
    <t>132151102</t>
  </si>
  <si>
    <t>Hloubení rýh nezapažených š do 800 mm v hornině třídy těžitelnosti I skupiny 1 a 2 objem do 50 m3 strojně</t>
  </si>
  <si>
    <t>-1691282368</t>
  </si>
  <si>
    <t>" drenáže "</t>
  </si>
  <si>
    <t>(7,35+28,0+13,2)*0,35*0,35</t>
  </si>
  <si>
    <t>12,0*0,35*0,35</t>
  </si>
  <si>
    <t>(10,75+2,30+1,75+4,2+4,25+1,6+12,5)*0,35*0,35</t>
  </si>
  <si>
    <t>" kabelovod "</t>
  </si>
  <si>
    <t>25,0*0,6*0,6</t>
  </si>
  <si>
    <t>" základový pas "</t>
  </si>
  <si>
    <t>9,5*0,6*0,6</t>
  </si>
  <si>
    <t>162351103</t>
  </si>
  <si>
    <t>Vodorovné přemístění přes 50 do 500 m výkopku/sypaniny z horniny třídy těžitelnosti I skupiny 1 až 3</t>
  </si>
  <si>
    <t>CS ÚRS 2024 02</t>
  </si>
  <si>
    <t>-1106345917</t>
  </si>
  <si>
    <t>přemístění sejmuté ornice určené pro zpětné rozporostření na deponii</t>
  </si>
  <si>
    <t xml:space="preserve">112,5*0,2"181351003 </t>
  </si>
  <si>
    <t>zpětné přemístění sejmuté ornice určené pro rozporostření z deponie</t>
  </si>
  <si>
    <t>112,5*0,2</t>
  </si>
  <si>
    <t>1594687739</t>
  </si>
  <si>
    <t>544,4*0,1 "111301111"</t>
  </si>
  <si>
    <t>544,4*0,2 "121151113 .. sejmutí ornice</t>
  </si>
  <si>
    <t>-112,5*0,2"181351003 .. odečet ornice využité pro rozprostření</t>
  </si>
  <si>
    <t>324,5*0,35 "113107164"</t>
  </si>
  <si>
    <t>249,992 "122457203"</t>
  </si>
  <si>
    <t>24,412 "132151102"</t>
  </si>
  <si>
    <t>1370532513</t>
  </si>
  <si>
    <t>528.799*10</t>
  </si>
  <si>
    <t>167151101</t>
  </si>
  <si>
    <t>Nakládání výkopku z hornin třídy těžitelnosti I skupiny 1 až 3 do 100 m3</t>
  </si>
  <si>
    <t>-1572638085</t>
  </si>
  <si>
    <t>nakládání sejmuté ornice určené pro rozporostření na deponii</t>
  </si>
  <si>
    <t>-267416802</t>
  </si>
  <si>
    <t>385668605</t>
  </si>
  <si>
    <t>" zásyp výtahové šachty "</t>
  </si>
  <si>
    <t>" předpokládaná hloubka zásypu 2,2m "</t>
  </si>
  <si>
    <t>(3,6*2,0)*2,20</t>
  </si>
  <si>
    <t>58344197</t>
  </si>
  <si>
    <t>štěrkodrť frakce 0/63</t>
  </si>
  <si>
    <t>-1010490968</t>
  </si>
  <si>
    <t>" koeficient množství 1,80t/m3 "</t>
  </si>
  <si>
    <t>15,84*1,8</t>
  </si>
  <si>
    <t>175111101</t>
  </si>
  <si>
    <t>Obsypání potrubí ručně sypaninou bez prohození, uloženou do 3 m</t>
  </si>
  <si>
    <t>504672175</t>
  </si>
  <si>
    <t>(7,35+28,0+13,2)*0,35*0,25</t>
  </si>
  <si>
    <t>12,0*0,35*0,25</t>
  </si>
  <si>
    <t>(10,75+2,30+1,75+4,2+4,25+1,6+12,5)*0,35*0,25</t>
  </si>
  <si>
    <t>58343872</t>
  </si>
  <si>
    <t>kamenivo drcené hrubé frakce 8/16</t>
  </si>
  <si>
    <t>-1476831967</t>
  </si>
  <si>
    <t>8,566*2 'Přepočtené koeficientem množství</t>
  </si>
  <si>
    <t>180405114</t>
  </si>
  <si>
    <t>Založení trávníku ve vegetačních prefabrikátech výsevem směsi substrátu a semene v rovině a ve svahu do 1:5</t>
  </si>
  <si>
    <t>1276292337</t>
  </si>
  <si>
    <t>106,875</t>
  </si>
  <si>
    <t>Pozn.: Založení trávníku mimo vegetační dlažbu viz SO 03.</t>
  </si>
  <si>
    <t>926431892</t>
  </si>
  <si>
    <t>106,875*0,02 'Přepočtené koeficientem množství</t>
  </si>
  <si>
    <t>181152302</t>
  </si>
  <si>
    <t>Úprava pláně pro silnice a dálnice v zářezech se zhutněním</t>
  </si>
  <si>
    <t>1705157143</t>
  </si>
  <si>
    <t>181,65</t>
  </si>
  <si>
    <t>(2,35+2,0+2,0)*33,75</t>
  </si>
  <si>
    <t>92,0+45,75</t>
  </si>
  <si>
    <t>" prostor schodiště a rampy "</t>
  </si>
  <si>
    <t>54,40</t>
  </si>
  <si>
    <t>181351003</t>
  </si>
  <si>
    <t>Rozprostření ornice tl vrstvy do 200 mm pl do 100 m2 v rovině nebo ve svahu do 1:5 strojně</t>
  </si>
  <si>
    <t>730744336</t>
  </si>
  <si>
    <t>Rozprostření ornice v ploše nového trávníku mimo vegetační dlažbu (vysetí tohoto trávníku viz SO 03)</t>
  </si>
  <si>
    <t>112,50</t>
  </si>
  <si>
    <t>-2005660525</t>
  </si>
  <si>
    <t>(7,35+28,0+13,2)*1,68</t>
  </si>
  <si>
    <t>12,0*1,68</t>
  </si>
  <si>
    <t>(10,75+2,30+1,75+4,2+4,25+1,6+12,5)*1,68</t>
  </si>
  <si>
    <t>213141111</t>
  </si>
  <si>
    <t>Zřízení vrstvy z geotextilie v rovině nebo ve sklonu do 1:5 š do 3 m</t>
  </si>
  <si>
    <t>1610183501</t>
  </si>
  <si>
    <t>" prostor mezi obrubou a oplocením a zdí, levá strana za podchodem "</t>
  </si>
  <si>
    <t>0,3*16,0</t>
  </si>
  <si>
    <t>69311081</t>
  </si>
  <si>
    <t>geotextilie netkaná separační, ochranná, filtrační, drenážní PES 300g/m2</t>
  </si>
  <si>
    <t>972755617</t>
  </si>
  <si>
    <t>164,472+4,80</t>
  </si>
  <si>
    <t>169,272*1,1845 'Přepočtené koeficientem množství</t>
  </si>
  <si>
    <t>-425047844</t>
  </si>
  <si>
    <t>(7,35+28,0+13,2)*0,35*0,1</t>
  </si>
  <si>
    <t>12,0*0,35*0,1</t>
  </si>
  <si>
    <t>(10,75+2,30+1,75+4,2+4,25+1,6+12,5)*0,35*0,1</t>
  </si>
  <si>
    <t>-649915246</t>
  </si>
  <si>
    <t>7,35+28,0+13,2</t>
  </si>
  <si>
    <t>12,0</t>
  </si>
  <si>
    <t>10,75+2,30+1,75+4,2+4,25+1,6+12,5</t>
  </si>
  <si>
    <t>274321311</t>
  </si>
  <si>
    <t>Základové pasy ze ŽB bez zvýšených nároků na prostředí tř. C 16/20</t>
  </si>
  <si>
    <t>-626826691</t>
  </si>
  <si>
    <t>274361321</t>
  </si>
  <si>
    <t>Výztuž základových pasů betonářskou ocelí 11 375 (EZ)</t>
  </si>
  <si>
    <t>1904600539</t>
  </si>
  <si>
    <t>275313811</t>
  </si>
  <si>
    <t>Základové patky z betonu tř. C 25/30</t>
  </si>
  <si>
    <t>-48229104</t>
  </si>
  <si>
    <t>" základové patky zábradlí "</t>
  </si>
  <si>
    <t>18,0*0,6*0,4</t>
  </si>
  <si>
    <t>279113133</t>
  </si>
  <si>
    <t>Základová zeď tl přes 200 do 250 mm z tvárnic ztraceného bednění včetně výplně z betonu tř. C 16/20</t>
  </si>
  <si>
    <t>1825822121</t>
  </si>
  <si>
    <t>8,5*0,75</t>
  </si>
  <si>
    <t>311361321</t>
  </si>
  <si>
    <t>Výztuž nosných zdí betonářskou ocelí 11 375</t>
  </si>
  <si>
    <t>-1110080506</t>
  </si>
  <si>
    <t>312231129</t>
  </si>
  <si>
    <t>Zdivo výplňové z cihel dl 290 mm P20 až 25 na MC 15</t>
  </si>
  <si>
    <t>1934785871</t>
  </si>
  <si>
    <t>" zazdění otvoru výtahové šachty "</t>
  </si>
  <si>
    <t>3,0*2,0*0,3</t>
  </si>
  <si>
    <t>339921132</t>
  </si>
  <si>
    <t>Osazování betonových palisád do betonového základu v řadě výšky prvku přes 0,5 do 1 m</t>
  </si>
  <si>
    <t>-1325180504</t>
  </si>
  <si>
    <t>5,96</t>
  </si>
  <si>
    <t>59229013</t>
  </si>
  <si>
    <t>palisáda hranatá betonová 180x120mm v 800mm přírodní</t>
  </si>
  <si>
    <t>711922599</t>
  </si>
  <si>
    <t>348272615</t>
  </si>
  <si>
    <t>Plotová stříška pro zeď tl 295 mm z tvarovek broušených přírodních</t>
  </si>
  <si>
    <t>1394439795</t>
  </si>
  <si>
    <t>" ztratné 10% - prořez v oblouku  "</t>
  </si>
  <si>
    <t>8,5*1,1</t>
  </si>
  <si>
    <t>561121112</t>
  </si>
  <si>
    <t>Zřízení podkladu nebo ochranné vrstvy vozovky z mechanicky zpevněné zeminy MZ tl 200 mm</t>
  </si>
  <si>
    <t>2082297814</t>
  </si>
  <si>
    <t>" násyp podél budovy pod parkovacím stáním, rozporostření a hutnění po vrstvách 20cm  "</t>
  </si>
  <si>
    <t>2,3*41,5</t>
  </si>
  <si>
    <t>4,3*41,5</t>
  </si>
  <si>
    <t>6,3*41,5</t>
  </si>
  <si>
    <t>7,8*41,5</t>
  </si>
  <si>
    <t>5,0*41,5</t>
  </si>
  <si>
    <t>58331200</t>
  </si>
  <si>
    <t>štěrkopísek netříděný</t>
  </si>
  <si>
    <t>-2142452154</t>
  </si>
  <si>
    <t>" Nákup zeminy - Zemina vhodnáí pro násypy dle ČSN 736133, materiál vhodný pro násypy  podél budovy "</t>
  </si>
  <si>
    <t>" objem přepočten z plochy m2 v tl. 0,2 " 1066,55</t>
  </si>
  <si>
    <t>1066,55*0,36 'Přepočtené koeficientem množství</t>
  </si>
  <si>
    <t>564831011</t>
  </si>
  <si>
    <t>Podklad ze štěrkodrtě ŠD plochy do 100 m2 tl 100 mm</t>
  </si>
  <si>
    <t>777846127</t>
  </si>
  <si>
    <t>" šterkové lože pod obruby "</t>
  </si>
  <si>
    <t>168,55*0,4</t>
  </si>
  <si>
    <t>49,6*0,4</t>
  </si>
  <si>
    <t>49,5*0,4</t>
  </si>
  <si>
    <t>564851011</t>
  </si>
  <si>
    <t>Podklad ze štěrkodrtě ŠD plochy do 100 m2 tl 150 mm</t>
  </si>
  <si>
    <t>2084577652</t>
  </si>
  <si>
    <t>"konstrukční souvrství vegetační dlažba - ve dvou vrstvách "</t>
  </si>
  <si>
    <t>((37,125+106,875)*2)*1,1</t>
  </si>
  <si>
    <t>462524251</t>
  </si>
  <si>
    <t>" konstrukční souvrství ZD tl. 6cm "</t>
  </si>
  <si>
    <t>(54,85+47,78+6,0)*1,1</t>
  </si>
  <si>
    <t>564871111</t>
  </si>
  <si>
    <t>Podklad ze štěrkodrtě ŠD plochy přes 100 m2 tl 250 mm</t>
  </si>
  <si>
    <t>-220370852</t>
  </si>
  <si>
    <t>" konstrukční souvrství ZD tl. 8cm "</t>
  </si>
  <si>
    <t>(317,7+207,75)*1,1</t>
  </si>
  <si>
    <t>564871116</t>
  </si>
  <si>
    <t>Podklad ze štěrkodrtě ŠD plochy přes 100 m2 tl. 300 mm</t>
  </si>
  <si>
    <t>-2021350430</t>
  </si>
  <si>
    <t>" úprava aktivní zony "</t>
  </si>
  <si>
    <t>"pod konstrukční souvrství vegetační dlažba "</t>
  </si>
  <si>
    <t>(37,125+106,875)*1,05</t>
  </si>
  <si>
    <t>" pod konstrukční souvrství ZD tl. 6cm "</t>
  </si>
  <si>
    <t>(54,85+47,78+6,0)*1,05</t>
  </si>
  <si>
    <t>"pod konstrukční souvrství ZD tl. 8cm "</t>
  </si>
  <si>
    <t>(317,7+207,75)*1,05</t>
  </si>
  <si>
    <t>596211130</t>
  </si>
  <si>
    <t>Kladení zámkové dlažby komunikací pro pěší ručně tl 60 mm skupiny C pl do 50 m2</t>
  </si>
  <si>
    <t>1610487855</t>
  </si>
  <si>
    <t>" chodníky "</t>
  </si>
  <si>
    <t>26,83+8,42+6,0</t>
  </si>
  <si>
    <t>" okapový chodník "</t>
  </si>
  <si>
    <t>3,57+30,25+9,96+4,0</t>
  </si>
  <si>
    <t>59245018</t>
  </si>
  <si>
    <t>dlažba skladebná betonová 200x100mm tl 60mm přírodní</t>
  </si>
  <si>
    <t>-1450532433</t>
  </si>
  <si>
    <t>86,3254156310412*1,05 'Přepočtené koeficientem množství</t>
  </si>
  <si>
    <t>59245006</t>
  </si>
  <si>
    <t>dlažba pro nevidomé betonová 200x100mm tl 60mm barevná</t>
  </si>
  <si>
    <t>-740686432</t>
  </si>
  <si>
    <t>8,25*0,4</t>
  </si>
  <si>
    <t>3,3*1,05 'Přepočtené koeficientem množství</t>
  </si>
  <si>
    <t>596212223</t>
  </si>
  <si>
    <t>Kladení zámkové dlažby pozemních komunikací ručně tl 80 mm skupiny B pl přes 300 m2</t>
  </si>
  <si>
    <t>-712392045</t>
  </si>
  <si>
    <t>298,77+207,75</t>
  </si>
  <si>
    <t>59245020</t>
  </si>
  <si>
    <t>dlažba skladebná betonová 200x100mm tl 80mm přírodní</t>
  </si>
  <si>
    <t>-287298312</t>
  </si>
  <si>
    <t>160,99+299,57</t>
  </si>
  <si>
    <t>460,56*1,05 'Přepočtené koeficientem množství</t>
  </si>
  <si>
    <t>59245005</t>
  </si>
  <si>
    <t>dlažba skladebná betonová 200x100mm tl 80mm barevná</t>
  </si>
  <si>
    <t>1449071117</t>
  </si>
  <si>
    <t>45,37</t>
  </si>
  <si>
    <t>45,37*1,05 'Přepočtené koeficientem množství</t>
  </si>
  <si>
    <t>596212224</t>
  </si>
  <si>
    <t>Příplatek za kombinaci dvou barev u betonových dlažeb pozemních komunikací ručně tl 80 mm skupiny B</t>
  </si>
  <si>
    <t>-1936522588</t>
  </si>
  <si>
    <t>596412210</t>
  </si>
  <si>
    <t>Kladení dlažby z vegetačních tvárnic pozemních komunikací tl 80 mm pl do 50 m2</t>
  </si>
  <si>
    <t>-825220936</t>
  </si>
  <si>
    <t>5,5*4,5+2,75*4,5</t>
  </si>
  <si>
    <t>596412212</t>
  </si>
  <si>
    <t>Kladení dlažby z vegetačních tvárnic pozemních komunikací tl 80 mm pl přes 100 do 300 m2</t>
  </si>
  <si>
    <t>-1188172367</t>
  </si>
  <si>
    <t>23,75*4,5</t>
  </si>
  <si>
    <t>59246082</t>
  </si>
  <si>
    <t>dlažba plošná vegetační betonová 240x170mm tl 80mm barevná</t>
  </si>
  <si>
    <t>1714439893</t>
  </si>
  <si>
    <t>106,875+37,125</t>
  </si>
  <si>
    <t>144*1,02 'Přepočtené koeficientem množství</t>
  </si>
  <si>
    <t>596991112</t>
  </si>
  <si>
    <t>Řezání betonové, kameninové a kamenné dlažby do oblouku tl přes 60 do 80 mm</t>
  </si>
  <si>
    <t>-2004679053</t>
  </si>
  <si>
    <t>637121113</t>
  </si>
  <si>
    <t>Okapový chodník z kačírku tl 200 mm s udusáním</t>
  </si>
  <si>
    <t>494470666</t>
  </si>
  <si>
    <t>895941342</t>
  </si>
  <si>
    <t>Osazení vpusti uliční DN 500 z betonových dílců dno nízké s kalištěm</t>
  </si>
  <si>
    <t>1814323008</t>
  </si>
  <si>
    <t>59224469</t>
  </si>
  <si>
    <t>vpusť uliční DN 500 kaliště nízké 500/225x65mm</t>
  </si>
  <si>
    <t>-1293173194</t>
  </si>
  <si>
    <t>895941361</t>
  </si>
  <si>
    <t>Osazení vpusti uliční DN 500 z betonových dílců skruž středová 290 mm</t>
  </si>
  <si>
    <t>1008093882</t>
  </si>
  <si>
    <t>59224461</t>
  </si>
  <si>
    <t>vpusť uliční DN 500 skruž průběžná nízká betonová 500/290x65mm</t>
  </si>
  <si>
    <t>-1860351403</t>
  </si>
  <si>
    <t>895941366</t>
  </si>
  <si>
    <t>Osazení vpusti uliční DN 500 z betonových dílců skruž průběžná s výtokem</t>
  </si>
  <si>
    <t>-2013189443</t>
  </si>
  <si>
    <t>59224463</t>
  </si>
  <si>
    <t>vpusť uliční DN 500 skruž průběžná 500/590x65mm betonová s odtokem 150mm</t>
  </si>
  <si>
    <t>939126311</t>
  </si>
  <si>
    <t>899133211</t>
  </si>
  <si>
    <t>Výměna (výšková úprava) vtokové mříže uliční vpusti s použitím betonových vyrovnávacích prvků</t>
  </si>
  <si>
    <t>-2061837602</t>
  </si>
  <si>
    <t>" snížený vsup  dvorní vpusť "</t>
  </si>
  <si>
    <t>59223130</t>
  </si>
  <si>
    <t>vpusť dvorní polymerbetonová B125 250x250mm litinový rošt</t>
  </si>
  <si>
    <t>-1877051194</t>
  </si>
  <si>
    <t>899204112</t>
  </si>
  <si>
    <t>Osazení mříží litinových včetně rámů a košů na bahno pro třídu zatížení D400, E600</t>
  </si>
  <si>
    <t>-1317029793</t>
  </si>
  <si>
    <t>55241040</t>
  </si>
  <si>
    <t>mříž litinová 600/40T, 420x620 D400</t>
  </si>
  <si>
    <t>-525816145</t>
  </si>
  <si>
    <t>1531261R</t>
  </si>
  <si>
    <t>Demontáž techlogie výtahové zdvižě a zařízení</t>
  </si>
  <si>
    <t>-1724327392</t>
  </si>
  <si>
    <t>" demontáž technologie výtahu vč. ocelového poklopu, motoru a věcí souvisejcích vč. odvozu a likvidace "</t>
  </si>
  <si>
    <t>914111111</t>
  </si>
  <si>
    <t>Montáž svislé dopravní značky do velikosti 1 m2 objímkami na sloupek nebo konzolu</t>
  </si>
  <si>
    <t>-741631320</t>
  </si>
  <si>
    <t>40445620</t>
  </si>
  <si>
    <t>zákazové, příkazové dopravní značky B1-B34, C1-15 700mm</t>
  </si>
  <si>
    <t>1877690849</t>
  </si>
  <si>
    <t>" B1 "</t>
  </si>
  <si>
    <t>" C2c "</t>
  </si>
  <si>
    <t>40445609</t>
  </si>
  <si>
    <t>značky upravující přednost P1, P4 900mm</t>
  </si>
  <si>
    <t>25380586</t>
  </si>
  <si>
    <t>" P4 "</t>
  </si>
  <si>
    <t>40445625</t>
  </si>
  <si>
    <t>informativní značky provozní IP8, IP9, IP11-IP13 500x700mm</t>
  </si>
  <si>
    <t>132539928</t>
  </si>
  <si>
    <t>" IP 12 "</t>
  </si>
  <si>
    <t>40445644</t>
  </si>
  <si>
    <t>informativní značky jiné IJ4a 500x500mm</t>
  </si>
  <si>
    <t>-1337532888</t>
  </si>
  <si>
    <t>" E 13 "</t>
  </si>
  <si>
    <t>" E1 "</t>
  </si>
  <si>
    <t>914511111</t>
  </si>
  <si>
    <t>Montáž sloupku dopravních značek délky do 3,5 m s betonovým základem</t>
  </si>
  <si>
    <t>-126171986</t>
  </si>
  <si>
    <t>40445225</t>
  </si>
  <si>
    <t>sloupek pro dopravní značku Zn D 60mm v 3,5m</t>
  </si>
  <si>
    <t>1455178729</t>
  </si>
  <si>
    <t>40445253</t>
  </si>
  <si>
    <t>víčko plastové na sloupek D 60mm</t>
  </si>
  <si>
    <t>1438747267</t>
  </si>
  <si>
    <t>915111112</t>
  </si>
  <si>
    <t>Vodorovné dopravní značení dělící čáry souvislé š 125 mm retroreflexní bílá barva</t>
  </si>
  <si>
    <t>760101580</t>
  </si>
  <si>
    <t>" V10b "</t>
  </si>
  <si>
    <t>4,5*9,0</t>
  </si>
  <si>
    <t>" V10a "</t>
  </si>
  <si>
    <t>(2,5+6,75+2,5)*2</t>
  </si>
  <si>
    <t>915131112</t>
  </si>
  <si>
    <t>Vodorovné dopravní značení přechody pro chodce, šipky, symboly retroreflexní bílá barva</t>
  </si>
  <si>
    <t>-207442852</t>
  </si>
  <si>
    <t>" znak O1 "</t>
  </si>
  <si>
    <t>1,5</t>
  </si>
  <si>
    <t>915491211</t>
  </si>
  <si>
    <t>Osazení vodícího proužku z betonových desek do betonového lože tl do 100 mm š proužku 250 mm</t>
  </si>
  <si>
    <t>842130163</t>
  </si>
  <si>
    <t>" rozhraní dlažeb - ZD uložena do betonového lože "</t>
  </si>
  <si>
    <t>39,25</t>
  </si>
  <si>
    <t>915611111</t>
  </si>
  <si>
    <t>Předznačení vodorovného liniového značení</t>
  </si>
  <si>
    <t>-1120420951</t>
  </si>
  <si>
    <t>915621111</t>
  </si>
  <si>
    <t>Předznačení vodorovného plošného značení</t>
  </si>
  <si>
    <t>-1568328133</t>
  </si>
  <si>
    <t>1813995598</t>
  </si>
  <si>
    <t>4,2+14,1+8,0+0,45+3,3+8,7+1,6+4,7+4,7+1,6+5,0+1,6+4,6+24,3+6,1+3,0+4,5+5,7+4,5+21,5+18,6+5,1+1,7</t>
  </si>
  <si>
    <t>1300815342</t>
  </si>
  <si>
    <t>157,55*1,02 'Přepočtené koeficientem množství</t>
  </si>
  <si>
    <t>916241213</t>
  </si>
  <si>
    <t>Osazení obrubníku kamenného stojatého s boční opěrou do lože z betonu prostého</t>
  </si>
  <si>
    <t>-2071413623</t>
  </si>
  <si>
    <t>1,2+2,0+1,2</t>
  </si>
  <si>
    <t>58380005</t>
  </si>
  <si>
    <t>obrubník kamenný žulový přímý 1000x200x250mm</t>
  </si>
  <si>
    <t>-1100071919</t>
  </si>
  <si>
    <t>4,4*1,02 'Přepočtené koeficientem množství</t>
  </si>
  <si>
    <t>916331112</t>
  </si>
  <si>
    <t>Osazení zahradního obrubníku betonového do lože z betonu s boční opěrou</t>
  </si>
  <si>
    <t>-751663446</t>
  </si>
  <si>
    <t>5,6+0,8+9,4+0,3+8,0+12,6+3,0+6,2+6,0</t>
  </si>
  <si>
    <t>59217001</t>
  </si>
  <si>
    <t>obrubník zahradní betonový 1000x50x250mm</t>
  </si>
  <si>
    <t>-310378045</t>
  </si>
  <si>
    <t>51,9*1,1 'Přepočtené koeficientem množství</t>
  </si>
  <si>
    <t>919732221</t>
  </si>
  <si>
    <t>Styčná spára napojení nového živičného povrchu na stávající za tepla š 15 mm hl 25 mm bez prořezání</t>
  </si>
  <si>
    <t>-1482683980</t>
  </si>
  <si>
    <t>3,75+4,0</t>
  </si>
  <si>
    <t>-1474637157</t>
  </si>
  <si>
    <t>" napojení vjezdu ve vratech "</t>
  </si>
  <si>
    <t>3,75</t>
  </si>
  <si>
    <t>" napojení  v podchodné části "</t>
  </si>
  <si>
    <t>3,93</t>
  </si>
  <si>
    <t>935113111</t>
  </si>
  <si>
    <t>Osazení odvodňovacího polymerbetonového žlabu s krycím roštem šířky do 200 mm</t>
  </si>
  <si>
    <t>1843851644</t>
  </si>
  <si>
    <t>935923218</t>
  </si>
  <si>
    <t>Osazení vpusti pro odvodňovací žlab betonový nebo polymerbetonový s krycím roštem šířky přes 200 mm</t>
  </si>
  <si>
    <t>-604447941</t>
  </si>
  <si>
    <t>59223101</t>
  </si>
  <si>
    <t>šachta odtoková včetně kalového koše a adaptéru pro napojení na žlab š 100mm PE/PP připojení 110mm až 160mm</t>
  </si>
  <si>
    <t>354696929</t>
  </si>
  <si>
    <t>59227127</t>
  </si>
  <si>
    <t>žlab odvodňovací s roštem bez spádu dna monolitický z polymerbetonu pro vysoké zatížení š 200mm</t>
  </si>
  <si>
    <t>-661561593</t>
  </si>
  <si>
    <t>59227126</t>
  </si>
  <si>
    <t>žlab odvodňovací s roštem bez spádu dna monolitický z polymerbetonu pro vysoké zatížení š 150mm</t>
  </si>
  <si>
    <t>2142026136</t>
  </si>
  <si>
    <t>938902113</t>
  </si>
  <si>
    <t>Čištění příkopů komunikací příkopovým rypadlem objem nánosu přes 0,3 do 0,5 m3/m</t>
  </si>
  <si>
    <t>792469885</t>
  </si>
  <si>
    <t>" profilace terénu do tvaru příkopu "</t>
  </si>
  <si>
    <t>10,0</t>
  </si>
  <si>
    <t>961055111</t>
  </si>
  <si>
    <t>Bourání základů ze ŽB</t>
  </si>
  <si>
    <t>95406239</t>
  </si>
  <si>
    <t>" konstrukce výtahové šachty "</t>
  </si>
  <si>
    <t>((3,6*2+2,0*2)*0,3)*0,75</t>
  </si>
  <si>
    <t>" snížený vstup a podlaha  "</t>
  </si>
  <si>
    <t>((1,0*2+2,2)*0,25)*0,75+(1,0*2,0)*0,2</t>
  </si>
  <si>
    <t>966008211</t>
  </si>
  <si>
    <t>Bourání odvodňovacího žlabu z betonových příkopových tvárnic š do 500 mm</t>
  </si>
  <si>
    <t>94433229</t>
  </si>
  <si>
    <t>8,15+1,75+24,8+5,1+5,7</t>
  </si>
  <si>
    <t>997221561</t>
  </si>
  <si>
    <t>Vodorovná doprava suti z kusových materiálů do 1 km</t>
  </si>
  <si>
    <t>1919764101</t>
  </si>
  <si>
    <t>997221569</t>
  </si>
  <si>
    <t>Příplatek ZKD 1 km u vodorovné dopravy suti z kusových materiálů</t>
  </si>
  <si>
    <t>1941931790</t>
  </si>
  <si>
    <t>116,318*20</t>
  </si>
  <si>
    <t>997221611</t>
  </si>
  <si>
    <t>Nakládání suti na dopravní prostředky pro vodorovnou dopravu</t>
  </si>
  <si>
    <t>1115968264</t>
  </si>
  <si>
    <t>997221615</t>
  </si>
  <si>
    <t>Poplatek za uložení na skládce (skládkovné) stavebního odpadu betonového kód odpadu 17 01 01</t>
  </si>
  <si>
    <t>302019996</t>
  </si>
  <si>
    <t>997221625</t>
  </si>
  <si>
    <t>Poplatek za uložení na skládce (skládkovné) stavebního odpadu železobetonového kód odpadu 17 01 01</t>
  </si>
  <si>
    <t>-127716691</t>
  </si>
  <si>
    <t>997221645</t>
  </si>
  <si>
    <t>Poplatek za uložení na skládce (skládkovné) odpadu asfaltového bez dehtu kód odpadu 17 03 02</t>
  </si>
  <si>
    <t>131533915</t>
  </si>
  <si>
    <t>997221655</t>
  </si>
  <si>
    <t>Poplatek za uložení na skládce (skládkovné) zeminy a kamení kód odpadu 17 05 04</t>
  </si>
  <si>
    <t>626606327</t>
  </si>
  <si>
    <t>" koeficinet množství 1,70t/m3 "</t>
  </si>
  <si>
    <t>528,799*1,7</t>
  </si>
  <si>
    <t xml:space="preserve">odečet ornice v tunách (viz samostatná položka) </t>
  </si>
  <si>
    <t>-146.846</t>
  </si>
  <si>
    <t>171201231.1</t>
  </si>
  <si>
    <t>Poplatek za uložení ornice na recyklační skládce (skládkovné)</t>
  </si>
  <si>
    <t>-236083362</t>
  </si>
  <si>
    <t>544,4*0,2*1.70 "121151113 .. sejmutí ornice</t>
  </si>
  <si>
    <t>-112,5*0,2*1.70"181351003 .. odečet ornice využité pro rozprostření</t>
  </si>
  <si>
    <t>998223011</t>
  </si>
  <si>
    <t>Přesun hmot pro pozemní komunikace s krytem dlážděným</t>
  </si>
  <si>
    <t>-1981551422</t>
  </si>
  <si>
    <t>998229112</t>
  </si>
  <si>
    <t>Přesun hmot ruční pro pozemní komunikace s krytem dlážděným na vzdálenost do 50 m</t>
  </si>
  <si>
    <t>-1147263542</t>
  </si>
  <si>
    <t>353,77/4</t>
  </si>
  <si>
    <t>711161215</t>
  </si>
  <si>
    <t>Izolace proti zemní vlhkosti nopovou fólií svislá, nopek v 20,0 mm, tl do 1,0 mm</t>
  </si>
  <si>
    <t>-825686728</t>
  </si>
  <si>
    <t>" podél objektů "</t>
  </si>
  <si>
    <t>117,5</t>
  </si>
  <si>
    <t>" ochtanná vrstva hydroizolace vyzdívky ve výtahové šachtě "</t>
  </si>
  <si>
    <t>(3,0*2,0)*1,2</t>
  </si>
  <si>
    <t>711192102</t>
  </si>
  <si>
    <t>Provedení izolace proti zemní vlhkosti hydroizolační stěrkou svislé na zdivu, 1 vrstva</t>
  </si>
  <si>
    <t>-1821169107</t>
  </si>
  <si>
    <t>" zazdění otvoru výtahové šachty - uvažováno s přesahy provedení izolace o 20% nové vyzdívky "</t>
  </si>
  <si>
    <t>24617150</t>
  </si>
  <si>
    <t>nátěr hydroizolační na bázi asfaltu a plastu do spodní stavby</t>
  </si>
  <si>
    <t>612910166</t>
  </si>
  <si>
    <t>711199101</t>
  </si>
  <si>
    <t>Provedení těsnícího pásu do spoje dilatační nebo styčné spáry podlaha - stěna</t>
  </si>
  <si>
    <t>-1100938178</t>
  </si>
  <si>
    <t>28355022</t>
  </si>
  <si>
    <t>páska pružná těsnící hydroizolační š do 125mm</t>
  </si>
  <si>
    <t>-598096596</t>
  </si>
  <si>
    <t>8*1,05 'Přepočtené koeficientem množství</t>
  </si>
  <si>
    <t>767220130</t>
  </si>
  <si>
    <t>Montáž zábradlí schodišťového hmotnosti nad 25 kg z trubek do zdi</t>
  </si>
  <si>
    <t>778348197</t>
  </si>
  <si>
    <t>" montáž zábradlí do základových betonových patek "</t>
  </si>
  <si>
    <t>26,75</t>
  </si>
  <si>
    <t>767220191</t>
  </si>
  <si>
    <t>Příplatek k montáži zábradlí z trubek za vytvoření ohybu</t>
  </si>
  <si>
    <t>-141829789</t>
  </si>
  <si>
    <t>553915R</t>
  </si>
  <si>
    <t>OCELOVÉ TRUBKOVÉ ZÁBRADLÍ ∅44,5x3, S MADLY VE VÝŠCE 0,9m, 0,75m A ZARÁŽKOU VE VÝŠCE max.0,25m</t>
  </si>
  <si>
    <t>-1665467565</t>
  </si>
  <si>
    <t>" Zábradlí dle specifikace v PD výkresová příloha SO02 - 7 "</t>
  </si>
  <si>
    <t>Práce a dodávky M</t>
  </si>
  <si>
    <t>23-M</t>
  </si>
  <si>
    <t>Montáže potrubí</t>
  </si>
  <si>
    <t>230202033</t>
  </si>
  <si>
    <t>Montáž chráničky plastové průměru přes 110 do 160 mm</t>
  </si>
  <si>
    <t>1216115891</t>
  </si>
  <si>
    <t>" kabelovod pro budoucí dobíjecí stanici "</t>
  </si>
  <si>
    <t>25,0</t>
  </si>
  <si>
    <t>28613534</t>
  </si>
  <si>
    <t>potrubí vodovodní třívrstvé PE100 RC SDR11 160x14,6mm</t>
  </si>
  <si>
    <t>1954381235</t>
  </si>
  <si>
    <t>SO 03 - Sadové úpravy</t>
  </si>
  <si>
    <t>D1 - Terénní úpravy a trávníky založení</t>
  </si>
  <si>
    <t xml:space="preserve">D2 - Výsadby stromů </t>
  </si>
  <si>
    <t xml:space="preserve">    D3 - Založení</t>
  </si>
  <si>
    <t xml:space="preserve">    D4 - Další práce</t>
  </si>
  <si>
    <t xml:space="preserve">    D5 - Rostlinný materiál  - velikost a kvalita dle PD</t>
  </si>
  <si>
    <t xml:space="preserve">    D6 - Ostatní materiály</t>
  </si>
  <si>
    <t>D1</t>
  </si>
  <si>
    <t>Terénní úpravy a trávníky založení</t>
  </si>
  <si>
    <t>Odstranění stávajících zbytků a odpadů</t>
  </si>
  <si>
    <t>Obdělání půdy rotavátorováním, smykováním a hrabáním 2x</t>
  </si>
  <si>
    <t>Pol142</t>
  </si>
  <si>
    <t>Plošná úprava terénu +-10 cm v rovině a svahu</t>
  </si>
  <si>
    <t>Pol143</t>
  </si>
  <si>
    <t>Založení trávníku parkového výsevem se zapravením</t>
  </si>
  <si>
    <t>Pozn.: Založení trávníku ve vegetační dlažbě viz SO 02.</t>
  </si>
  <si>
    <t>Pol144</t>
  </si>
  <si>
    <t>Přihnojení startovacím hnojivem</t>
  </si>
  <si>
    <t>Pol145</t>
  </si>
  <si>
    <t>Obdělání půdy válením</t>
  </si>
  <si>
    <t>Pol146</t>
  </si>
  <si>
    <t>Ošetření trávníku po založení s dosevem</t>
  </si>
  <si>
    <t>Pol147</t>
  </si>
  <si>
    <t>Bodový selektivní herbicidní postřik proti výmladkům a dvouděložným plevelům</t>
  </si>
  <si>
    <t>Pol148</t>
  </si>
  <si>
    <t>Kosení trávníku s odstraněním shrabků 2x</t>
  </si>
  <si>
    <t>Pol149</t>
  </si>
  <si>
    <t>Přesun hmot pro SÚ</t>
  </si>
  <si>
    <t>Pol150</t>
  </si>
  <si>
    <t>Herbicid selektivní</t>
  </si>
  <si>
    <t>lt</t>
  </si>
  <si>
    <t>Pol151</t>
  </si>
  <si>
    <t>Hnojivo startovací trávníkové 0,05kg/m2</t>
  </si>
  <si>
    <t>112,50*0.05</t>
  </si>
  <si>
    <t>Pol152</t>
  </si>
  <si>
    <t>Travní směs parková domácí provenience dle PD 0,025 kg/m2</t>
  </si>
  <si>
    <t>112.50*0.025</t>
  </si>
  <si>
    <t>D2</t>
  </si>
  <si>
    <t xml:space="preserve">Výsadby stromů </t>
  </si>
  <si>
    <t>D3</t>
  </si>
  <si>
    <t>Založení</t>
  </si>
  <si>
    <t>Pol153</t>
  </si>
  <si>
    <t>Rozměření a vytýčení výsadeb</t>
  </si>
  <si>
    <t>Pol154</t>
  </si>
  <si>
    <t>Hloubení jam do 1 m3 se 100% výměnou v rovině s odvozem a likvidací výkopku</t>
  </si>
  <si>
    <t>Pol155</t>
  </si>
  <si>
    <t>Aplikace půdního kondicionéru se zapravením do výsadbových jam</t>
  </si>
  <si>
    <t>Pol156</t>
  </si>
  <si>
    <t>Výsadba dřeviny s balem, v rovině, při průměru balu do 80 cm</t>
  </si>
  <si>
    <t>Pol157</t>
  </si>
  <si>
    <t>Ochranný nátěr kmene Arboflex</t>
  </si>
  <si>
    <t>Pol158</t>
  </si>
  <si>
    <t>Kotvení dřeviny konstrukcí ze 3 kůlů</t>
  </si>
  <si>
    <t>Pol159</t>
  </si>
  <si>
    <t>Zřízení závlahového límce AquaMax</t>
  </si>
  <si>
    <t>Pol160</t>
  </si>
  <si>
    <t>Hnojení rostlin tabletovým hnojivem</t>
  </si>
  <si>
    <t>Pol161</t>
  </si>
  <si>
    <t>Zřízení závlahové mísy a namulčování hrubou borkou soliterní stromy vrstva 10-15 cm</t>
  </si>
  <si>
    <t>D4</t>
  </si>
  <si>
    <t>Další práce</t>
  </si>
  <si>
    <t>Pol162</t>
  </si>
  <si>
    <t>Zalití vysazených dřevin po výsadbě s dovozem a dodávkou vody 3x</t>
  </si>
  <si>
    <t>Pol163</t>
  </si>
  <si>
    <t>Ošetření dřevin soliterních po výsadbě včetně výchovného řezu</t>
  </si>
  <si>
    <t>D5</t>
  </si>
  <si>
    <t>Rostlinný materiál  - velikost a kvalita dle PD</t>
  </si>
  <si>
    <t>Pol164</t>
  </si>
  <si>
    <t>Listnaté stromy alejové VK Zb 14/16 - Platanus acerifolia (platan javorolistý)</t>
  </si>
  <si>
    <t>Pol165</t>
  </si>
  <si>
    <t>Listnaté stromy alejové VK Zb 14/16 - Liriodendron tulipifera (lyrovník tulipánokvětý)</t>
  </si>
  <si>
    <t>D6</t>
  </si>
  <si>
    <t>Ostatní materiály</t>
  </si>
  <si>
    <t>Pol166</t>
  </si>
  <si>
    <t>Tabletové pomalurozpustné hnojivo</t>
  </si>
  <si>
    <t>Pol167</t>
  </si>
  <si>
    <t>Půdní kondicionér</t>
  </si>
  <si>
    <t>Pol168</t>
  </si>
  <si>
    <t>Substrát pro výměnu zeminy v místě výsadeb stromů dle TZ</t>
  </si>
  <si>
    <t>Pol169</t>
  </si>
  <si>
    <t>Pol170</t>
  </si>
  <si>
    <t>Závlahový límec AquaMAx včetně spojovacího prvku</t>
  </si>
  <si>
    <t>Pol171</t>
  </si>
  <si>
    <t>Borka mulčovací hrubá - stromy</t>
  </si>
  <si>
    <t>Pol172</t>
  </si>
  <si>
    <t>Kůly frézované prům.6 cm, 2,5 m</t>
  </si>
  <si>
    <t>Pol173</t>
  </si>
  <si>
    <t>Příčky půlené tlakově impregnované</t>
  </si>
  <si>
    <t>Pol174</t>
  </si>
  <si>
    <t>Úvazky ke stromům</t>
  </si>
  <si>
    <t>Stod</t>
  </si>
  <si>
    <t>00257265</t>
  </si>
  <si>
    <t>Město Stod</t>
  </si>
  <si>
    <t>CZ00257265</t>
  </si>
  <si>
    <t>Položky oddílu vedlejší náklady zarhnují tyto náklady pro celou stavbu vč. specialistů technického zařízení, pokud nejsou ve výjimečných případech v nutném rozsahu uvedeny v některém dílčím soupisu prací.  Celková nabídková cena musí zohledňovat klimatické vlivy a vlivy počasí (sníh, mráz, déšť apod.). Tyto vlivy mohou být oceněny např. v příslušné položce Vedlejších rozpočtových nákladů.</t>
  </si>
  <si>
    <t xml:space="preserve">    VRN1 - Průzkumné, geodetické a projektové práce</t>
  </si>
  <si>
    <t xml:space="preserve">    VRN3 - Zařízení staveniště</t>
  </si>
  <si>
    <t xml:space="preserve">    VRN5 - Finanční náklady</t>
  </si>
  <si>
    <t>VRN1</t>
  </si>
  <si>
    <t>Průzkumné, geodetické a projektové práce</t>
  </si>
  <si>
    <t>011314000</t>
  </si>
  <si>
    <t>Archeologický dohled.</t>
  </si>
  <si>
    <t>soub</t>
  </si>
  <si>
    <t>1567635282</t>
  </si>
  <si>
    <t>011503000</t>
  </si>
  <si>
    <t>Stavební průzkum bez rozlišení</t>
  </si>
  <si>
    <t>-2116807585</t>
  </si>
  <si>
    <t>Např. dle tabulky skladeb fasád: Před prováděním ETICS budou provedeny odtrhové zkoušky ČSN 73 2901.</t>
  </si>
  <si>
    <t>012103000</t>
  </si>
  <si>
    <t>Geodetické práce před výstavbou.</t>
  </si>
  <si>
    <t>-2058804627</t>
  </si>
  <si>
    <t>012303000</t>
  </si>
  <si>
    <t>Geodetické práce po výstavbě vč. zaměření skutečného stavu a vyhotovení geometrického plánu</t>
  </si>
  <si>
    <t>-1419677347</t>
  </si>
  <si>
    <t>013254000</t>
  </si>
  <si>
    <t>Dokumentace skutečného provedení stavby</t>
  </si>
  <si>
    <t>210530556</t>
  </si>
  <si>
    <t>013274000</t>
  </si>
  <si>
    <t>Pasportizace objektu před započetím prací.</t>
  </si>
  <si>
    <t>-865663747</t>
  </si>
  <si>
    <t>0132940.1</t>
  </si>
  <si>
    <t>Dílenská a výrobní dokumentace</t>
  </si>
  <si>
    <t>1233808845</t>
  </si>
  <si>
    <t>0132940.2</t>
  </si>
  <si>
    <t>Projektová dokumentace POV</t>
  </si>
  <si>
    <t>-1076632381</t>
  </si>
  <si>
    <t>0132940.3</t>
  </si>
  <si>
    <t>-1745456170</t>
  </si>
  <si>
    <t>VRN3</t>
  </si>
  <si>
    <t>Zařízení staveniště</t>
  </si>
  <si>
    <t>032002000</t>
  </si>
  <si>
    <t>Vybavení staveniště</t>
  </si>
  <si>
    <t>2018672835</t>
  </si>
  <si>
    <t>montáž zařízení staveniště, pronájem, průbežný úklid, opatření proti prašnosti, hluku a vibracím, čištění vozidel,</t>
  </si>
  <si>
    <t>ochrana stávajících a provedených konstrukcí před pokozením, dopravní opatření, aj. související položky provozu zař. staveniště</t>
  </si>
  <si>
    <t>033002000</t>
  </si>
  <si>
    <t>Připojení staveniště na inženýrské sítě a spotřeba energií</t>
  </si>
  <si>
    <t>1806506252</t>
  </si>
  <si>
    <t>034002000</t>
  </si>
  <si>
    <t>Zabezpečení staveniště</t>
  </si>
  <si>
    <t>1367475106</t>
  </si>
  <si>
    <t>Zabezpečení a ostraha staveniště</t>
  </si>
  <si>
    <t>039002000</t>
  </si>
  <si>
    <t>Zrušení zařízení staveniště</t>
  </si>
  <si>
    <t>1513232980</t>
  </si>
  <si>
    <t>demontáž zařízení staveniště, úklid staveniště a uvedení dotčených ploch do původního stavu</t>
  </si>
  <si>
    <t>041403000</t>
  </si>
  <si>
    <t>Zajištění BOZP na staveništi.</t>
  </si>
  <si>
    <t>427043041</t>
  </si>
  <si>
    <t>043103000</t>
  </si>
  <si>
    <t>Zkoušky bez rozlišení</t>
  </si>
  <si>
    <t>929751370</t>
  </si>
  <si>
    <t>Zkoušky, protokoly, doklady potřebné pro bezvadné provedení a předání díla</t>
  </si>
  <si>
    <t xml:space="preserve">Např. viz Půdorys 1.pp - Ke kolaudaci budou předloženy veškeré protokoly o zkouškách, revize, dále tech.listy (prohlášení o shodě a certifikáty) </t>
  </si>
  <si>
    <t>jednotlivých výrobků a materiálů.</t>
  </si>
  <si>
    <t>043154000</t>
  </si>
  <si>
    <t>Zkoušky hutnicí</t>
  </si>
  <si>
    <t>-435451273</t>
  </si>
  <si>
    <t>045203000</t>
  </si>
  <si>
    <t>Kompletační činnost</t>
  </si>
  <si>
    <t>-1578358046</t>
  </si>
  <si>
    <t>Kompletační činnost hlavního zhotovitele stavby</t>
  </si>
  <si>
    <t>045303000</t>
  </si>
  <si>
    <t>Koordinační činnost</t>
  </si>
  <si>
    <t>-463063132</t>
  </si>
  <si>
    <t>Koordinační činnost hlavního zhotovitele stavby</t>
  </si>
  <si>
    <t>VRN5</t>
  </si>
  <si>
    <t>Finanční náklady</t>
  </si>
  <si>
    <t>051002000</t>
  </si>
  <si>
    <t>Pojistné</t>
  </si>
  <si>
    <t>1883818323</t>
  </si>
  <si>
    <t>056002000</t>
  </si>
  <si>
    <t>Bankovní záruka</t>
  </si>
  <si>
    <t>-1047386825</t>
  </si>
  <si>
    <t>094002010.1</t>
  </si>
  <si>
    <t>Vzorkování výrobků, materiálů, povrchových úprav</t>
  </si>
  <si>
    <t>168648129</t>
  </si>
  <si>
    <t>Např. dle výkresů spárořezů: Veškeré dlažby, obklady a nátěry budou vyvzorkovány a odsouhlaseny architektem a objednatelem před realizací.</t>
  </si>
  <si>
    <t>Barevné řešení dveří (aj. výrobků) bude vybráno dle předloženého vzorníku a odsouhlaseno architektem a objednatelem před realizací.</t>
  </si>
  <si>
    <t>094204000</t>
  </si>
  <si>
    <t>Zimní opatření na stavbě</t>
  </si>
  <si>
    <t>1913323734</t>
  </si>
  <si>
    <t>SEZNAM FIGUR</t>
  </si>
  <si>
    <t>Výměra</t>
  </si>
  <si>
    <t>SO 01/ ARS</t>
  </si>
  <si>
    <t>Použití figury:</t>
  </si>
  <si>
    <t>SO 01/ KCE</t>
  </si>
  <si>
    <t>SO 01/ FAS</t>
  </si>
  <si>
    <t>D.1.1.22 - řez A</t>
  </si>
  <si>
    <t>SO 01/ STŘ</t>
  </si>
  <si>
    <t>SO 01/ VYR/ 05</t>
  </si>
  <si>
    <t>SO 01/ OST</t>
  </si>
  <si>
    <t>SO 01/ BOU</t>
  </si>
  <si>
    <t>SO 01/ DEŠ</t>
  </si>
  <si>
    <t>PŘÍLOHA - VÝPOČET PLOCH POVRCHOVÝCH ÚPRAV STĚN</t>
  </si>
  <si>
    <t>POVRCHY STĚN</t>
  </si>
  <si>
    <t>OBKLADY</t>
  </si>
  <si>
    <t>-</t>
  </si>
  <si>
    <t>AO</t>
  </si>
  <si>
    <t>KER. OBKLAD</t>
  </si>
  <si>
    <t>SÁDROVÁ OMÍTKA; KER. OBKLAD; MALBA</t>
  </si>
  <si>
    <t>SÁDROVÁ OMÍTKA; MALBA</t>
  </si>
  <si>
    <t>SANAČNÍ OMÍTKA; KER. OBKLAD; MALBA</t>
  </si>
  <si>
    <t>SANAČNÍ OMÍTKA; MALBA</t>
  </si>
  <si>
    <t>SILIKÁTOVÁ FASÁDNÍ O.</t>
  </si>
  <si>
    <t>VÁPENOCEMENTOVÁ O.; KER. OBKLAD; MALBA</t>
  </si>
  <si>
    <t>VÁPENOCEMENTOVÁ O.; MALBA</t>
  </si>
  <si>
    <t>ČÍSLO MÍSTNOSTI</t>
  </si>
  <si>
    <t>NÁZEV MÍSTNOSTI</t>
  </si>
  <si>
    <t>STĚNY</t>
  </si>
  <si>
    <t>Povrchová úprava po odečtení obkladu m2</t>
  </si>
  <si>
    <t>OBKLAD</t>
  </si>
  <si>
    <t>Obklad m2 pro XLS</t>
  </si>
  <si>
    <t>POZNÁMKA</t>
  </si>
  <si>
    <t>Čistý obvod zóny(mm)</t>
  </si>
  <si>
    <t>Čistý obvod zóny (m)</t>
  </si>
  <si>
    <t>Výška</t>
  </si>
  <si>
    <t>Odečet otvorů pro XLS</t>
  </si>
  <si>
    <t>technická místnost</t>
  </si>
  <si>
    <t>šachta</t>
  </si>
  <si>
    <t>sklad</t>
  </si>
  <si>
    <t>místnost pro spolky</t>
  </si>
  <si>
    <t>PVC SOKL 60 mm</t>
  </si>
  <si>
    <t>-1.00.04</t>
  </si>
  <si>
    <t>chodba</t>
  </si>
  <si>
    <t>KER. SOKL 60 mm</t>
  </si>
  <si>
    <t>tech. místnost</t>
  </si>
  <si>
    <t>zkušebna</t>
  </si>
  <si>
    <t>PVC SOKL 60 mm, AKUSTICKÝ OBKLAD VIZ. ČÁST AKUSTIKY</t>
  </si>
  <si>
    <t>posilovna</t>
  </si>
  <si>
    <t>AKUSTICKÝ OBKLAD VIZ. ČÁST AKUSTIKY. NA NOVOU PODLAHU BUDOU POLOŽENY GUMOVÉ ČTVERCE PRO POSILONY viz tab.podlah</t>
  </si>
  <si>
    <t>-1.00.11</t>
  </si>
  <si>
    <t>bezbariérové wc</t>
  </si>
  <si>
    <t>šatna</t>
  </si>
  <si>
    <t>-1.00.13</t>
  </si>
  <si>
    <t>předsíň</t>
  </si>
  <si>
    <t>KER. OBKLAD DO V. 2000 mm</t>
  </si>
  <si>
    <t>-1.00.14</t>
  </si>
  <si>
    <t>wc</t>
  </si>
  <si>
    <t>sprcha</t>
  </si>
  <si>
    <t>-1.00.16</t>
  </si>
  <si>
    <t>KER. SOKL 70 mm</t>
  </si>
  <si>
    <t>-1.00.17</t>
  </si>
  <si>
    <t>úklidová místnost</t>
  </si>
  <si>
    <t>-1.00.18</t>
  </si>
  <si>
    <t>sušárna</t>
  </si>
  <si>
    <t>prádelna</t>
  </si>
  <si>
    <t>dílna</t>
  </si>
  <si>
    <t>koupelna</t>
  </si>
  <si>
    <t>-1.00.26</t>
  </si>
  <si>
    <t>výtah</t>
  </si>
  <si>
    <t>kolárna</t>
  </si>
  <si>
    <t>1.00.01</t>
  </si>
  <si>
    <t>hala</t>
  </si>
  <si>
    <t>1.00.03</t>
  </si>
  <si>
    <t>kuchyňka</t>
  </si>
  <si>
    <t>KER. OBKLAD ZA KUCH. LINKOU</t>
  </si>
  <si>
    <t>herna</t>
  </si>
  <si>
    <t>1.00.07</t>
  </si>
  <si>
    <t>1.00.08</t>
  </si>
  <si>
    <t>kancelář kolejná</t>
  </si>
  <si>
    <t>1.00.09</t>
  </si>
  <si>
    <t>STÁVAJÍCÍ</t>
  </si>
  <si>
    <t>studovna</t>
  </si>
  <si>
    <t>spojovací krček</t>
  </si>
  <si>
    <t>1.00.15</t>
  </si>
  <si>
    <t>terasa</t>
  </si>
  <si>
    <t>1.01.01</t>
  </si>
  <si>
    <t>předsíň buňky</t>
  </si>
  <si>
    <t>1.01.02</t>
  </si>
  <si>
    <t>pokoj</t>
  </si>
  <si>
    <t>1.01.03</t>
  </si>
  <si>
    <t>1.01.04</t>
  </si>
  <si>
    <t>1.01.05</t>
  </si>
  <si>
    <t>1.02.01</t>
  </si>
  <si>
    <t>1.02.02</t>
  </si>
  <si>
    <t>1.02.03</t>
  </si>
  <si>
    <t>1.02.04</t>
  </si>
  <si>
    <t>1.02.05</t>
  </si>
  <si>
    <t>1.03.01</t>
  </si>
  <si>
    <t>1.03.02</t>
  </si>
  <si>
    <t>1.03.03</t>
  </si>
  <si>
    <t>1.03.04</t>
  </si>
  <si>
    <t>1.03.05</t>
  </si>
  <si>
    <t>1.03.06</t>
  </si>
  <si>
    <t>1.04.01</t>
  </si>
  <si>
    <t>1.04.03</t>
  </si>
  <si>
    <t>1.04.04</t>
  </si>
  <si>
    <t>1.04.05</t>
  </si>
  <si>
    <t>1.05.01</t>
  </si>
  <si>
    <t>1.05.02</t>
  </si>
  <si>
    <t>1.05.03</t>
  </si>
  <si>
    <t>1.05.04</t>
  </si>
  <si>
    <t>1.05.05</t>
  </si>
  <si>
    <t>1.06.01</t>
  </si>
  <si>
    <t>1.06.02</t>
  </si>
  <si>
    <t>1.06.03</t>
  </si>
  <si>
    <t>1.06.04</t>
  </si>
  <si>
    <t>1.06.05</t>
  </si>
  <si>
    <t>1.06.06</t>
  </si>
  <si>
    <t>2.00.03</t>
  </si>
  <si>
    <t>slaboproudá rozvodna</t>
  </si>
  <si>
    <t>KER. OBKLAD ZA KUCH. LINKOU, KER. SOKL 60 mm</t>
  </si>
  <si>
    <t>2.00.06</t>
  </si>
  <si>
    <t>společenská místnost</t>
  </si>
  <si>
    <t>2.00.08</t>
  </si>
  <si>
    <t>2.00.09</t>
  </si>
  <si>
    <t>2.00.10</t>
  </si>
  <si>
    <t>2.00.11</t>
  </si>
  <si>
    <t>2.00.12</t>
  </si>
  <si>
    <t>pisoár</t>
  </si>
  <si>
    <t>2.00.13</t>
  </si>
  <si>
    <t>2.00.14</t>
  </si>
  <si>
    <t>2.00.16</t>
  </si>
  <si>
    <t>2.01.01</t>
  </si>
  <si>
    <t>2.01.02</t>
  </si>
  <si>
    <t>bezbariérový pokoj</t>
  </si>
  <si>
    <t>2.01.03</t>
  </si>
  <si>
    <t>2.01.04</t>
  </si>
  <si>
    <t>bezbariérová koupelna</t>
  </si>
  <si>
    <t>OBKLAD DO V. 2000 mm</t>
  </si>
  <si>
    <t>2.02.01</t>
  </si>
  <si>
    <t>2.02.02</t>
  </si>
  <si>
    <t>2.02.03</t>
  </si>
  <si>
    <t>2.02.04</t>
  </si>
  <si>
    <t>2.02.05</t>
  </si>
  <si>
    <t>2.03.01</t>
  </si>
  <si>
    <t>2.03.02</t>
  </si>
  <si>
    <t>2.03.03</t>
  </si>
  <si>
    <t>2.03.04</t>
  </si>
  <si>
    <t>2.03.05</t>
  </si>
  <si>
    <t>2.04.01</t>
  </si>
  <si>
    <t>2.04.02</t>
  </si>
  <si>
    <t>2.04.03</t>
  </si>
  <si>
    <t>2.04.04</t>
  </si>
  <si>
    <t>2.04.05</t>
  </si>
  <si>
    <t>2.05.01</t>
  </si>
  <si>
    <t>2.05.02</t>
  </si>
  <si>
    <t>2.05.03</t>
  </si>
  <si>
    <t>2.05.04</t>
  </si>
  <si>
    <t>2.05.05</t>
  </si>
  <si>
    <t>2.05.06</t>
  </si>
  <si>
    <t>OBKLAD DO V. 2000</t>
  </si>
  <si>
    <t>2.06.01</t>
  </si>
  <si>
    <t>2.06.02</t>
  </si>
  <si>
    <t>2.06.03</t>
  </si>
  <si>
    <t>2.06.04</t>
  </si>
  <si>
    <t>2.06.05</t>
  </si>
  <si>
    <t>2.07.01</t>
  </si>
  <si>
    <t>2.07.02</t>
  </si>
  <si>
    <t>2.07.03</t>
  </si>
  <si>
    <t>2.07.04</t>
  </si>
  <si>
    <t>2.07.05</t>
  </si>
  <si>
    <t>2.08.01</t>
  </si>
  <si>
    <t>2.08.02</t>
  </si>
  <si>
    <t>2.08.03</t>
  </si>
  <si>
    <t>2.08.04</t>
  </si>
  <si>
    <t>2.08.05</t>
  </si>
  <si>
    <t>2.08.06</t>
  </si>
  <si>
    <t>3.00.03</t>
  </si>
  <si>
    <t>3.00.07</t>
  </si>
  <si>
    <t>3.00.08</t>
  </si>
  <si>
    <t>3.01.01</t>
  </si>
  <si>
    <t>3.01.02</t>
  </si>
  <si>
    <t>3.01.03</t>
  </si>
  <si>
    <t>3.01.04</t>
  </si>
  <si>
    <t>3.02.01</t>
  </si>
  <si>
    <t>3.02.02</t>
  </si>
  <si>
    <t>3.02.03</t>
  </si>
  <si>
    <t>3.02.04</t>
  </si>
  <si>
    <t>3.02.05</t>
  </si>
  <si>
    <t>3.03.01</t>
  </si>
  <si>
    <t>3.03.02</t>
  </si>
  <si>
    <t>3.03.03</t>
  </si>
  <si>
    <t>3.03.04</t>
  </si>
  <si>
    <t>3.03.05</t>
  </si>
  <si>
    <t>3.04.01</t>
  </si>
  <si>
    <t>3.04.02</t>
  </si>
  <si>
    <t>3.04.03</t>
  </si>
  <si>
    <t>3.04.04</t>
  </si>
  <si>
    <t>3.04.05</t>
  </si>
  <si>
    <t>3.05.01</t>
  </si>
  <si>
    <t>3.05.02</t>
  </si>
  <si>
    <t>3.05.03</t>
  </si>
  <si>
    <t>3.05.04</t>
  </si>
  <si>
    <t>3.05.05</t>
  </si>
  <si>
    <t>3.05.06</t>
  </si>
  <si>
    <t>3.06.01</t>
  </si>
  <si>
    <t>3.06.02</t>
  </si>
  <si>
    <t>3.06.03</t>
  </si>
  <si>
    <t>3.06.04</t>
  </si>
  <si>
    <t>3.06.05</t>
  </si>
  <si>
    <t>3.07.01</t>
  </si>
  <si>
    <t>3.07.02</t>
  </si>
  <si>
    <t>3.07.03</t>
  </si>
  <si>
    <t>3.07.04</t>
  </si>
  <si>
    <t>3.07.05</t>
  </si>
  <si>
    <t>3.08.01</t>
  </si>
  <si>
    <t>3.08.02</t>
  </si>
  <si>
    <t>3.08.03</t>
  </si>
  <si>
    <t>3.08.04</t>
  </si>
  <si>
    <t>3.08.05</t>
  </si>
  <si>
    <t>3.08.06</t>
  </si>
  <si>
    <t>3.09.03</t>
  </si>
  <si>
    <t>3.09.04</t>
  </si>
  <si>
    <t>3.09.05</t>
  </si>
  <si>
    <t>3.09.06</t>
  </si>
  <si>
    <t>3.09.07</t>
  </si>
  <si>
    <t>3.09.08</t>
  </si>
  <si>
    <t>3.09.09</t>
  </si>
  <si>
    <t>4.00.03</t>
  </si>
  <si>
    <t>4.00.06A</t>
  </si>
  <si>
    <t>4.01.01</t>
  </si>
  <si>
    <t>4.01.02</t>
  </si>
  <si>
    <t>4.01.03</t>
  </si>
  <si>
    <t>4.01.04</t>
  </si>
  <si>
    <t>4.02.01</t>
  </si>
  <si>
    <t>4.02.02</t>
  </si>
  <si>
    <t>4.02.03</t>
  </si>
  <si>
    <t>4.02.04</t>
  </si>
  <si>
    <t>4.02.05</t>
  </si>
  <si>
    <t>4.03.01</t>
  </si>
  <si>
    <t>4.03.02</t>
  </si>
  <si>
    <t>4.03.03</t>
  </si>
  <si>
    <t>4.03.04</t>
  </si>
  <si>
    <t>4.03.05</t>
  </si>
  <si>
    <t>4.04.01</t>
  </si>
  <si>
    <t>4.04.02</t>
  </si>
  <si>
    <t>4.04.03</t>
  </si>
  <si>
    <t>4.04.04</t>
  </si>
  <si>
    <t>4.04.05</t>
  </si>
  <si>
    <t>4.05.01</t>
  </si>
  <si>
    <t>4.05.02</t>
  </si>
  <si>
    <t>4.05.03</t>
  </si>
  <si>
    <t>4.05.04</t>
  </si>
  <si>
    <t>4.05.05</t>
  </si>
  <si>
    <t>4.05.06</t>
  </si>
  <si>
    <t>4.06.01</t>
  </si>
  <si>
    <t>4.06.02</t>
  </si>
  <si>
    <t>4.06.03</t>
  </si>
  <si>
    <t>4.06.04</t>
  </si>
  <si>
    <t>4.06.05</t>
  </si>
  <si>
    <t>4.07.01</t>
  </si>
  <si>
    <t>4.07.02</t>
  </si>
  <si>
    <t>4.07.03</t>
  </si>
  <si>
    <t>4.07.04</t>
  </si>
  <si>
    <t>4.07.05</t>
  </si>
  <si>
    <t>4.08.01</t>
  </si>
  <si>
    <t>4.08.02</t>
  </si>
  <si>
    <t>4.08.03</t>
  </si>
  <si>
    <t>4.08.04</t>
  </si>
  <si>
    <t>4.08.05</t>
  </si>
  <si>
    <t>4.08.06</t>
  </si>
  <si>
    <t>4.09.01</t>
  </si>
  <si>
    <t>4.09.02</t>
  </si>
  <si>
    <t>4.09.03</t>
  </si>
  <si>
    <t>4.09.04</t>
  </si>
  <si>
    <t>4.09.05</t>
  </si>
  <si>
    <t>4.09.06</t>
  </si>
  <si>
    <t>4.09.07</t>
  </si>
  <si>
    <t>koupelna + wc</t>
  </si>
  <si>
    <t>5.00.03</t>
  </si>
  <si>
    <t>5.00.05</t>
  </si>
  <si>
    <t>5.00.06</t>
  </si>
  <si>
    <t>5.01.01</t>
  </si>
  <si>
    <t>5.01.02</t>
  </si>
  <si>
    <t>5.01.03</t>
  </si>
  <si>
    <t>5.01.04</t>
  </si>
  <si>
    <t>5.01.05</t>
  </si>
  <si>
    <t>5.02.01</t>
  </si>
  <si>
    <t>5.02.02</t>
  </si>
  <si>
    <t>5.02.03</t>
  </si>
  <si>
    <t>5.02.04</t>
  </si>
  <si>
    <t>5.02.05</t>
  </si>
  <si>
    <t>5.03.01</t>
  </si>
  <si>
    <t>5.03.02</t>
  </si>
  <si>
    <t>5.03.03</t>
  </si>
  <si>
    <t>5.03.04</t>
  </si>
  <si>
    <t>5.03.05</t>
  </si>
  <si>
    <t>5.04.01</t>
  </si>
  <si>
    <t>5.04.02</t>
  </si>
  <si>
    <t>5.04.03</t>
  </si>
  <si>
    <t>5.04.04</t>
  </si>
  <si>
    <t>5.04.05</t>
  </si>
  <si>
    <t>5.05.01</t>
  </si>
  <si>
    <t>5.05.02</t>
  </si>
  <si>
    <t>5.05.03</t>
  </si>
  <si>
    <t>5.05.04</t>
  </si>
  <si>
    <t>5.05.05</t>
  </si>
  <si>
    <t>5.05.06</t>
  </si>
  <si>
    <t>5.06.01</t>
  </si>
  <si>
    <t>5.06.02</t>
  </si>
  <si>
    <t>5.06.03</t>
  </si>
  <si>
    <t>5.06.04</t>
  </si>
  <si>
    <t>5.06.05</t>
  </si>
  <si>
    <t>5.07.01</t>
  </si>
  <si>
    <t>5.07.02</t>
  </si>
  <si>
    <t>5.07.03</t>
  </si>
  <si>
    <t>5.07.04</t>
  </si>
  <si>
    <t>5.07.05</t>
  </si>
  <si>
    <t>PŘÍLOHA - VÝPOČET PLOCH PODLAH</t>
  </si>
  <si>
    <t>Podlahy</t>
  </si>
  <si>
    <t>Skladby</t>
  </si>
  <si>
    <t>S04; S04a</t>
  </si>
  <si>
    <t>ve vv více dle žb desek</t>
  </si>
  <si>
    <t>rozdíl dělají výtahy</t>
  </si>
  <si>
    <t>ve vv více dle výkresů</t>
  </si>
  <si>
    <t>výtahy, schody a mezipodesty</t>
  </si>
  <si>
    <t>PODLAHA</t>
  </si>
  <si>
    <t>PLOCHA (m2)</t>
  </si>
  <si>
    <t>POVRCH</t>
  </si>
  <si>
    <t>OZN. PODLAHY</t>
  </si>
  <si>
    <t>SKLADBA</t>
  </si>
  <si>
    <t>CELKEM</t>
  </si>
  <si>
    <t>TECHNICKÁ MÍSTNOST</t>
  </si>
  <si>
    <t>CEM. POTĚR</t>
  </si>
  <si>
    <t>NA PODLAHU SE POUŽIJE UZAVÍRATELNÝ EPOX. NÁTĚR</t>
  </si>
  <si>
    <t>ŠACHTA</t>
  </si>
  <si>
    <t>SKLAD</t>
  </si>
  <si>
    <t>EPOX. STĚRKA</t>
  </si>
  <si>
    <t>MÍSTNOST PRO SPOLKY</t>
  </si>
  <si>
    <t>PVC</t>
  </si>
  <si>
    <t>CHODBA</t>
  </si>
  <si>
    <t>KER. DLAŽBA</t>
  </si>
  <si>
    <t>KER. SOKL 95 mm</t>
  </si>
  <si>
    <t>TECH. MÍSTNOST</t>
  </si>
  <si>
    <t>ZKUŠEBNA</t>
  </si>
  <si>
    <t>POSILOVNA</t>
  </si>
  <si>
    <t>BEZBARIÉROVÉ WC</t>
  </si>
  <si>
    <t>ŠATNA</t>
  </si>
  <si>
    <t>PŘEDSÍŇ</t>
  </si>
  <si>
    <t>WC</t>
  </si>
  <si>
    <t>SPRCHA</t>
  </si>
  <si>
    <t>ÚKLIDOVÁ MÍSTNOST</t>
  </si>
  <si>
    <t>SUŠÁRNA</t>
  </si>
  <si>
    <t>PRÁDELNA</t>
  </si>
  <si>
    <t>SCHODIŠTĚ - HLAVNÍ PODESTA</t>
  </si>
  <si>
    <t>KER. SOKL 95 mm. PODHLED POUZE NAD HL. PODESTOU, SKLADBA POUZE NA HL. PODESTĚ.</t>
  </si>
  <si>
    <t>SCHODIŠTĚ - SCHODY A MEZIPODESTA</t>
  </si>
  <si>
    <t>NA SCHODIŠTI A MEZIPODESTĚ POUZE KER. DLAŽBA A LEPIDLO.</t>
  </si>
  <si>
    <t>započteno o řádek výše</t>
  </si>
  <si>
    <t>DÍLNA</t>
  </si>
  <si>
    <t>KOUPELNA</t>
  </si>
  <si>
    <t>KER. OBKLAD DO V. 2000 mm. nA STÁVAJÍCÍ SKLADBU BUDE NALEPENA DLAŽBA VČ. HYDROIZOLAČNÍ STĚRKY.</t>
  </si>
  <si>
    <t>VÝTAH</t>
  </si>
  <si>
    <t>KOLÁRNA</t>
  </si>
  <si>
    <t>HALA</t>
  </si>
  <si>
    <t>MRAMOROVÁ DLAŽBA</t>
  </si>
  <si>
    <t>KUCHYŇKA</t>
  </si>
  <si>
    <t>HERNA</t>
  </si>
  <si>
    <t>KANCELÁŘ KOLEJNÁ</t>
  </si>
  <si>
    <t>STUDOVNA</t>
  </si>
  <si>
    <t>SPOJOVACÍ KRČEK</t>
  </si>
  <si>
    <t>TERASA</t>
  </si>
  <si>
    <t>PŘEDSÍŇ BUŇKY</t>
  </si>
  <si>
    <t>POKOJ</t>
  </si>
  <si>
    <t>SLABOPROUDÁ ROZVODNA</t>
  </si>
  <si>
    <t>KER. OBKLAD ZA KUCH. LINKOU, KER. SOKL 95 mm</t>
  </si>
  <si>
    <t>SPOLEČENSKÁ MÍSTNOST</t>
  </si>
  <si>
    <t>PISOÁR</t>
  </si>
  <si>
    <t>BEZBARIÉROVÝ POKOJ</t>
  </si>
  <si>
    <t>BEZBARIÉROVÁ KOUPELNA</t>
  </si>
  <si>
    <t>KER. SOKL 95 mm. PODHLED NA CELOU PLOCHU STROPU, SKLADBA POUZE NA HL. PODESTĚ.</t>
  </si>
  <si>
    <t>PVC. SOKL 60 mm</t>
  </si>
  <si>
    <t>KOUPELNA + WC</t>
  </si>
  <si>
    <t>STROJOVNA VÝTAHU</t>
  </si>
  <si>
    <t/>
  </si>
  <si>
    <t>Položka obsahuje rovněž veškerý instalační materiál skladby (kromě tepelně izolačních desek).</t>
  </si>
  <si>
    <t>Pozn.:zahrnuje rovněž demontáž rozdělovačů, armatur a dalších částí stávajících rozvodů v jiných položkách neuvedených.</t>
  </si>
  <si>
    <t>Projektová zásahová dokumentace zdolávání požáru včetně operačních karet, popř. souvisejících dokumentů a úkonů nezbytných k vydání souhlasného stanoviska HZS před kolaudací; vč. zpracování a vytištění evakuačních plánů a požárních směrnic  a jejich rozmístění v objektu vč. AL. rámečků.</t>
  </si>
  <si>
    <t>Zahrnuje mj. také proplach, napuštění, zaregulování a topnou zkoušku.</t>
  </si>
  <si>
    <t>Synchronizace pers. záznamů obousměrná - Iskam</t>
  </si>
  <si>
    <t>Viz příloha smlouvy o dílo obsah předávané dokumenace pokud není uvedeno v jiných položkách.</t>
  </si>
  <si>
    <t>200" Počet vyjadřuje celkové množství nových dveří/vložek, které budou součástí systému generálního klíče.</t>
  </si>
  <si>
    <t>upraven počet</t>
  </si>
  <si>
    <t>7421061</t>
  </si>
  <si>
    <t>Nabíjecí stanice pro elektromobily</t>
  </si>
  <si>
    <t>Nová položka</t>
  </si>
  <si>
    <t>7425135</t>
  </si>
  <si>
    <t>Kabelová chránička DN100 pro ochranu kabelů uložených v zemi</t>
  </si>
  <si>
    <t>7421062</t>
  </si>
  <si>
    <t>trubka plastová ohebná instalační  DN100</t>
  </si>
  <si>
    <t>nová položka</t>
  </si>
  <si>
    <t>Úprava stávajícího elektroměrového rozvaděče (5x deon s vyrážecí cívkou, montáž TS, CS)</t>
  </si>
  <si>
    <t>upraven popis</t>
  </si>
  <si>
    <t>SW agenda kontrola přístupu - Rozšíření SW licence o 250 AP, uživatelská multilicence</t>
  </si>
  <si>
    <t>Měření optické trasy</t>
  </si>
  <si>
    <t>7421111</t>
  </si>
  <si>
    <t>Rack stojanový, 42U, 600 x 600</t>
  </si>
  <si>
    <t>Kabel pro instalaci EPS 2x2x0,8 B2ca-s1d1a1</t>
  </si>
  <si>
    <t>Prostup do vel. 100 vč. Zapravení</t>
  </si>
  <si>
    <t>62.1</t>
  </si>
  <si>
    <t>62.2</t>
  </si>
  <si>
    <t>80.1</t>
  </si>
  <si>
    <t>225.1</t>
  </si>
  <si>
    <t>27.1</t>
  </si>
  <si>
    <t>47.1</t>
  </si>
  <si>
    <t>vodič optický 8 párů vl. (celkem 16 vláken)</t>
  </si>
  <si>
    <t>upravena MJ</t>
  </si>
  <si>
    <t>v4 - oprava popisu - vypuštění otevíravého středního křídla</t>
  </si>
  <si>
    <t>Trojkřídlé okno s nadsvětlíkem. Horní nadsvětlík výklopný. Pevná křídla - neotevíravé. Spodní a horní rám okna zvětšen dle tep. izolace. vel.2 160×2 960mm, zasklení tepelně izolační trojsklo vč. kování, ozn.O30</t>
  </si>
  <si>
    <t>Trojkřídlé okno s nadsvětlíkem. Horní nadsvětlík výklopný. Pevná křídla - neotevíravé. Profil rámu (spodní a horní) okna zvětšen dle tep. izolace.  vel.6 780×2 990mm, zasklení tepelně izolační trojsklo vč. kování, ozn.O29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</si>
</sst>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000"/>
    <numFmt numFmtId="165" formatCode="#,##0.000"/>
    <numFmt numFmtId="166" formatCode="dd&quot;.&quot;mm&quot;.&quot;yyyy"/>
    <numFmt numFmtId="167" formatCode="#,##0.00%"/>
    <numFmt numFmtId="168" formatCode="#"/>
  </numFmts>
  <fonts count="59" x14ac:knownFonts="1">
    <font>
      <sz val="8"/>
      <color rgb="FF000000"/>
      <name val="Arial CE"/>
      <charset val="238"/>
    </font>
    <font>
      <u/>
      <sz val="11"/>
      <color rgb="FF0000FF"/>
      <name val="Calibri"/>
      <family val="2"/>
      <charset val="238"/>
    </font>
    <font>
      <sz val="11"/>
      <color rgb="FF000000"/>
      <name val="Calibri"/>
      <family val="2"/>
      <charset val="238"/>
    </font>
    <font>
      <sz val="8"/>
      <color rgb="FFFFFFFF"/>
      <name val="Arial CE"/>
      <charset val="238"/>
    </font>
    <font>
      <b/>
      <sz val="14"/>
      <color rgb="FF000000"/>
      <name val="Arial CE"/>
      <charset val="238"/>
    </font>
    <font>
      <sz val="8"/>
      <color rgb="FF3366FF"/>
      <name val="Arial CE"/>
      <charset val="238"/>
    </font>
    <font>
      <b/>
      <sz val="12"/>
      <color rgb="FF969696"/>
      <name val="Arial CE"/>
      <charset val="238"/>
    </font>
    <font>
      <sz val="10"/>
      <color rgb="FF969696"/>
      <name val="Arial CE"/>
      <charset val="238"/>
    </font>
    <font>
      <sz val="10"/>
      <color rgb="FF000000"/>
      <name val="Arial CE"/>
      <charset val="238"/>
    </font>
    <font>
      <b/>
      <sz val="8"/>
      <color rgb="FF969696"/>
      <name val="Arial CE"/>
      <charset val="238"/>
    </font>
    <font>
      <b/>
      <sz val="11"/>
      <color rgb="FF000000"/>
      <name val="Arial CE"/>
      <charset val="238"/>
    </font>
    <font>
      <b/>
      <sz val="10"/>
      <color rgb="FF000000"/>
      <name val="Arial CE"/>
      <charset val="238"/>
    </font>
    <font>
      <b/>
      <sz val="10"/>
      <color rgb="FF969696"/>
      <name val="Arial CE"/>
      <charset val="238"/>
    </font>
    <font>
      <b/>
      <sz val="12"/>
      <color rgb="FF000000"/>
      <name val="Arial CE"/>
      <charset val="238"/>
    </font>
    <font>
      <b/>
      <sz val="10"/>
      <color rgb="FF464646"/>
      <name val="Arial CE"/>
      <charset val="238"/>
    </font>
    <font>
      <sz val="12"/>
      <color rgb="FF969696"/>
      <name val="Arial CE"/>
      <charset val="238"/>
    </font>
    <font>
      <sz val="9"/>
      <color rgb="FF000000"/>
      <name val="Arial CE"/>
      <charset val="238"/>
    </font>
    <font>
      <sz val="9"/>
      <color rgb="FF969696"/>
      <name val="Arial CE"/>
      <charset val="238"/>
    </font>
    <font>
      <b/>
      <sz val="12"/>
      <color rgb="FF960000"/>
      <name val="Arial CE"/>
      <charset val="238"/>
    </font>
    <font>
      <sz val="12"/>
      <color rgb="FF000000"/>
      <name val="Arial CE"/>
      <charset val="238"/>
    </font>
    <font>
      <sz val="11"/>
      <color rgb="FF000000"/>
      <name val="Arial CE"/>
      <charset val="238"/>
    </font>
    <font>
      <b/>
      <sz val="11"/>
      <color rgb="FF003366"/>
      <name val="Arial CE"/>
      <charset val="238"/>
    </font>
    <font>
      <sz val="11"/>
      <color rgb="FF003366"/>
      <name val="Arial CE"/>
      <charset val="238"/>
    </font>
    <font>
      <sz val="11"/>
      <color rgb="FF969696"/>
      <name val="Arial CE"/>
      <charset val="238"/>
    </font>
    <font>
      <sz val="10"/>
      <color rgb="FF003366"/>
      <name val="Arial CE"/>
      <charset val="238"/>
    </font>
    <font>
      <b/>
      <sz val="10"/>
      <color rgb="FF003366"/>
      <name val="Arial CE"/>
      <charset val="238"/>
    </font>
    <font>
      <sz val="10"/>
      <color rgb="FF3366FF"/>
      <name val="Arial CE"/>
      <charset val="238"/>
    </font>
    <font>
      <sz val="8"/>
      <color rgb="FF969696"/>
      <name val="Arial CE"/>
      <charset val="238"/>
    </font>
    <font>
      <b/>
      <sz val="12"/>
      <color rgb="FF800000"/>
      <name val="Arial CE"/>
      <charset val="238"/>
    </font>
    <font>
      <sz val="12"/>
      <color rgb="FF003366"/>
      <name val="Arial CE"/>
      <charset val="238"/>
    </font>
    <font>
      <sz val="8"/>
      <color rgb="FF960000"/>
      <name val="Arial CE"/>
      <charset val="238"/>
    </font>
    <font>
      <b/>
      <sz val="8"/>
      <color rgb="FF000000"/>
      <name val="Arial CE"/>
      <charset val="238"/>
    </font>
    <font>
      <sz val="8"/>
      <color rgb="FF003366"/>
      <name val="Arial CE"/>
      <charset val="238"/>
    </font>
    <font>
      <sz val="8"/>
      <color rgb="FF800080"/>
      <name val="Arial CE"/>
      <charset val="238"/>
    </font>
    <font>
      <sz val="7"/>
      <color rgb="FF969696"/>
      <name val="Arial CE"/>
      <charset val="238"/>
    </font>
    <font>
      <sz val="8"/>
      <color rgb="FF505050"/>
      <name val="Arial CE"/>
      <charset val="238"/>
    </font>
    <font>
      <sz val="8"/>
      <color rgb="FFFF0000"/>
      <name val="Arial CE"/>
      <charset val="238"/>
    </font>
    <font>
      <i/>
      <sz val="9"/>
      <color rgb="FF0000FF"/>
      <name val="Arial CE"/>
      <charset val="238"/>
    </font>
    <font>
      <i/>
      <sz val="8"/>
      <color rgb="FF0000FF"/>
      <name val="Arial CE"/>
      <charset val="238"/>
    </font>
    <font>
      <sz val="8"/>
      <color rgb="FF0000A8"/>
      <name val="Arial CE"/>
      <charset val="238"/>
    </font>
    <font>
      <i/>
      <sz val="7"/>
      <color rgb="FF969696"/>
      <name val="Arial CE"/>
      <charset val="238"/>
    </font>
    <font>
      <b/>
      <sz val="9"/>
      <color rgb="FF000000"/>
      <name val="Arial CE"/>
      <charset val="238"/>
    </font>
    <font>
      <b/>
      <sz val="16"/>
      <color rgb="FF00B050"/>
      <name val="Arial Narrow"/>
      <family val="2"/>
      <charset val="238"/>
    </font>
    <font>
      <b/>
      <sz val="9"/>
      <color rgb="FF00B050"/>
      <name val="Arial Narrow"/>
      <family val="2"/>
      <charset val="238"/>
    </font>
    <font>
      <sz val="9"/>
      <color rgb="FF000000"/>
      <name val="Calibri"/>
      <family val="2"/>
      <charset val="238"/>
    </font>
    <font>
      <sz val="9"/>
      <color rgb="FF000000"/>
      <name val="Arial Narrow"/>
      <family val="2"/>
      <charset val="238"/>
    </font>
    <font>
      <b/>
      <sz val="9"/>
      <color rgb="FF000000"/>
      <name val="Arial Narrow"/>
      <family val="2"/>
      <charset val="238"/>
    </font>
    <font>
      <b/>
      <sz val="16"/>
      <color rgb="FF974706"/>
      <name val="Arial Narrow"/>
      <family val="2"/>
      <charset val="238"/>
    </font>
    <font>
      <b/>
      <sz val="7"/>
      <color rgb="FF000000"/>
      <name val="Arial Narrow"/>
      <family val="2"/>
      <charset val="238"/>
    </font>
    <font>
      <b/>
      <sz val="11"/>
      <color rgb="FF000000"/>
      <name val="Arial Narrow"/>
      <family val="2"/>
      <charset val="238"/>
    </font>
    <font>
      <sz val="11"/>
      <color rgb="FF000000"/>
      <name val="Arial Narrow"/>
      <family val="2"/>
      <charset val="238"/>
    </font>
    <font>
      <sz val="7"/>
      <color rgb="FF000000"/>
      <name val="Arial Narrow"/>
      <family val="2"/>
      <charset val="238"/>
    </font>
    <font>
      <b/>
      <sz val="12"/>
      <color rgb="FFFFFFFF"/>
      <name val="Arial Narrow"/>
      <family val="2"/>
      <charset val="238"/>
    </font>
    <font>
      <sz val="8"/>
      <color rgb="FF000000"/>
      <name val="Calibri"/>
      <family val="2"/>
      <charset val="238"/>
    </font>
    <font>
      <b/>
      <sz val="12"/>
      <color rgb="FF000000"/>
      <name val="Arial Narrow"/>
      <family val="2"/>
      <charset val="238"/>
    </font>
    <font>
      <sz val="10"/>
      <color rgb="FF000000"/>
      <name val="Wingdings 2"/>
      <family val="1"/>
      <charset val="2"/>
    </font>
    <font>
      <u/>
      <sz val="18"/>
      <color rgb="FF0000FF"/>
      <name val="Wingdings 2"/>
      <family val="1"/>
      <charset val="2"/>
    </font>
    <font>
      <sz val="18"/>
      <color rgb="FF000000"/>
      <name val="Wingdings 2"/>
      <family val="1"/>
      <charset val="2"/>
    </font>
    <font>
      <sz val="8"/>
      <name val="Arial CE"/>
      <charset val="238"/>
    </font>
  </fonts>
  <fills count="13">
    <fill>
      <patternFill patternType="none"/>
    </fill>
    <fill>
      <patternFill patternType="gray125"/>
    </fill>
    <fill>
      <patternFill patternType="solid">
        <fgColor rgb="FFFFFFCC"/>
        <bgColor rgb="FFFFFFCC"/>
      </patternFill>
    </fill>
    <fill>
      <patternFill patternType="solid">
        <fgColor rgb="FFBEBEBE"/>
        <bgColor rgb="FFBEBEBE"/>
      </patternFill>
    </fill>
    <fill>
      <patternFill patternType="solid">
        <fgColor rgb="FFD2D2D2"/>
        <bgColor rgb="FFD2D2D2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FDE9D9"/>
        <bgColor rgb="FFFDE9D9"/>
      </patternFill>
    </fill>
    <fill>
      <patternFill patternType="solid">
        <fgColor rgb="FF92D050"/>
        <bgColor rgb="FF92D050"/>
      </patternFill>
    </fill>
    <fill>
      <patternFill patternType="solid">
        <fgColor rgb="FF244062"/>
        <bgColor rgb="FF244062"/>
      </patternFill>
    </fill>
    <fill>
      <patternFill patternType="solid">
        <fgColor rgb="FF95B3D7"/>
        <bgColor rgb="FF95B3D7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CC"/>
      </patternFill>
    </fill>
  </fills>
  <borders count="3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/>
      <right/>
      <top style="thin">
        <color rgb="FF969696"/>
      </top>
      <bottom/>
      <diagonal/>
    </border>
    <border>
      <left/>
      <right style="thin">
        <color rgb="FF969696"/>
      </right>
      <top style="thin">
        <color rgb="FF969696"/>
      </top>
      <bottom/>
      <diagonal/>
    </border>
    <border>
      <left/>
      <right style="thin">
        <color rgb="FF969696"/>
      </right>
      <top/>
      <bottom/>
      <diagonal/>
    </border>
    <border>
      <left/>
      <right/>
      <top style="thin">
        <color rgb="FF969696"/>
      </top>
      <bottom style="thin">
        <color rgb="FF969696"/>
      </bottom>
      <diagonal/>
    </border>
    <border>
      <left/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/>
      <top style="thin">
        <color rgb="FF969696"/>
      </top>
      <bottom/>
      <diagonal/>
    </border>
    <border>
      <left style="thin">
        <color rgb="FF969696"/>
      </left>
      <right/>
      <top/>
      <bottom/>
      <diagonal/>
    </border>
    <border>
      <left style="thin">
        <color rgb="FF969696"/>
      </left>
      <right/>
      <top/>
      <bottom style="thin">
        <color rgb="FF969696"/>
      </bottom>
      <diagonal/>
    </border>
    <border>
      <left/>
      <right/>
      <top/>
      <bottom style="thin">
        <color rgb="FF969696"/>
      </bottom>
      <diagonal/>
    </border>
    <border>
      <left/>
      <right style="thin">
        <color rgb="FF969696"/>
      </right>
      <top/>
      <bottom style="thin">
        <color rgb="FF969696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Border="0" applyProtection="0"/>
    <xf numFmtId="0" fontId="2" fillId="0" borderId="0" applyNumberFormat="0" applyBorder="0" applyProtection="0"/>
  </cellStyleXfs>
  <cellXfs count="329">
    <xf numFmtId="0" fontId="0" fillId="0" borderId="0" xfId="0"/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top"/>
    </xf>
    <xf numFmtId="0" fontId="7" fillId="0" borderId="0" xfId="0" applyFont="1" applyAlignment="1">
      <alignment horizontal="left" vertical="center"/>
    </xf>
    <xf numFmtId="0" fontId="8" fillId="2" borderId="0" xfId="0" applyFont="1" applyFill="1" applyAlignment="1" applyProtection="1">
      <alignment horizontal="left" vertical="center"/>
      <protection locked="0"/>
    </xf>
    <xf numFmtId="49" fontId="8" fillId="2" borderId="0" xfId="0" applyNumberFormat="1" applyFont="1" applyFill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0" fontId="11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vertical="center"/>
    </xf>
    <xf numFmtId="0" fontId="7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13" fillId="3" borderId="5" xfId="0" applyFont="1" applyFill="1" applyBorder="1" applyAlignment="1">
      <alignment horizontal="left" vertical="center"/>
    </xf>
    <xf numFmtId="0" fontId="0" fillId="3" borderId="6" xfId="0" applyFill="1" applyBorder="1" applyAlignment="1">
      <alignment vertical="center"/>
    </xf>
    <xf numFmtId="0" fontId="13" fillId="3" borderId="6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7" fillId="0" borderId="4" xfId="0" applyFont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0" fillId="0" borderId="1" xfId="0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3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166" fontId="8" fillId="0" borderId="0" xfId="0" applyNumberFormat="1" applyFont="1" applyAlignment="1">
      <alignment horizontal="left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4" borderId="6" xfId="0" applyFill="1" applyBorder="1" applyAlignment="1">
      <alignment vertical="center"/>
    </xf>
    <xf numFmtId="0" fontId="16" fillId="4" borderId="0" xfId="0" applyFont="1" applyFill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0" fillId="0" borderId="15" xfId="0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4" fontId="18" fillId="0" borderId="0" xfId="0" applyNumberFormat="1" applyFont="1" applyAlignment="1">
      <alignment vertical="center"/>
    </xf>
    <xf numFmtId="0" fontId="13" fillId="0" borderId="0" xfId="0" applyFont="1" applyAlignment="1">
      <alignment horizontal="center" vertical="center"/>
    </xf>
    <xf numFmtId="4" fontId="15" fillId="0" borderId="16" xfId="0" applyNumberFormat="1" applyFont="1" applyBorder="1" applyAlignment="1">
      <alignment vertical="center"/>
    </xf>
    <xf numFmtId="4" fontId="15" fillId="0" borderId="0" xfId="0" applyNumberFormat="1" applyFont="1" applyAlignment="1">
      <alignment vertical="center"/>
    </xf>
    <xf numFmtId="164" fontId="15" fillId="0" borderId="0" xfId="0" applyNumberFormat="1" applyFont="1" applyAlignment="1">
      <alignment vertical="center"/>
    </xf>
    <xf numFmtId="4" fontId="15" fillId="0" borderId="12" xfId="0" applyNumberFormat="1" applyFont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20" fillId="0" borderId="3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4" fontId="23" fillId="0" borderId="16" xfId="0" applyNumberFormat="1" applyFont="1" applyBorder="1" applyAlignment="1">
      <alignment vertical="center"/>
    </xf>
    <xf numFmtId="4" fontId="23" fillId="0" borderId="0" xfId="0" applyNumberFormat="1" applyFont="1" applyAlignment="1">
      <alignment vertical="center"/>
    </xf>
    <xf numFmtId="164" fontId="23" fillId="0" borderId="0" xfId="0" applyNumberFormat="1" applyFont="1" applyAlignment="1">
      <alignment vertical="center"/>
    </xf>
    <xf numFmtId="4" fontId="23" fillId="0" borderId="12" xfId="0" applyNumberFormat="1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4" fontId="7" fillId="0" borderId="16" xfId="0" applyNumberFormat="1" applyFont="1" applyBorder="1" applyAlignment="1">
      <alignment vertical="center"/>
    </xf>
    <xf numFmtId="4" fontId="7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/>
    </xf>
    <xf numFmtId="4" fontId="7" fillId="0" borderId="12" xfId="0" applyNumberFormat="1" applyFont="1" applyBorder="1" applyAlignment="1">
      <alignment vertical="center"/>
    </xf>
    <xf numFmtId="4" fontId="23" fillId="0" borderId="17" xfId="0" applyNumberFormat="1" applyFont="1" applyBorder="1" applyAlignment="1">
      <alignment vertical="center"/>
    </xf>
    <xf numFmtId="4" fontId="23" fillId="0" borderId="18" xfId="0" applyNumberFormat="1" applyFont="1" applyBorder="1" applyAlignment="1">
      <alignment vertical="center"/>
    </xf>
    <xf numFmtId="164" fontId="23" fillId="0" borderId="18" xfId="0" applyNumberFormat="1" applyFont="1" applyBorder="1" applyAlignment="1">
      <alignment vertical="center"/>
    </xf>
    <xf numFmtId="4" fontId="23" fillId="0" borderId="19" xfId="0" applyNumberFormat="1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167" fontId="7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13" fillId="4" borderId="5" xfId="0" applyFont="1" applyFill="1" applyBorder="1" applyAlignment="1">
      <alignment horizontal="left" vertical="center"/>
    </xf>
    <xf numFmtId="0" fontId="13" fillId="4" borderId="6" xfId="0" applyFont="1" applyFill="1" applyBorder="1" applyAlignment="1">
      <alignment horizontal="right" vertical="center"/>
    </xf>
    <xf numFmtId="0" fontId="13" fillId="4" borderId="6" xfId="0" applyFont="1" applyFill="1" applyBorder="1" applyAlignment="1">
      <alignment horizontal="center" vertical="center"/>
    </xf>
    <xf numFmtId="4" fontId="13" fillId="4" borderId="6" xfId="0" applyNumberFormat="1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16" fillId="4" borderId="0" xfId="0" applyFont="1" applyFill="1" applyAlignment="1">
      <alignment horizontal="left" vertical="center"/>
    </xf>
    <xf numFmtId="0" fontId="16" fillId="4" borderId="0" xfId="0" applyFont="1" applyFill="1" applyAlignment="1">
      <alignment horizontal="right" vertical="center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0" fontId="29" fillId="0" borderId="3" xfId="0" applyFont="1" applyBorder="1" applyAlignment="1">
      <alignment vertical="center"/>
    </xf>
    <xf numFmtId="0" fontId="29" fillId="0" borderId="18" xfId="0" applyFont="1" applyBorder="1" applyAlignment="1">
      <alignment horizontal="left" vertical="center"/>
    </xf>
    <xf numFmtId="0" fontId="29" fillId="0" borderId="18" xfId="0" applyFont="1" applyBorder="1" applyAlignment="1">
      <alignment vertical="center"/>
    </xf>
    <xf numFmtId="4" fontId="29" fillId="0" borderId="18" xfId="0" applyNumberFormat="1" applyFont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24" fillId="0" borderId="18" xfId="0" applyFont="1" applyBorder="1" applyAlignment="1">
      <alignment horizontal="left" vertical="center"/>
    </xf>
    <xf numFmtId="0" fontId="24" fillId="0" borderId="18" xfId="0" applyFont="1" applyBorder="1" applyAlignment="1">
      <alignment vertical="center"/>
    </xf>
    <xf numFmtId="4" fontId="24" fillId="0" borderId="18" xfId="0" applyNumberFormat="1" applyFon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14" xfId="0" applyFont="1" applyFill="1" applyBorder="1" applyAlignment="1">
      <alignment horizontal="center" vertical="center" wrapText="1"/>
    </xf>
    <xf numFmtId="4" fontId="18" fillId="0" borderId="0" xfId="0" applyNumberFormat="1" applyFont="1"/>
    <xf numFmtId="164" fontId="30" fillId="0" borderId="10" xfId="0" applyNumberFormat="1" applyFont="1" applyBorder="1"/>
    <xf numFmtId="164" fontId="30" fillId="0" borderId="11" xfId="0" applyNumberFormat="1" applyFont="1" applyBorder="1"/>
    <xf numFmtId="4" fontId="31" fillId="0" borderId="0" xfId="0" applyNumberFormat="1" applyFont="1" applyAlignment="1">
      <alignment vertical="center"/>
    </xf>
    <xf numFmtId="0" fontId="32" fillId="0" borderId="0" xfId="0" applyFont="1"/>
    <xf numFmtId="0" fontId="32" fillId="0" borderId="3" xfId="0" applyFont="1" applyBorder="1"/>
    <xf numFmtId="0" fontId="32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4" fontId="29" fillId="0" borderId="0" xfId="0" applyNumberFormat="1" applyFont="1"/>
    <xf numFmtId="0" fontId="32" fillId="0" borderId="16" xfId="0" applyFont="1" applyBorder="1"/>
    <xf numFmtId="164" fontId="32" fillId="0" borderId="0" xfId="0" applyNumberFormat="1" applyFont="1"/>
    <xf numFmtId="164" fontId="32" fillId="0" borderId="12" xfId="0" applyNumberFormat="1" applyFont="1" applyBorder="1"/>
    <xf numFmtId="0" fontId="32" fillId="0" borderId="0" xfId="0" applyFont="1" applyAlignment="1">
      <alignment horizontal="center"/>
    </xf>
    <xf numFmtId="4" fontId="32" fillId="0" borderId="0" xfId="0" applyNumberFormat="1" applyFont="1" applyAlignment="1">
      <alignment vertical="center"/>
    </xf>
    <xf numFmtId="0" fontId="24" fillId="0" borderId="0" xfId="0" applyFont="1" applyAlignment="1">
      <alignment horizontal="left"/>
    </xf>
    <xf numFmtId="4" fontId="24" fillId="0" borderId="0" xfId="0" applyNumberFormat="1" applyFont="1"/>
    <xf numFmtId="0" fontId="16" fillId="0" borderId="20" xfId="0" applyFont="1" applyBorder="1" applyAlignment="1">
      <alignment horizontal="center" vertical="center"/>
    </xf>
    <xf numFmtId="49" fontId="16" fillId="0" borderId="20" xfId="0" applyNumberFormat="1" applyFont="1" applyBorder="1" applyAlignment="1">
      <alignment horizontal="left" vertical="center" wrapText="1"/>
    </xf>
    <xf numFmtId="0" fontId="16" fillId="0" borderId="20" xfId="0" applyFont="1" applyBorder="1" applyAlignment="1">
      <alignment horizontal="left" vertical="center" wrapText="1"/>
    </xf>
    <xf numFmtId="0" fontId="16" fillId="0" borderId="20" xfId="0" applyFont="1" applyBorder="1" applyAlignment="1">
      <alignment horizontal="center" vertical="center" wrapText="1"/>
    </xf>
    <xf numFmtId="165" fontId="16" fillId="0" borderId="20" xfId="0" applyNumberFormat="1" applyFont="1" applyBorder="1" applyAlignment="1">
      <alignment vertical="center"/>
    </xf>
    <xf numFmtId="4" fontId="16" fillId="2" borderId="20" xfId="0" applyNumberFormat="1" applyFont="1" applyFill="1" applyBorder="1" applyAlignment="1" applyProtection="1">
      <alignment vertical="center"/>
      <protection locked="0"/>
    </xf>
    <xf numFmtId="4" fontId="16" fillId="0" borderId="20" xfId="0" applyNumberFormat="1" applyFont="1" applyBorder="1" applyAlignment="1">
      <alignment vertical="center"/>
    </xf>
    <xf numFmtId="0" fontId="17" fillId="2" borderId="16" xfId="0" applyFont="1" applyFill="1" applyBorder="1" applyAlignment="1" applyProtection="1">
      <alignment horizontal="left" vertical="center"/>
      <protection locked="0"/>
    </xf>
    <xf numFmtId="0" fontId="17" fillId="0" borderId="0" xfId="0" applyFont="1" applyAlignment="1">
      <alignment horizontal="center" vertical="center"/>
    </xf>
    <xf numFmtId="164" fontId="17" fillId="0" borderId="0" xfId="0" applyNumberFormat="1" applyFont="1" applyAlignment="1">
      <alignment vertical="center"/>
    </xf>
    <xf numFmtId="164" fontId="17" fillId="0" borderId="12" xfId="0" applyNumberFormat="1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3" fillId="0" borderId="0" xfId="0" applyFont="1" applyAlignment="1">
      <alignment vertical="center"/>
    </xf>
    <xf numFmtId="0" fontId="33" fillId="0" borderId="3" xfId="0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 wrapText="1"/>
    </xf>
    <xf numFmtId="0" fontId="33" fillId="0" borderId="16" xfId="0" applyFont="1" applyBorder="1" applyAlignment="1">
      <alignment vertical="center"/>
    </xf>
    <xf numFmtId="0" fontId="33" fillId="0" borderId="12" xfId="0" applyFont="1" applyBorder="1" applyAlignment="1">
      <alignment vertical="center"/>
    </xf>
    <xf numFmtId="0" fontId="35" fillId="0" borderId="0" xfId="0" applyFont="1" applyAlignment="1">
      <alignment vertical="center"/>
    </xf>
    <xf numFmtId="0" fontId="35" fillId="0" borderId="3" xfId="0" applyFont="1" applyBorder="1" applyAlignment="1">
      <alignment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 wrapText="1"/>
    </xf>
    <xf numFmtId="165" fontId="35" fillId="0" borderId="0" xfId="0" applyNumberFormat="1" applyFont="1" applyAlignment="1">
      <alignment vertical="center"/>
    </xf>
    <xf numFmtId="0" fontId="35" fillId="0" borderId="16" xfId="0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36" fillId="0" borderId="0" xfId="0" applyFont="1" applyAlignment="1">
      <alignment vertical="center"/>
    </xf>
    <xf numFmtId="0" fontId="36" fillId="0" borderId="3" xfId="0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left" vertical="center" wrapText="1"/>
    </xf>
    <xf numFmtId="165" fontId="36" fillId="0" borderId="0" xfId="0" applyNumberFormat="1" applyFont="1" applyAlignment="1">
      <alignment vertical="center"/>
    </xf>
    <xf numFmtId="0" fontId="36" fillId="0" borderId="16" xfId="0" applyFont="1" applyBorder="1" applyAlignment="1">
      <alignment vertical="center"/>
    </xf>
    <xf numFmtId="0" fontId="36" fillId="0" borderId="12" xfId="0" applyFont="1" applyBorder="1" applyAlignment="1">
      <alignment vertical="center"/>
    </xf>
    <xf numFmtId="0" fontId="37" fillId="0" borderId="20" xfId="0" applyFont="1" applyBorder="1" applyAlignment="1">
      <alignment horizontal="center" vertical="center"/>
    </xf>
    <xf numFmtId="49" fontId="37" fillId="0" borderId="20" xfId="0" applyNumberFormat="1" applyFont="1" applyBorder="1" applyAlignment="1">
      <alignment horizontal="left" vertical="center" wrapText="1"/>
    </xf>
    <xf numFmtId="0" fontId="37" fillId="0" borderId="20" xfId="0" applyFont="1" applyBorder="1" applyAlignment="1">
      <alignment horizontal="left" vertical="center" wrapText="1"/>
    </xf>
    <xf numFmtId="0" fontId="37" fillId="0" borderId="20" xfId="0" applyFont="1" applyBorder="1" applyAlignment="1">
      <alignment horizontal="center" vertical="center" wrapText="1"/>
    </xf>
    <xf numFmtId="165" fontId="37" fillId="0" borderId="20" xfId="0" applyNumberFormat="1" applyFont="1" applyBorder="1" applyAlignment="1">
      <alignment vertical="center"/>
    </xf>
    <xf numFmtId="4" fontId="37" fillId="2" borderId="20" xfId="0" applyNumberFormat="1" applyFont="1" applyFill="1" applyBorder="1" applyAlignment="1" applyProtection="1">
      <alignment vertical="center"/>
      <protection locked="0"/>
    </xf>
    <xf numFmtId="4" fontId="37" fillId="0" borderId="20" xfId="0" applyNumberFormat="1" applyFont="1" applyBorder="1" applyAlignment="1">
      <alignment vertical="center"/>
    </xf>
    <xf numFmtId="0" fontId="38" fillId="0" borderId="3" xfId="0" applyFont="1" applyBorder="1" applyAlignment="1">
      <alignment vertical="center"/>
    </xf>
    <xf numFmtId="0" fontId="37" fillId="2" borderId="16" xfId="0" applyFont="1" applyFill="1" applyBorder="1" applyAlignment="1" applyProtection="1">
      <alignment horizontal="left" vertical="center"/>
      <protection locked="0"/>
    </xf>
    <xf numFmtId="0" fontId="37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3" xfId="0" applyFont="1" applyBorder="1" applyAlignment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 wrapText="1"/>
    </xf>
    <xf numFmtId="165" fontId="39" fillId="0" borderId="0" xfId="0" applyNumberFormat="1" applyFont="1" applyAlignment="1">
      <alignment vertical="center"/>
    </xf>
    <xf numFmtId="0" fontId="39" fillId="0" borderId="16" xfId="0" applyFont="1" applyBorder="1" applyAlignment="1">
      <alignment vertical="center"/>
    </xf>
    <xf numFmtId="0" fontId="39" fillId="0" borderId="12" xfId="0" applyFont="1" applyBorder="1" applyAlignment="1">
      <alignment vertical="center"/>
    </xf>
    <xf numFmtId="0" fontId="40" fillId="0" borderId="0" xfId="0" applyFont="1" applyAlignment="1">
      <alignment vertical="center" wrapText="1"/>
    </xf>
    <xf numFmtId="0" fontId="0" fillId="0" borderId="16" xfId="0" applyBorder="1" applyAlignment="1">
      <alignment vertical="center"/>
    </xf>
    <xf numFmtId="0" fontId="36" fillId="0" borderId="17" xfId="0" applyFont="1" applyBorder="1" applyAlignment="1">
      <alignment vertical="center"/>
    </xf>
    <xf numFmtId="0" fontId="36" fillId="0" borderId="18" xfId="0" applyFont="1" applyBorder="1" applyAlignment="1">
      <alignment vertical="center"/>
    </xf>
    <xf numFmtId="0" fontId="36" fillId="0" borderId="19" xfId="0" applyFont="1" applyBorder="1" applyAlignment="1">
      <alignment vertical="center"/>
    </xf>
    <xf numFmtId="0" fontId="35" fillId="0" borderId="17" xfId="0" applyFont="1" applyBorder="1" applyAlignment="1">
      <alignment vertical="center"/>
    </xf>
    <xf numFmtId="0" fontId="35" fillId="0" borderId="18" xfId="0" applyFont="1" applyBorder="1" applyAlignment="1">
      <alignment vertical="center"/>
    </xf>
    <xf numFmtId="0" fontId="35" fillId="0" borderId="19" xfId="0" applyFont="1" applyBorder="1" applyAlignment="1">
      <alignment vertical="center"/>
    </xf>
    <xf numFmtId="0" fontId="17" fillId="2" borderId="17" xfId="0" applyFont="1" applyFill="1" applyBorder="1" applyAlignment="1" applyProtection="1">
      <alignment horizontal="left" vertical="center"/>
      <protection locked="0"/>
    </xf>
    <xf numFmtId="0" fontId="17" fillId="0" borderId="18" xfId="0" applyFont="1" applyBorder="1" applyAlignment="1">
      <alignment horizontal="center" vertical="center"/>
    </xf>
    <xf numFmtId="0" fontId="0" fillId="0" borderId="18" xfId="0" applyBorder="1" applyAlignment="1">
      <alignment vertical="center"/>
    </xf>
    <xf numFmtId="164" fontId="17" fillId="0" borderId="18" xfId="0" applyNumberFormat="1" applyFont="1" applyBorder="1" applyAlignment="1">
      <alignment vertical="center"/>
    </xf>
    <xf numFmtId="164" fontId="17" fillId="0" borderId="19" xfId="0" applyNumberFormat="1" applyFont="1" applyBorder="1" applyAlignment="1">
      <alignment vertical="center"/>
    </xf>
    <xf numFmtId="165" fontId="16" fillId="2" borderId="20" xfId="0" applyNumberFormat="1" applyFont="1" applyFill="1" applyBorder="1" applyAlignment="1" applyProtection="1">
      <alignment vertical="center"/>
      <protection locked="0"/>
    </xf>
    <xf numFmtId="0" fontId="37" fillId="2" borderId="17" xfId="0" applyFont="1" applyFill="1" applyBorder="1" applyAlignment="1" applyProtection="1">
      <alignment horizontal="left" vertical="center"/>
      <protection locked="0"/>
    </xf>
    <xf numFmtId="0" fontId="37" fillId="0" borderId="18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41" fillId="0" borderId="9" xfId="0" applyFont="1" applyBorder="1" applyAlignment="1">
      <alignment horizontal="left" vertical="center" wrapText="1"/>
    </xf>
    <xf numFmtId="0" fontId="41" fillId="0" borderId="20" xfId="0" applyFont="1" applyBorder="1" applyAlignment="1">
      <alignment horizontal="left" vertical="center" wrapText="1"/>
    </xf>
    <xf numFmtId="0" fontId="41" fillId="0" borderId="20" xfId="0" applyFont="1" applyBorder="1" applyAlignment="1">
      <alignment horizontal="left" vertical="center"/>
    </xf>
    <xf numFmtId="165" fontId="41" fillId="0" borderId="14" xfId="0" applyNumberFormat="1" applyFont="1" applyBorder="1" applyAlignment="1">
      <alignment vertical="center"/>
    </xf>
    <xf numFmtId="165" fontId="0" fillId="0" borderId="0" xfId="0" applyNumberFormat="1" applyAlignment="1">
      <alignment vertical="center"/>
    </xf>
    <xf numFmtId="0" fontId="31" fillId="0" borderId="0" xfId="0" applyFont="1" applyAlignment="1">
      <alignment horizontal="left" vertical="center"/>
    </xf>
    <xf numFmtId="0" fontId="42" fillId="0" borderId="6" xfId="2" applyFont="1" applyBorder="1" applyAlignment="1" applyProtection="1">
      <alignment horizontal="left" vertical="center" indent="1"/>
    </xf>
    <xf numFmtId="0" fontId="42" fillId="0" borderId="6" xfId="2" applyFont="1" applyBorder="1" applyAlignment="1" applyProtection="1">
      <alignment horizontal="left" vertical="center" wrapText="1" indent="1"/>
    </xf>
    <xf numFmtId="0" fontId="42" fillId="0" borderId="7" xfId="2" applyFont="1" applyBorder="1" applyAlignment="1" applyProtection="1">
      <alignment horizontal="left" vertical="center" wrapText="1" indent="1"/>
    </xf>
    <xf numFmtId="0" fontId="43" fillId="0" borderId="0" xfId="3" applyFont="1" applyAlignment="1" applyProtection="1">
      <alignment horizontal="left" vertical="center" wrapText="1"/>
    </xf>
    <xf numFmtId="4" fontId="43" fillId="0" borderId="0" xfId="3" applyNumberFormat="1" applyFont="1" applyAlignment="1" applyProtection="1">
      <alignment horizontal="center" vertical="center" wrapText="1"/>
    </xf>
    <xf numFmtId="4" fontId="43" fillId="0" borderId="0" xfId="3" applyNumberFormat="1" applyFont="1" applyAlignment="1" applyProtection="1">
      <alignment horizontal="right" vertical="center" wrapText="1"/>
    </xf>
    <xf numFmtId="0" fontId="44" fillId="0" borderId="0" xfId="3" applyFont="1" applyAlignment="1" applyProtection="1">
      <alignment vertical="center"/>
    </xf>
    <xf numFmtId="0" fontId="45" fillId="0" borderId="0" xfId="3" applyFont="1" applyAlignment="1" applyProtection="1">
      <alignment vertical="center"/>
    </xf>
    <xf numFmtId="0" fontId="45" fillId="0" borderId="0" xfId="3" applyFont="1" applyAlignment="1" applyProtection="1">
      <alignment horizontal="right" vertical="center"/>
    </xf>
    <xf numFmtId="4" fontId="45" fillId="0" borderId="0" xfId="3" applyNumberFormat="1" applyFont="1" applyAlignment="1" applyProtection="1">
      <alignment horizontal="right" vertical="center"/>
    </xf>
    <xf numFmtId="3" fontId="45" fillId="0" borderId="0" xfId="3" applyNumberFormat="1" applyFont="1" applyAlignment="1" applyProtection="1">
      <alignment horizontal="right" vertical="center"/>
    </xf>
    <xf numFmtId="4" fontId="45" fillId="0" borderId="0" xfId="3" applyNumberFormat="1" applyFont="1" applyAlignment="1" applyProtection="1">
      <alignment horizontal="center" vertical="center"/>
    </xf>
    <xf numFmtId="0" fontId="46" fillId="0" borderId="21" xfId="3" applyFont="1" applyBorder="1" applyAlignment="1" applyProtection="1">
      <alignment vertical="center"/>
    </xf>
    <xf numFmtId="0" fontId="45" fillId="0" borderId="21" xfId="3" applyFont="1" applyBorder="1" applyAlignment="1" applyProtection="1">
      <alignment horizontal="right" vertical="center"/>
    </xf>
    <xf numFmtId="4" fontId="46" fillId="0" borderId="21" xfId="3" applyNumberFormat="1" applyFont="1" applyBorder="1" applyAlignment="1" applyProtection="1">
      <alignment horizontal="center" vertical="center"/>
    </xf>
    <xf numFmtId="0" fontId="45" fillId="0" borderId="21" xfId="3" applyFont="1" applyBorder="1" applyAlignment="1" applyProtection="1">
      <alignment vertical="center"/>
    </xf>
    <xf numFmtId="0" fontId="2" fillId="0" borderId="21" xfId="3" applyBorder="1" applyProtection="1"/>
    <xf numFmtId="4" fontId="45" fillId="0" borderId="21" xfId="3" applyNumberFormat="1" applyFont="1" applyBorder="1" applyAlignment="1" applyProtection="1">
      <alignment horizontal="right" vertical="center"/>
    </xf>
    <xf numFmtId="4" fontId="45" fillId="0" borderId="21" xfId="3" applyNumberFormat="1" applyFont="1" applyBorder="1" applyAlignment="1" applyProtection="1">
      <alignment horizontal="center" vertical="center"/>
    </xf>
    <xf numFmtId="4" fontId="45" fillId="0" borderId="21" xfId="3" applyNumberFormat="1" applyFont="1" applyBorder="1" applyAlignment="1" applyProtection="1">
      <alignment vertical="center"/>
    </xf>
    <xf numFmtId="0" fontId="45" fillId="0" borderId="21" xfId="3" applyFont="1" applyBorder="1" applyAlignment="1" applyProtection="1">
      <alignment horizontal="center" vertical="center"/>
    </xf>
    <xf numFmtId="0" fontId="45" fillId="5" borderId="21" xfId="3" applyFont="1" applyFill="1" applyBorder="1" applyAlignment="1" applyProtection="1">
      <alignment horizontal="center" vertical="center" wrapText="1"/>
    </xf>
    <xf numFmtId="4" fontId="45" fillId="5" borderId="21" xfId="3" applyNumberFormat="1" applyFont="1" applyFill="1" applyBorder="1" applyAlignment="1" applyProtection="1">
      <alignment horizontal="center" vertical="center" wrapText="1"/>
    </xf>
    <xf numFmtId="3" fontId="45" fillId="5" borderId="21" xfId="3" applyNumberFormat="1" applyFont="1" applyFill="1" applyBorder="1" applyAlignment="1" applyProtection="1">
      <alignment horizontal="center" vertical="center" wrapText="1"/>
    </xf>
    <xf numFmtId="0" fontId="45" fillId="5" borderId="21" xfId="3" applyFont="1" applyFill="1" applyBorder="1" applyAlignment="1" applyProtection="1">
      <alignment horizontal="left" vertical="center" wrapText="1"/>
    </xf>
    <xf numFmtId="2" fontId="45" fillId="5" borderId="21" xfId="3" applyNumberFormat="1" applyFont="1" applyFill="1" applyBorder="1" applyAlignment="1" applyProtection="1">
      <alignment horizontal="right" vertical="center" wrapText="1"/>
    </xf>
    <xf numFmtId="4" fontId="45" fillId="5" borderId="21" xfId="3" applyNumberFormat="1" applyFont="1" applyFill="1" applyBorder="1" applyAlignment="1" applyProtection="1">
      <alignment horizontal="right" vertical="center" wrapText="1"/>
    </xf>
    <xf numFmtId="3" fontId="45" fillId="5" borderId="21" xfId="3" applyNumberFormat="1" applyFont="1" applyFill="1" applyBorder="1" applyAlignment="1" applyProtection="1">
      <alignment horizontal="right" vertical="center" wrapText="1"/>
    </xf>
    <xf numFmtId="4" fontId="45" fillId="6" borderId="21" xfId="3" applyNumberFormat="1" applyFont="1" applyFill="1" applyBorder="1" applyAlignment="1" applyProtection="1">
      <alignment horizontal="right" vertical="center" wrapText="1"/>
    </xf>
    <xf numFmtId="0" fontId="45" fillId="7" borderId="21" xfId="3" applyFont="1" applyFill="1" applyBorder="1" applyAlignment="1" applyProtection="1">
      <alignment horizontal="left" vertical="center" wrapText="1"/>
    </xf>
    <xf numFmtId="0" fontId="44" fillId="0" borderId="0" xfId="3" applyFont="1" applyAlignment="1" applyProtection="1">
      <alignment horizontal="right" vertical="center"/>
    </xf>
    <xf numFmtId="4" fontId="44" fillId="0" borderId="0" xfId="3" applyNumberFormat="1" applyFont="1" applyAlignment="1" applyProtection="1">
      <alignment horizontal="right" vertical="center"/>
    </xf>
    <xf numFmtId="3" fontId="44" fillId="0" borderId="0" xfId="3" applyNumberFormat="1" applyFont="1" applyAlignment="1" applyProtection="1">
      <alignment horizontal="right" vertical="center"/>
    </xf>
    <xf numFmtId="4" fontId="44" fillId="0" borderId="0" xfId="3" applyNumberFormat="1" applyFont="1" applyAlignment="1" applyProtection="1">
      <alignment horizontal="center" vertical="center"/>
    </xf>
    <xf numFmtId="2" fontId="44" fillId="0" borderId="0" xfId="3" applyNumberFormat="1" applyFont="1" applyAlignment="1" applyProtection="1">
      <alignment vertical="center"/>
    </xf>
    <xf numFmtId="0" fontId="47" fillId="5" borderId="5" xfId="2" applyFont="1" applyFill="1" applyBorder="1" applyAlignment="1" applyProtection="1">
      <alignment horizontal="left" vertical="center" indent="1"/>
    </xf>
    <xf numFmtId="0" fontId="48" fillId="5" borderId="6" xfId="2" applyFont="1" applyFill="1" applyBorder="1" applyAlignment="1" applyProtection="1">
      <alignment horizontal="left" vertical="center" wrapText="1"/>
    </xf>
    <xf numFmtId="0" fontId="48" fillId="5" borderId="7" xfId="2" applyFont="1" applyFill="1" applyBorder="1" applyAlignment="1" applyProtection="1">
      <alignment horizontal="left" vertical="center" wrapText="1"/>
    </xf>
    <xf numFmtId="0" fontId="2" fillId="0" borderId="0" xfId="2" applyProtection="1"/>
    <xf numFmtId="0" fontId="49" fillId="0" borderId="22" xfId="3" applyFont="1" applyBorder="1" applyAlignment="1" applyProtection="1">
      <alignment horizontal="left" vertical="center" wrapText="1"/>
    </xf>
    <xf numFmtId="0" fontId="2" fillId="0" borderId="23" xfId="3" applyBorder="1" applyAlignment="1" applyProtection="1">
      <alignment horizontal="center"/>
    </xf>
    <xf numFmtId="0" fontId="2" fillId="0" borderId="24" xfId="3" applyBorder="1" applyProtection="1"/>
    <xf numFmtId="0" fontId="2" fillId="0" borderId="24" xfId="3" applyBorder="1" applyAlignment="1" applyProtection="1">
      <alignment horizontal="center"/>
    </xf>
    <xf numFmtId="0" fontId="50" fillId="8" borderId="25" xfId="3" applyFont="1" applyFill="1" applyBorder="1" applyAlignment="1" applyProtection="1">
      <alignment horizontal="left" vertical="center" wrapText="1"/>
    </xf>
    <xf numFmtId="4" fontId="2" fillId="8" borderId="26" xfId="3" applyNumberFormat="1" applyFill="1" applyBorder="1" applyProtection="1"/>
    <xf numFmtId="0" fontId="2" fillId="8" borderId="27" xfId="3" applyFill="1" applyBorder="1" applyProtection="1"/>
    <xf numFmtId="4" fontId="2" fillId="8" borderId="21" xfId="3" applyNumberFormat="1" applyFill="1" applyBorder="1" applyProtection="1"/>
    <xf numFmtId="0" fontId="2" fillId="0" borderId="26" xfId="3" applyBorder="1" applyProtection="1"/>
    <xf numFmtId="0" fontId="2" fillId="0" borderId="27" xfId="3" applyBorder="1" applyProtection="1"/>
    <xf numFmtId="4" fontId="2" fillId="0" borderId="21" xfId="3" applyNumberFormat="1" applyBorder="1" applyProtection="1"/>
    <xf numFmtId="0" fontId="2" fillId="0" borderId="28" xfId="3" applyBorder="1" applyProtection="1"/>
    <xf numFmtId="4" fontId="2" fillId="0" borderId="29" xfId="3" applyNumberFormat="1" applyBorder="1" applyProtection="1"/>
    <xf numFmtId="0" fontId="2" fillId="0" borderId="30" xfId="3" applyBorder="1" applyProtection="1"/>
    <xf numFmtId="0" fontId="2" fillId="0" borderId="0" xfId="3" applyProtection="1"/>
    <xf numFmtId="4" fontId="2" fillId="0" borderId="30" xfId="3" applyNumberFormat="1" applyBorder="1" applyProtection="1"/>
    <xf numFmtId="0" fontId="51" fillId="5" borderId="21" xfId="2" applyFont="1" applyFill="1" applyBorder="1" applyAlignment="1" applyProtection="1">
      <alignment horizontal="center" vertical="center" wrapText="1"/>
    </xf>
    <xf numFmtId="0" fontId="52" fillId="9" borderId="5" xfId="3" applyFont="1" applyFill="1" applyBorder="1" applyAlignment="1" applyProtection="1">
      <alignment horizontal="left" vertical="center" wrapText="1"/>
    </xf>
    <xf numFmtId="0" fontId="52" fillId="9" borderId="6" xfId="3" applyFont="1" applyFill="1" applyBorder="1" applyAlignment="1" applyProtection="1">
      <alignment horizontal="center" vertical="center" wrapText="1"/>
    </xf>
    <xf numFmtId="3" fontId="52" fillId="9" borderId="6" xfId="3" applyNumberFormat="1" applyFont="1" applyFill="1" applyBorder="1" applyAlignment="1" applyProtection="1">
      <alignment horizontal="center" vertical="center" wrapText="1"/>
    </xf>
    <xf numFmtId="3" fontId="52" fillId="9" borderId="7" xfId="3" applyNumberFormat="1" applyFont="1" applyFill="1" applyBorder="1" applyAlignment="1" applyProtection="1">
      <alignment horizontal="center" vertical="center" wrapText="1"/>
    </xf>
    <xf numFmtId="3" fontId="52" fillId="9" borderId="21" xfId="3" applyNumberFormat="1" applyFont="1" applyFill="1" applyBorder="1" applyAlignment="1" applyProtection="1">
      <alignment horizontal="center" vertical="center" wrapText="1"/>
    </xf>
    <xf numFmtId="0" fontId="53" fillId="0" borderId="0" xfId="3" applyFont="1" applyAlignment="1" applyProtection="1">
      <alignment horizontal="center" vertical="center"/>
    </xf>
    <xf numFmtId="0" fontId="54" fillId="10" borderId="5" xfId="3" applyFont="1" applyFill="1" applyBorder="1" applyAlignment="1" applyProtection="1">
      <alignment vertical="center" wrapText="1"/>
    </xf>
    <xf numFmtId="0" fontId="54" fillId="10" borderId="6" xfId="3" applyFont="1" applyFill="1" applyBorder="1" applyAlignment="1" applyProtection="1">
      <alignment vertical="center" wrapText="1"/>
    </xf>
    <xf numFmtId="0" fontId="54" fillId="10" borderId="21" xfId="3" applyFont="1" applyFill="1" applyBorder="1" applyAlignment="1" applyProtection="1">
      <alignment vertical="center" wrapText="1"/>
    </xf>
    <xf numFmtId="0" fontId="54" fillId="10" borderId="7" xfId="3" applyFont="1" applyFill="1" applyBorder="1" applyAlignment="1" applyProtection="1">
      <alignment vertical="center" wrapText="1"/>
    </xf>
    <xf numFmtId="0" fontId="53" fillId="0" borderId="0" xfId="3" applyFont="1" applyProtection="1"/>
    <xf numFmtId="0" fontId="51" fillId="5" borderId="21" xfId="2" applyFont="1" applyFill="1" applyBorder="1" applyAlignment="1" applyProtection="1">
      <alignment horizontal="left" vertical="center" wrapText="1"/>
    </xf>
    <xf numFmtId="0" fontId="51" fillId="0" borderId="21" xfId="3" applyFont="1" applyBorder="1" applyAlignment="1" applyProtection="1">
      <alignment horizontal="left" vertical="center" wrapText="1"/>
    </xf>
    <xf numFmtId="0" fontId="51" fillId="0" borderId="21" xfId="2" applyFont="1" applyBorder="1" applyAlignment="1" applyProtection="1">
      <alignment horizontal="left" vertical="center" wrapText="1"/>
    </xf>
    <xf numFmtId="0" fontId="51" fillId="5" borderId="21" xfId="3" applyFont="1" applyFill="1" applyBorder="1" applyAlignment="1" applyProtection="1">
      <alignment horizontal="left" vertical="center" wrapText="1"/>
    </xf>
    <xf numFmtId="0" fontId="51" fillId="5" borderId="21" xfId="3" applyFont="1" applyFill="1" applyBorder="1" applyAlignment="1" applyProtection="1">
      <alignment horizontal="center" vertical="center" wrapText="1"/>
    </xf>
    <xf numFmtId="0" fontId="51" fillId="0" borderId="21" xfId="2" applyFont="1" applyBorder="1" applyAlignment="1" applyProtection="1">
      <alignment horizontal="center" vertical="center" wrapText="1"/>
    </xf>
    <xf numFmtId="0" fontId="51" fillId="0" borderId="21" xfId="3" applyFont="1" applyBorder="1" applyAlignment="1" applyProtection="1">
      <alignment horizontal="center" vertical="center" wrapText="1"/>
    </xf>
    <xf numFmtId="0" fontId="55" fillId="0" borderId="0" xfId="0" applyFont="1" applyAlignment="1">
      <alignment vertical="center"/>
    </xf>
    <xf numFmtId="49" fontId="56" fillId="0" borderId="0" xfId="1" applyNumberFormat="1" applyFont="1" applyAlignment="1">
      <alignment horizontal="center" vertical="center"/>
    </xf>
    <xf numFmtId="0" fontId="56" fillId="0" borderId="0" xfId="1" applyFont="1" applyAlignment="1">
      <alignment horizontal="center" vertical="center"/>
    </xf>
    <xf numFmtId="0" fontId="57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49" fontId="16" fillId="0" borderId="0" xfId="0" applyNumberFormat="1" applyFont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165" fontId="16" fillId="0" borderId="0" xfId="0" applyNumberFormat="1" applyFont="1" applyAlignment="1">
      <alignment vertical="center"/>
    </xf>
    <xf numFmtId="4" fontId="16" fillId="0" borderId="0" xfId="0" applyNumberFormat="1" applyFont="1" applyAlignment="1">
      <alignment vertical="center"/>
    </xf>
    <xf numFmtId="168" fontId="8" fillId="0" borderId="0" xfId="0" applyNumberFormat="1" applyFont="1" applyAlignment="1">
      <alignment horizontal="left" vertical="center"/>
    </xf>
    <xf numFmtId="14" fontId="8" fillId="2" borderId="0" xfId="0" applyNumberFormat="1" applyFont="1" applyFill="1" applyAlignment="1" applyProtection="1">
      <alignment horizontal="left" vertical="center"/>
      <protection locked="0"/>
    </xf>
    <xf numFmtId="165" fontId="16" fillId="11" borderId="20" xfId="0" applyNumberFormat="1" applyFont="1" applyFill="1" applyBorder="1" applyAlignment="1">
      <alignment vertical="center"/>
    </xf>
    <xf numFmtId="0" fontId="16" fillId="11" borderId="20" xfId="0" applyFont="1" applyFill="1" applyBorder="1" applyAlignment="1">
      <alignment horizontal="center" vertical="center"/>
    </xf>
    <xf numFmtId="49" fontId="16" fillId="11" borderId="20" xfId="0" applyNumberFormat="1" applyFont="1" applyFill="1" applyBorder="1" applyAlignment="1">
      <alignment horizontal="left" vertical="center" wrapText="1"/>
    </xf>
    <xf numFmtId="0" fontId="16" fillId="11" borderId="20" xfId="0" applyFont="1" applyFill="1" applyBorder="1" applyAlignment="1">
      <alignment horizontal="left" vertical="center" wrapText="1"/>
    </xf>
    <xf numFmtId="0" fontId="16" fillId="11" borderId="20" xfId="0" applyFont="1" applyFill="1" applyBorder="1" applyAlignment="1">
      <alignment horizontal="center" vertical="center" wrapText="1"/>
    </xf>
    <xf numFmtId="0" fontId="0" fillId="11" borderId="3" xfId="0" applyFill="1" applyBorder="1" applyAlignment="1">
      <alignment vertical="center"/>
    </xf>
    <xf numFmtId="4" fontId="16" fillId="12" borderId="20" xfId="0" applyNumberFormat="1" applyFont="1" applyFill="1" applyBorder="1" applyAlignment="1" applyProtection="1">
      <alignment vertical="center"/>
      <protection locked="0"/>
    </xf>
    <xf numFmtId="4" fontId="16" fillId="11" borderId="20" xfId="0" applyNumberFormat="1" applyFont="1" applyFill="1" applyBorder="1" applyAlignment="1">
      <alignment vertical="center"/>
    </xf>
    <xf numFmtId="49" fontId="16" fillId="11" borderId="20" xfId="0" applyNumberFormat="1" applyFont="1" applyFill="1" applyBorder="1" applyAlignment="1">
      <alignment horizontal="center" vertical="center"/>
    </xf>
    <xf numFmtId="167" fontId="7" fillId="0" borderId="0" xfId="0" applyNumberFormat="1" applyFont="1" applyAlignment="1">
      <alignment horizontal="left" vertical="center"/>
    </xf>
    <xf numFmtId="4" fontId="12" fillId="0" borderId="0" xfId="0" applyNumberFormat="1" applyFont="1" applyAlignment="1">
      <alignment vertical="center"/>
    </xf>
    <xf numFmtId="0" fontId="0" fillId="0" borderId="0" xfId="0"/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49" fontId="8" fillId="2" borderId="0" xfId="0" applyNumberFormat="1" applyFont="1" applyFill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 wrapText="1"/>
    </xf>
    <xf numFmtId="4" fontId="11" fillId="0" borderId="4" xfId="0" applyNumberFormat="1" applyFont="1" applyBorder="1" applyAlignment="1">
      <alignment vertical="center"/>
    </xf>
    <xf numFmtId="0" fontId="7" fillId="0" borderId="0" xfId="0" applyFont="1" applyAlignment="1">
      <alignment horizontal="right" vertical="center"/>
    </xf>
    <xf numFmtId="0" fontId="13" fillId="3" borderId="6" xfId="0" applyFont="1" applyFill="1" applyBorder="1" applyAlignment="1">
      <alignment horizontal="left" vertical="center"/>
    </xf>
    <xf numFmtId="4" fontId="13" fillId="3" borderId="7" xfId="0" applyNumberFormat="1" applyFont="1" applyFill="1" applyBorder="1" applyAlignment="1">
      <alignment vertical="center"/>
    </xf>
    <xf numFmtId="0" fontId="10" fillId="0" borderId="0" xfId="0" applyFont="1" applyAlignment="1">
      <alignment horizontal="left" vertical="center" wrapText="1"/>
    </xf>
    <xf numFmtId="4" fontId="18" fillId="0" borderId="0" xfId="0" applyNumberFormat="1" applyFont="1" applyAlignment="1">
      <alignment horizontal="right" vertical="center"/>
    </xf>
    <xf numFmtId="4" fontId="18" fillId="0" borderId="0" xfId="0" applyNumberFormat="1" applyFont="1" applyAlignment="1">
      <alignment vertical="center"/>
    </xf>
    <xf numFmtId="0" fontId="21" fillId="0" borderId="0" xfId="0" applyFont="1" applyAlignment="1">
      <alignment horizontal="left" vertical="center" wrapText="1"/>
    </xf>
    <xf numFmtId="4" fontId="22" fillId="0" borderId="0" xfId="0" applyNumberFormat="1" applyFont="1" applyAlignment="1">
      <alignment horizontal="right" vertical="center"/>
    </xf>
    <xf numFmtId="4" fontId="22" fillId="0" borderId="0" xfId="0" applyNumberFormat="1" applyFont="1" applyAlignment="1">
      <alignment vertical="center"/>
    </xf>
    <xf numFmtId="166" fontId="8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 wrapText="1"/>
    </xf>
    <xf numFmtId="0" fontId="15" fillId="0" borderId="9" xfId="0" applyFont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right" vertical="center"/>
    </xf>
    <xf numFmtId="0" fontId="16" fillId="4" borderId="7" xfId="0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4" fontId="24" fillId="0" borderId="0" xfId="0" applyNumberFormat="1" applyFont="1" applyAlignment="1">
      <alignment vertical="center"/>
    </xf>
    <xf numFmtId="4" fontId="24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left" vertical="center" wrapText="1"/>
    </xf>
    <xf numFmtId="0" fontId="8" fillId="2" borderId="0" xfId="0" applyFont="1" applyFill="1" applyAlignment="1" applyProtection="1">
      <alignment horizontal="left" vertical="center"/>
      <protection locked="0"/>
    </xf>
    <xf numFmtId="0" fontId="8" fillId="0" borderId="31" xfId="0" applyFont="1" applyBorder="1" applyAlignment="1">
      <alignment horizontal="left" vertical="center" wrapText="1"/>
    </xf>
    <xf numFmtId="0" fontId="27" fillId="0" borderId="0" xfId="0" applyFont="1" applyAlignment="1">
      <alignment horizontal="left" vertical="center"/>
    </xf>
  </cellXfs>
  <cellStyles count="4">
    <cellStyle name="Hypertextový odkaz" xfId="1" xr:uid="{00000000-0005-0000-0000-000000000000}"/>
    <cellStyle name="Normální" xfId="0" builtinId="0" customBuiltin="1"/>
    <cellStyle name="Normální 2" xfId="2" xr:uid="{00000000-0005-0000-0000-000002000000}"/>
    <cellStyle name="Normální 3" xfId="3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CM124"/>
  <sheetViews>
    <sheetView showGridLines="0" tabSelected="1" workbookViewId="0">
      <selection activeCell="AN8" sqref="AN8"/>
    </sheetView>
  </sheetViews>
  <sheetFormatPr defaultColWidth="8.5" defaultRowHeight="11.25" x14ac:dyDescent="0.2"/>
  <cols>
    <col min="1" max="1" width="7.6640625" customWidth="1"/>
    <col min="2" max="2" width="1.6640625" customWidth="1"/>
    <col min="3" max="3" width="3.83203125" customWidth="1"/>
    <col min="4" max="33" width="2.5" customWidth="1"/>
    <col min="34" max="34" width="3" customWidth="1"/>
    <col min="35" max="35" width="29.6640625" customWidth="1"/>
    <col min="36" max="37" width="2.33203125" customWidth="1"/>
    <col min="38" max="38" width="7.6640625" customWidth="1"/>
    <col min="39" max="39" width="3" customWidth="1"/>
    <col min="40" max="40" width="12.33203125" customWidth="1"/>
    <col min="41" max="41" width="7" customWidth="1"/>
    <col min="42" max="42" width="3.83203125" customWidth="1"/>
    <col min="43" max="43" width="14.6640625" hidden="1" customWidth="1"/>
    <col min="44" max="44" width="12.83203125" customWidth="1"/>
    <col min="45" max="47" width="24.1640625" hidden="1" customWidth="1"/>
    <col min="48" max="49" width="20.33203125" hidden="1" customWidth="1"/>
    <col min="50" max="51" width="23.33203125" hidden="1" customWidth="1"/>
    <col min="52" max="52" width="20.33203125" hidden="1" customWidth="1"/>
    <col min="53" max="53" width="17.83203125" hidden="1" customWidth="1"/>
    <col min="54" max="54" width="23.33203125" hidden="1" customWidth="1"/>
    <col min="55" max="55" width="20.33203125" hidden="1" customWidth="1"/>
    <col min="56" max="56" width="17.83203125" hidden="1" customWidth="1"/>
    <col min="57" max="57" width="62" customWidth="1"/>
    <col min="58" max="70" width="8.5" customWidth="1"/>
    <col min="71" max="91" width="8.6640625" hidden="1" customWidth="1"/>
    <col min="92" max="92" width="8.5" customWidth="1"/>
  </cols>
  <sheetData>
    <row r="1" spans="1:74" x14ac:dyDescent="0.2">
      <c r="A1" s="1" t="s">
        <v>0</v>
      </c>
      <c r="AZ1" s="1"/>
      <c r="BA1" s="1" t="s">
        <v>1</v>
      </c>
      <c r="BB1" s="1" t="s">
        <v>2</v>
      </c>
      <c r="BT1" s="1" t="s">
        <v>3</v>
      </c>
      <c r="BU1" s="1" t="s">
        <v>3</v>
      </c>
      <c r="BV1" s="1" t="s">
        <v>4</v>
      </c>
    </row>
    <row r="2" spans="1:74" ht="36.950000000000003" customHeight="1" x14ac:dyDescent="0.2"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S2" s="2" t="s">
        <v>5</v>
      </c>
      <c r="BT2" s="2" t="s">
        <v>6</v>
      </c>
    </row>
    <row r="3" spans="1:74" ht="6.9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5"/>
      <c r="BS3" s="2" t="s">
        <v>5</v>
      </c>
      <c r="BT3" s="2" t="s">
        <v>7</v>
      </c>
    </row>
    <row r="4" spans="1:74" ht="24.95" customHeight="1" x14ac:dyDescent="0.2">
      <c r="B4" s="5"/>
      <c r="D4" s="6" t="s">
        <v>8</v>
      </c>
      <c r="AR4" s="5"/>
      <c r="AS4" s="7" t="s">
        <v>9</v>
      </c>
      <c r="BE4" s="8" t="s">
        <v>10</v>
      </c>
      <c r="BS4" s="2" t="s">
        <v>11</v>
      </c>
    </row>
    <row r="5" spans="1:74" ht="12" customHeight="1" x14ac:dyDescent="0.2">
      <c r="B5" s="5"/>
      <c r="D5" s="9" t="s">
        <v>12</v>
      </c>
      <c r="K5" s="300" t="s">
        <v>13</v>
      </c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R5" s="5"/>
      <c r="BE5" s="301" t="s">
        <v>14</v>
      </c>
      <c r="BS5" s="2" t="s">
        <v>5</v>
      </c>
    </row>
    <row r="6" spans="1:74" ht="36.950000000000003" customHeight="1" x14ac:dyDescent="0.2">
      <c r="B6" s="5"/>
      <c r="D6" s="11" t="s">
        <v>15</v>
      </c>
      <c r="K6" s="302" t="s">
        <v>16</v>
      </c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R6" s="5"/>
      <c r="BE6" s="301"/>
      <c r="BS6" s="2" t="s">
        <v>5</v>
      </c>
    </row>
    <row r="7" spans="1:74" ht="12" customHeight="1" x14ac:dyDescent="0.2">
      <c r="B7" s="5"/>
      <c r="D7" s="12" t="s">
        <v>17</v>
      </c>
      <c r="K7" s="10"/>
      <c r="AK7" s="12" t="s">
        <v>18</v>
      </c>
      <c r="AN7" s="10"/>
      <c r="AR7" s="5"/>
      <c r="BE7" s="301"/>
      <c r="BS7" s="2" t="s">
        <v>5</v>
      </c>
    </row>
    <row r="8" spans="1:74" ht="12" customHeight="1" x14ac:dyDescent="0.2">
      <c r="B8" s="5"/>
      <c r="D8" s="12" t="s">
        <v>19</v>
      </c>
      <c r="K8" s="10" t="s">
        <v>20</v>
      </c>
      <c r="AK8" s="12" t="s">
        <v>21</v>
      </c>
      <c r="AN8" s="287"/>
      <c r="AR8" s="5"/>
      <c r="BE8" s="301"/>
      <c r="BS8" s="2" t="s">
        <v>5</v>
      </c>
    </row>
    <row r="9" spans="1:74" ht="14.45" customHeight="1" x14ac:dyDescent="0.2">
      <c r="B9" s="5"/>
      <c r="AR9" s="5"/>
      <c r="BE9" s="301"/>
      <c r="BS9" s="2" t="s">
        <v>5</v>
      </c>
    </row>
    <row r="10" spans="1:74" ht="12" customHeight="1" x14ac:dyDescent="0.2">
      <c r="B10" s="5"/>
      <c r="D10" s="12" t="s">
        <v>22</v>
      </c>
      <c r="AK10" s="12" t="s">
        <v>23</v>
      </c>
      <c r="AN10" s="10" t="s">
        <v>24</v>
      </c>
      <c r="AR10" s="5"/>
      <c r="BE10" s="301"/>
      <c r="BS10" s="2" t="s">
        <v>5</v>
      </c>
    </row>
    <row r="11" spans="1:74" ht="18.399999999999999" customHeight="1" x14ac:dyDescent="0.2">
      <c r="B11" s="5"/>
      <c r="E11" s="10" t="s">
        <v>25</v>
      </c>
      <c r="AK11" s="12" t="s">
        <v>26</v>
      </c>
      <c r="AN11" s="10" t="s">
        <v>27</v>
      </c>
      <c r="AR11" s="5"/>
      <c r="BE11" s="301"/>
      <c r="BS11" s="2" t="s">
        <v>5</v>
      </c>
    </row>
    <row r="12" spans="1:74" ht="6.95" customHeight="1" x14ac:dyDescent="0.2">
      <c r="B12" s="5"/>
      <c r="AR12" s="5"/>
      <c r="BE12" s="301"/>
      <c r="BS12" s="2" t="s">
        <v>5</v>
      </c>
    </row>
    <row r="13" spans="1:74" ht="12" customHeight="1" x14ac:dyDescent="0.2">
      <c r="B13" s="5"/>
      <c r="D13" s="12" t="s">
        <v>28</v>
      </c>
      <c r="AK13" s="12" t="s">
        <v>23</v>
      </c>
      <c r="AN13" s="14"/>
      <c r="AR13" s="5"/>
      <c r="BE13" s="301"/>
      <c r="BS13" s="2" t="s">
        <v>5</v>
      </c>
    </row>
    <row r="14" spans="1:74" ht="12.75" x14ac:dyDescent="0.2">
      <c r="B14" s="5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03"/>
      <c r="AE14" s="303"/>
      <c r="AF14" s="303"/>
      <c r="AG14" s="303"/>
      <c r="AH14" s="303"/>
      <c r="AI14" s="303"/>
      <c r="AJ14" s="303"/>
      <c r="AK14" s="12" t="s">
        <v>26</v>
      </c>
      <c r="AN14" s="14"/>
      <c r="AR14" s="5"/>
      <c r="BE14" s="301"/>
      <c r="BS14" s="2" t="s">
        <v>5</v>
      </c>
    </row>
    <row r="15" spans="1:74" ht="6.95" customHeight="1" x14ac:dyDescent="0.2">
      <c r="B15" s="5"/>
      <c r="AR15" s="5"/>
      <c r="BE15" s="301"/>
      <c r="BS15" s="2" t="s">
        <v>3</v>
      </c>
    </row>
    <row r="16" spans="1:74" ht="12" customHeight="1" x14ac:dyDescent="0.2">
      <c r="B16" s="5"/>
      <c r="D16" s="12" t="s">
        <v>29</v>
      </c>
      <c r="AK16" s="12" t="s">
        <v>23</v>
      </c>
      <c r="AN16" s="10" t="s">
        <v>30</v>
      </c>
      <c r="AR16" s="5"/>
      <c r="BE16" s="301"/>
      <c r="BS16" s="2" t="s">
        <v>3</v>
      </c>
    </row>
    <row r="17" spans="2:71" ht="18.399999999999999" customHeight="1" x14ac:dyDescent="0.2">
      <c r="B17" s="5"/>
      <c r="E17" s="10" t="s">
        <v>31</v>
      </c>
      <c r="AK17" s="12" t="s">
        <v>26</v>
      </c>
      <c r="AN17" s="10" t="s">
        <v>32</v>
      </c>
      <c r="AR17" s="5"/>
      <c r="BE17" s="301"/>
      <c r="BS17" s="2" t="s">
        <v>33</v>
      </c>
    </row>
    <row r="18" spans="2:71" ht="6.95" customHeight="1" x14ac:dyDescent="0.2">
      <c r="B18" s="5"/>
      <c r="AR18" s="5"/>
      <c r="BE18" s="301"/>
      <c r="BS18" s="2" t="s">
        <v>5</v>
      </c>
    </row>
    <row r="19" spans="2:71" ht="12" customHeight="1" x14ac:dyDescent="0.2">
      <c r="B19" s="5"/>
      <c r="D19" s="12" t="s">
        <v>34</v>
      </c>
      <c r="AK19" s="12" t="s">
        <v>23</v>
      </c>
      <c r="AN19" s="10" t="s">
        <v>35</v>
      </c>
      <c r="AR19" s="5"/>
      <c r="BE19" s="301"/>
      <c r="BS19" s="2" t="s">
        <v>5</v>
      </c>
    </row>
    <row r="20" spans="2:71" ht="18.399999999999999" customHeight="1" x14ac:dyDescent="0.2">
      <c r="B20" s="5"/>
      <c r="E20" s="10" t="s">
        <v>36</v>
      </c>
      <c r="AK20" s="12" t="s">
        <v>26</v>
      </c>
      <c r="AN20" s="10" t="s">
        <v>37</v>
      </c>
      <c r="AR20" s="5"/>
      <c r="BE20" s="301"/>
      <c r="BS20" s="2" t="s">
        <v>33</v>
      </c>
    </row>
    <row r="21" spans="2:71" ht="6.95" customHeight="1" x14ac:dyDescent="0.2">
      <c r="B21" s="5"/>
      <c r="AR21" s="5"/>
      <c r="BE21" s="301"/>
    </row>
    <row r="22" spans="2:71" ht="12" customHeight="1" x14ac:dyDescent="0.2">
      <c r="B22" s="5"/>
      <c r="D22" s="12" t="s">
        <v>38</v>
      </c>
      <c r="AR22" s="5"/>
      <c r="BE22" s="301"/>
    </row>
    <row r="23" spans="2:71" ht="47.25" customHeight="1" x14ac:dyDescent="0.2">
      <c r="B23" s="5"/>
      <c r="E23" s="304" t="s">
        <v>39</v>
      </c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R23" s="5"/>
      <c r="BE23" s="301"/>
    </row>
    <row r="24" spans="2:71" ht="6.95" customHeight="1" x14ac:dyDescent="0.2">
      <c r="B24" s="5"/>
      <c r="AR24" s="5"/>
      <c r="BE24" s="301"/>
    </row>
    <row r="25" spans="2:71" ht="6.95" customHeight="1" x14ac:dyDescent="0.2">
      <c r="B25" s="5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R25" s="5"/>
      <c r="BE25" s="301"/>
    </row>
    <row r="26" spans="2:71" s="16" customFormat="1" ht="25.9" customHeight="1" x14ac:dyDescent="0.2">
      <c r="B26" s="17"/>
      <c r="D26" s="18" t="s">
        <v>40</v>
      </c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305">
        <f>ROUND(AG94,2)</f>
        <v>0</v>
      </c>
      <c r="AL26" s="305"/>
      <c r="AM26" s="305"/>
      <c r="AN26" s="305"/>
      <c r="AO26" s="305"/>
      <c r="AR26" s="17"/>
      <c r="BE26" s="301"/>
    </row>
    <row r="27" spans="2:71" s="16" customFormat="1" ht="6.95" customHeight="1" x14ac:dyDescent="0.2">
      <c r="B27" s="17"/>
      <c r="AR27" s="17"/>
      <c r="BE27" s="301"/>
    </row>
    <row r="28" spans="2:71" s="16" customFormat="1" ht="12.75" x14ac:dyDescent="0.2">
      <c r="B28" s="17"/>
      <c r="L28" s="306" t="s">
        <v>41</v>
      </c>
      <c r="M28" s="306"/>
      <c r="N28" s="306"/>
      <c r="O28" s="306"/>
      <c r="P28" s="306"/>
      <c r="W28" s="306" t="s">
        <v>42</v>
      </c>
      <c r="X28" s="306"/>
      <c r="Y28" s="306"/>
      <c r="Z28" s="306"/>
      <c r="AA28" s="306"/>
      <c r="AB28" s="306"/>
      <c r="AC28" s="306"/>
      <c r="AD28" s="306"/>
      <c r="AE28" s="306"/>
      <c r="AK28" s="306" t="s">
        <v>43</v>
      </c>
      <c r="AL28" s="306"/>
      <c r="AM28" s="306"/>
      <c r="AN28" s="306"/>
      <c r="AO28" s="306"/>
      <c r="AR28" s="17"/>
      <c r="BE28" s="301"/>
    </row>
    <row r="29" spans="2:71" s="21" customFormat="1" ht="14.45" customHeight="1" x14ac:dyDescent="0.2">
      <c r="B29" s="22"/>
      <c r="D29" s="12" t="s">
        <v>44</v>
      </c>
      <c r="F29" s="12" t="s">
        <v>45</v>
      </c>
      <c r="L29" s="297">
        <v>0.21</v>
      </c>
      <c r="M29" s="297"/>
      <c r="N29" s="297"/>
      <c r="O29" s="297"/>
      <c r="P29" s="297"/>
      <c r="W29" s="298">
        <f>ROUND(AZ94, 2)</f>
        <v>0</v>
      </c>
      <c r="X29" s="298"/>
      <c r="Y29" s="298"/>
      <c r="Z29" s="298"/>
      <c r="AA29" s="298"/>
      <c r="AB29" s="298"/>
      <c r="AC29" s="298"/>
      <c r="AD29" s="298"/>
      <c r="AE29" s="298"/>
      <c r="AK29" s="298">
        <f>ROUND(AV94, 2)</f>
        <v>0</v>
      </c>
      <c r="AL29" s="298"/>
      <c r="AM29" s="298"/>
      <c r="AN29" s="298"/>
      <c r="AO29" s="298"/>
      <c r="AR29" s="22"/>
      <c r="BE29" s="301"/>
    </row>
    <row r="30" spans="2:71" s="21" customFormat="1" ht="14.45" customHeight="1" x14ac:dyDescent="0.2">
      <c r="B30" s="22"/>
      <c r="F30" s="12" t="s">
        <v>46</v>
      </c>
      <c r="L30" s="297">
        <v>0.12</v>
      </c>
      <c r="M30" s="297"/>
      <c r="N30" s="297"/>
      <c r="O30" s="297"/>
      <c r="P30" s="297"/>
      <c r="W30" s="298">
        <f>ROUND(BA94, 2)</f>
        <v>0</v>
      </c>
      <c r="X30" s="298"/>
      <c r="Y30" s="298"/>
      <c r="Z30" s="298"/>
      <c r="AA30" s="298"/>
      <c r="AB30" s="298"/>
      <c r="AC30" s="298"/>
      <c r="AD30" s="298"/>
      <c r="AE30" s="298"/>
      <c r="AK30" s="298">
        <f>ROUND(AW94, 2)</f>
        <v>0</v>
      </c>
      <c r="AL30" s="298"/>
      <c r="AM30" s="298"/>
      <c r="AN30" s="298"/>
      <c r="AO30" s="298"/>
      <c r="AR30" s="22"/>
      <c r="BE30" s="301"/>
    </row>
    <row r="31" spans="2:71" s="21" customFormat="1" ht="14.45" hidden="1" customHeight="1" x14ac:dyDescent="0.2">
      <c r="B31" s="22"/>
      <c r="F31" s="12" t="s">
        <v>47</v>
      </c>
      <c r="L31" s="297">
        <v>0.21</v>
      </c>
      <c r="M31" s="297"/>
      <c r="N31" s="297"/>
      <c r="O31" s="297"/>
      <c r="P31" s="297"/>
      <c r="W31" s="298">
        <f>ROUND(BB94, 2)</f>
        <v>0</v>
      </c>
      <c r="X31" s="298"/>
      <c r="Y31" s="298"/>
      <c r="Z31" s="298"/>
      <c r="AA31" s="298"/>
      <c r="AB31" s="298"/>
      <c r="AC31" s="298"/>
      <c r="AD31" s="298"/>
      <c r="AE31" s="298"/>
      <c r="AK31" s="298">
        <v>0</v>
      </c>
      <c r="AL31" s="298"/>
      <c r="AM31" s="298"/>
      <c r="AN31" s="298"/>
      <c r="AO31" s="298"/>
      <c r="AR31" s="22"/>
      <c r="BE31" s="301"/>
    </row>
    <row r="32" spans="2:71" s="21" customFormat="1" ht="14.45" hidden="1" customHeight="1" x14ac:dyDescent="0.2">
      <c r="B32" s="22"/>
      <c r="F32" s="12" t="s">
        <v>48</v>
      </c>
      <c r="L32" s="297">
        <v>0.12</v>
      </c>
      <c r="M32" s="297"/>
      <c r="N32" s="297"/>
      <c r="O32" s="297"/>
      <c r="P32" s="297"/>
      <c r="W32" s="298">
        <f>ROUND(BC94, 2)</f>
        <v>0</v>
      </c>
      <c r="X32" s="298"/>
      <c r="Y32" s="298"/>
      <c r="Z32" s="298"/>
      <c r="AA32" s="298"/>
      <c r="AB32" s="298"/>
      <c r="AC32" s="298"/>
      <c r="AD32" s="298"/>
      <c r="AE32" s="298"/>
      <c r="AK32" s="298">
        <v>0</v>
      </c>
      <c r="AL32" s="298"/>
      <c r="AM32" s="298"/>
      <c r="AN32" s="298"/>
      <c r="AO32" s="298"/>
      <c r="AR32" s="22"/>
      <c r="BE32" s="301"/>
    </row>
    <row r="33" spans="2:57" s="21" customFormat="1" ht="14.45" hidden="1" customHeight="1" x14ac:dyDescent="0.2">
      <c r="B33" s="22"/>
      <c r="F33" s="12" t="s">
        <v>49</v>
      </c>
      <c r="L33" s="297">
        <v>0</v>
      </c>
      <c r="M33" s="297"/>
      <c r="N33" s="297"/>
      <c r="O33" s="297"/>
      <c r="P33" s="297"/>
      <c r="W33" s="298">
        <f>ROUND(BD94, 2)</f>
        <v>0</v>
      </c>
      <c r="X33" s="298"/>
      <c r="Y33" s="298"/>
      <c r="Z33" s="298"/>
      <c r="AA33" s="298"/>
      <c r="AB33" s="298"/>
      <c r="AC33" s="298"/>
      <c r="AD33" s="298"/>
      <c r="AE33" s="298"/>
      <c r="AK33" s="298">
        <v>0</v>
      </c>
      <c r="AL33" s="298"/>
      <c r="AM33" s="298"/>
      <c r="AN33" s="298"/>
      <c r="AO33" s="298"/>
      <c r="AR33" s="22"/>
      <c r="BE33" s="301"/>
    </row>
    <row r="34" spans="2:57" s="16" customFormat="1" ht="6.95" customHeight="1" x14ac:dyDescent="0.2">
      <c r="B34" s="17"/>
      <c r="AR34" s="17"/>
      <c r="BE34" s="301"/>
    </row>
    <row r="35" spans="2:57" s="16" customFormat="1" ht="25.9" customHeight="1" x14ac:dyDescent="0.2">
      <c r="B35" s="17"/>
      <c r="C35" s="23"/>
      <c r="D35" s="24" t="s">
        <v>50</v>
      </c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6" t="s">
        <v>51</v>
      </c>
      <c r="U35" s="25"/>
      <c r="V35" s="25"/>
      <c r="W35" s="25"/>
      <c r="X35" s="307" t="s">
        <v>52</v>
      </c>
      <c r="Y35" s="307"/>
      <c r="Z35" s="307"/>
      <c r="AA35" s="307"/>
      <c r="AB35" s="307"/>
      <c r="AC35" s="25"/>
      <c r="AD35" s="25"/>
      <c r="AE35" s="25"/>
      <c r="AF35" s="25"/>
      <c r="AG35" s="25"/>
      <c r="AH35" s="25"/>
      <c r="AI35" s="25"/>
      <c r="AJ35" s="25"/>
      <c r="AK35" s="308">
        <f>SUM(AK26:AK33)</f>
        <v>0</v>
      </c>
      <c r="AL35" s="308"/>
      <c r="AM35" s="308"/>
      <c r="AN35" s="308"/>
      <c r="AO35" s="308"/>
      <c r="AP35" s="23"/>
      <c r="AQ35" s="23"/>
      <c r="AR35" s="17"/>
    </row>
    <row r="36" spans="2:57" s="16" customFormat="1" ht="6.95" customHeight="1" x14ac:dyDescent="0.2">
      <c r="B36" s="17"/>
      <c r="AR36" s="17"/>
    </row>
    <row r="37" spans="2:57" s="16" customFormat="1" ht="14.45" customHeight="1" x14ac:dyDescent="0.2">
      <c r="B37" s="17"/>
      <c r="AR37" s="17"/>
    </row>
    <row r="38" spans="2:57" ht="14.45" customHeight="1" x14ac:dyDescent="0.2">
      <c r="B38" s="5"/>
      <c r="AR38" s="5"/>
    </row>
    <row r="39" spans="2:57" ht="14.45" customHeight="1" x14ac:dyDescent="0.2">
      <c r="B39" s="5"/>
      <c r="AR39" s="5"/>
    </row>
    <row r="40" spans="2:57" ht="14.45" customHeight="1" x14ac:dyDescent="0.2">
      <c r="B40" s="5"/>
      <c r="AR40" s="5"/>
    </row>
    <row r="41" spans="2:57" ht="14.45" customHeight="1" x14ac:dyDescent="0.2">
      <c r="B41" s="5"/>
      <c r="AR41" s="5"/>
    </row>
    <row r="42" spans="2:57" ht="14.45" customHeight="1" x14ac:dyDescent="0.2">
      <c r="B42" s="5"/>
      <c r="AR42" s="5"/>
    </row>
    <row r="43" spans="2:57" ht="14.45" customHeight="1" x14ac:dyDescent="0.2">
      <c r="B43" s="5"/>
      <c r="AR43" s="5"/>
    </row>
    <row r="44" spans="2:57" ht="14.45" customHeight="1" x14ac:dyDescent="0.2">
      <c r="B44" s="5"/>
      <c r="AR44" s="5"/>
    </row>
    <row r="45" spans="2:57" ht="14.45" customHeight="1" x14ac:dyDescent="0.2">
      <c r="B45" s="5"/>
      <c r="AR45" s="5"/>
    </row>
    <row r="46" spans="2:57" ht="14.45" customHeight="1" x14ac:dyDescent="0.2">
      <c r="B46" s="5"/>
      <c r="AR46" s="5"/>
    </row>
    <row r="47" spans="2:57" ht="14.45" customHeight="1" x14ac:dyDescent="0.2">
      <c r="B47" s="5"/>
      <c r="AR47" s="5"/>
    </row>
    <row r="48" spans="2:57" ht="14.45" customHeight="1" x14ac:dyDescent="0.2">
      <c r="B48" s="5"/>
      <c r="AR48" s="5"/>
    </row>
    <row r="49" spans="2:44" s="16" customFormat="1" ht="14.45" customHeight="1" x14ac:dyDescent="0.2">
      <c r="B49" s="17"/>
      <c r="D49" s="27" t="s">
        <v>53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7" t="s">
        <v>54</v>
      </c>
      <c r="AI49" s="28"/>
      <c r="AJ49" s="28"/>
      <c r="AK49" s="28"/>
      <c r="AL49" s="28"/>
      <c r="AM49" s="28"/>
      <c r="AN49" s="28"/>
      <c r="AO49" s="28"/>
      <c r="AR49" s="17"/>
    </row>
    <row r="50" spans="2:44" x14ac:dyDescent="0.2">
      <c r="B50" s="5"/>
      <c r="AR50" s="5"/>
    </row>
    <row r="51" spans="2:44" x14ac:dyDescent="0.2">
      <c r="B51" s="5"/>
      <c r="AR51" s="5"/>
    </row>
    <row r="52" spans="2:44" x14ac:dyDescent="0.2">
      <c r="B52" s="5"/>
      <c r="AR52" s="5"/>
    </row>
    <row r="53" spans="2:44" x14ac:dyDescent="0.2">
      <c r="B53" s="5"/>
      <c r="AR53" s="5"/>
    </row>
    <row r="54" spans="2:44" x14ac:dyDescent="0.2">
      <c r="B54" s="5"/>
      <c r="AR54" s="5"/>
    </row>
    <row r="55" spans="2:44" x14ac:dyDescent="0.2">
      <c r="B55" s="5"/>
      <c r="AR55" s="5"/>
    </row>
    <row r="56" spans="2:44" x14ac:dyDescent="0.2">
      <c r="B56" s="5"/>
      <c r="AR56" s="5"/>
    </row>
    <row r="57" spans="2:44" x14ac:dyDescent="0.2">
      <c r="B57" s="5"/>
      <c r="AR57" s="5"/>
    </row>
    <row r="58" spans="2:44" x14ac:dyDescent="0.2">
      <c r="B58" s="5"/>
      <c r="AR58" s="5"/>
    </row>
    <row r="59" spans="2:44" x14ac:dyDescent="0.2">
      <c r="B59" s="5"/>
      <c r="AR59" s="5"/>
    </row>
    <row r="60" spans="2:44" s="16" customFormat="1" ht="12.75" x14ac:dyDescent="0.2">
      <c r="B60" s="17"/>
      <c r="D60" s="29" t="s">
        <v>55</v>
      </c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29" t="s">
        <v>56</v>
      </c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29" t="s">
        <v>55</v>
      </c>
      <c r="AI60" s="19"/>
      <c r="AJ60" s="19"/>
      <c r="AK60" s="19"/>
      <c r="AL60" s="19"/>
      <c r="AM60" s="29" t="s">
        <v>56</v>
      </c>
      <c r="AN60" s="19"/>
      <c r="AO60" s="19"/>
      <c r="AR60" s="17"/>
    </row>
    <row r="61" spans="2:44" x14ac:dyDescent="0.2">
      <c r="B61" s="5"/>
      <c r="AR61" s="5"/>
    </row>
    <row r="62" spans="2:44" x14ac:dyDescent="0.2">
      <c r="B62" s="5"/>
      <c r="AR62" s="5"/>
    </row>
    <row r="63" spans="2:44" x14ac:dyDescent="0.2">
      <c r="B63" s="5"/>
      <c r="AR63" s="5"/>
    </row>
    <row r="64" spans="2:44" s="16" customFormat="1" ht="12.75" x14ac:dyDescent="0.2">
      <c r="B64" s="17"/>
      <c r="D64" s="27" t="s">
        <v>57</v>
      </c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7" t="s">
        <v>58</v>
      </c>
      <c r="AI64" s="28"/>
      <c r="AJ64" s="28"/>
      <c r="AK64" s="28"/>
      <c r="AL64" s="28"/>
      <c r="AM64" s="28"/>
      <c r="AN64" s="28"/>
      <c r="AO64" s="28"/>
      <c r="AR64" s="17"/>
    </row>
    <row r="65" spans="2:44" x14ac:dyDescent="0.2">
      <c r="B65" s="5"/>
      <c r="AR65" s="5"/>
    </row>
    <row r="66" spans="2:44" x14ac:dyDescent="0.2">
      <c r="B66" s="5"/>
      <c r="AR66" s="5"/>
    </row>
    <row r="67" spans="2:44" x14ac:dyDescent="0.2">
      <c r="B67" s="5"/>
      <c r="AR67" s="5"/>
    </row>
    <row r="68" spans="2:44" x14ac:dyDescent="0.2">
      <c r="B68" s="5"/>
      <c r="AR68" s="5"/>
    </row>
    <row r="69" spans="2:44" x14ac:dyDescent="0.2">
      <c r="B69" s="5"/>
      <c r="AR69" s="5"/>
    </row>
    <row r="70" spans="2:44" x14ac:dyDescent="0.2">
      <c r="B70" s="5"/>
      <c r="AR70" s="5"/>
    </row>
    <row r="71" spans="2:44" x14ac:dyDescent="0.2">
      <c r="B71" s="5"/>
      <c r="AR71" s="5"/>
    </row>
    <row r="72" spans="2:44" x14ac:dyDescent="0.2">
      <c r="B72" s="5"/>
      <c r="AR72" s="5"/>
    </row>
    <row r="73" spans="2:44" x14ac:dyDescent="0.2">
      <c r="B73" s="5"/>
      <c r="AR73" s="5"/>
    </row>
    <row r="74" spans="2:44" x14ac:dyDescent="0.2">
      <c r="B74" s="5"/>
      <c r="AR74" s="5"/>
    </row>
    <row r="75" spans="2:44" s="16" customFormat="1" ht="12.75" x14ac:dyDescent="0.2">
      <c r="B75" s="17"/>
      <c r="D75" s="29" t="s">
        <v>55</v>
      </c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29" t="s">
        <v>56</v>
      </c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29" t="s">
        <v>55</v>
      </c>
      <c r="AI75" s="19"/>
      <c r="AJ75" s="19"/>
      <c r="AK75" s="19"/>
      <c r="AL75" s="19"/>
      <c r="AM75" s="29" t="s">
        <v>56</v>
      </c>
      <c r="AN75" s="19"/>
      <c r="AO75" s="19"/>
      <c r="AR75" s="17"/>
    </row>
    <row r="76" spans="2:44" s="16" customFormat="1" x14ac:dyDescent="0.2">
      <c r="B76" s="17"/>
      <c r="AR76" s="17"/>
    </row>
    <row r="77" spans="2:44" s="16" customFormat="1" ht="6.95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7"/>
    </row>
    <row r="81" spans="1:91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17"/>
    </row>
    <row r="82" spans="1:91" s="16" customFormat="1" ht="24.95" customHeight="1" x14ac:dyDescent="0.2">
      <c r="B82" s="17"/>
      <c r="C82" s="6" t="s">
        <v>59</v>
      </c>
      <c r="AR82" s="17"/>
    </row>
    <row r="83" spans="1:91" s="16" customFormat="1" ht="6.95" customHeight="1" x14ac:dyDescent="0.2">
      <c r="B83" s="17"/>
      <c r="AR83" s="17"/>
    </row>
    <row r="84" spans="1:91" s="32" customFormat="1" ht="12" customHeight="1" x14ac:dyDescent="0.2">
      <c r="B84" s="33"/>
      <c r="C84" s="12" t="s">
        <v>12</v>
      </c>
      <c r="L84" s="32" t="str">
        <f>K5</f>
        <v>24-1024_JME</v>
      </c>
      <c r="AR84" s="33"/>
    </row>
    <row r="85" spans="1:91" s="34" customFormat="1" ht="36.950000000000003" customHeight="1" x14ac:dyDescent="0.2">
      <c r="B85" s="35"/>
      <c r="C85" s="36" t="s">
        <v>15</v>
      </c>
      <c r="L85" s="309" t="str">
        <f>K6</f>
        <v>Rekonstrukce části Šafránkova pavilonu studentské koleje a nástavba jednoho patra</v>
      </c>
      <c r="M85" s="309"/>
      <c r="N85" s="309"/>
      <c r="O85" s="309"/>
      <c r="P85" s="309"/>
      <c r="Q85" s="309"/>
      <c r="R85" s="309"/>
      <c r="S85" s="309"/>
      <c r="T85" s="309"/>
      <c r="U85" s="309"/>
      <c r="V85" s="309"/>
      <c r="W85" s="309"/>
      <c r="X85" s="309"/>
      <c r="Y85" s="309"/>
      <c r="Z85" s="309"/>
      <c r="AA85" s="309"/>
      <c r="AB85" s="309"/>
      <c r="AC85" s="309"/>
      <c r="AD85" s="309"/>
      <c r="AE85" s="309"/>
      <c r="AF85" s="309"/>
      <c r="AG85" s="309"/>
      <c r="AH85" s="309"/>
      <c r="AI85" s="309"/>
      <c r="AJ85" s="309"/>
      <c r="AR85" s="35"/>
    </row>
    <row r="86" spans="1:91" s="16" customFormat="1" ht="6.95" customHeight="1" x14ac:dyDescent="0.2">
      <c r="B86" s="17"/>
      <c r="AR86" s="17"/>
    </row>
    <row r="87" spans="1:91" s="16" customFormat="1" ht="12" customHeight="1" x14ac:dyDescent="0.2">
      <c r="B87" s="17"/>
      <c r="C87" s="12" t="s">
        <v>19</v>
      </c>
      <c r="L87" s="37" t="str">
        <f>IF(K8="","",K8)</f>
        <v>Alej Svobody 703 Plzeň 1</v>
      </c>
      <c r="AI87" s="12" t="s">
        <v>21</v>
      </c>
      <c r="AM87" s="315" t="str">
        <f>IF(AN8= "","",AN8)</f>
        <v/>
      </c>
      <c r="AN87" s="315"/>
      <c r="AR87" s="17"/>
    </row>
    <row r="88" spans="1:91" s="16" customFormat="1" ht="6.95" customHeight="1" x14ac:dyDescent="0.2">
      <c r="B88" s="17"/>
      <c r="AR88" s="17"/>
    </row>
    <row r="89" spans="1:91" s="16" customFormat="1" ht="15.2" customHeight="1" x14ac:dyDescent="0.2">
      <c r="B89" s="17"/>
      <c r="C89" s="12" t="s">
        <v>22</v>
      </c>
      <c r="L89" s="32" t="str">
        <f>IF(E11= "","",E11)</f>
        <v>Univerzita Karlova, Lékařská fakulta v Plzni</v>
      </c>
      <c r="AI89" s="12" t="s">
        <v>29</v>
      </c>
      <c r="AM89" s="316" t="str">
        <f>IF(E17="","",E17)</f>
        <v>MEPRO s.r.o.</v>
      </c>
      <c r="AN89" s="316"/>
      <c r="AO89" s="316"/>
      <c r="AP89" s="316"/>
      <c r="AR89" s="17"/>
      <c r="AS89" s="317" t="s">
        <v>60</v>
      </c>
      <c r="AT89" s="317"/>
      <c r="AU89" s="39"/>
      <c r="AV89" s="39"/>
      <c r="AW89" s="39"/>
      <c r="AX89" s="39"/>
      <c r="AY89" s="39"/>
      <c r="AZ89" s="39"/>
      <c r="BA89" s="39"/>
      <c r="BB89" s="39"/>
      <c r="BC89" s="39"/>
      <c r="BD89" s="40"/>
    </row>
    <row r="90" spans="1:91" s="16" customFormat="1" ht="15.2" customHeight="1" x14ac:dyDescent="0.2">
      <c r="B90" s="17"/>
      <c r="C90" s="12" t="s">
        <v>28</v>
      </c>
      <c r="L90" s="32">
        <f>IF(E14= "Vyplň údaj","",E14)</f>
        <v>0</v>
      </c>
      <c r="AI90" s="12" t="s">
        <v>34</v>
      </c>
      <c r="AM90" s="316" t="str">
        <f>IF(E20="","",E20)</f>
        <v>Propos Liberec s.r.o.</v>
      </c>
      <c r="AN90" s="316"/>
      <c r="AO90" s="316"/>
      <c r="AP90" s="316"/>
      <c r="AR90" s="17"/>
      <c r="AS90" s="317"/>
      <c r="AT90" s="317"/>
      <c r="BD90" s="41"/>
    </row>
    <row r="91" spans="1:91" s="16" customFormat="1" ht="10.9" customHeight="1" x14ac:dyDescent="0.2">
      <c r="B91" s="17"/>
      <c r="AR91" s="17"/>
      <c r="AS91" s="317"/>
      <c r="AT91" s="317"/>
      <c r="BD91" s="41"/>
    </row>
    <row r="92" spans="1:91" s="16" customFormat="1" ht="29.25" customHeight="1" x14ac:dyDescent="0.2">
      <c r="B92" s="17"/>
      <c r="C92" s="318" t="s">
        <v>61</v>
      </c>
      <c r="D92" s="318"/>
      <c r="E92" s="318"/>
      <c r="F92" s="318"/>
      <c r="G92" s="318"/>
      <c r="H92" s="42"/>
      <c r="I92" s="319" t="s">
        <v>62</v>
      </c>
      <c r="J92" s="319"/>
      <c r="K92" s="319"/>
      <c r="L92" s="319"/>
      <c r="M92" s="319"/>
      <c r="N92" s="319"/>
      <c r="O92" s="319"/>
      <c r="P92" s="319"/>
      <c r="Q92" s="319"/>
      <c r="R92" s="319"/>
      <c r="S92" s="319"/>
      <c r="T92" s="319"/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20" t="s">
        <v>63</v>
      </c>
      <c r="AH92" s="320"/>
      <c r="AI92" s="320"/>
      <c r="AJ92" s="320"/>
      <c r="AK92" s="320"/>
      <c r="AL92" s="320"/>
      <c r="AM92" s="320"/>
      <c r="AN92" s="321" t="s">
        <v>64</v>
      </c>
      <c r="AO92" s="321"/>
      <c r="AP92" s="321"/>
      <c r="AQ92" s="43" t="s">
        <v>65</v>
      </c>
      <c r="AR92" s="17"/>
      <c r="AS92" s="44" t="s">
        <v>66</v>
      </c>
      <c r="AT92" s="45" t="s">
        <v>67</v>
      </c>
      <c r="AU92" s="45" t="s">
        <v>68</v>
      </c>
      <c r="AV92" s="45" t="s">
        <v>69</v>
      </c>
      <c r="AW92" s="45" t="s">
        <v>70</v>
      </c>
      <c r="AX92" s="45" t="s">
        <v>71</v>
      </c>
      <c r="AY92" s="45" t="s">
        <v>72</v>
      </c>
      <c r="AZ92" s="45" t="s">
        <v>73</v>
      </c>
      <c r="BA92" s="45" t="s">
        <v>74</v>
      </c>
      <c r="BB92" s="45" t="s">
        <v>75</v>
      </c>
      <c r="BC92" s="45" t="s">
        <v>76</v>
      </c>
      <c r="BD92" s="46" t="s">
        <v>77</v>
      </c>
    </row>
    <row r="93" spans="1:91" s="16" customFormat="1" ht="10.9" customHeight="1" x14ac:dyDescent="0.2">
      <c r="B93" s="17"/>
      <c r="AR93" s="17"/>
      <c r="AS93" s="47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40"/>
    </row>
    <row r="94" spans="1:91" s="48" customFormat="1" ht="32.450000000000003" customHeight="1" x14ac:dyDescent="0.2">
      <c r="B94" s="49"/>
      <c r="C94" s="50" t="s">
        <v>78</v>
      </c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310">
        <f>ROUND(AG95+SUM(AG120:AG122),2)</f>
        <v>0</v>
      </c>
      <c r="AH94" s="310"/>
      <c r="AI94" s="310"/>
      <c r="AJ94" s="310"/>
      <c r="AK94" s="310"/>
      <c r="AL94" s="310"/>
      <c r="AM94" s="310"/>
      <c r="AN94" s="311">
        <f t="shared" ref="AN94:AN122" si="0">SUM(AG94,AT94)</f>
        <v>0</v>
      </c>
      <c r="AO94" s="311"/>
      <c r="AP94" s="311"/>
      <c r="AQ94" s="53"/>
      <c r="AR94" s="49"/>
      <c r="AS94" s="54">
        <f>ROUND(AS95+SUM(AS120:AS122),2)</f>
        <v>0</v>
      </c>
      <c r="AT94" s="55">
        <f t="shared" ref="AT94:AT122" si="1">ROUND(SUM(AV94:AW94),2)</f>
        <v>0</v>
      </c>
      <c r="AU94" s="56">
        <f>ROUND(AU95+SUM(AU120:AU122),5)</f>
        <v>0</v>
      </c>
      <c r="AV94" s="55">
        <f>ROUND(AZ94*L29,2)</f>
        <v>0</v>
      </c>
      <c r="AW94" s="55">
        <f>ROUND(BA94*L30,2)</f>
        <v>0</v>
      </c>
      <c r="AX94" s="55">
        <f>ROUND(BB94*L29,2)</f>
        <v>0</v>
      </c>
      <c r="AY94" s="55">
        <f>ROUND(BC94*L30,2)</f>
        <v>0</v>
      </c>
      <c r="AZ94" s="55">
        <f>ROUND(AZ95+SUM(AZ120:AZ122),2)</f>
        <v>0</v>
      </c>
      <c r="BA94" s="55">
        <f>ROUND(BA95+SUM(BA120:BA122),2)</f>
        <v>0</v>
      </c>
      <c r="BB94" s="55">
        <f>ROUND(BB95+SUM(BB120:BB122),2)</f>
        <v>0</v>
      </c>
      <c r="BC94" s="55">
        <f>ROUND(BC95+SUM(BC120:BC122),2)</f>
        <v>0</v>
      </c>
      <c r="BD94" s="57">
        <f>ROUND(BD95+SUM(BD120:BD122),2)</f>
        <v>0</v>
      </c>
      <c r="BS94" s="58" t="s">
        <v>79</v>
      </c>
      <c r="BT94" s="58" t="s">
        <v>80</v>
      </c>
      <c r="BU94" s="59" t="s">
        <v>81</v>
      </c>
      <c r="BV94" s="58" t="s">
        <v>82</v>
      </c>
      <c r="BW94" s="58" t="s">
        <v>4</v>
      </c>
      <c r="BX94" s="58" t="s">
        <v>83</v>
      </c>
      <c r="CL94" s="58"/>
    </row>
    <row r="95" spans="1:91" s="60" customFormat="1" ht="16.5" customHeight="1" x14ac:dyDescent="0.2">
      <c r="B95" s="61"/>
      <c r="C95" s="62"/>
      <c r="D95" s="312" t="s">
        <v>84</v>
      </c>
      <c r="E95" s="312"/>
      <c r="F95" s="312"/>
      <c r="G95" s="312"/>
      <c r="H95" s="312"/>
      <c r="I95" s="63"/>
      <c r="J95" s="312" t="s">
        <v>85</v>
      </c>
      <c r="K95" s="312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2"/>
      <c r="Z95" s="312"/>
      <c r="AA95" s="312"/>
      <c r="AB95" s="312"/>
      <c r="AC95" s="312"/>
      <c r="AD95" s="312"/>
      <c r="AE95" s="312"/>
      <c r="AF95" s="312"/>
      <c r="AG95" s="313">
        <f>ROUND(AG96+SUM(AG97:AG101)+SUM(AG107:AG113)+AG119,2)</f>
        <v>0</v>
      </c>
      <c r="AH95" s="313"/>
      <c r="AI95" s="313"/>
      <c r="AJ95" s="313"/>
      <c r="AK95" s="313"/>
      <c r="AL95" s="313"/>
      <c r="AM95" s="313"/>
      <c r="AN95" s="314">
        <f t="shared" si="0"/>
        <v>0</v>
      </c>
      <c r="AO95" s="314"/>
      <c r="AP95" s="314"/>
      <c r="AQ95" s="64" t="s">
        <v>86</v>
      </c>
      <c r="AR95" s="61"/>
      <c r="AS95" s="65">
        <f>ROUND(AS96+SUM(AS97:AS101)+SUM(AS107:AS113)+AS119,2)</f>
        <v>0</v>
      </c>
      <c r="AT95" s="66">
        <f t="shared" si="1"/>
        <v>0</v>
      </c>
      <c r="AU95" s="67">
        <f>ROUND(AU96+SUM(AU97:AU101)+SUM(AU107:AU113)+AU119,5)</f>
        <v>0</v>
      </c>
      <c r="AV95" s="66">
        <f>ROUND(AZ95*L29,2)</f>
        <v>0</v>
      </c>
      <c r="AW95" s="66">
        <f>ROUND(BA95*L30,2)</f>
        <v>0</v>
      </c>
      <c r="AX95" s="66">
        <f>ROUND(BB95*L29,2)</f>
        <v>0</v>
      </c>
      <c r="AY95" s="66">
        <f>ROUND(BC95*L30,2)</f>
        <v>0</v>
      </c>
      <c r="AZ95" s="66">
        <f>ROUND(AZ96+SUM(AZ97:AZ101)+SUM(AZ107:AZ113)+AZ119,2)</f>
        <v>0</v>
      </c>
      <c r="BA95" s="66">
        <f>ROUND(BA96+SUM(BA97:BA101)+SUM(BA107:BA113)+BA119,2)</f>
        <v>0</v>
      </c>
      <c r="BB95" s="66">
        <f>ROUND(BB96+SUM(BB97:BB101)+SUM(BB107:BB113)+BB119,2)</f>
        <v>0</v>
      </c>
      <c r="BC95" s="66">
        <f>ROUND(BC96+SUM(BC97:BC101)+SUM(BC107:BC113)+BC119,2)</f>
        <v>0</v>
      </c>
      <c r="BD95" s="68">
        <f>ROUND(BD96+SUM(BD97:BD101)+SUM(BD107:BD113)+BD119,2)</f>
        <v>0</v>
      </c>
      <c r="BS95" s="69" t="s">
        <v>79</v>
      </c>
      <c r="BT95" s="69" t="s">
        <v>87</v>
      </c>
      <c r="BU95" s="69" t="s">
        <v>81</v>
      </c>
      <c r="BV95" s="69" t="s">
        <v>82</v>
      </c>
      <c r="BW95" s="69" t="s">
        <v>88</v>
      </c>
      <c r="BX95" s="69" t="s">
        <v>4</v>
      </c>
      <c r="CL95" s="69" t="s">
        <v>89</v>
      </c>
      <c r="CM95" s="69" t="s">
        <v>90</v>
      </c>
    </row>
    <row r="96" spans="1:91" s="32" customFormat="1" ht="16.5" customHeight="1" x14ac:dyDescent="0.2">
      <c r="A96" s="277" t="s">
        <v>91</v>
      </c>
      <c r="B96" s="33"/>
      <c r="C96" s="70"/>
      <c r="D96" s="70"/>
      <c r="E96" s="322" t="s">
        <v>92</v>
      </c>
      <c r="F96" s="322"/>
      <c r="G96" s="322"/>
      <c r="H96" s="322"/>
      <c r="I96" s="322"/>
      <c r="J96" s="70"/>
      <c r="K96" s="322" t="s">
        <v>93</v>
      </c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3">
        <f>'ARS_-_Architektonicko-sta___'!J32</f>
        <v>0</v>
      </c>
      <c r="AH96" s="323"/>
      <c r="AI96" s="323"/>
      <c r="AJ96" s="323"/>
      <c r="AK96" s="323"/>
      <c r="AL96" s="323"/>
      <c r="AM96" s="323"/>
      <c r="AN96" s="323">
        <f t="shared" si="0"/>
        <v>0</v>
      </c>
      <c r="AO96" s="323"/>
      <c r="AP96" s="323"/>
      <c r="AQ96" s="71" t="s">
        <v>94</v>
      </c>
      <c r="AR96" s="33"/>
      <c r="AS96" s="72">
        <v>0</v>
      </c>
      <c r="AT96" s="73">
        <f t="shared" si="1"/>
        <v>0</v>
      </c>
      <c r="AU96" s="74">
        <f>'ARS_-_Architektonicko-sta___'!P138</f>
        <v>0</v>
      </c>
      <c r="AV96" s="73">
        <f>'ARS_-_Architektonicko-sta___'!J35</f>
        <v>0</v>
      </c>
      <c r="AW96" s="73">
        <f>'ARS_-_Architektonicko-sta___'!J36</f>
        <v>0</v>
      </c>
      <c r="AX96" s="73">
        <f>'ARS_-_Architektonicko-sta___'!J37</f>
        <v>0</v>
      </c>
      <c r="AY96" s="73">
        <f>'ARS_-_Architektonicko-sta___'!J38</f>
        <v>0</v>
      </c>
      <c r="AZ96" s="73">
        <f>'ARS_-_Architektonicko-sta___'!F35</f>
        <v>0</v>
      </c>
      <c r="BA96" s="73">
        <f>'ARS_-_Architektonicko-sta___'!F36</f>
        <v>0</v>
      </c>
      <c r="BB96" s="73">
        <f>'ARS_-_Architektonicko-sta___'!F37</f>
        <v>0</v>
      </c>
      <c r="BC96" s="73">
        <f>'ARS_-_Architektonicko-sta___'!F38</f>
        <v>0</v>
      </c>
      <c r="BD96" s="75">
        <f>'ARS_-_Architektonicko-sta___'!F39</f>
        <v>0</v>
      </c>
      <c r="BT96" s="10" t="s">
        <v>90</v>
      </c>
      <c r="BV96" s="10" t="s">
        <v>82</v>
      </c>
      <c r="BW96" s="10" t="s">
        <v>95</v>
      </c>
      <c r="BX96" s="10" t="s">
        <v>88</v>
      </c>
      <c r="CL96" s="10"/>
    </row>
    <row r="97" spans="1:90" s="32" customFormat="1" ht="16.5" customHeight="1" x14ac:dyDescent="0.2">
      <c r="A97" s="278" t="s">
        <v>91</v>
      </c>
      <c r="B97" s="33"/>
      <c r="C97" s="70"/>
      <c r="D97" s="70"/>
      <c r="E97" s="322" t="s">
        <v>96</v>
      </c>
      <c r="F97" s="322"/>
      <c r="G97" s="322"/>
      <c r="H97" s="322"/>
      <c r="I97" s="322"/>
      <c r="J97" s="70"/>
      <c r="K97" s="322" t="s">
        <v>97</v>
      </c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3">
        <f>'KCE_-_Konstrukční_část'!J32</f>
        <v>0</v>
      </c>
      <c r="AH97" s="323"/>
      <c r="AI97" s="323"/>
      <c r="AJ97" s="323"/>
      <c r="AK97" s="323"/>
      <c r="AL97" s="323"/>
      <c r="AM97" s="323"/>
      <c r="AN97" s="323">
        <f t="shared" si="0"/>
        <v>0</v>
      </c>
      <c r="AO97" s="323"/>
      <c r="AP97" s="323"/>
      <c r="AQ97" s="71" t="s">
        <v>94</v>
      </c>
      <c r="AR97" s="33"/>
      <c r="AS97" s="72">
        <v>0</v>
      </c>
      <c r="AT97" s="73">
        <f t="shared" si="1"/>
        <v>0</v>
      </c>
      <c r="AU97" s="74">
        <f>'KCE_-_Konstrukční_část'!P138</f>
        <v>0</v>
      </c>
      <c r="AV97" s="73">
        <f>'KCE_-_Konstrukční_část'!J35</f>
        <v>0</v>
      </c>
      <c r="AW97" s="73">
        <f>'KCE_-_Konstrukční_část'!J36</f>
        <v>0</v>
      </c>
      <c r="AX97" s="73">
        <f>'KCE_-_Konstrukční_část'!J37</f>
        <v>0</v>
      </c>
      <c r="AY97" s="73">
        <f>'KCE_-_Konstrukční_část'!J38</f>
        <v>0</v>
      </c>
      <c r="AZ97" s="73">
        <f>'KCE_-_Konstrukční_část'!F35</f>
        <v>0</v>
      </c>
      <c r="BA97" s="73">
        <f>'KCE_-_Konstrukční_část'!F36</f>
        <v>0</v>
      </c>
      <c r="BB97" s="73">
        <f>'KCE_-_Konstrukční_část'!F37</f>
        <v>0</v>
      </c>
      <c r="BC97" s="73">
        <f>'KCE_-_Konstrukční_část'!F38</f>
        <v>0</v>
      </c>
      <c r="BD97" s="75">
        <f>'KCE_-_Konstrukční_část'!F39</f>
        <v>0</v>
      </c>
      <c r="BT97" s="10" t="s">
        <v>90</v>
      </c>
      <c r="BV97" s="10" t="s">
        <v>82</v>
      </c>
      <c r="BW97" s="10" t="s">
        <v>98</v>
      </c>
      <c r="BX97" s="10" t="s">
        <v>88</v>
      </c>
      <c r="CL97" s="10"/>
    </row>
    <row r="98" spans="1:90" s="32" customFormat="1" ht="16.5" customHeight="1" x14ac:dyDescent="0.2">
      <c r="A98" s="278" t="s">
        <v>91</v>
      </c>
      <c r="B98" s="33"/>
      <c r="C98" s="70"/>
      <c r="D98" s="70"/>
      <c r="E98" s="322" t="s">
        <v>99</v>
      </c>
      <c r="F98" s="322"/>
      <c r="G98" s="322"/>
      <c r="H98" s="322"/>
      <c r="I98" s="322"/>
      <c r="J98" s="70"/>
      <c r="K98" s="322" t="s">
        <v>100</v>
      </c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3">
        <f>'FAS_-_Fasády'!J32</f>
        <v>0</v>
      </c>
      <c r="AH98" s="323"/>
      <c r="AI98" s="323"/>
      <c r="AJ98" s="323"/>
      <c r="AK98" s="323"/>
      <c r="AL98" s="323"/>
      <c r="AM98" s="323"/>
      <c r="AN98" s="323">
        <f t="shared" si="0"/>
        <v>0</v>
      </c>
      <c r="AO98" s="323"/>
      <c r="AP98" s="323"/>
      <c r="AQ98" s="71" t="s">
        <v>94</v>
      </c>
      <c r="AR98" s="33"/>
      <c r="AS98" s="72">
        <v>0</v>
      </c>
      <c r="AT98" s="73">
        <f t="shared" si="1"/>
        <v>0</v>
      </c>
      <c r="AU98" s="74">
        <f>'FAS_-_Fasády'!P138</f>
        <v>0</v>
      </c>
      <c r="AV98" s="73">
        <f>'FAS_-_Fasády'!J35</f>
        <v>0</v>
      </c>
      <c r="AW98" s="73">
        <f>'FAS_-_Fasády'!J36</f>
        <v>0</v>
      </c>
      <c r="AX98" s="73">
        <f>'FAS_-_Fasády'!J37</f>
        <v>0</v>
      </c>
      <c r="AY98" s="73">
        <f>'FAS_-_Fasády'!J38</f>
        <v>0</v>
      </c>
      <c r="AZ98" s="73">
        <f>'FAS_-_Fasády'!F35</f>
        <v>0</v>
      </c>
      <c r="BA98" s="73">
        <f>'FAS_-_Fasády'!F36</f>
        <v>0</v>
      </c>
      <c r="BB98" s="73">
        <f>'FAS_-_Fasády'!F37</f>
        <v>0</v>
      </c>
      <c r="BC98" s="73">
        <f>'FAS_-_Fasády'!F38</f>
        <v>0</v>
      </c>
      <c r="BD98" s="75">
        <f>'FAS_-_Fasády'!F39</f>
        <v>0</v>
      </c>
      <c r="BT98" s="10" t="s">
        <v>90</v>
      </c>
      <c r="BV98" s="10" t="s">
        <v>82</v>
      </c>
      <c r="BW98" s="10" t="s">
        <v>101</v>
      </c>
      <c r="BX98" s="10" t="s">
        <v>88</v>
      </c>
      <c r="CL98" s="10"/>
    </row>
    <row r="99" spans="1:90" s="32" customFormat="1" ht="16.5" customHeight="1" x14ac:dyDescent="0.2">
      <c r="A99" s="278" t="s">
        <v>91</v>
      </c>
      <c r="B99" s="33"/>
      <c r="C99" s="70"/>
      <c r="D99" s="70"/>
      <c r="E99" s="322" t="s">
        <v>102</v>
      </c>
      <c r="F99" s="322"/>
      <c r="G99" s="322"/>
      <c r="H99" s="322"/>
      <c r="I99" s="322"/>
      <c r="J99" s="70"/>
      <c r="K99" s="322" t="s">
        <v>103</v>
      </c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3">
        <f>'STŘ_-_Střechy'!J32</f>
        <v>0</v>
      </c>
      <c r="AH99" s="323"/>
      <c r="AI99" s="323"/>
      <c r="AJ99" s="323"/>
      <c r="AK99" s="323"/>
      <c r="AL99" s="323"/>
      <c r="AM99" s="323"/>
      <c r="AN99" s="323">
        <f t="shared" si="0"/>
        <v>0</v>
      </c>
      <c r="AO99" s="323"/>
      <c r="AP99" s="323"/>
      <c r="AQ99" s="71" t="s">
        <v>94</v>
      </c>
      <c r="AR99" s="33"/>
      <c r="AS99" s="72">
        <v>0</v>
      </c>
      <c r="AT99" s="73">
        <f t="shared" si="1"/>
        <v>0</v>
      </c>
      <c r="AU99" s="74">
        <f>'STŘ_-_Střechy'!P138</f>
        <v>0</v>
      </c>
      <c r="AV99" s="73">
        <f>'STŘ_-_Střechy'!J35</f>
        <v>0</v>
      </c>
      <c r="AW99" s="73">
        <f>'STŘ_-_Střechy'!J36</f>
        <v>0</v>
      </c>
      <c r="AX99" s="73">
        <f>'STŘ_-_Střechy'!J37</f>
        <v>0</v>
      </c>
      <c r="AY99" s="73">
        <f>'STŘ_-_Střechy'!J38</f>
        <v>0</v>
      </c>
      <c r="AZ99" s="73">
        <f>'STŘ_-_Střechy'!F35</f>
        <v>0</v>
      </c>
      <c r="BA99" s="73">
        <f>'STŘ_-_Střechy'!F36</f>
        <v>0</v>
      </c>
      <c r="BB99" s="73">
        <f>'STŘ_-_Střechy'!F37</f>
        <v>0</v>
      </c>
      <c r="BC99" s="73">
        <f>'STŘ_-_Střechy'!F38</f>
        <v>0</v>
      </c>
      <c r="BD99" s="75">
        <f>'STŘ_-_Střechy'!F39</f>
        <v>0</v>
      </c>
      <c r="BE99" s="276"/>
      <c r="BT99" s="10" t="s">
        <v>90</v>
      </c>
      <c r="BV99" s="10" t="s">
        <v>82</v>
      </c>
      <c r="BW99" s="10" t="s">
        <v>104</v>
      </c>
      <c r="BX99" s="10" t="s">
        <v>88</v>
      </c>
      <c r="CL99" s="10"/>
    </row>
    <row r="100" spans="1:90" s="32" customFormat="1" ht="16.5" customHeight="1" x14ac:dyDescent="0.2">
      <c r="A100" s="278" t="s">
        <v>91</v>
      </c>
      <c r="B100" s="33"/>
      <c r="C100" s="70"/>
      <c r="D100" s="70"/>
      <c r="E100" s="322" t="s">
        <v>105</v>
      </c>
      <c r="F100" s="322"/>
      <c r="G100" s="322"/>
      <c r="H100" s="322"/>
      <c r="I100" s="322"/>
      <c r="J100" s="70"/>
      <c r="K100" s="322" t="s">
        <v>106</v>
      </c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3">
        <f>'DOZ_-_Výtahy'!J32</f>
        <v>0</v>
      </c>
      <c r="AH100" s="323"/>
      <c r="AI100" s="323"/>
      <c r="AJ100" s="323"/>
      <c r="AK100" s="323"/>
      <c r="AL100" s="323"/>
      <c r="AM100" s="323"/>
      <c r="AN100" s="323">
        <f t="shared" si="0"/>
        <v>0</v>
      </c>
      <c r="AO100" s="323"/>
      <c r="AP100" s="323"/>
      <c r="AQ100" s="71" t="s">
        <v>94</v>
      </c>
      <c r="AR100" s="33"/>
      <c r="AS100" s="72">
        <v>0</v>
      </c>
      <c r="AT100" s="73">
        <f t="shared" si="1"/>
        <v>0</v>
      </c>
      <c r="AU100" s="74">
        <f>'DOZ_-_Výtahy'!P139</f>
        <v>0</v>
      </c>
      <c r="AV100" s="73">
        <f>'DOZ_-_Výtahy'!J35</f>
        <v>0</v>
      </c>
      <c r="AW100" s="73">
        <f>'DOZ_-_Výtahy'!J36</f>
        <v>0</v>
      </c>
      <c r="AX100" s="73">
        <f>'DOZ_-_Výtahy'!J37</f>
        <v>0</v>
      </c>
      <c r="AY100" s="73">
        <f>'DOZ_-_Výtahy'!J38</f>
        <v>0</v>
      </c>
      <c r="AZ100" s="73">
        <f>'DOZ_-_Výtahy'!F35</f>
        <v>0</v>
      </c>
      <c r="BA100" s="73">
        <f>'DOZ_-_Výtahy'!F36</f>
        <v>0</v>
      </c>
      <c r="BB100" s="73">
        <f>'DOZ_-_Výtahy'!F37</f>
        <v>0</v>
      </c>
      <c r="BC100" s="73">
        <f>'DOZ_-_Výtahy'!F38</f>
        <v>0</v>
      </c>
      <c r="BD100" s="75">
        <f>'DOZ_-_Výtahy'!F39</f>
        <v>0</v>
      </c>
      <c r="BT100" s="10" t="s">
        <v>90</v>
      </c>
      <c r="BV100" s="10" t="s">
        <v>82</v>
      </c>
      <c r="BW100" s="10" t="s">
        <v>107</v>
      </c>
      <c r="BX100" s="10" t="s">
        <v>88</v>
      </c>
      <c r="CL100" s="10"/>
    </row>
    <row r="101" spans="1:90" s="32" customFormat="1" ht="16.5" customHeight="1" x14ac:dyDescent="0.2">
      <c r="B101" s="33"/>
      <c r="C101" s="70"/>
      <c r="D101" s="70"/>
      <c r="E101" s="322" t="s">
        <v>108</v>
      </c>
      <c r="F101" s="322"/>
      <c r="G101" s="322"/>
      <c r="H101" s="322"/>
      <c r="I101" s="322"/>
      <c r="J101" s="70"/>
      <c r="K101" s="322" t="s">
        <v>109</v>
      </c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4">
        <f>ROUND(SUM(AG102:AG106),2)</f>
        <v>0</v>
      </c>
      <c r="AH101" s="324"/>
      <c r="AI101" s="324"/>
      <c r="AJ101" s="324"/>
      <c r="AK101" s="324"/>
      <c r="AL101" s="324"/>
      <c r="AM101" s="324"/>
      <c r="AN101" s="323">
        <f t="shared" si="0"/>
        <v>0</v>
      </c>
      <c r="AO101" s="323"/>
      <c r="AP101" s="323"/>
      <c r="AQ101" s="71" t="s">
        <v>94</v>
      </c>
      <c r="AR101" s="33"/>
      <c r="AS101" s="72">
        <f>ROUND(SUM(AS102:AS106),2)</f>
        <v>0</v>
      </c>
      <c r="AT101" s="73">
        <f t="shared" si="1"/>
        <v>0</v>
      </c>
      <c r="AU101" s="74">
        <f>ROUND(SUM(AU102:AU106),5)</f>
        <v>0</v>
      </c>
      <c r="AV101" s="73">
        <f>ROUND(AZ101*L29,2)</f>
        <v>0</v>
      </c>
      <c r="AW101" s="73">
        <f>ROUND(BA101*L30,2)</f>
        <v>0</v>
      </c>
      <c r="AX101" s="73">
        <f>ROUND(BB101*L29,2)</f>
        <v>0</v>
      </c>
      <c r="AY101" s="73">
        <f>ROUND(BC101*L30,2)</f>
        <v>0</v>
      </c>
      <c r="AZ101" s="73">
        <f>ROUND(SUM(AZ102:AZ106),2)</f>
        <v>0</v>
      </c>
      <c r="BA101" s="73">
        <f>ROUND(SUM(BA102:BA106),2)</f>
        <v>0</v>
      </c>
      <c r="BB101" s="73">
        <f>ROUND(SUM(BB102:BB106),2)</f>
        <v>0</v>
      </c>
      <c r="BC101" s="73">
        <f>ROUND(SUM(BC102:BC106),2)</f>
        <v>0</v>
      </c>
      <c r="BD101" s="75">
        <f>ROUND(SUM(BD102:BD106),2)</f>
        <v>0</v>
      </c>
      <c r="BS101" s="10" t="s">
        <v>79</v>
      </c>
      <c r="BT101" s="10" t="s">
        <v>90</v>
      </c>
      <c r="BU101" s="10" t="s">
        <v>81</v>
      </c>
      <c r="BV101" s="10" t="s">
        <v>82</v>
      </c>
      <c r="BW101" s="10" t="s">
        <v>110</v>
      </c>
      <c r="BX101" s="10" t="s">
        <v>88</v>
      </c>
      <c r="CL101" s="10"/>
    </row>
    <row r="102" spans="1:90" s="32" customFormat="1" ht="16.5" customHeight="1" x14ac:dyDescent="0.2">
      <c r="A102" s="278" t="s">
        <v>91</v>
      </c>
      <c r="B102" s="33"/>
      <c r="C102" s="70"/>
      <c r="D102" s="70"/>
      <c r="E102" s="70"/>
      <c r="F102" s="322" t="s">
        <v>111</v>
      </c>
      <c r="G102" s="322"/>
      <c r="H102" s="322"/>
      <c r="I102" s="322"/>
      <c r="J102" s="322"/>
      <c r="K102" s="70"/>
      <c r="L102" s="322" t="s">
        <v>112</v>
      </c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3">
        <f>'01_-_Klempířské_prvky'!J34</f>
        <v>0</v>
      </c>
      <c r="AH102" s="323"/>
      <c r="AI102" s="323"/>
      <c r="AJ102" s="323"/>
      <c r="AK102" s="323"/>
      <c r="AL102" s="323"/>
      <c r="AM102" s="323"/>
      <c r="AN102" s="323">
        <f t="shared" si="0"/>
        <v>0</v>
      </c>
      <c r="AO102" s="323"/>
      <c r="AP102" s="323"/>
      <c r="AQ102" s="71" t="s">
        <v>94</v>
      </c>
      <c r="AR102" s="33"/>
      <c r="AS102" s="72">
        <v>0</v>
      </c>
      <c r="AT102" s="73">
        <f t="shared" si="1"/>
        <v>0</v>
      </c>
      <c r="AU102" s="74">
        <f>'01_-_Klempířské_prvky'!P139</f>
        <v>0</v>
      </c>
      <c r="AV102" s="73">
        <f>'01_-_Klempířské_prvky'!J37</f>
        <v>0</v>
      </c>
      <c r="AW102" s="73">
        <f>'01_-_Klempířské_prvky'!J38</f>
        <v>0</v>
      </c>
      <c r="AX102" s="73">
        <f>'01_-_Klempířské_prvky'!J39</f>
        <v>0</v>
      </c>
      <c r="AY102" s="73">
        <f>'01_-_Klempířské_prvky'!J40</f>
        <v>0</v>
      </c>
      <c r="AZ102" s="73">
        <f>'01_-_Klempířské_prvky'!F37</f>
        <v>0</v>
      </c>
      <c r="BA102" s="73">
        <f>'01_-_Klempířské_prvky'!F38</f>
        <v>0</v>
      </c>
      <c r="BB102" s="73">
        <f>'01_-_Klempířské_prvky'!F39</f>
        <v>0</v>
      </c>
      <c r="BC102" s="73">
        <f>'01_-_Klempířské_prvky'!F40</f>
        <v>0</v>
      </c>
      <c r="BD102" s="75">
        <f>'01_-_Klempířské_prvky'!F41</f>
        <v>0</v>
      </c>
      <c r="BT102" s="10" t="s">
        <v>113</v>
      </c>
      <c r="BV102" s="10" t="s">
        <v>82</v>
      </c>
      <c r="BW102" s="10" t="s">
        <v>114</v>
      </c>
      <c r="BX102" s="10" t="s">
        <v>110</v>
      </c>
      <c r="CL102" s="10"/>
    </row>
    <row r="103" spans="1:90" s="32" customFormat="1" ht="16.5" customHeight="1" x14ac:dyDescent="0.2">
      <c r="A103" s="278" t="s">
        <v>91</v>
      </c>
      <c r="B103" s="33"/>
      <c r="C103" s="70"/>
      <c r="D103" s="70"/>
      <c r="E103" s="70"/>
      <c r="F103" s="322" t="s">
        <v>115</v>
      </c>
      <c r="G103" s="322"/>
      <c r="H103" s="322"/>
      <c r="I103" s="322"/>
      <c r="J103" s="322"/>
      <c r="K103" s="70"/>
      <c r="L103" s="322" t="s">
        <v>116</v>
      </c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3">
        <f>'02_-_Ostatní_výrobky'!J34</f>
        <v>0</v>
      </c>
      <c r="AH103" s="323"/>
      <c r="AI103" s="323"/>
      <c r="AJ103" s="323"/>
      <c r="AK103" s="323"/>
      <c r="AL103" s="323"/>
      <c r="AM103" s="323"/>
      <c r="AN103" s="323">
        <f t="shared" si="0"/>
        <v>0</v>
      </c>
      <c r="AO103" s="323"/>
      <c r="AP103" s="323"/>
      <c r="AQ103" s="71" t="s">
        <v>94</v>
      </c>
      <c r="AR103" s="33"/>
      <c r="AS103" s="72">
        <v>0</v>
      </c>
      <c r="AT103" s="73">
        <f t="shared" si="1"/>
        <v>0</v>
      </c>
      <c r="AU103" s="74">
        <f>'02_-_Ostatní_výrobky'!P139</f>
        <v>0</v>
      </c>
      <c r="AV103" s="73">
        <f>'02_-_Ostatní_výrobky'!J37</f>
        <v>0</v>
      </c>
      <c r="AW103" s="73">
        <f>'02_-_Ostatní_výrobky'!J38</f>
        <v>0</v>
      </c>
      <c r="AX103" s="73">
        <f>'02_-_Ostatní_výrobky'!J39</f>
        <v>0</v>
      </c>
      <c r="AY103" s="73">
        <f>'02_-_Ostatní_výrobky'!J40</f>
        <v>0</v>
      </c>
      <c r="AZ103" s="73">
        <f>'02_-_Ostatní_výrobky'!F37</f>
        <v>0</v>
      </c>
      <c r="BA103" s="73">
        <f>'02_-_Ostatní_výrobky'!F38</f>
        <v>0</v>
      </c>
      <c r="BB103" s="73">
        <f>'02_-_Ostatní_výrobky'!F39</f>
        <v>0</v>
      </c>
      <c r="BC103" s="73">
        <f>'02_-_Ostatní_výrobky'!F40</f>
        <v>0</v>
      </c>
      <c r="BD103" s="75">
        <f>'02_-_Ostatní_výrobky'!F41</f>
        <v>0</v>
      </c>
      <c r="BT103" s="10" t="s">
        <v>113</v>
      </c>
      <c r="BV103" s="10" t="s">
        <v>82</v>
      </c>
      <c r="BW103" s="10" t="s">
        <v>117</v>
      </c>
      <c r="BX103" s="10" t="s">
        <v>110</v>
      </c>
      <c r="CL103" s="10"/>
    </row>
    <row r="104" spans="1:90" s="32" customFormat="1" ht="16.5" customHeight="1" x14ac:dyDescent="0.2">
      <c r="A104" s="278" t="s">
        <v>91</v>
      </c>
      <c r="B104" s="33"/>
      <c r="C104" s="70"/>
      <c r="D104" s="70"/>
      <c r="E104" s="70"/>
      <c r="F104" s="322" t="s">
        <v>118</v>
      </c>
      <c r="G104" s="322"/>
      <c r="H104" s="322"/>
      <c r="I104" s="322"/>
      <c r="J104" s="322"/>
      <c r="K104" s="70"/>
      <c r="L104" s="322" t="s">
        <v>119</v>
      </c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3">
        <f>'03_-_Dveře'!J34</f>
        <v>0</v>
      </c>
      <c r="AH104" s="323"/>
      <c r="AI104" s="323"/>
      <c r="AJ104" s="323"/>
      <c r="AK104" s="323"/>
      <c r="AL104" s="323"/>
      <c r="AM104" s="323"/>
      <c r="AN104" s="323">
        <f t="shared" si="0"/>
        <v>0</v>
      </c>
      <c r="AO104" s="323"/>
      <c r="AP104" s="323"/>
      <c r="AQ104" s="71" t="s">
        <v>94</v>
      </c>
      <c r="AR104" s="33"/>
      <c r="AS104" s="72">
        <v>0</v>
      </c>
      <c r="AT104" s="73">
        <f t="shared" si="1"/>
        <v>0</v>
      </c>
      <c r="AU104" s="74">
        <f>'03_-_Dveře'!P139</f>
        <v>0</v>
      </c>
      <c r="AV104" s="73">
        <f>'03_-_Dveře'!J37</f>
        <v>0</v>
      </c>
      <c r="AW104" s="73">
        <f>'03_-_Dveře'!J38</f>
        <v>0</v>
      </c>
      <c r="AX104" s="73">
        <f>'03_-_Dveře'!J39</f>
        <v>0</v>
      </c>
      <c r="AY104" s="73">
        <f>'03_-_Dveře'!J40</f>
        <v>0</v>
      </c>
      <c r="AZ104" s="73">
        <f>'03_-_Dveře'!F37</f>
        <v>0</v>
      </c>
      <c r="BA104" s="73">
        <f>'03_-_Dveře'!F38</f>
        <v>0</v>
      </c>
      <c r="BB104" s="73">
        <f>'03_-_Dveře'!F39</f>
        <v>0</v>
      </c>
      <c r="BC104" s="73">
        <f>'03_-_Dveře'!F40</f>
        <v>0</v>
      </c>
      <c r="BD104" s="75">
        <f>'03_-_Dveře'!F41</f>
        <v>0</v>
      </c>
      <c r="BT104" s="10" t="s">
        <v>113</v>
      </c>
      <c r="BV104" s="10" t="s">
        <v>82</v>
      </c>
      <c r="BW104" s="10" t="s">
        <v>120</v>
      </c>
      <c r="BX104" s="10" t="s">
        <v>110</v>
      </c>
      <c r="CL104" s="10"/>
    </row>
    <row r="105" spans="1:90" s="32" customFormat="1" ht="23.25" customHeight="1" x14ac:dyDescent="0.2">
      <c r="A105" s="278" t="s">
        <v>91</v>
      </c>
      <c r="B105" s="33"/>
      <c r="C105" s="70"/>
      <c r="D105" s="70"/>
      <c r="E105" s="70"/>
      <c r="F105" s="322" t="s">
        <v>121</v>
      </c>
      <c r="G105" s="322"/>
      <c r="H105" s="322"/>
      <c r="I105" s="322"/>
      <c r="J105" s="322"/>
      <c r="K105" s="70"/>
      <c r="L105" s="322" t="s">
        <v>122</v>
      </c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3">
        <f>'04_-_Prosklené_fasády,_ok___'!J34</f>
        <v>0</v>
      </c>
      <c r="AH105" s="323"/>
      <c r="AI105" s="323"/>
      <c r="AJ105" s="323"/>
      <c r="AK105" s="323"/>
      <c r="AL105" s="323"/>
      <c r="AM105" s="323"/>
      <c r="AN105" s="323">
        <f t="shared" si="0"/>
        <v>0</v>
      </c>
      <c r="AO105" s="323"/>
      <c r="AP105" s="323"/>
      <c r="AQ105" s="71" t="s">
        <v>94</v>
      </c>
      <c r="AR105" s="33"/>
      <c r="AS105" s="72">
        <v>0</v>
      </c>
      <c r="AT105" s="73">
        <f t="shared" si="1"/>
        <v>0</v>
      </c>
      <c r="AU105" s="74">
        <f>'04_-_Prosklené_fasády,_ok___'!P139</f>
        <v>0</v>
      </c>
      <c r="AV105" s="73">
        <f>'04_-_Prosklené_fasády,_ok___'!J37</f>
        <v>0</v>
      </c>
      <c r="AW105" s="73">
        <f>'04_-_Prosklené_fasády,_ok___'!J38</f>
        <v>0</v>
      </c>
      <c r="AX105" s="73">
        <f>'04_-_Prosklené_fasády,_ok___'!J39</f>
        <v>0</v>
      </c>
      <c r="AY105" s="73">
        <f>'04_-_Prosklené_fasády,_ok___'!J40</f>
        <v>0</v>
      </c>
      <c r="AZ105" s="73">
        <f>'04_-_Prosklené_fasády,_ok___'!F37</f>
        <v>0</v>
      </c>
      <c r="BA105" s="73">
        <f>'04_-_Prosklené_fasády,_ok___'!F38</f>
        <v>0</v>
      </c>
      <c r="BB105" s="73">
        <f>'04_-_Prosklené_fasády,_ok___'!F39</f>
        <v>0</v>
      </c>
      <c r="BC105" s="73">
        <f>'04_-_Prosklené_fasády,_ok___'!F40</f>
        <v>0</v>
      </c>
      <c r="BD105" s="75">
        <f>'04_-_Prosklené_fasády,_ok___'!F41</f>
        <v>0</v>
      </c>
      <c r="BT105" s="10" t="s">
        <v>113</v>
      </c>
      <c r="BV105" s="10" t="s">
        <v>82</v>
      </c>
      <c r="BW105" s="10" t="s">
        <v>123</v>
      </c>
      <c r="BX105" s="10" t="s">
        <v>110</v>
      </c>
      <c r="CL105" s="10"/>
    </row>
    <row r="106" spans="1:90" s="32" customFormat="1" ht="16.5" customHeight="1" x14ac:dyDescent="0.2">
      <c r="A106" s="278" t="s">
        <v>91</v>
      </c>
      <c r="B106" s="33"/>
      <c r="C106" s="70"/>
      <c r="D106" s="70"/>
      <c r="E106" s="70"/>
      <c r="F106" s="322" t="s">
        <v>124</v>
      </c>
      <c r="G106" s="322"/>
      <c r="H106" s="322"/>
      <c r="I106" s="322"/>
      <c r="J106" s="322"/>
      <c r="K106" s="70"/>
      <c r="L106" s="322" t="s">
        <v>125</v>
      </c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3">
        <f>'05_-_Zámečnické_prvky'!J34</f>
        <v>0</v>
      </c>
      <c r="AH106" s="323"/>
      <c r="AI106" s="323"/>
      <c r="AJ106" s="323"/>
      <c r="AK106" s="323"/>
      <c r="AL106" s="323"/>
      <c r="AM106" s="323"/>
      <c r="AN106" s="323">
        <f t="shared" si="0"/>
        <v>0</v>
      </c>
      <c r="AO106" s="323"/>
      <c r="AP106" s="323"/>
      <c r="AQ106" s="71" t="s">
        <v>94</v>
      </c>
      <c r="AR106" s="33"/>
      <c r="AS106" s="72">
        <v>0</v>
      </c>
      <c r="AT106" s="73">
        <f t="shared" si="1"/>
        <v>0</v>
      </c>
      <c r="AU106" s="74">
        <f>'05_-_Zámečnické_prvky'!P139</f>
        <v>0</v>
      </c>
      <c r="AV106" s="73">
        <f>'05_-_Zámečnické_prvky'!J37</f>
        <v>0</v>
      </c>
      <c r="AW106" s="73">
        <f>'05_-_Zámečnické_prvky'!J38</f>
        <v>0</v>
      </c>
      <c r="AX106" s="73">
        <f>'05_-_Zámečnické_prvky'!J39</f>
        <v>0</v>
      </c>
      <c r="AY106" s="73">
        <f>'05_-_Zámečnické_prvky'!J40</f>
        <v>0</v>
      </c>
      <c r="AZ106" s="73">
        <f>'05_-_Zámečnické_prvky'!F37</f>
        <v>0</v>
      </c>
      <c r="BA106" s="73">
        <f>'05_-_Zámečnické_prvky'!F38</f>
        <v>0</v>
      </c>
      <c r="BB106" s="73">
        <f>'05_-_Zámečnické_prvky'!F39</f>
        <v>0</v>
      </c>
      <c r="BC106" s="73">
        <f>'05_-_Zámečnické_prvky'!F40</f>
        <v>0</v>
      </c>
      <c r="BD106" s="75">
        <f>'05_-_Zámečnické_prvky'!F41</f>
        <v>0</v>
      </c>
      <c r="BT106" s="10" t="s">
        <v>113</v>
      </c>
      <c r="BV106" s="10" t="s">
        <v>82</v>
      </c>
      <c r="BW106" s="10" t="s">
        <v>126</v>
      </c>
      <c r="BX106" s="10" t="s">
        <v>110</v>
      </c>
      <c r="CL106" s="10"/>
    </row>
    <row r="107" spans="1:90" s="32" customFormat="1" ht="16.5" customHeight="1" x14ac:dyDescent="0.2">
      <c r="A107" s="278" t="s">
        <v>91</v>
      </c>
      <c r="B107" s="33"/>
      <c r="C107" s="70"/>
      <c r="D107" s="70"/>
      <c r="E107" s="322" t="s">
        <v>127</v>
      </c>
      <c r="F107" s="322"/>
      <c r="G107" s="322"/>
      <c r="H107" s="322"/>
      <c r="I107" s="322"/>
      <c r="J107" s="70"/>
      <c r="K107" s="322" t="s">
        <v>128</v>
      </c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3">
        <f>'OST_-_Ostatní_konstrukce____'!J32</f>
        <v>0</v>
      </c>
      <c r="AH107" s="323"/>
      <c r="AI107" s="323"/>
      <c r="AJ107" s="323"/>
      <c r="AK107" s="323"/>
      <c r="AL107" s="323"/>
      <c r="AM107" s="323"/>
      <c r="AN107" s="323">
        <f t="shared" si="0"/>
        <v>0</v>
      </c>
      <c r="AO107" s="323"/>
      <c r="AP107" s="323"/>
      <c r="AQ107" s="71" t="s">
        <v>94</v>
      </c>
      <c r="AR107" s="33"/>
      <c r="AS107" s="72">
        <v>0</v>
      </c>
      <c r="AT107" s="73">
        <f t="shared" si="1"/>
        <v>0</v>
      </c>
      <c r="AU107" s="74">
        <f>'OST_-_Ostatní_konstrukce____'!P138</f>
        <v>0</v>
      </c>
      <c r="AV107" s="73">
        <f>'OST_-_Ostatní_konstrukce____'!J35</f>
        <v>0</v>
      </c>
      <c r="AW107" s="73">
        <f>'OST_-_Ostatní_konstrukce____'!J36</f>
        <v>0</v>
      </c>
      <c r="AX107" s="73">
        <f>'OST_-_Ostatní_konstrukce____'!J37</f>
        <v>0</v>
      </c>
      <c r="AY107" s="73">
        <f>'OST_-_Ostatní_konstrukce____'!J38</f>
        <v>0</v>
      </c>
      <c r="AZ107" s="73">
        <f>'OST_-_Ostatní_konstrukce____'!F35</f>
        <v>0</v>
      </c>
      <c r="BA107" s="73">
        <f>'OST_-_Ostatní_konstrukce____'!F36</f>
        <v>0</v>
      </c>
      <c r="BB107" s="73">
        <f>'OST_-_Ostatní_konstrukce____'!F37</f>
        <v>0</v>
      </c>
      <c r="BC107" s="73">
        <f>'OST_-_Ostatní_konstrukce____'!F38</f>
        <v>0</v>
      </c>
      <c r="BD107" s="75">
        <f>'OST_-_Ostatní_konstrukce____'!F39</f>
        <v>0</v>
      </c>
      <c r="BT107" s="10" t="s">
        <v>90</v>
      </c>
      <c r="BV107" s="10" t="s">
        <v>82</v>
      </c>
      <c r="BW107" s="10" t="s">
        <v>129</v>
      </c>
      <c r="BX107" s="10" t="s">
        <v>88</v>
      </c>
      <c r="CL107" s="10"/>
    </row>
    <row r="108" spans="1:90" s="32" customFormat="1" ht="16.5" customHeight="1" x14ac:dyDescent="0.2">
      <c r="A108" s="278" t="s">
        <v>91</v>
      </c>
      <c r="B108" s="33"/>
      <c r="C108" s="70"/>
      <c r="D108" s="70"/>
      <c r="E108" s="322" t="s">
        <v>130</v>
      </c>
      <c r="F108" s="322"/>
      <c r="G108" s="322"/>
      <c r="H108" s="322"/>
      <c r="I108" s="322"/>
      <c r="J108" s="70"/>
      <c r="K108" s="322" t="s">
        <v>131</v>
      </c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3">
        <f>'BOU_-_Bourací_a_demontážn___'!J32</f>
        <v>0</v>
      </c>
      <c r="AH108" s="323"/>
      <c r="AI108" s="323"/>
      <c r="AJ108" s="323"/>
      <c r="AK108" s="323"/>
      <c r="AL108" s="323"/>
      <c r="AM108" s="323"/>
      <c r="AN108" s="323">
        <f t="shared" si="0"/>
        <v>0</v>
      </c>
      <c r="AO108" s="323"/>
      <c r="AP108" s="323"/>
      <c r="AQ108" s="71" t="s">
        <v>94</v>
      </c>
      <c r="AR108" s="33"/>
      <c r="AS108" s="72">
        <v>0</v>
      </c>
      <c r="AT108" s="73">
        <f t="shared" si="1"/>
        <v>0</v>
      </c>
      <c r="AU108" s="74">
        <f>'BOU_-_Bourací_a_demontážn___'!P138</f>
        <v>0</v>
      </c>
      <c r="AV108" s="73">
        <f>'BOU_-_Bourací_a_demontážn___'!J35</f>
        <v>0</v>
      </c>
      <c r="AW108" s="73">
        <f>'BOU_-_Bourací_a_demontážn___'!J36</f>
        <v>0</v>
      </c>
      <c r="AX108" s="73">
        <f>'BOU_-_Bourací_a_demontážn___'!J37</f>
        <v>0</v>
      </c>
      <c r="AY108" s="73">
        <f>'BOU_-_Bourací_a_demontážn___'!J38</f>
        <v>0</v>
      </c>
      <c r="AZ108" s="73">
        <f>'BOU_-_Bourací_a_demontážn___'!F35</f>
        <v>0</v>
      </c>
      <c r="BA108" s="73">
        <f>'BOU_-_Bourací_a_demontážn___'!F36</f>
        <v>0</v>
      </c>
      <c r="BB108" s="73">
        <f>'BOU_-_Bourací_a_demontážn___'!F37</f>
        <v>0</v>
      </c>
      <c r="BC108" s="73">
        <f>'BOU_-_Bourací_a_demontážn___'!F38</f>
        <v>0</v>
      </c>
      <c r="BD108" s="75">
        <f>'BOU_-_Bourací_a_demontážn___'!F39</f>
        <v>0</v>
      </c>
      <c r="BT108" s="10" t="s">
        <v>90</v>
      </c>
      <c r="BV108" s="10" t="s">
        <v>82</v>
      </c>
      <c r="BW108" s="10" t="s">
        <v>132</v>
      </c>
      <c r="BX108" s="10" t="s">
        <v>88</v>
      </c>
      <c r="CL108" s="10"/>
    </row>
    <row r="109" spans="1:90" s="32" customFormat="1" ht="16.5" customHeight="1" x14ac:dyDescent="0.2">
      <c r="A109" s="278" t="s">
        <v>91</v>
      </c>
      <c r="B109" s="33"/>
      <c r="C109" s="70"/>
      <c r="D109" s="70"/>
      <c r="E109" s="322" t="s">
        <v>133</v>
      </c>
      <c r="F109" s="322"/>
      <c r="G109" s="322"/>
      <c r="H109" s="322"/>
      <c r="I109" s="322"/>
      <c r="J109" s="70"/>
      <c r="K109" s="322" t="s">
        <v>134</v>
      </c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3">
        <f>'ZTI_-_Zdravotní_technika'!J32</f>
        <v>0</v>
      </c>
      <c r="AH109" s="323"/>
      <c r="AI109" s="323"/>
      <c r="AJ109" s="323"/>
      <c r="AK109" s="323"/>
      <c r="AL109" s="323"/>
      <c r="AM109" s="323"/>
      <c r="AN109" s="323">
        <f t="shared" si="0"/>
        <v>0</v>
      </c>
      <c r="AO109" s="323"/>
      <c r="AP109" s="323"/>
      <c r="AQ109" s="71" t="s">
        <v>94</v>
      </c>
      <c r="AR109" s="33"/>
      <c r="AS109" s="72">
        <v>0</v>
      </c>
      <c r="AT109" s="73">
        <f t="shared" si="1"/>
        <v>0</v>
      </c>
      <c r="AU109" s="74">
        <f>'ZTI_-_Zdravotní_technika'!P138</f>
        <v>0</v>
      </c>
      <c r="AV109" s="73">
        <f>'ZTI_-_Zdravotní_technika'!J35</f>
        <v>0</v>
      </c>
      <c r="AW109" s="73">
        <f>'ZTI_-_Zdravotní_technika'!J36</f>
        <v>0</v>
      </c>
      <c r="AX109" s="73">
        <f>'ZTI_-_Zdravotní_technika'!J37</f>
        <v>0</v>
      </c>
      <c r="AY109" s="73">
        <f>'ZTI_-_Zdravotní_technika'!J38</f>
        <v>0</v>
      </c>
      <c r="AZ109" s="73">
        <f>'ZTI_-_Zdravotní_technika'!F35</f>
        <v>0</v>
      </c>
      <c r="BA109" s="73">
        <f>'ZTI_-_Zdravotní_technika'!F36</f>
        <v>0</v>
      </c>
      <c r="BB109" s="73">
        <f>'ZTI_-_Zdravotní_technika'!F37</f>
        <v>0</v>
      </c>
      <c r="BC109" s="73">
        <f>'ZTI_-_Zdravotní_technika'!F38</f>
        <v>0</v>
      </c>
      <c r="BD109" s="75">
        <f>'ZTI_-_Zdravotní_technika'!F39</f>
        <v>0</v>
      </c>
      <c r="BT109" s="10" t="s">
        <v>90</v>
      </c>
      <c r="BV109" s="10" t="s">
        <v>82</v>
      </c>
      <c r="BW109" s="10" t="s">
        <v>135</v>
      </c>
      <c r="BX109" s="10" t="s">
        <v>88</v>
      </c>
      <c r="CL109" s="10"/>
    </row>
    <row r="110" spans="1:90" s="32" customFormat="1" ht="16.5" customHeight="1" x14ac:dyDescent="0.2">
      <c r="A110" s="278" t="s">
        <v>91</v>
      </c>
      <c r="B110" s="33"/>
      <c r="C110" s="70"/>
      <c r="D110" s="70"/>
      <c r="E110" s="322" t="s">
        <v>136</v>
      </c>
      <c r="F110" s="322"/>
      <c r="G110" s="322"/>
      <c r="H110" s="322"/>
      <c r="I110" s="322"/>
      <c r="J110" s="70"/>
      <c r="K110" s="322" t="s">
        <v>137</v>
      </c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3">
        <f>'DEŠ_-_Dešťová_kanalizace'!J32</f>
        <v>0</v>
      </c>
      <c r="AH110" s="323"/>
      <c r="AI110" s="323"/>
      <c r="AJ110" s="323"/>
      <c r="AK110" s="323"/>
      <c r="AL110" s="323"/>
      <c r="AM110" s="323"/>
      <c r="AN110" s="323">
        <f t="shared" si="0"/>
        <v>0</v>
      </c>
      <c r="AO110" s="323"/>
      <c r="AP110" s="323"/>
      <c r="AQ110" s="71" t="s">
        <v>94</v>
      </c>
      <c r="AR110" s="33"/>
      <c r="AS110" s="72">
        <v>0</v>
      </c>
      <c r="AT110" s="73">
        <f t="shared" si="1"/>
        <v>0</v>
      </c>
      <c r="AU110" s="74">
        <f>'DEŠ_-_Dešťová_kanalizace'!P138</f>
        <v>0</v>
      </c>
      <c r="AV110" s="73">
        <f>'DEŠ_-_Dešťová_kanalizace'!J35</f>
        <v>0</v>
      </c>
      <c r="AW110" s="73">
        <f>'DEŠ_-_Dešťová_kanalizace'!J36</f>
        <v>0</v>
      </c>
      <c r="AX110" s="73">
        <f>'DEŠ_-_Dešťová_kanalizace'!J37</f>
        <v>0</v>
      </c>
      <c r="AY110" s="73">
        <f>'DEŠ_-_Dešťová_kanalizace'!J38</f>
        <v>0</v>
      </c>
      <c r="AZ110" s="73">
        <f>'DEŠ_-_Dešťová_kanalizace'!F35</f>
        <v>0</v>
      </c>
      <c r="BA110" s="73">
        <f>'DEŠ_-_Dešťová_kanalizace'!F36</f>
        <v>0</v>
      </c>
      <c r="BB110" s="73">
        <f>'DEŠ_-_Dešťová_kanalizace'!F37</f>
        <v>0</v>
      </c>
      <c r="BC110" s="73">
        <f>'DEŠ_-_Dešťová_kanalizace'!F38</f>
        <v>0</v>
      </c>
      <c r="BD110" s="75">
        <f>'DEŠ_-_Dešťová_kanalizace'!F39</f>
        <v>0</v>
      </c>
      <c r="BT110" s="10" t="s">
        <v>90</v>
      </c>
      <c r="BV110" s="10" t="s">
        <v>82</v>
      </c>
      <c r="BW110" s="10" t="s">
        <v>138</v>
      </c>
      <c r="BX110" s="10" t="s">
        <v>88</v>
      </c>
      <c r="CL110" s="10" t="s">
        <v>139</v>
      </c>
    </row>
    <row r="111" spans="1:90" s="32" customFormat="1" ht="16.5" customHeight="1" x14ac:dyDescent="0.2">
      <c r="A111" s="278" t="s">
        <v>91</v>
      </c>
      <c r="B111" s="33"/>
      <c r="C111" s="70"/>
      <c r="D111" s="70"/>
      <c r="E111" s="322" t="s">
        <v>140</v>
      </c>
      <c r="F111" s="322"/>
      <c r="G111" s="322"/>
      <c r="H111" s="322"/>
      <c r="I111" s="322"/>
      <c r="J111" s="70"/>
      <c r="K111" s="322" t="s">
        <v>141</v>
      </c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3">
        <f>'VYT_-_Vytápění'!J32</f>
        <v>0</v>
      </c>
      <c r="AH111" s="323"/>
      <c r="AI111" s="323"/>
      <c r="AJ111" s="323"/>
      <c r="AK111" s="323"/>
      <c r="AL111" s="323"/>
      <c r="AM111" s="323"/>
      <c r="AN111" s="323">
        <f t="shared" si="0"/>
        <v>0</v>
      </c>
      <c r="AO111" s="323"/>
      <c r="AP111" s="323"/>
      <c r="AQ111" s="71" t="s">
        <v>94</v>
      </c>
      <c r="AR111" s="33"/>
      <c r="AS111" s="72">
        <v>0</v>
      </c>
      <c r="AT111" s="73">
        <f t="shared" si="1"/>
        <v>0</v>
      </c>
      <c r="AU111" s="74">
        <f>'VYT_-_Vytápění'!P138</f>
        <v>0</v>
      </c>
      <c r="AV111" s="73">
        <f>'VYT_-_Vytápění'!J35</f>
        <v>0</v>
      </c>
      <c r="AW111" s="73">
        <f>'VYT_-_Vytápění'!J36</f>
        <v>0</v>
      </c>
      <c r="AX111" s="73">
        <f>'VYT_-_Vytápění'!J37</f>
        <v>0</v>
      </c>
      <c r="AY111" s="73">
        <f>'VYT_-_Vytápění'!J38</f>
        <v>0</v>
      </c>
      <c r="AZ111" s="73">
        <f>'VYT_-_Vytápění'!F35</f>
        <v>0</v>
      </c>
      <c r="BA111" s="73">
        <f>'VYT_-_Vytápění'!F36</f>
        <v>0</v>
      </c>
      <c r="BB111" s="73">
        <f>'VYT_-_Vytápění'!F37</f>
        <v>0</v>
      </c>
      <c r="BC111" s="73">
        <f>'VYT_-_Vytápění'!F38</f>
        <v>0</v>
      </c>
      <c r="BD111" s="75">
        <f>'VYT_-_Vytápění'!F39</f>
        <v>0</v>
      </c>
      <c r="BT111" s="10" t="s">
        <v>90</v>
      </c>
      <c r="BV111" s="10" t="s">
        <v>82</v>
      </c>
      <c r="BW111" s="10" t="s">
        <v>142</v>
      </c>
      <c r="BX111" s="10" t="s">
        <v>88</v>
      </c>
      <c r="CL111" s="10"/>
    </row>
    <row r="112" spans="1:90" s="32" customFormat="1" ht="16.5" customHeight="1" x14ac:dyDescent="0.2">
      <c r="A112" s="278" t="s">
        <v>91</v>
      </c>
      <c r="B112" s="33"/>
      <c r="C112" s="70"/>
      <c r="D112" s="70"/>
      <c r="E112" s="322" t="s">
        <v>143</v>
      </c>
      <c r="F112" s="322"/>
      <c r="G112" s="322"/>
      <c r="H112" s="322"/>
      <c r="I112" s="322"/>
      <c r="J112" s="70"/>
      <c r="K112" s="322" t="s">
        <v>144</v>
      </c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3">
        <f>'CHL_-_Chlazení'!J32</f>
        <v>0</v>
      </c>
      <c r="AH112" s="323"/>
      <c r="AI112" s="323"/>
      <c r="AJ112" s="323"/>
      <c r="AK112" s="323"/>
      <c r="AL112" s="323"/>
      <c r="AM112" s="323"/>
      <c r="AN112" s="323">
        <f t="shared" si="0"/>
        <v>0</v>
      </c>
      <c r="AO112" s="323"/>
      <c r="AP112" s="323"/>
      <c r="AQ112" s="71" t="s">
        <v>94</v>
      </c>
      <c r="AR112" s="33"/>
      <c r="AS112" s="72">
        <v>0</v>
      </c>
      <c r="AT112" s="73">
        <f t="shared" si="1"/>
        <v>0</v>
      </c>
      <c r="AU112" s="74">
        <f>'CHL_-_Chlazení'!P138</f>
        <v>0</v>
      </c>
      <c r="AV112" s="73">
        <f>'CHL_-_Chlazení'!J35</f>
        <v>0</v>
      </c>
      <c r="AW112" s="73">
        <f>'CHL_-_Chlazení'!J36</f>
        <v>0</v>
      </c>
      <c r="AX112" s="73">
        <f>'CHL_-_Chlazení'!J37</f>
        <v>0</v>
      </c>
      <c r="AY112" s="73">
        <f>'CHL_-_Chlazení'!J38</f>
        <v>0</v>
      </c>
      <c r="AZ112" s="73">
        <f>'CHL_-_Chlazení'!F35</f>
        <v>0</v>
      </c>
      <c r="BA112" s="73">
        <f>'CHL_-_Chlazení'!F36</f>
        <v>0</v>
      </c>
      <c r="BB112" s="73">
        <f>'CHL_-_Chlazení'!F37</f>
        <v>0</v>
      </c>
      <c r="BC112" s="73">
        <f>'CHL_-_Chlazení'!F38</f>
        <v>0</v>
      </c>
      <c r="BD112" s="75">
        <f>'CHL_-_Chlazení'!F39</f>
        <v>0</v>
      </c>
      <c r="BT112" s="10" t="s">
        <v>90</v>
      </c>
      <c r="BV112" s="10" t="s">
        <v>82</v>
      </c>
      <c r="BW112" s="10" t="s">
        <v>145</v>
      </c>
      <c r="BX112" s="10" t="s">
        <v>88</v>
      </c>
      <c r="CL112" s="10"/>
    </row>
    <row r="113" spans="1:91" s="32" customFormat="1" ht="16.5" customHeight="1" x14ac:dyDescent="0.2">
      <c r="A113" s="279"/>
      <c r="B113" s="33"/>
      <c r="C113" s="70"/>
      <c r="D113" s="70"/>
      <c r="E113" s="322" t="s">
        <v>146</v>
      </c>
      <c r="F113" s="322"/>
      <c r="G113" s="322"/>
      <c r="H113" s="322"/>
      <c r="I113" s="322"/>
      <c r="J113" s="70"/>
      <c r="K113" s="322" t="s">
        <v>147</v>
      </c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4">
        <f>ROUND(SUM(AG114:AG118),2)</f>
        <v>0</v>
      </c>
      <c r="AH113" s="324"/>
      <c r="AI113" s="324"/>
      <c r="AJ113" s="324"/>
      <c r="AK113" s="324"/>
      <c r="AL113" s="324"/>
      <c r="AM113" s="324"/>
      <c r="AN113" s="323">
        <f t="shared" si="0"/>
        <v>0</v>
      </c>
      <c r="AO113" s="323"/>
      <c r="AP113" s="323"/>
      <c r="AQ113" s="71" t="s">
        <v>94</v>
      </c>
      <c r="AR113" s="33"/>
      <c r="AS113" s="72">
        <f>ROUND(SUM(AS114:AS118),2)</f>
        <v>0</v>
      </c>
      <c r="AT113" s="73">
        <f t="shared" si="1"/>
        <v>0</v>
      </c>
      <c r="AU113" s="74">
        <f>ROUND(SUM(AU114:AU118),5)</f>
        <v>0</v>
      </c>
      <c r="AV113" s="73">
        <f>ROUND(AZ113*L29,2)</f>
        <v>0</v>
      </c>
      <c r="AW113" s="73">
        <f>ROUND(BA113*L30,2)</f>
        <v>0</v>
      </c>
      <c r="AX113" s="73">
        <f>ROUND(BB113*L29,2)</f>
        <v>0</v>
      </c>
      <c r="AY113" s="73">
        <f>ROUND(BC113*L30,2)</f>
        <v>0</v>
      </c>
      <c r="AZ113" s="73">
        <f>ROUND(SUM(AZ114:AZ118),2)</f>
        <v>0</v>
      </c>
      <c r="BA113" s="73">
        <f>ROUND(SUM(BA114:BA118),2)</f>
        <v>0</v>
      </c>
      <c r="BB113" s="73">
        <f>ROUND(SUM(BB114:BB118),2)</f>
        <v>0</v>
      </c>
      <c r="BC113" s="73">
        <f>ROUND(SUM(BC114:BC118),2)</f>
        <v>0</v>
      </c>
      <c r="BD113" s="75">
        <f>ROUND(SUM(BD114:BD118),2)</f>
        <v>0</v>
      </c>
      <c r="BS113" s="10" t="s">
        <v>79</v>
      </c>
      <c r="BT113" s="10" t="s">
        <v>90</v>
      </c>
      <c r="BU113" s="10" t="s">
        <v>81</v>
      </c>
      <c r="BV113" s="10" t="s">
        <v>82</v>
      </c>
      <c r="BW113" s="10" t="s">
        <v>148</v>
      </c>
      <c r="BX113" s="10" t="s">
        <v>88</v>
      </c>
      <c r="CL113" s="10"/>
    </row>
    <row r="114" spans="1:91" s="32" customFormat="1" ht="16.5" customHeight="1" x14ac:dyDescent="0.2">
      <c r="A114" s="278" t="s">
        <v>91</v>
      </c>
      <c r="B114" s="33"/>
      <c r="C114" s="70"/>
      <c r="D114" s="70"/>
      <c r="E114" s="70"/>
      <c r="F114" s="322" t="s">
        <v>149</v>
      </c>
      <c r="G114" s="322"/>
      <c r="H114" s="322"/>
      <c r="I114" s="322"/>
      <c r="J114" s="322"/>
      <c r="K114" s="70"/>
      <c r="L114" s="322" t="s">
        <v>150</v>
      </c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3">
        <f>'SIL_-_Silnoproud_a_hromosvod'!J34</f>
        <v>0</v>
      </c>
      <c r="AH114" s="323"/>
      <c r="AI114" s="323"/>
      <c r="AJ114" s="323"/>
      <c r="AK114" s="323"/>
      <c r="AL114" s="323"/>
      <c r="AM114" s="323"/>
      <c r="AN114" s="323">
        <f t="shared" si="0"/>
        <v>0</v>
      </c>
      <c r="AO114" s="323"/>
      <c r="AP114" s="323"/>
      <c r="AQ114" s="71" t="s">
        <v>94</v>
      </c>
      <c r="AR114" s="33"/>
      <c r="AS114" s="72">
        <v>0</v>
      </c>
      <c r="AT114" s="73">
        <f t="shared" si="1"/>
        <v>0</v>
      </c>
      <c r="AU114" s="74">
        <f>'SIL_-_Silnoproud_a_hromosvod'!P139</f>
        <v>0</v>
      </c>
      <c r="AV114" s="73">
        <f>'SIL_-_Silnoproud_a_hromosvod'!J37</f>
        <v>0</v>
      </c>
      <c r="AW114" s="73">
        <f>'SIL_-_Silnoproud_a_hromosvod'!J38</f>
        <v>0</v>
      </c>
      <c r="AX114" s="73">
        <f>'SIL_-_Silnoproud_a_hromosvod'!J39</f>
        <v>0</v>
      </c>
      <c r="AY114" s="73">
        <f>'SIL_-_Silnoproud_a_hromosvod'!J40</f>
        <v>0</v>
      </c>
      <c r="AZ114" s="73">
        <f>'SIL_-_Silnoproud_a_hromosvod'!F37</f>
        <v>0</v>
      </c>
      <c r="BA114" s="73">
        <f>'SIL_-_Silnoproud_a_hromosvod'!F38</f>
        <v>0</v>
      </c>
      <c r="BB114" s="73">
        <f>'SIL_-_Silnoproud_a_hromosvod'!F39</f>
        <v>0</v>
      </c>
      <c r="BC114" s="73">
        <f>'SIL_-_Silnoproud_a_hromosvod'!F40</f>
        <v>0</v>
      </c>
      <c r="BD114" s="75">
        <f>'SIL_-_Silnoproud_a_hromosvod'!F41</f>
        <v>0</v>
      </c>
      <c r="BT114" s="10" t="s">
        <v>113</v>
      </c>
      <c r="BV114" s="10" t="s">
        <v>82</v>
      </c>
      <c r="BW114" s="10" t="s">
        <v>151</v>
      </c>
      <c r="BX114" s="10" t="s">
        <v>148</v>
      </c>
      <c r="CL114" s="10"/>
    </row>
    <row r="115" spans="1:91" s="32" customFormat="1" ht="16.5" customHeight="1" x14ac:dyDescent="0.2">
      <c r="A115" s="278" t="s">
        <v>91</v>
      </c>
      <c r="B115" s="33"/>
      <c r="C115" s="70"/>
      <c r="D115" s="70"/>
      <c r="E115" s="70"/>
      <c r="F115" s="322" t="s">
        <v>152</v>
      </c>
      <c r="G115" s="322"/>
      <c r="H115" s="322"/>
      <c r="I115" s="322"/>
      <c r="J115" s="322"/>
      <c r="K115" s="70"/>
      <c r="L115" s="322" t="s">
        <v>153</v>
      </c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3">
        <f>'SLA_-_Slaboproud'!J34</f>
        <v>0</v>
      </c>
      <c r="AH115" s="323"/>
      <c r="AI115" s="323"/>
      <c r="AJ115" s="323"/>
      <c r="AK115" s="323"/>
      <c r="AL115" s="323"/>
      <c r="AM115" s="323"/>
      <c r="AN115" s="323">
        <f t="shared" si="0"/>
        <v>0</v>
      </c>
      <c r="AO115" s="323"/>
      <c r="AP115" s="323"/>
      <c r="AQ115" s="71" t="s">
        <v>94</v>
      </c>
      <c r="AR115" s="33"/>
      <c r="AS115" s="72">
        <v>0</v>
      </c>
      <c r="AT115" s="73">
        <f t="shared" si="1"/>
        <v>0</v>
      </c>
      <c r="AU115" s="74">
        <f>'SLA_-_Slaboproud'!P139</f>
        <v>0</v>
      </c>
      <c r="AV115" s="73">
        <f>'SLA_-_Slaboproud'!J37</f>
        <v>0</v>
      </c>
      <c r="AW115" s="73">
        <f>'SLA_-_Slaboproud'!J38</f>
        <v>0</v>
      </c>
      <c r="AX115" s="73">
        <f>'SLA_-_Slaboproud'!J39</f>
        <v>0</v>
      </c>
      <c r="AY115" s="73">
        <f>'SLA_-_Slaboproud'!J40</f>
        <v>0</v>
      </c>
      <c r="AZ115" s="73">
        <f>'SLA_-_Slaboproud'!F37</f>
        <v>0</v>
      </c>
      <c r="BA115" s="73">
        <f>'SLA_-_Slaboproud'!F38</f>
        <v>0</v>
      </c>
      <c r="BB115" s="73">
        <f>'SLA_-_Slaboproud'!F39</f>
        <v>0</v>
      </c>
      <c r="BC115" s="73">
        <f>'SLA_-_Slaboproud'!F40</f>
        <v>0</v>
      </c>
      <c r="BD115" s="75">
        <f>'SLA_-_Slaboproud'!F41</f>
        <v>0</v>
      </c>
      <c r="BT115" s="10" t="s">
        <v>113</v>
      </c>
      <c r="BV115" s="10" t="s">
        <v>82</v>
      </c>
      <c r="BW115" s="10" t="s">
        <v>154</v>
      </c>
      <c r="BX115" s="10" t="s">
        <v>148</v>
      </c>
      <c r="CL115" s="10"/>
    </row>
    <row r="116" spans="1:91" s="32" customFormat="1" ht="16.5" customHeight="1" x14ac:dyDescent="0.2">
      <c r="A116" s="278" t="s">
        <v>91</v>
      </c>
      <c r="B116" s="33"/>
      <c r="C116" s="70"/>
      <c r="D116" s="70"/>
      <c r="E116" s="70"/>
      <c r="F116" s="322" t="s">
        <v>155</v>
      </c>
      <c r="G116" s="322"/>
      <c r="H116" s="322"/>
      <c r="I116" s="322"/>
      <c r="J116" s="322"/>
      <c r="K116" s="70"/>
      <c r="L116" s="322" t="s">
        <v>156</v>
      </c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3">
        <f>'FVE_-_FVE_systém_-_LFP'!J34</f>
        <v>0</v>
      </c>
      <c r="AH116" s="323"/>
      <c r="AI116" s="323"/>
      <c r="AJ116" s="323"/>
      <c r="AK116" s="323"/>
      <c r="AL116" s="323"/>
      <c r="AM116" s="323"/>
      <c r="AN116" s="323">
        <f t="shared" si="0"/>
        <v>0</v>
      </c>
      <c r="AO116" s="323"/>
      <c r="AP116" s="323"/>
      <c r="AQ116" s="71" t="s">
        <v>94</v>
      </c>
      <c r="AR116" s="33"/>
      <c r="AS116" s="72">
        <v>0</v>
      </c>
      <c r="AT116" s="73">
        <f t="shared" si="1"/>
        <v>0</v>
      </c>
      <c r="AU116" s="74">
        <f>'FVE_-_FVE_systém_-_LFP'!P139</f>
        <v>0</v>
      </c>
      <c r="AV116" s="73">
        <f>'FVE_-_FVE_systém_-_LFP'!J37</f>
        <v>0</v>
      </c>
      <c r="AW116" s="73">
        <f>'FVE_-_FVE_systém_-_LFP'!J38</f>
        <v>0</v>
      </c>
      <c r="AX116" s="73">
        <f>'FVE_-_FVE_systém_-_LFP'!J39</f>
        <v>0</v>
      </c>
      <c r="AY116" s="73">
        <f>'FVE_-_FVE_systém_-_LFP'!J40</f>
        <v>0</v>
      </c>
      <c r="AZ116" s="73">
        <f>'FVE_-_FVE_systém_-_LFP'!F37</f>
        <v>0</v>
      </c>
      <c r="BA116" s="73">
        <f>'FVE_-_FVE_systém_-_LFP'!F38</f>
        <v>0</v>
      </c>
      <c r="BB116" s="73">
        <f>'FVE_-_FVE_systém_-_LFP'!F39</f>
        <v>0</v>
      </c>
      <c r="BC116" s="73">
        <f>'FVE_-_FVE_systém_-_LFP'!F40</f>
        <v>0</v>
      </c>
      <c r="BD116" s="75">
        <f>'FVE_-_FVE_systém_-_LFP'!F41</f>
        <v>0</v>
      </c>
      <c r="BT116" s="10" t="s">
        <v>113</v>
      </c>
      <c r="BV116" s="10" t="s">
        <v>82</v>
      </c>
      <c r="BW116" s="10" t="s">
        <v>157</v>
      </c>
      <c r="BX116" s="10" t="s">
        <v>148</v>
      </c>
      <c r="CL116" s="10"/>
    </row>
    <row r="117" spans="1:91" s="32" customFormat="1" ht="16.5" customHeight="1" x14ac:dyDescent="0.2">
      <c r="A117" s="278" t="s">
        <v>91</v>
      </c>
      <c r="B117" s="33"/>
      <c r="C117" s="70"/>
      <c r="D117" s="70"/>
      <c r="E117" s="70"/>
      <c r="F117" s="322" t="s">
        <v>158</v>
      </c>
      <c r="G117" s="322"/>
      <c r="H117" s="322"/>
      <c r="I117" s="322"/>
      <c r="J117" s="322"/>
      <c r="K117" s="70"/>
      <c r="L117" s="322" t="s">
        <v>159</v>
      </c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3">
        <f>'FV_-_FV_systém'!J34</f>
        <v>0</v>
      </c>
      <c r="AH117" s="323"/>
      <c r="AI117" s="323"/>
      <c r="AJ117" s="323"/>
      <c r="AK117" s="323"/>
      <c r="AL117" s="323"/>
      <c r="AM117" s="323"/>
      <c r="AN117" s="323">
        <f t="shared" si="0"/>
        <v>0</v>
      </c>
      <c r="AO117" s="323"/>
      <c r="AP117" s="323"/>
      <c r="AQ117" s="71" t="s">
        <v>94</v>
      </c>
      <c r="AR117" s="33"/>
      <c r="AS117" s="72">
        <v>0</v>
      </c>
      <c r="AT117" s="73">
        <f t="shared" si="1"/>
        <v>0</v>
      </c>
      <c r="AU117" s="74">
        <f>'FV_-_FV_systém'!P139</f>
        <v>0</v>
      </c>
      <c r="AV117" s="73">
        <f>'FV_-_FV_systém'!J37</f>
        <v>0</v>
      </c>
      <c r="AW117" s="73">
        <f>'FV_-_FV_systém'!J38</f>
        <v>0</v>
      </c>
      <c r="AX117" s="73">
        <f>'FV_-_FV_systém'!J39</f>
        <v>0</v>
      </c>
      <c r="AY117" s="73">
        <f>'FV_-_FV_systém'!J40</f>
        <v>0</v>
      </c>
      <c r="AZ117" s="73">
        <f>'FV_-_FV_systém'!F37</f>
        <v>0</v>
      </c>
      <c r="BA117" s="73">
        <f>'FV_-_FV_systém'!F38</f>
        <v>0</v>
      </c>
      <c r="BB117" s="73">
        <f>'FV_-_FV_systém'!F39</f>
        <v>0</v>
      </c>
      <c r="BC117" s="73">
        <f>'FV_-_FV_systém'!F40</f>
        <v>0</v>
      </c>
      <c r="BD117" s="75">
        <f>'FV_-_FV_systém'!F41</f>
        <v>0</v>
      </c>
      <c r="BT117" s="10" t="s">
        <v>113</v>
      </c>
      <c r="BV117" s="10" t="s">
        <v>82</v>
      </c>
      <c r="BW117" s="10" t="s">
        <v>160</v>
      </c>
      <c r="BX117" s="10" t="s">
        <v>148</v>
      </c>
      <c r="CL117" s="10"/>
    </row>
    <row r="118" spans="1:91" s="32" customFormat="1" ht="16.5" customHeight="1" x14ac:dyDescent="0.2">
      <c r="A118" s="278" t="s">
        <v>91</v>
      </c>
      <c r="B118" s="33"/>
      <c r="C118" s="70"/>
      <c r="D118" s="70"/>
      <c r="E118" s="70"/>
      <c r="F118" s="322" t="s">
        <v>161</v>
      </c>
      <c r="G118" s="322"/>
      <c r="H118" s="322"/>
      <c r="I118" s="322"/>
      <c r="J118" s="322"/>
      <c r="K118" s="70"/>
      <c r="L118" s="322" t="s">
        <v>162</v>
      </c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3">
        <f>'NZS_-_NZS_-_EPS'!J34</f>
        <v>0</v>
      </c>
      <c r="AH118" s="323"/>
      <c r="AI118" s="323"/>
      <c r="AJ118" s="323"/>
      <c r="AK118" s="323"/>
      <c r="AL118" s="323"/>
      <c r="AM118" s="323"/>
      <c r="AN118" s="323">
        <f t="shared" si="0"/>
        <v>0</v>
      </c>
      <c r="AO118" s="323"/>
      <c r="AP118" s="323"/>
      <c r="AQ118" s="71" t="s">
        <v>94</v>
      </c>
      <c r="AR118" s="33"/>
      <c r="AS118" s="72">
        <v>0</v>
      </c>
      <c r="AT118" s="73">
        <f t="shared" si="1"/>
        <v>0</v>
      </c>
      <c r="AU118" s="74">
        <f>'NZS_-_NZS_-_EPS'!P139</f>
        <v>0</v>
      </c>
      <c r="AV118" s="73">
        <f>'NZS_-_NZS_-_EPS'!J37</f>
        <v>0</v>
      </c>
      <c r="AW118" s="73">
        <f>'NZS_-_NZS_-_EPS'!J38</f>
        <v>0</v>
      </c>
      <c r="AX118" s="73">
        <f>'NZS_-_NZS_-_EPS'!J39</f>
        <v>0</v>
      </c>
      <c r="AY118" s="73">
        <f>'NZS_-_NZS_-_EPS'!J40</f>
        <v>0</v>
      </c>
      <c r="AZ118" s="73">
        <f>'NZS_-_NZS_-_EPS'!F37</f>
        <v>0</v>
      </c>
      <c r="BA118" s="73">
        <f>'NZS_-_NZS_-_EPS'!F38</f>
        <v>0</v>
      </c>
      <c r="BB118" s="73">
        <f>'NZS_-_NZS_-_EPS'!F39</f>
        <v>0</v>
      </c>
      <c r="BC118" s="73">
        <f>'NZS_-_NZS_-_EPS'!F40</f>
        <v>0</v>
      </c>
      <c r="BD118" s="75">
        <f>'NZS_-_NZS_-_EPS'!F41</f>
        <v>0</v>
      </c>
      <c r="BT118" s="10" t="s">
        <v>113</v>
      </c>
      <c r="BV118" s="10" t="s">
        <v>82</v>
      </c>
      <c r="BW118" s="10" t="s">
        <v>163</v>
      </c>
      <c r="BX118" s="10" t="s">
        <v>148</v>
      </c>
      <c r="CL118" s="10"/>
    </row>
    <row r="119" spans="1:91" s="32" customFormat="1" ht="16.5" customHeight="1" x14ac:dyDescent="0.2">
      <c r="A119" s="278" t="s">
        <v>91</v>
      </c>
      <c r="B119" s="33"/>
      <c r="C119" s="70"/>
      <c r="D119" s="70"/>
      <c r="E119" s="322" t="s">
        <v>164</v>
      </c>
      <c r="F119" s="322"/>
      <c r="G119" s="322"/>
      <c r="H119" s="322"/>
      <c r="I119" s="322"/>
      <c r="J119" s="70"/>
      <c r="K119" s="322" t="s">
        <v>165</v>
      </c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3">
        <f>'VZT_-_Vzduchotechnika'!J32</f>
        <v>0</v>
      </c>
      <c r="AH119" s="323"/>
      <c r="AI119" s="323"/>
      <c r="AJ119" s="323"/>
      <c r="AK119" s="323"/>
      <c r="AL119" s="323"/>
      <c r="AM119" s="323"/>
      <c r="AN119" s="323">
        <f t="shared" si="0"/>
        <v>0</v>
      </c>
      <c r="AO119" s="323"/>
      <c r="AP119" s="323"/>
      <c r="AQ119" s="71" t="s">
        <v>94</v>
      </c>
      <c r="AR119" s="33"/>
      <c r="AS119" s="72">
        <v>0</v>
      </c>
      <c r="AT119" s="73">
        <f t="shared" si="1"/>
        <v>0</v>
      </c>
      <c r="AU119" s="74">
        <f>'VZT_-_Vzduchotechnika'!P137</f>
        <v>0</v>
      </c>
      <c r="AV119" s="73">
        <f>'VZT_-_Vzduchotechnika'!J35</f>
        <v>0</v>
      </c>
      <c r="AW119" s="73">
        <f>'VZT_-_Vzduchotechnika'!J36</f>
        <v>0</v>
      </c>
      <c r="AX119" s="73">
        <f>'VZT_-_Vzduchotechnika'!J37</f>
        <v>0</v>
      </c>
      <c r="AY119" s="73">
        <f>'VZT_-_Vzduchotechnika'!J38</f>
        <v>0</v>
      </c>
      <c r="AZ119" s="73">
        <f>'VZT_-_Vzduchotechnika'!F35</f>
        <v>0</v>
      </c>
      <c r="BA119" s="73">
        <f>'VZT_-_Vzduchotechnika'!F36</f>
        <v>0</v>
      </c>
      <c r="BB119" s="73">
        <f>'VZT_-_Vzduchotechnika'!F37</f>
        <v>0</v>
      </c>
      <c r="BC119" s="73">
        <f>'VZT_-_Vzduchotechnika'!F38</f>
        <v>0</v>
      </c>
      <c r="BD119" s="75">
        <f>'VZT_-_Vzduchotechnika'!F39</f>
        <v>0</v>
      </c>
      <c r="BT119" s="10" t="s">
        <v>90</v>
      </c>
      <c r="BV119" s="10" t="s">
        <v>82</v>
      </c>
      <c r="BW119" s="10" t="s">
        <v>166</v>
      </c>
      <c r="BX119" s="10" t="s">
        <v>88</v>
      </c>
      <c r="CL119" s="10"/>
    </row>
    <row r="120" spans="1:91" s="60" customFormat="1" ht="16.5" customHeight="1" x14ac:dyDescent="0.2">
      <c r="A120" s="278" t="s">
        <v>91</v>
      </c>
      <c r="B120" s="61"/>
      <c r="C120" s="62"/>
      <c r="D120" s="312" t="s">
        <v>167</v>
      </c>
      <c r="E120" s="312"/>
      <c r="F120" s="312"/>
      <c r="G120" s="312"/>
      <c r="H120" s="312"/>
      <c r="I120" s="63"/>
      <c r="J120" s="312" t="s">
        <v>168</v>
      </c>
      <c r="K120" s="312"/>
      <c r="L120" s="312"/>
      <c r="M120" s="312"/>
      <c r="N120" s="312"/>
      <c r="O120" s="312"/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/>
      <c r="AA120" s="312"/>
      <c r="AB120" s="312"/>
      <c r="AC120" s="312"/>
      <c r="AD120" s="312"/>
      <c r="AE120" s="312"/>
      <c r="AF120" s="312"/>
      <c r="AG120" s="314">
        <f>'SO_02_-_Komunikace'!J30</f>
        <v>0</v>
      </c>
      <c r="AH120" s="314"/>
      <c r="AI120" s="314"/>
      <c r="AJ120" s="314"/>
      <c r="AK120" s="314"/>
      <c r="AL120" s="314"/>
      <c r="AM120" s="314"/>
      <c r="AN120" s="314">
        <f t="shared" si="0"/>
        <v>0</v>
      </c>
      <c r="AO120" s="314"/>
      <c r="AP120" s="314"/>
      <c r="AQ120" s="64" t="s">
        <v>86</v>
      </c>
      <c r="AR120" s="61"/>
      <c r="AS120" s="65">
        <v>0</v>
      </c>
      <c r="AT120" s="66">
        <f t="shared" si="1"/>
        <v>0</v>
      </c>
      <c r="AU120" s="67">
        <f>'SO_02_-_Komunikace'!P138</f>
        <v>0</v>
      </c>
      <c r="AV120" s="66">
        <f>'SO_02_-_Komunikace'!J33</f>
        <v>0</v>
      </c>
      <c r="AW120" s="66">
        <f>'SO_02_-_Komunikace'!J34</f>
        <v>0</v>
      </c>
      <c r="AX120" s="66">
        <f>'SO_02_-_Komunikace'!J35</f>
        <v>0</v>
      </c>
      <c r="AY120" s="66">
        <f>'SO_02_-_Komunikace'!J36</f>
        <v>0</v>
      </c>
      <c r="AZ120" s="66">
        <f>'SO_02_-_Komunikace'!F33</f>
        <v>0</v>
      </c>
      <c r="BA120" s="66">
        <f>'SO_02_-_Komunikace'!F34</f>
        <v>0</v>
      </c>
      <c r="BB120" s="66">
        <f>'SO_02_-_Komunikace'!F35</f>
        <v>0</v>
      </c>
      <c r="BC120" s="66">
        <f>'SO_02_-_Komunikace'!F36</f>
        <v>0</v>
      </c>
      <c r="BD120" s="68">
        <f>'SO_02_-_Komunikace'!F37</f>
        <v>0</v>
      </c>
      <c r="BT120" s="69" t="s">
        <v>87</v>
      </c>
      <c r="BV120" s="69" t="s">
        <v>82</v>
      </c>
      <c r="BW120" s="69" t="s">
        <v>169</v>
      </c>
      <c r="BX120" s="69" t="s">
        <v>4</v>
      </c>
      <c r="CL120" s="69"/>
      <c r="CM120" s="69" t="s">
        <v>90</v>
      </c>
    </row>
    <row r="121" spans="1:91" s="60" customFormat="1" ht="16.5" customHeight="1" x14ac:dyDescent="0.2">
      <c r="A121" s="278" t="s">
        <v>91</v>
      </c>
      <c r="B121" s="61"/>
      <c r="C121" s="62"/>
      <c r="D121" s="312" t="s">
        <v>170</v>
      </c>
      <c r="E121" s="312"/>
      <c r="F121" s="312"/>
      <c r="G121" s="312"/>
      <c r="H121" s="312"/>
      <c r="I121" s="63"/>
      <c r="J121" s="312" t="s">
        <v>171</v>
      </c>
      <c r="K121" s="312"/>
      <c r="L121" s="312"/>
      <c r="M121" s="312"/>
      <c r="N121" s="312"/>
      <c r="O121" s="312"/>
      <c r="P121" s="312"/>
      <c r="Q121" s="312"/>
      <c r="R121" s="312"/>
      <c r="S121" s="312"/>
      <c r="T121" s="312"/>
      <c r="U121" s="312"/>
      <c r="V121" s="312"/>
      <c r="W121" s="312"/>
      <c r="X121" s="312"/>
      <c r="Y121" s="312"/>
      <c r="Z121" s="312"/>
      <c r="AA121" s="312"/>
      <c r="AB121" s="312"/>
      <c r="AC121" s="312"/>
      <c r="AD121" s="312"/>
      <c r="AE121" s="312"/>
      <c r="AF121" s="312"/>
      <c r="AG121" s="314">
        <f>'SO_03_-_Sadové_úpravy'!J30</f>
        <v>0</v>
      </c>
      <c r="AH121" s="314"/>
      <c r="AI121" s="314"/>
      <c r="AJ121" s="314"/>
      <c r="AK121" s="314"/>
      <c r="AL121" s="314"/>
      <c r="AM121" s="314"/>
      <c r="AN121" s="314">
        <f t="shared" si="0"/>
        <v>0</v>
      </c>
      <c r="AO121" s="314"/>
      <c r="AP121" s="314"/>
      <c r="AQ121" s="64" t="s">
        <v>86</v>
      </c>
      <c r="AR121" s="61"/>
      <c r="AS121" s="65">
        <v>0</v>
      </c>
      <c r="AT121" s="66">
        <f t="shared" si="1"/>
        <v>0</v>
      </c>
      <c r="AU121" s="67">
        <f>'SO_03_-_Sadové_úpravy'!P139</f>
        <v>0</v>
      </c>
      <c r="AV121" s="66">
        <f>'SO_03_-_Sadové_úpravy'!J33</f>
        <v>0</v>
      </c>
      <c r="AW121" s="66">
        <f>'SO_03_-_Sadové_úpravy'!J34</f>
        <v>0</v>
      </c>
      <c r="AX121" s="66">
        <f>'SO_03_-_Sadové_úpravy'!J35</f>
        <v>0</v>
      </c>
      <c r="AY121" s="66">
        <f>'SO_03_-_Sadové_úpravy'!J36</f>
        <v>0</v>
      </c>
      <c r="AZ121" s="66">
        <f>'SO_03_-_Sadové_úpravy'!F33</f>
        <v>0</v>
      </c>
      <c r="BA121" s="66">
        <f>'SO_03_-_Sadové_úpravy'!F34</f>
        <v>0</v>
      </c>
      <c r="BB121" s="66">
        <f>'SO_03_-_Sadové_úpravy'!F35</f>
        <v>0</v>
      </c>
      <c r="BC121" s="66">
        <f>'SO_03_-_Sadové_úpravy'!F36</f>
        <v>0</v>
      </c>
      <c r="BD121" s="68">
        <f>'SO_03_-_Sadové_úpravy'!F37</f>
        <v>0</v>
      </c>
      <c r="BT121" s="69" t="s">
        <v>87</v>
      </c>
      <c r="BV121" s="69" t="s">
        <v>82</v>
      </c>
      <c r="BW121" s="69" t="s">
        <v>172</v>
      </c>
      <c r="BX121" s="69" t="s">
        <v>4</v>
      </c>
      <c r="CL121" s="69" t="s">
        <v>173</v>
      </c>
      <c r="CM121" s="69" t="s">
        <v>90</v>
      </c>
    </row>
    <row r="122" spans="1:91" s="60" customFormat="1" ht="16.5" customHeight="1" x14ac:dyDescent="0.2">
      <c r="A122" s="278" t="s">
        <v>91</v>
      </c>
      <c r="B122" s="61"/>
      <c r="C122" s="62"/>
      <c r="D122" s="312" t="s">
        <v>174</v>
      </c>
      <c r="E122" s="312"/>
      <c r="F122" s="312"/>
      <c r="G122" s="312"/>
      <c r="H122" s="312"/>
      <c r="I122" s="63"/>
      <c r="J122" s="312" t="s">
        <v>175</v>
      </c>
      <c r="K122" s="312"/>
      <c r="L122" s="312"/>
      <c r="M122" s="312"/>
      <c r="N122" s="312"/>
      <c r="O122" s="312"/>
      <c r="P122" s="312"/>
      <c r="Q122" s="312"/>
      <c r="R122" s="312"/>
      <c r="S122" s="312"/>
      <c r="T122" s="312"/>
      <c r="U122" s="312"/>
      <c r="V122" s="312"/>
      <c r="W122" s="312"/>
      <c r="X122" s="312"/>
      <c r="Y122" s="312"/>
      <c r="Z122" s="312"/>
      <c r="AA122" s="312"/>
      <c r="AB122" s="312"/>
      <c r="AC122" s="312"/>
      <c r="AD122" s="312"/>
      <c r="AE122" s="312"/>
      <c r="AF122" s="312"/>
      <c r="AG122" s="314">
        <f>'VRN_-_Vedlejší_rozpočtové___'!J30</f>
        <v>0</v>
      </c>
      <c r="AH122" s="314"/>
      <c r="AI122" s="314"/>
      <c r="AJ122" s="314"/>
      <c r="AK122" s="314"/>
      <c r="AL122" s="314"/>
      <c r="AM122" s="314"/>
      <c r="AN122" s="314">
        <f t="shared" si="0"/>
        <v>0</v>
      </c>
      <c r="AO122" s="314"/>
      <c r="AP122" s="314"/>
      <c r="AQ122" s="64" t="s">
        <v>86</v>
      </c>
      <c r="AR122" s="61"/>
      <c r="AS122" s="76">
        <v>0</v>
      </c>
      <c r="AT122" s="77">
        <f t="shared" si="1"/>
        <v>0</v>
      </c>
      <c r="AU122" s="78">
        <f>'VRN_-_Vedlejší_rozpočtové___'!P138</f>
        <v>0</v>
      </c>
      <c r="AV122" s="77">
        <f>'VRN_-_Vedlejší_rozpočtové___'!J33</f>
        <v>0</v>
      </c>
      <c r="AW122" s="77">
        <f>'VRN_-_Vedlejší_rozpočtové___'!J34</f>
        <v>0</v>
      </c>
      <c r="AX122" s="77">
        <f>'VRN_-_Vedlejší_rozpočtové___'!J35</f>
        <v>0</v>
      </c>
      <c r="AY122" s="77">
        <f>'VRN_-_Vedlejší_rozpočtové___'!J36</f>
        <v>0</v>
      </c>
      <c r="AZ122" s="77">
        <f>'VRN_-_Vedlejší_rozpočtové___'!F33</f>
        <v>0</v>
      </c>
      <c r="BA122" s="77">
        <f>'VRN_-_Vedlejší_rozpočtové___'!F34</f>
        <v>0</v>
      </c>
      <c r="BB122" s="77">
        <f>'VRN_-_Vedlejší_rozpočtové___'!F35</f>
        <v>0</v>
      </c>
      <c r="BC122" s="77">
        <f>'VRN_-_Vedlejší_rozpočtové___'!F36</f>
        <v>0</v>
      </c>
      <c r="BD122" s="79">
        <f>'VRN_-_Vedlejší_rozpočtové___'!F37</f>
        <v>0</v>
      </c>
      <c r="BT122" s="69" t="s">
        <v>87</v>
      </c>
      <c r="BV122" s="69" t="s">
        <v>82</v>
      </c>
      <c r="BW122" s="69" t="s">
        <v>176</v>
      </c>
      <c r="BX122" s="69" t="s">
        <v>4</v>
      </c>
      <c r="CL122" s="69"/>
      <c r="CM122" s="69" t="s">
        <v>90</v>
      </c>
    </row>
    <row r="123" spans="1:91" s="16" customFormat="1" ht="30" customHeight="1" x14ac:dyDescent="0.2">
      <c r="B123" s="17"/>
      <c r="AR123" s="17"/>
    </row>
    <row r="124" spans="1:91" s="16" customFormat="1" ht="6.95" customHeight="1" x14ac:dyDescent="0.2">
      <c r="B124" s="30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7"/>
    </row>
  </sheetData>
  <sheetProtection algorithmName="SHA-512" hashValue="RBsE5bCFCbb0kRQIKjAqih7GCs1bKlPRQUNOFv2UF4y13ZybAHysvYQBem2OH5t+Q1LNtDA4KRnUOC8FgW2bPQ==" saltValue="FNFZ//aTgfNw4dJFPd73WA==" spinCount="100000" sheet="1" objects="1" scenarios="1" formatCells="0" formatColumns="0" formatRows="0" autoFilter="0"/>
  <mergeCells count="150">
    <mergeCell ref="D122:H122"/>
    <mergeCell ref="J122:AF122"/>
    <mergeCell ref="AG122:AM122"/>
    <mergeCell ref="AN122:AP122"/>
    <mergeCell ref="D120:H120"/>
    <mergeCell ref="J120:AF120"/>
    <mergeCell ref="AG120:AM120"/>
    <mergeCell ref="AN120:AP120"/>
    <mergeCell ref="D121:H121"/>
    <mergeCell ref="J121:AF121"/>
    <mergeCell ref="AG121:AM121"/>
    <mergeCell ref="AN121:AP121"/>
    <mergeCell ref="F118:J118"/>
    <mergeCell ref="L118:AF118"/>
    <mergeCell ref="AG118:AM118"/>
    <mergeCell ref="AN118:AP118"/>
    <mergeCell ref="E119:I119"/>
    <mergeCell ref="K119:AF119"/>
    <mergeCell ref="AG119:AM119"/>
    <mergeCell ref="AN119:AP119"/>
    <mergeCell ref="F116:J116"/>
    <mergeCell ref="L116:AF116"/>
    <mergeCell ref="AG116:AM116"/>
    <mergeCell ref="AN116:AP116"/>
    <mergeCell ref="F117:J117"/>
    <mergeCell ref="L117:AF117"/>
    <mergeCell ref="AG117:AM117"/>
    <mergeCell ref="AN117:AP117"/>
    <mergeCell ref="F114:J114"/>
    <mergeCell ref="L114:AF114"/>
    <mergeCell ref="AG114:AM114"/>
    <mergeCell ref="AN114:AP114"/>
    <mergeCell ref="F115:J115"/>
    <mergeCell ref="L115:AF115"/>
    <mergeCell ref="AG115:AM115"/>
    <mergeCell ref="AN115:AP115"/>
    <mergeCell ref="E112:I112"/>
    <mergeCell ref="K112:AF112"/>
    <mergeCell ref="AG112:AM112"/>
    <mergeCell ref="AN112:AP112"/>
    <mergeCell ref="E113:I113"/>
    <mergeCell ref="K113:AF113"/>
    <mergeCell ref="AG113:AM113"/>
    <mergeCell ref="AN113:AP113"/>
    <mergeCell ref="E110:I110"/>
    <mergeCell ref="K110:AF110"/>
    <mergeCell ref="AG110:AM110"/>
    <mergeCell ref="AN110:AP110"/>
    <mergeCell ref="E111:I111"/>
    <mergeCell ref="K111:AF111"/>
    <mergeCell ref="AG111:AM111"/>
    <mergeCell ref="AN111:AP111"/>
    <mergeCell ref="E108:I108"/>
    <mergeCell ref="K108:AF108"/>
    <mergeCell ref="AG108:AM108"/>
    <mergeCell ref="AN108:AP108"/>
    <mergeCell ref="E109:I109"/>
    <mergeCell ref="K109:AF109"/>
    <mergeCell ref="AG109:AM109"/>
    <mergeCell ref="AN109:AP109"/>
    <mergeCell ref="F106:J106"/>
    <mergeCell ref="L106:AF106"/>
    <mergeCell ref="AG106:AM106"/>
    <mergeCell ref="AN106:AP106"/>
    <mergeCell ref="E107:I107"/>
    <mergeCell ref="K107:AF107"/>
    <mergeCell ref="AG107:AM107"/>
    <mergeCell ref="AN107:AP107"/>
    <mergeCell ref="F104:J104"/>
    <mergeCell ref="L104:AF104"/>
    <mergeCell ref="AG104:AM104"/>
    <mergeCell ref="AN104:AP104"/>
    <mergeCell ref="F105:J105"/>
    <mergeCell ref="L105:AF105"/>
    <mergeCell ref="AG105:AM105"/>
    <mergeCell ref="AN105:AP105"/>
    <mergeCell ref="F102:J102"/>
    <mergeCell ref="L102:AF102"/>
    <mergeCell ref="AG102:AM102"/>
    <mergeCell ref="AN102:AP102"/>
    <mergeCell ref="F103:J103"/>
    <mergeCell ref="L103:AF103"/>
    <mergeCell ref="AG103:AM103"/>
    <mergeCell ref="AN103:AP103"/>
    <mergeCell ref="E100:I100"/>
    <mergeCell ref="K100:AF100"/>
    <mergeCell ref="AG100:AM100"/>
    <mergeCell ref="AN100:AP100"/>
    <mergeCell ref="E101:I101"/>
    <mergeCell ref="K101:AF101"/>
    <mergeCell ref="AG101:AM101"/>
    <mergeCell ref="AN101:AP101"/>
    <mergeCell ref="E98:I98"/>
    <mergeCell ref="K98:AF98"/>
    <mergeCell ref="AG98:AM98"/>
    <mergeCell ref="AN98:AP98"/>
    <mergeCell ref="E99:I99"/>
    <mergeCell ref="K99:AF99"/>
    <mergeCell ref="AG99:AM99"/>
    <mergeCell ref="AN99:AP99"/>
    <mergeCell ref="E96:I96"/>
    <mergeCell ref="K96:AF96"/>
    <mergeCell ref="AG96:AM96"/>
    <mergeCell ref="AN96:AP96"/>
    <mergeCell ref="E97:I97"/>
    <mergeCell ref="K97:AF97"/>
    <mergeCell ref="AG97:AM97"/>
    <mergeCell ref="AN97:AP97"/>
    <mergeCell ref="AG94:AM94"/>
    <mergeCell ref="AN94:AP94"/>
    <mergeCell ref="D95:H95"/>
    <mergeCell ref="J95:AF95"/>
    <mergeCell ref="AG95:AM95"/>
    <mergeCell ref="AN95:AP95"/>
    <mergeCell ref="AM87:AN87"/>
    <mergeCell ref="AM89:AP89"/>
    <mergeCell ref="AS89:AT91"/>
    <mergeCell ref="AM90:AP90"/>
    <mergeCell ref="C92:G92"/>
    <mergeCell ref="I92:AF92"/>
    <mergeCell ref="AG92:AM92"/>
    <mergeCell ref="AN92:AP92"/>
    <mergeCell ref="X35:AB35"/>
    <mergeCell ref="AK35:AO35"/>
    <mergeCell ref="L85:AJ85"/>
    <mergeCell ref="L31:P31"/>
    <mergeCell ref="W31:AE31"/>
    <mergeCell ref="AK31:AO31"/>
    <mergeCell ref="L32:P32"/>
    <mergeCell ref="W32:AE32"/>
    <mergeCell ref="AK32:AO32"/>
    <mergeCell ref="L29:P29"/>
    <mergeCell ref="W29:AE29"/>
    <mergeCell ref="AK29:AO29"/>
    <mergeCell ref="L30:P30"/>
    <mergeCell ref="W30:AE30"/>
    <mergeCell ref="AK30:AO30"/>
    <mergeCell ref="AR2:BE2"/>
    <mergeCell ref="K5:AJ5"/>
    <mergeCell ref="BE5:BE34"/>
    <mergeCell ref="K6:AJ6"/>
    <mergeCell ref="E14:AJ14"/>
    <mergeCell ref="E23:AN23"/>
    <mergeCell ref="AK26:AO26"/>
    <mergeCell ref="L28:P28"/>
    <mergeCell ref="W28:AE28"/>
    <mergeCell ref="AK28:AO28"/>
    <mergeCell ref="L33:P33"/>
    <mergeCell ref="W33:AE33"/>
    <mergeCell ref="AK33:AO33"/>
  </mergeCells>
  <hyperlinks>
    <hyperlink ref="A98" location="'FAS_-_Fasády'!A1" display="/" xr:uid="{00000000-0004-0000-0000-000000000000}"/>
    <hyperlink ref="A99" location="'STŘ_-_Střechy'!A1" display="/" xr:uid="{00000000-0004-0000-0000-000001000000}"/>
    <hyperlink ref="A100" location="'DOZ_-_Výtahy'!A1" display="/" xr:uid="{00000000-0004-0000-0000-000002000000}"/>
    <hyperlink ref="A103" location="'02_-_Ostatní_výrobky'!A1" display="/" xr:uid="{00000000-0004-0000-0000-000003000000}"/>
    <hyperlink ref="A104" location="'03_-_Dveře'!A1" display="/" xr:uid="{00000000-0004-0000-0000-000004000000}"/>
    <hyperlink ref="A105" location="'04_-_Prosklené_fasády,_ok___'!A1" display="/" xr:uid="{00000000-0004-0000-0000-000005000000}"/>
    <hyperlink ref="A106" location="'05_-_Zámečnické_prvky'!A1" display="/" xr:uid="{00000000-0004-0000-0000-000006000000}"/>
    <hyperlink ref="A107" location="'OST_-_Ostatní_konstrukce____'!A1" display="/" xr:uid="{00000000-0004-0000-0000-000007000000}"/>
    <hyperlink ref="A108" location="'BOU_-_Bourací_a_demontážn___'!A1" display="/" xr:uid="{00000000-0004-0000-0000-000008000000}"/>
    <hyperlink ref="A110" location="'DEŠ_-_Dešťová_kanalizace'!A1" display="/" xr:uid="{00000000-0004-0000-0000-000009000000}"/>
    <hyperlink ref="A111" location="'VYT_-_Vytápění'!A1" display="/" xr:uid="{00000000-0004-0000-0000-00000A000000}"/>
    <hyperlink ref="A112" location="'CHL_-_Chlazení'!A1" display="/" xr:uid="{00000000-0004-0000-0000-00000B000000}"/>
    <hyperlink ref="A114" location="'SIL_-_Silnoproud_a_hromosvod'!A1" display="/" xr:uid="{00000000-0004-0000-0000-00000C000000}"/>
    <hyperlink ref="A115" location="'SLA_-_Slaboproud'!A1" display="/" xr:uid="{00000000-0004-0000-0000-00000D000000}"/>
    <hyperlink ref="A116" location="'FVE_-_FVE_systém_-_LFP'!A1" display="/" xr:uid="{00000000-0004-0000-0000-00000E000000}"/>
    <hyperlink ref="A117" location="'FV_-_FV_systém'!A1" display="/" xr:uid="{00000000-0004-0000-0000-00000F000000}"/>
    <hyperlink ref="A118" location="'NZS_-_NZS_-_EPS'!A1" display="/" xr:uid="{00000000-0004-0000-0000-000010000000}"/>
    <hyperlink ref="A119" location="'VZT_-_Vzduchotechnika'!A1" display="/" xr:uid="{00000000-0004-0000-0000-000011000000}"/>
    <hyperlink ref="A120" location="'SO_02_-_Komunikace'!A1" display="/" xr:uid="{00000000-0004-0000-0000-000012000000}"/>
    <hyperlink ref="A121" location="'SO_03_-_Sadové_úpravy'!A1" display="/" xr:uid="{00000000-0004-0000-0000-000013000000}"/>
    <hyperlink ref="A122" location="'VRN_-_Vedlejší_rozpočtové___'!A1" display="/" xr:uid="{00000000-0004-0000-0000-000014000000}"/>
    <hyperlink ref="A109" location="'ZTI_-_Zdravotní_technika'!A1" display="/" xr:uid="{00000000-0004-0000-0000-000015000000}"/>
    <hyperlink ref="A97" location="'KCE_-_Konstrukční_část'!A1" display="/" xr:uid="{00000000-0004-0000-0000-000016000000}"/>
    <hyperlink ref="A96" location="'ARS_-_Architektonicko-sta___'!A1" display="/" xr:uid="{00000000-0004-0000-0000-000017000000}"/>
    <hyperlink ref="A102" location="'01_-_Klempířské_prvky'!A1" display="/" xr:uid="{00000000-0004-0000-0000-000018000000}"/>
  </hyperlinks>
  <pageMargins left="0.39375000000000004" right="0.39375000000000004" top="0.39375000000000004" bottom="0.39375000000000004" header="0" footer="0"/>
  <pageSetup paperSize="9" fitToWidth="0" fitToHeight="0" orientation="landscape" r:id="rId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B2:BM232"/>
  <sheetViews>
    <sheetView showGridLines="0" topLeftCell="A158" workbookViewId="0">
      <selection activeCell="E91" sqref="E91:H91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4.1640625" customWidth="1"/>
    <col min="11" max="11" width="20.83203125" customWidth="1"/>
    <col min="12" max="12" width="53.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123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4414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4625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 t="str">
        <f>IF(Rekapitulace_stavby!AN16="","",Rekapitulace_stavby!AN16)</f>
        <v>48025721</v>
      </c>
      <c r="L24" s="17"/>
    </row>
    <row r="25" spans="2:12" s="16" customFormat="1" ht="18" hidden="1" customHeight="1" x14ac:dyDescent="0.2">
      <c r="B25" s="17"/>
      <c r="E25" s="10" t="str">
        <f>IF(Rekapitulace_stavby!E17="","",Rekapitulace_stavby!E17)</f>
        <v>MEPRO s.r.o.</v>
      </c>
      <c r="I25" s="12" t="s">
        <v>26</v>
      </c>
      <c r="J25" s="10" t="str">
        <f>IF(Rekapitulace_stavby!AN17="","",Rekapitulace_stavby!AN17)</f>
        <v>CZ48025721</v>
      </c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 t="str">
        <f>IF(Rekapitulace_stavby!AN19="","",Rekapitulace_stavby!AN19)</f>
        <v>25415751</v>
      </c>
      <c r="L27" s="17"/>
    </row>
    <row r="28" spans="2:12" s="16" customFormat="1" ht="18" hidden="1" customHeight="1" x14ac:dyDescent="0.2">
      <c r="B28" s="17"/>
      <c r="E28" s="10" t="str">
        <f>IF(Rekapitulace_stavby!E20="","",Rekapitulace_stavby!E20)</f>
        <v>Propos Liberec s.r.o.</v>
      </c>
      <c r="I28" s="12" t="s">
        <v>26</v>
      </c>
      <c r="J28" s="10" t="str">
        <f>IF(Rekapitulace_stavby!AN20="","",Rekapitulace_stavby!AN20)</f>
        <v>CZ25415751</v>
      </c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59.25" hidden="1" customHeight="1" x14ac:dyDescent="0.2">
      <c r="B31" s="82"/>
      <c r="E31" s="304" t="s">
        <v>4626</v>
      </c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ROUND((SUM(BE139:BE231)),  2)</f>
        <v>0</v>
      </c>
      <c r="I37" s="86">
        <v>0.21</v>
      </c>
      <c r="J37" s="73">
        <f>ROUND(((SUM(BE139:BE231))*I37),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ROUND((SUM(BF139:BF231)),  2)</f>
        <v>0</v>
      </c>
      <c r="I38" s="86">
        <v>0.12</v>
      </c>
      <c r="J38" s="73">
        <f>ROUND(((SUM(BF139:BF231))*I38),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ROUND((SUM(BG139:BG231)),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ROUND((SUM(BH139:BH231)),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ROUND((SUM(BI139:BI231)),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4414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04 - Prosklené fasády, okna, vnitřní parapety, žaluzie a rolety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MEPRO s.r.o.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Propos Liberec s.r.o.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4627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98" customFormat="1" ht="24.95" customHeight="1" x14ac:dyDescent="0.2">
      <c r="B102" s="99"/>
      <c r="D102" s="100" t="s">
        <v>4628</v>
      </c>
      <c r="E102" s="101"/>
      <c r="F102" s="101"/>
      <c r="G102" s="101"/>
      <c r="H102" s="101"/>
      <c r="I102" s="101"/>
      <c r="J102" s="102">
        <f>J145</f>
        <v>0</v>
      </c>
      <c r="L102" s="99"/>
    </row>
    <row r="103" spans="2:47" s="98" customFormat="1" ht="24.95" customHeight="1" x14ac:dyDescent="0.2">
      <c r="B103" s="99"/>
      <c r="D103" s="100" t="s">
        <v>4629</v>
      </c>
      <c r="E103" s="101"/>
      <c r="F103" s="101"/>
      <c r="G103" s="101"/>
      <c r="H103" s="101"/>
      <c r="I103" s="101"/>
      <c r="J103" s="102">
        <f>J180</f>
        <v>0</v>
      </c>
      <c r="L103" s="99"/>
    </row>
    <row r="104" spans="2:47" s="98" customFormat="1" ht="24.95" customHeight="1" x14ac:dyDescent="0.2">
      <c r="B104" s="99"/>
      <c r="D104" s="100" t="s">
        <v>4630</v>
      </c>
      <c r="E104" s="101"/>
      <c r="F104" s="101"/>
      <c r="G104" s="101"/>
      <c r="H104" s="101"/>
      <c r="I104" s="101"/>
      <c r="J104" s="102">
        <f>J203</f>
        <v>0</v>
      </c>
      <c r="L104" s="99"/>
    </row>
    <row r="105" spans="2:47" s="16" customFormat="1" ht="21.75" customHeight="1" x14ac:dyDescent="0.2">
      <c r="B105" s="17"/>
      <c r="L105" s="17"/>
    </row>
    <row r="106" spans="2:47" s="16" customFormat="1" ht="6.95" customHeight="1" x14ac:dyDescent="0.2">
      <c r="B106" s="30"/>
      <c r="C106" s="19"/>
      <c r="D106" s="19"/>
      <c r="E106" s="19"/>
      <c r="F106" s="19"/>
      <c r="G106" s="19"/>
      <c r="H106" s="19"/>
      <c r="I106" s="19"/>
      <c r="J106" s="19"/>
      <c r="K106" s="19"/>
      <c r="L106" s="17"/>
    </row>
    <row r="110" spans="2:47" ht="2.4500000000000002" customHeight="1" x14ac:dyDescent="0.2"/>
    <row r="111" spans="2:47" ht="2.4500000000000002" customHeight="1" x14ac:dyDescent="0.2"/>
    <row r="112" spans="2:47" ht="2.4500000000000002" customHeight="1" x14ac:dyDescent="0.2"/>
    <row r="113" spans="2:12" ht="2.4500000000000002" customHeight="1" x14ac:dyDescent="0.2"/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4414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04 - Prosklené fasády, okna, vnitřní parapety, žaluzie a rolety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MEPRO s.r.o.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304" t="str">
        <f>E28</f>
        <v>Propos Liberec s.r.o.</v>
      </c>
      <c r="K136" s="327"/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P140+P145+P180+P203</f>
        <v>0</v>
      </c>
      <c r="Q139" s="39"/>
      <c r="R139" s="113">
        <f>R140+R145+R180+R203</f>
        <v>0.40778449999999994</v>
      </c>
      <c r="S139" s="39"/>
      <c r="T139" s="114">
        <f>T140+T145+T180+T203</f>
        <v>0</v>
      </c>
      <c r="AT139" s="2" t="s">
        <v>79</v>
      </c>
      <c r="AU139" s="2" t="s">
        <v>303</v>
      </c>
      <c r="BK139" s="115">
        <f>BK140+BK145+BK180+BK203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4631</v>
      </c>
      <c r="F140" s="119" t="s">
        <v>4632</v>
      </c>
      <c r="J140" s="120">
        <f>BK140</f>
        <v>0</v>
      </c>
      <c r="L140" s="117"/>
      <c r="M140" s="121"/>
      <c r="P140" s="122">
        <f>SUM(P141:P144)</f>
        <v>0</v>
      </c>
      <c r="R140" s="122">
        <f>SUM(R141:R144)</f>
        <v>0</v>
      </c>
      <c r="T140" s="123">
        <f>SUM(T141:T144)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SUM(BK141:BK144)</f>
        <v>0</v>
      </c>
    </row>
    <row r="141" spans="2:65" s="16" customFormat="1" ht="24.2" customHeight="1" x14ac:dyDescent="0.2">
      <c r="B141" s="17"/>
      <c r="C141" s="128">
        <v>1</v>
      </c>
      <c r="D141" s="128" t="s">
        <v>339</v>
      </c>
      <c r="E141" s="129" t="s">
        <v>4633</v>
      </c>
      <c r="F141" s="130" t="s">
        <v>4634</v>
      </c>
      <c r="G141" s="131" t="s">
        <v>449</v>
      </c>
      <c r="H141" s="132">
        <v>1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4635</v>
      </c>
    </row>
    <row r="142" spans="2:65" s="16" customFormat="1" ht="19.5" x14ac:dyDescent="0.2">
      <c r="B142" s="17"/>
      <c r="D142" s="143" t="s">
        <v>644</v>
      </c>
      <c r="F142" s="179" t="s">
        <v>4636</v>
      </c>
      <c r="L142" s="17"/>
      <c r="M142" s="180"/>
      <c r="T142" s="41"/>
      <c r="AT142" s="2" t="s">
        <v>644</v>
      </c>
      <c r="AU142" s="2" t="s">
        <v>87</v>
      </c>
    </row>
    <row r="143" spans="2:65" s="16" customFormat="1" ht="24.2" customHeight="1" x14ac:dyDescent="0.2">
      <c r="B143" s="17"/>
      <c r="C143" s="128">
        <v>2</v>
      </c>
      <c r="D143" s="128" t="s">
        <v>339</v>
      </c>
      <c r="E143" s="129" t="s">
        <v>4637</v>
      </c>
      <c r="F143" s="130" t="s">
        <v>4638</v>
      </c>
      <c r="G143" s="131" t="s">
        <v>449</v>
      </c>
      <c r="H143" s="132">
        <v>1</v>
      </c>
      <c r="I143" s="133"/>
      <c r="J143" s="134">
        <f>ROUND(I143*H143,2)</f>
        <v>0</v>
      </c>
      <c r="K143" s="130"/>
      <c r="L143" s="17"/>
      <c r="M143" s="135"/>
      <c r="N143" s="136" t="s">
        <v>45</v>
      </c>
      <c r="P143" s="137">
        <f>O143*H143</f>
        <v>0</v>
      </c>
      <c r="Q143" s="137">
        <v>0</v>
      </c>
      <c r="R143" s="137">
        <f>Q143*H143</f>
        <v>0</v>
      </c>
      <c r="S143" s="137">
        <v>0</v>
      </c>
      <c r="T143" s="138">
        <f>S143*H143</f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>IF(N143="základní",J143,0)</f>
        <v>0</v>
      </c>
      <c r="BF143" s="140">
        <f>IF(N143="snížená",J143,0)</f>
        <v>0</v>
      </c>
      <c r="BG143" s="140">
        <f>IF(N143="zákl. přenesená",J143,0)</f>
        <v>0</v>
      </c>
      <c r="BH143" s="140">
        <f>IF(N143="sníž. přenesená",J143,0)</f>
        <v>0</v>
      </c>
      <c r="BI143" s="140">
        <f>IF(N143="nulová",J143,0)</f>
        <v>0</v>
      </c>
      <c r="BJ143" s="2" t="s">
        <v>87</v>
      </c>
      <c r="BK143" s="140">
        <f>ROUND(I143*H143,2)</f>
        <v>0</v>
      </c>
      <c r="BL143" s="2" t="s">
        <v>344</v>
      </c>
      <c r="BM143" s="139" t="s">
        <v>4639</v>
      </c>
    </row>
    <row r="144" spans="2:65" s="16" customFormat="1" ht="24.2" customHeight="1" x14ac:dyDescent="0.2">
      <c r="B144" s="17"/>
      <c r="C144" s="128">
        <v>3</v>
      </c>
      <c r="D144" s="128" t="s">
        <v>339</v>
      </c>
      <c r="E144" s="129" t="s">
        <v>4640</v>
      </c>
      <c r="F144" s="130" t="s">
        <v>4641</v>
      </c>
      <c r="G144" s="131" t="s">
        <v>449</v>
      </c>
      <c r="H144" s="132">
        <v>1</v>
      </c>
      <c r="I144" s="133"/>
      <c r="J144" s="134">
        <f>ROUND(I144*H144,2)</f>
        <v>0</v>
      </c>
      <c r="K144" s="130"/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</v>
      </c>
      <c r="T144" s="138">
        <f>S144*H144</f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344</v>
      </c>
      <c r="BM144" s="139" t="s">
        <v>4642</v>
      </c>
    </row>
    <row r="145" spans="2:65" s="116" customFormat="1" ht="25.9" customHeight="1" x14ac:dyDescent="0.2">
      <c r="B145" s="117"/>
      <c r="D145" s="118" t="s">
        <v>79</v>
      </c>
      <c r="E145" s="119" t="s">
        <v>4643</v>
      </c>
      <c r="F145" s="119" t="s">
        <v>4644</v>
      </c>
      <c r="J145" s="120">
        <f>BK145</f>
        <v>0</v>
      </c>
      <c r="L145" s="117"/>
      <c r="M145" s="121"/>
      <c r="P145" s="122">
        <f>SUM(P146:P179)</f>
        <v>0</v>
      </c>
      <c r="R145" s="122">
        <f>SUM(R146:R179)</f>
        <v>0</v>
      </c>
      <c r="T145" s="123">
        <f>SUM(T146:T179)</f>
        <v>0</v>
      </c>
      <c r="AR145" s="118" t="s">
        <v>87</v>
      </c>
      <c r="AT145" s="124" t="s">
        <v>79</v>
      </c>
      <c r="AU145" s="124" t="s">
        <v>80</v>
      </c>
      <c r="AY145" s="118" t="s">
        <v>337</v>
      </c>
      <c r="BK145" s="125">
        <f>SUM(BK146:BK179)</f>
        <v>0</v>
      </c>
    </row>
    <row r="146" spans="2:65" s="16" customFormat="1" ht="24.2" customHeight="1" x14ac:dyDescent="0.2">
      <c r="B146" s="17"/>
      <c r="C146" s="128">
        <v>4</v>
      </c>
      <c r="D146" s="128" t="s">
        <v>339</v>
      </c>
      <c r="E146" s="129" t="s">
        <v>4645</v>
      </c>
      <c r="F146" s="130" t="s">
        <v>4646</v>
      </c>
      <c r="G146" s="131" t="s">
        <v>449</v>
      </c>
      <c r="H146" s="132">
        <v>5</v>
      </c>
      <c r="I146" s="133"/>
      <c r="J146" s="134">
        <f>ROUND(I146*H146,2)</f>
        <v>0</v>
      </c>
      <c r="K146" s="130"/>
      <c r="L146" s="17"/>
      <c r="M146" s="135"/>
      <c r="N146" s="136" t="s">
        <v>45</v>
      </c>
      <c r="P146" s="137">
        <f>O146*H146</f>
        <v>0</v>
      </c>
      <c r="Q146" s="137">
        <v>0</v>
      </c>
      <c r="R146" s="137">
        <f>Q146*H146</f>
        <v>0</v>
      </c>
      <c r="S146" s="137">
        <v>0</v>
      </c>
      <c r="T146" s="138">
        <f>S146*H146</f>
        <v>0</v>
      </c>
      <c r="AR146" s="139" t="s">
        <v>344</v>
      </c>
      <c r="AT146" s="139" t="s">
        <v>339</v>
      </c>
      <c r="AU146" s="139" t="s">
        <v>87</v>
      </c>
      <c r="AY146" s="2" t="s">
        <v>337</v>
      </c>
      <c r="BE146" s="140">
        <f>IF(N146="základní",J146,0)</f>
        <v>0</v>
      </c>
      <c r="BF146" s="140">
        <f>IF(N146="snížená",J146,0)</f>
        <v>0</v>
      </c>
      <c r="BG146" s="140">
        <f>IF(N146="zákl. přenesená",J146,0)</f>
        <v>0</v>
      </c>
      <c r="BH146" s="140">
        <f>IF(N146="sníž. přenesená",J146,0)</f>
        <v>0</v>
      </c>
      <c r="BI146" s="140">
        <f>IF(N146="nulová",J146,0)</f>
        <v>0</v>
      </c>
      <c r="BJ146" s="2" t="s">
        <v>87</v>
      </c>
      <c r="BK146" s="140">
        <f>ROUND(I146*H146,2)</f>
        <v>0</v>
      </c>
      <c r="BL146" s="2" t="s">
        <v>344</v>
      </c>
      <c r="BM146" s="139" t="s">
        <v>90</v>
      </c>
    </row>
    <row r="147" spans="2:65" s="16" customFormat="1" ht="19.5" x14ac:dyDescent="0.2">
      <c r="B147" s="17"/>
      <c r="D147" s="143" t="s">
        <v>644</v>
      </c>
      <c r="F147" s="179" t="s">
        <v>4636</v>
      </c>
      <c r="L147" s="17"/>
      <c r="M147" s="180"/>
      <c r="T147" s="41"/>
      <c r="AT147" s="2" t="s">
        <v>644</v>
      </c>
      <c r="AU147" s="2" t="s">
        <v>87</v>
      </c>
    </row>
    <row r="148" spans="2:65" s="16" customFormat="1" ht="24.2" customHeight="1" x14ac:dyDescent="0.2">
      <c r="B148" s="17"/>
      <c r="C148" s="128">
        <v>5</v>
      </c>
      <c r="D148" s="128" t="s">
        <v>339</v>
      </c>
      <c r="E148" s="129" t="s">
        <v>4647</v>
      </c>
      <c r="F148" s="130" t="s">
        <v>4648</v>
      </c>
      <c r="G148" s="131" t="s">
        <v>449</v>
      </c>
      <c r="H148" s="132">
        <v>1</v>
      </c>
      <c r="I148" s="133"/>
      <c r="J148" s="134">
        <f t="shared" ref="J148:J179" si="0">ROUND(I148*H148,2)</f>
        <v>0</v>
      </c>
      <c r="K148" s="130"/>
      <c r="L148" s="17"/>
      <c r="M148" s="135"/>
      <c r="N148" s="136" t="s">
        <v>45</v>
      </c>
      <c r="P148" s="137">
        <f t="shared" ref="P148:P179" si="1">O148*H148</f>
        <v>0</v>
      </c>
      <c r="Q148" s="137">
        <v>0</v>
      </c>
      <c r="R148" s="137">
        <f t="shared" ref="R148:R179" si="2">Q148*H148</f>
        <v>0</v>
      </c>
      <c r="S148" s="137">
        <v>0</v>
      </c>
      <c r="T148" s="138">
        <f t="shared" ref="T148:T179" si="3">S148*H148</f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 t="shared" ref="BE148:BE179" si="4">IF(N148="základní",J148,0)</f>
        <v>0</v>
      </c>
      <c r="BF148" s="140">
        <f t="shared" ref="BF148:BF179" si="5">IF(N148="snížená",J148,0)</f>
        <v>0</v>
      </c>
      <c r="BG148" s="140">
        <f t="shared" ref="BG148:BG179" si="6">IF(N148="zákl. přenesená",J148,0)</f>
        <v>0</v>
      </c>
      <c r="BH148" s="140">
        <f t="shared" ref="BH148:BH179" si="7">IF(N148="sníž. přenesená",J148,0)</f>
        <v>0</v>
      </c>
      <c r="BI148" s="140">
        <f t="shared" ref="BI148:BI179" si="8">IF(N148="nulová",J148,0)</f>
        <v>0</v>
      </c>
      <c r="BJ148" s="2" t="s">
        <v>87</v>
      </c>
      <c r="BK148" s="140">
        <f t="shared" ref="BK148:BK179" si="9">ROUND(I148*H148,2)</f>
        <v>0</v>
      </c>
      <c r="BL148" s="2" t="s">
        <v>344</v>
      </c>
      <c r="BM148" s="139" t="s">
        <v>344</v>
      </c>
    </row>
    <row r="149" spans="2:65" s="16" customFormat="1" ht="21.75" customHeight="1" x14ac:dyDescent="0.2">
      <c r="B149" s="17"/>
      <c r="C149" s="128">
        <v>6</v>
      </c>
      <c r="D149" s="128" t="s">
        <v>339</v>
      </c>
      <c r="E149" s="129" t="s">
        <v>4649</v>
      </c>
      <c r="F149" s="130" t="s">
        <v>4650</v>
      </c>
      <c r="G149" s="131" t="s">
        <v>449</v>
      </c>
      <c r="H149" s="132">
        <v>14</v>
      </c>
      <c r="I149" s="133"/>
      <c r="J149" s="134">
        <f t="shared" si="0"/>
        <v>0</v>
      </c>
      <c r="K149" s="130"/>
      <c r="L149" s="17"/>
      <c r="M149" s="135"/>
      <c r="N149" s="136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344</v>
      </c>
      <c r="BM149" s="139" t="s">
        <v>430</v>
      </c>
    </row>
    <row r="150" spans="2:65" s="16" customFormat="1" ht="21.75" customHeight="1" x14ac:dyDescent="0.2">
      <c r="B150" s="17"/>
      <c r="C150" s="128">
        <v>7</v>
      </c>
      <c r="D150" s="128" t="s">
        <v>339</v>
      </c>
      <c r="E150" s="129" t="s">
        <v>4651</v>
      </c>
      <c r="F150" s="130" t="s">
        <v>4652</v>
      </c>
      <c r="G150" s="131" t="s">
        <v>449</v>
      </c>
      <c r="H150" s="132">
        <v>1</v>
      </c>
      <c r="I150" s="133"/>
      <c r="J150" s="134">
        <f t="shared" si="0"/>
        <v>0</v>
      </c>
      <c r="K150" s="130"/>
      <c r="L150" s="17"/>
      <c r="M150" s="135"/>
      <c r="N150" s="136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344</v>
      </c>
      <c r="BM150" s="139" t="s">
        <v>446</v>
      </c>
    </row>
    <row r="151" spans="2:65" s="16" customFormat="1" ht="21.75" customHeight="1" x14ac:dyDescent="0.2">
      <c r="B151" s="17"/>
      <c r="C151" s="128">
        <v>8</v>
      </c>
      <c r="D151" s="128" t="s">
        <v>339</v>
      </c>
      <c r="E151" s="129" t="s">
        <v>4653</v>
      </c>
      <c r="F151" s="130" t="s">
        <v>4654</v>
      </c>
      <c r="G151" s="131" t="s">
        <v>449</v>
      </c>
      <c r="H151" s="132">
        <v>5</v>
      </c>
      <c r="I151" s="133"/>
      <c r="J151" s="134">
        <f t="shared" si="0"/>
        <v>0</v>
      </c>
      <c r="K151" s="130"/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344</v>
      </c>
      <c r="AT151" s="139" t="s">
        <v>339</v>
      </c>
      <c r="AU151" s="139" t="s">
        <v>87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344</v>
      </c>
      <c r="BM151" s="139" t="s">
        <v>457</v>
      </c>
    </row>
    <row r="152" spans="2:65" s="16" customFormat="1" ht="24.2" customHeight="1" x14ac:dyDescent="0.2">
      <c r="B152" s="17"/>
      <c r="C152" s="128">
        <v>9</v>
      </c>
      <c r="D152" s="128" t="s">
        <v>339</v>
      </c>
      <c r="E152" s="129" t="s">
        <v>4655</v>
      </c>
      <c r="F152" s="130" t="s">
        <v>4656</v>
      </c>
      <c r="G152" s="131" t="s">
        <v>449</v>
      </c>
      <c r="H152" s="132">
        <v>2</v>
      </c>
      <c r="I152" s="133"/>
      <c r="J152" s="134">
        <f t="shared" si="0"/>
        <v>0</v>
      </c>
      <c r="K152" s="130"/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344</v>
      </c>
      <c r="BM152" s="139" t="s">
        <v>7</v>
      </c>
    </row>
    <row r="153" spans="2:65" s="16" customFormat="1" ht="24.2" customHeight="1" x14ac:dyDescent="0.2">
      <c r="B153" s="17"/>
      <c r="C153" s="128">
        <v>10</v>
      </c>
      <c r="D153" s="128" t="s">
        <v>339</v>
      </c>
      <c r="E153" s="129" t="s">
        <v>4657</v>
      </c>
      <c r="F153" s="130" t="s">
        <v>4658</v>
      </c>
      <c r="G153" s="131" t="s">
        <v>449</v>
      </c>
      <c r="H153" s="132">
        <v>1</v>
      </c>
      <c r="I153" s="133"/>
      <c r="J153" s="134">
        <f t="shared" si="0"/>
        <v>0</v>
      </c>
      <c r="K153" s="130"/>
      <c r="L153" s="17"/>
      <c r="M153" s="135"/>
      <c r="N153" s="136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</v>
      </c>
      <c r="T153" s="138">
        <f t="shared" si="3"/>
        <v>0</v>
      </c>
      <c r="AR153" s="139" t="s">
        <v>344</v>
      </c>
      <c r="AT153" s="139" t="s">
        <v>339</v>
      </c>
      <c r="AU153" s="139" t="s">
        <v>87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344</v>
      </c>
      <c r="BM153" s="139" t="s">
        <v>480</v>
      </c>
    </row>
    <row r="154" spans="2:65" s="16" customFormat="1" ht="21.75" customHeight="1" x14ac:dyDescent="0.2">
      <c r="B154" s="17"/>
      <c r="C154" s="128">
        <v>11</v>
      </c>
      <c r="D154" s="128" t="s">
        <v>339</v>
      </c>
      <c r="E154" s="129" t="s">
        <v>4659</v>
      </c>
      <c r="F154" s="130" t="s">
        <v>4660</v>
      </c>
      <c r="G154" s="131" t="s">
        <v>449</v>
      </c>
      <c r="H154" s="132">
        <v>1</v>
      </c>
      <c r="I154" s="133"/>
      <c r="J154" s="134">
        <f t="shared" si="0"/>
        <v>0</v>
      </c>
      <c r="K154" s="130"/>
      <c r="L154" s="17"/>
      <c r="M154" s="135"/>
      <c r="N154" s="136" t="s">
        <v>45</v>
      </c>
      <c r="P154" s="137">
        <f t="shared" si="1"/>
        <v>0</v>
      </c>
      <c r="Q154" s="137">
        <v>0</v>
      </c>
      <c r="R154" s="137">
        <f t="shared" si="2"/>
        <v>0</v>
      </c>
      <c r="S154" s="137">
        <v>0</v>
      </c>
      <c r="T154" s="138">
        <f t="shared" si="3"/>
        <v>0</v>
      </c>
      <c r="AR154" s="139" t="s">
        <v>344</v>
      </c>
      <c r="AT154" s="139" t="s">
        <v>339</v>
      </c>
      <c r="AU154" s="139" t="s">
        <v>87</v>
      </c>
      <c r="AY154" s="2" t="s">
        <v>337</v>
      </c>
      <c r="BE154" s="140">
        <f t="shared" si="4"/>
        <v>0</v>
      </c>
      <c r="BF154" s="140">
        <f t="shared" si="5"/>
        <v>0</v>
      </c>
      <c r="BG154" s="140">
        <f t="shared" si="6"/>
        <v>0</v>
      </c>
      <c r="BH154" s="140">
        <f t="shared" si="7"/>
        <v>0</v>
      </c>
      <c r="BI154" s="140">
        <f t="shared" si="8"/>
        <v>0</v>
      </c>
      <c r="BJ154" s="2" t="s">
        <v>87</v>
      </c>
      <c r="BK154" s="140">
        <f t="shared" si="9"/>
        <v>0</v>
      </c>
      <c r="BL154" s="2" t="s">
        <v>344</v>
      </c>
      <c r="BM154" s="139" t="s">
        <v>496</v>
      </c>
    </row>
    <row r="155" spans="2:65" s="16" customFormat="1" ht="21.75" customHeight="1" x14ac:dyDescent="0.2">
      <c r="B155" s="17"/>
      <c r="C155" s="128">
        <v>12</v>
      </c>
      <c r="D155" s="128" t="s">
        <v>339</v>
      </c>
      <c r="E155" s="129" t="s">
        <v>4661</v>
      </c>
      <c r="F155" s="130" t="s">
        <v>4662</v>
      </c>
      <c r="G155" s="131" t="s">
        <v>449</v>
      </c>
      <c r="H155" s="132">
        <v>8</v>
      </c>
      <c r="I155" s="133"/>
      <c r="J155" s="134">
        <f t="shared" si="0"/>
        <v>0</v>
      </c>
      <c r="K155" s="130"/>
      <c r="L155" s="17"/>
      <c r="M155" s="135"/>
      <c r="N155" s="136" t="s">
        <v>45</v>
      </c>
      <c r="P155" s="137">
        <f t="shared" si="1"/>
        <v>0</v>
      </c>
      <c r="Q155" s="137">
        <v>0</v>
      </c>
      <c r="R155" s="137">
        <f t="shared" si="2"/>
        <v>0</v>
      </c>
      <c r="S155" s="137">
        <v>0</v>
      </c>
      <c r="T155" s="138">
        <f t="shared" si="3"/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 t="shared" si="4"/>
        <v>0</v>
      </c>
      <c r="BF155" s="140">
        <f t="shared" si="5"/>
        <v>0</v>
      </c>
      <c r="BG155" s="140">
        <f t="shared" si="6"/>
        <v>0</v>
      </c>
      <c r="BH155" s="140">
        <f t="shared" si="7"/>
        <v>0</v>
      </c>
      <c r="BI155" s="140">
        <f t="shared" si="8"/>
        <v>0</v>
      </c>
      <c r="BJ155" s="2" t="s">
        <v>87</v>
      </c>
      <c r="BK155" s="140">
        <f t="shared" si="9"/>
        <v>0</v>
      </c>
      <c r="BL155" s="2" t="s">
        <v>344</v>
      </c>
      <c r="BM155" s="139" t="s">
        <v>2547</v>
      </c>
    </row>
    <row r="156" spans="2:65" s="16" customFormat="1" ht="21.75" customHeight="1" x14ac:dyDescent="0.2">
      <c r="B156" s="17"/>
      <c r="C156" s="128">
        <v>13</v>
      </c>
      <c r="D156" s="128" t="s">
        <v>339</v>
      </c>
      <c r="E156" s="129" t="s">
        <v>4663</v>
      </c>
      <c r="F156" s="130" t="s">
        <v>4664</v>
      </c>
      <c r="G156" s="131" t="s">
        <v>449</v>
      </c>
      <c r="H156" s="132">
        <v>1</v>
      </c>
      <c r="I156" s="133"/>
      <c r="J156" s="134">
        <f t="shared" si="0"/>
        <v>0</v>
      </c>
      <c r="K156" s="130"/>
      <c r="L156" s="17"/>
      <c r="M156" s="135"/>
      <c r="N156" s="136" t="s">
        <v>45</v>
      </c>
      <c r="P156" s="137">
        <f t="shared" si="1"/>
        <v>0</v>
      </c>
      <c r="Q156" s="137">
        <v>0</v>
      </c>
      <c r="R156" s="137">
        <f t="shared" si="2"/>
        <v>0</v>
      </c>
      <c r="S156" s="137">
        <v>0</v>
      </c>
      <c r="T156" s="138">
        <f t="shared" si="3"/>
        <v>0</v>
      </c>
      <c r="AR156" s="139" t="s">
        <v>344</v>
      </c>
      <c r="AT156" s="139" t="s">
        <v>339</v>
      </c>
      <c r="AU156" s="139" t="s">
        <v>87</v>
      </c>
      <c r="AY156" s="2" t="s">
        <v>337</v>
      </c>
      <c r="BE156" s="140">
        <f t="shared" si="4"/>
        <v>0</v>
      </c>
      <c r="BF156" s="140">
        <f t="shared" si="5"/>
        <v>0</v>
      </c>
      <c r="BG156" s="140">
        <f t="shared" si="6"/>
        <v>0</v>
      </c>
      <c r="BH156" s="140">
        <f t="shared" si="7"/>
        <v>0</v>
      </c>
      <c r="BI156" s="140">
        <f t="shared" si="8"/>
        <v>0</v>
      </c>
      <c r="BJ156" s="2" t="s">
        <v>87</v>
      </c>
      <c r="BK156" s="140">
        <f t="shared" si="9"/>
        <v>0</v>
      </c>
      <c r="BL156" s="2" t="s">
        <v>344</v>
      </c>
      <c r="BM156" s="139" t="s">
        <v>532</v>
      </c>
    </row>
    <row r="157" spans="2:65" s="16" customFormat="1" ht="21.75" customHeight="1" x14ac:dyDescent="0.2">
      <c r="B157" s="17"/>
      <c r="C157" s="128">
        <v>14</v>
      </c>
      <c r="D157" s="128" t="s">
        <v>339</v>
      </c>
      <c r="E157" s="129" t="s">
        <v>4665</v>
      </c>
      <c r="F157" s="130" t="s">
        <v>4666</v>
      </c>
      <c r="G157" s="131" t="s">
        <v>449</v>
      </c>
      <c r="H157" s="132">
        <v>3</v>
      </c>
      <c r="I157" s="133"/>
      <c r="J157" s="134">
        <f t="shared" si="0"/>
        <v>0</v>
      </c>
      <c r="K157" s="130"/>
      <c r="L157" s="17"/>
      <c r="M157" s="135"/>
      <c r="N157" s="136" t="s">
        <v>45</v>
      </c>
      <c r="P157" s="137">
        <f t="shared" si="1"/>
        <v>0</v>
      </c>
      <c r="Q157" s="137">
        <v>0</v>
      </c>
      <c r="R157" s="137">
        <f t="shared" si="2"/>
        <v>0</v>
      </c>
      <c r="S157" s="137">
        <v>0</v>
      </c>
      <c r="T157" s="138">
        <f t="shared" si="3"/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 t="shared" si="4"/>
        <v>0</v>
      </c>
      <c r="BF157" s="140">
        <f t="shared" si="5"/>
        <v>0</v>
      </c>
      <c r="BG157" s="140">
        <f t="shared" si="6"/>
        <v>0</v>
      </c>
      <c r="BH157" s="140">
        <f t="shared" si="7"/>
        <v>0</v>
      </c>
      <c r="BI157" s="140">
        <f t="shared" si="8"/>
        <v>0</v>
      </c>
      <c r="BJ157" s="2" t="s">
        <v>87</v>
      </c>
      <c r="BK157" s="140">
        <f t="shared" si="9"/>
        <v>0</v>
      </c>
      <c r="BL157" s="2" t="s">
        <v>344</v>
      </c>
      <c r="BM157" s="139" t="s">
        <v>543</v>
      </c>
    </row>
    <row r="158" spans="2:65" s="16" customFormat="1" ht="21.75" customHeight="1" x14ac:dyDescent="0.2">
      <c r="B158" s="17"/>
      <c r="C158" s="128">
        <v>15</v>
      </c>
      <c r="D158" s="128" t="s">
        <v>339</v>
      </c>
      <c r="E158" s="129" t="s">
        <v>4667</v>
      </c>
      <c r="F158" s="130" t="s">
        <v>4668</v>
      </c>
      <c r="G158" s="131" t="s">
        <v>449</v>
      </c>
      <c r="H158" s="132">
        <v>2</v>
      </c>
      <c r="I158" s="133"/>
      <c r="J158" s="134">
        <f t="shared" si="0"/>
        <v>0</v>
      </c>
      <c r="K158" s="130"/>
      <c r="L158" s="17"/>
      <c r="M158" s="135"/>
      <c r="N158" s="136" t="s">
        <v>45</v>
      </c>
      <c r="P158" s="137">
        <f t="shared" si="1"/>
        <v>0</v>
      </c>
      <c r="Q158" s="137">
        <v>0</v>
      </c>
      <c r="R158" s="137">
        <f t="shared" si="2"/>
        <v>0</v>
      </c>
      <c r="S158" s="137">
        <v>0</v>
      </c>
      <c r="T158" s="138">
        <f t="shared" si="3"/>
        <v>0</v>
      </c>
      <c r="AR158" s="139" t="s">
        <v>344</v>
      </c>
      <c r="AT158" s="139" t="s">
        <v>339</v>
      </c>
      <c r="AU158" s="139" t="s">
        <v>87</v>
      </c>
      <c r="AY158" s="2" t="s">
        <v>337</v>
      </c>
      <c r="BE158" s="140">
        <f t="shared" si="4"/>
        <v>0</v>
      </c>
      <c r="BF158" s="140">
        <f t="shared" si="5"/>
        <v>0</v>
      </c>
      <c r="BG158" s="140">
        <f t="shared" si="6"/>
        <v>0</v>
      </c>
      <c r="BH158" s="140">
        <f t="shared" si="7"/>
        <v>0</v>
      </c>
      <c r="BI158" s="140">
        <f t="shared" si="8"/>
        <v>0</v>
      </c>
      <c r="BJ158" s="2" t="s">
        <v>87</v>
      </c>
      <c r="BK158" s="140">
        <f t="shared" si="9"/>
        <v>0</v>
      </c>
      <c r="BL158" s="2" t="s">
        <v>344</v>
      </c>
      <c r="BM158" s="139" t="s">
        <v>569</v>
      </c>
    </row>
    <row r="159" spans="2:65" s="16" customFormat="1" ht="24.2" customHeight="1" x14ac:dyDescent="0.2">
      <c r="B159" s="17"/>
      <c r="C159" s="128">
        <v>16</v>
      </c>
      <c r="D159" s="128" t="s">
        <v>339</v>
      </c>
      <c r="E159" s="129" t="s">
        <v>4669</v>
      </c>
      <c r="F159" s="130" t="s">
        <v>4670</v>
      </c>
      <c r="G159" s="131" t="s">
        <v>449</v>
      </c>
      <c r="H159" s="132">
        <v>1</v>
      </c>
      <c r="I159" s="133"/>
      <c r="J159" s="134">
        <f t="shared" si="0"/>
        <v>0</v>
      </c>
      <c r="K159" s="130"/>
      <c r="L159" s="17"/>
      <c r="M159" s="135"/>
      <c r="N159" s="136" t="s">
        <v>45</v>
      </c>
      <c r="P159" s="137">
        <f t="shared" si="1"/>
        <v>0</v>
      </c>
      <c r="Q159" s="137">
        <v>0</v>
      </c>
      <c r="R159" s="137">
        <f t="shared" si="2"/>
        <v>0</v>
      </c>
      <c r="S159" s="137">
        <v>0</v>
      </c>
      <c r="T159" s="138">
        <f t="shared" si="3"/>
        <v>0</v>
      </c>
      <c r="AR159" s="139" t="s">
        <v>344</v>
      </c>
      <c r="AT159" s="139" t="s">
        <v>339</v>
      </c>
      <c r="AU159" s="139" t="s">
        <v>87</v>
      </c>
      <c r="AY159" s="2" t="s">
        <v>337</v>
      </c>
      <c r="BE159" s="140">
        <f t="shared" si="4"/>
        <v>0</v>
      </c>
      <c r="BF159" s="140">
        <f t="shared" si="5"/>
        <v>0</v>
      </c>
      <c r="BG159" s="140">
        <f t="shared" si="6"/>
        <v>0</v>
      </c>
      <c r="BH159" s="140">
        <f t="shared" si="7"/>
        <v>0</v>
      </c>
      <c r="BI159" s="140">
        <f t="shared" si="8"/>
        <v>0</v>
      </c>
      <c r="BJ159" s="2" t="s">
        <v>87</v>
      </c>
      <c r="BK159" s="140">
        <f t="shared" si="9"/>
        <v>0</v>
      </c>
      <c r="BL159" s="2" t="s">
        <v>344</v>
      </c>
      <c r="BM159" s="139" t="s">
        <v>577</v>
      </c>
    </row>
    <row r="160" spans="2:65" s="16" customFormat="1" ht="21.75" customHeight="1" x14ac:dyDescent="0.2">
      <c r="B160" s="17"/>
      <c r="C160" s="128">
        <v>17</v>
      </c>
      <c r="D160" s="128" t="s">
        <v>339</v>
      </c>
      <c r="E160" s="129" t="s">
        <v>4671</v>
      </c>
      <c r="F160" s="130" t="s">
        <v>4672</v>
      </c>
      <c r="G160" s="131" t="s">
        <v>449</v>
      </c>
      <c r="H160" s="132">
        <v>3</v>
      </c>
      <c r="I160" s="133"/>
      <c r="J160" s="134">
        <f t="shared" si="0"/>
        <v>0</v>
      </c>
      <c r="K160" s="130"/>
      <c r="L160" s="17"/>
      <c r="M160" s="135"/>
      <c r="N160" s="136" t="s">
        <v>45</v>
      </c>
      <c r="P160" s="137">
        <f t="shared" si="1"/>
        <v>0</v>
      </c>
      <c r="Q160" s="137">
        <v>0</v>
      </c>
      <c r="R160" s="137">
        <f t="shared" si="2"/>
        <v>0</v>
      </c>
      <c r="S160" s="137">
        <v>0</v>
      </c>
      <c r="T160" s="138">
        <f t="shared" si="3"/>
        <v>0</v>
      </c>
      <c r="AR160" s="139" t="s">
        <v>344</v>
      </c>
      <c r="AT160" s="139" t="s">
        <v>339</v>
      </c>
      <c r="AU160" s="139" t="s">
        <v>87</v>
      </c>
      <c r="AY160" s="2" t="s">
        <v>337</v>
      </c>
      <c r="BE160" s="140">
        <f t="shared" si="4"/>
        <v>0</v>
      </c>
      <c r="BF160" s="140">
        <f t="shared" si="5"/>
        <v>0</v>
      </c>
      <c r="BG160" s="140">
        <f t="shared" si="6"/>
        <v>0</v>
      </c>
      <c r="BH160" s="140">
        <f t="shared" si="7"/>
        <v>0</v>
      </c>
      <c r="BI160" s="140">
        <f t="shared" si="8"/>
        <v>0</v>
      </c>
      <c r="BJ160" s="2" t="s">
        <v>87</v>
      </c>
      <c r="BK160" s="140">
        <f t="shared" si="9"/>
        <v>0</v>
      </c>
      <c r="BL160" s="2" t="s">
        <v>344</v>
      </c>
      <c r="BM160" s="139" t="s">
        <v>591</v>
      </c>
    </row>
    <row r="161" spans="2:65" s="16" customFormat="1" ht="21.75" customHeight="1" x14ac:dyDescent="0.2">
      <c r="B161" s="17"/>
      <c r="C161" s="128">
        <v>18</v>
      </c>
      <c r="D161" s="128" t="s">
        <v>339</v>
      </c>
      <c r="E161" s="129" t="s">
        <v>4673</v>
      </c>
      <c r="F161" s="130" t="s">
        <v>4674</v>
      </c>
      <c r="G161" s="131" t="s">
        <v>449</v>
      </c>
      <c r="H161" s="132">
        <v>4</v>
      </c>
      <c r="I161" s="133"/>
      <c r="J161" s="134">
        <f t="shared" si="0"/>
        <v>0</v>
      </c>
      <c r="K161" s="130"/>
      <c r="L161" s="17"/>
      <c r="M161" s="135"/>
      <c r="N161" s="136" t="s">
        <v>45</v>
      </c>
      <c r="P161" s="137">
        <f t="shared" si="1"/>
        <v>0</v>
      </c>
      <c r="Q161" s="137">
        <v>0</v>
      </c>
      <c r="R161" s="137">
        <f t="shared" si="2"/>
        <v>0</v>
      </c>
      <c r="S161" s="137">
        <v>0</v>
      </c>
      <c r="T161" s="138">
        <f t="shared" si="3"/>
        <v>0</v>
      </c>
      <c r="AR161" s="139" t="s">
        <v>344</v>
      </c>
      <c r="AT161" s="139" t="s">
        <v>339</v>
      </c>
      <c r="AU161" s="139" t="s">
        <v>87</v>
      </c>
      <c r="AY161" s="2" t="s">
        <v>337</v>
      </c>
      <c r="BE161" s="140">
        <f t="shared" si="4"/>
        <v>0</v>
      </c>
      <c r="BF161" s="140">
        <f t="shared" si="5"/>
        <v>0</v>
      </c>
      <c r="BG161" s="140">
        <f t="shared" si="6"/>
        <v>0</v>
      </c>
      <c r="BH161" s="140">
        <f t="shared" si="7"/>
        <v>0</v>
      </c>
      <c r="BI161" s="140">
        <f t="shared" si="8"/>
        <v>0</v>
      </c>
      <c r="BJ161" s="2" t="s">
        <v>87</v>
      </c>
      <c r="BK161" s="140">
        <f t="shared" si="9"/>
        <v>0</v>
      </c>
      <c r="BL161" s="2" t="s">
        <v>344</v>
      </c>
      <c r="BM161" s="139" t="s">
        <v>614</v>
      </c>
    </row>
    <row r="162" spans="2:65" s="16" customFormat="1" ht="24.2" customHeight="1" x14ac:dyDescent="0.2">
      <c r="B162" s="17"/>
      <c r="C162" s="128">
        <v>19</v>
      </c>
      <c r="D162" s="128" t="s">
        <v>339</v>
      </c>
      <c r="E162" s="129" t="s">
        <v>4675</v>
      </c>
      <c r="F162" s="130" t="s">
        <v>4676</v>
      </c>
      <c r="G162" s="131" t="s">
        <v>449</v>
      </c>
      <c r="H162" s="132">
        <v>2</v>
      </c>
      <c r="I162" s="133"/>
      <c r="J162" s="134">
        <f t="shared" si="0"/>
        <v>0</v>
      </c>
      <c r="K162" s="130"/>
      <c r="L162" s="17"/>
      <c r="M162" s="135"/>
      <c r="N162" s="136" t="s">
        <v>45</v>
      </c>
      <c r="P162" s="137">
        <f t="shared" si="1"/>
        <v>0</v>
      </c>
      <c r="Q162" s="137">
        <v>0</v>
      </c>
      <c r="R162" s="137">
        <f t="shared" si="2"/>
        <v>0</v>
      </c>
      <c r="S162" s="137">
        <v>0</v>
      </c>
      <c r="T162" s="138">
        <f t="shared" si="3"/>
        <v>0</v>
      </c>
      <c r="AR162" s="139" t="s">
        <v>344</v>
      </c>
      <c r="AT162" s="139" t="s">
        <v>339</v>
      </c>
      <c r="AU162" s="139" t="s">
        <v>87</v>
      </c>
      <c r="AY162" s="2" t="s">
        <v>337</v>
      </c>
      <c r="BE162" s="140">
        <f t="shared" si="4"/>
        <v>0</v>
      </c>
      <c r="BF162" s="140">
        <f t="shared" si="5"/>
        <v>0</v>
      </c>
      <c r="BG162" s="140">
        <f t="shared" si="6"/>
        <v>0</v>
      </c>
      <c r="BH162" s="140">
        <f t="shared" si="7"/>
        <v>0</v>
      </c>
      <c r="BI162" s="140">
        <f t="shared" si="8"/>
        <v>0</v>
      </c>
      <c r="BJ162" s="2" t="s">
        <v>87</v>
      </c>
      <c r="BK162" s="140">
        <f t="shared" si="9"/>
        <v>0</v>
      </c>
      <c r="BL162" s="2" t="s">
        <v>344</v>
      </c>
      <c r="BM162" s="139" t="s">
        <v>621</v>
      </c>
    </row>
    <row r="163" spans="2:65" s="16" customFormat="1" ht="24.2" customHeight="1" x14ac:dyDescent="0.2">
      <c r="B163" s="17"/>
      <c r="C163" s="128">
        <v>20</v>
      </c>
      <c r="D163" s="128" t="s">
        <v>339</v>
      </c>
      <c r="E163" s="129" t="s">
        <v>4677</v>
      </c>
      <c r="F163" s="130" t="s">
        <v>4678</v>
      </c>
      <c r="G163" s="131" t="s">
        <v>449</v>
      </c>
      <c r="H163" s="132">
        <v>1</v>
      </c>
      <c r="I163" s="133"/>
      <c r="J163" s="134">
        <f t="shared" si="0"/>
        <v>0</v>
      </c>
      <c r="K163" s="130"/>
      <c r="L163" s="17"/>
      <c r="M163" s="135"/>
      <c r="N163" s="136" t="s">
        <v>45</v>
      </c>
      <c r="P163" s="137">
        <f t="shared" si="1"/>
        <v>0</v>
      </c>
      <c r="Q163" s="137">
        <v>0</v>
      </c>
      <c r="R163" s="137">
        <f t="shared" si="2"/>
        <v>0</v>
      </c>
      <c r="S163" s="137">
        <v>0</v>
      </c>
      <c r="T163" s="138">
        <f t="shared" si="3"/>
        <v>0</v>
      </c>
      <c r="AR163" s="139" t="s">
        <v>344</v>
      </c>
      <c r="AT163" s="139" t="s">
        <v>339</v>
      </c>
      <c r="AU163" s="139" t="s">
        <v>87</v>
      </c>
      <c r="AY163" s="2" t="s">
        <v>337</v>
      </c>
      <c r="BE163" s="140">
        <f t="shared" si="4"/>
        <v>0</v>
      </c>
      <c r="BF163" s="140">
        <f t="shared" si="5"/>
        <v>0</v>
      </c>
      <c r="BG163" s="140">
        <f t="shared" si="6"/>
        <v>0</v>
      </c>
      <c r="BH163" s="140">
        <f t="shared" si="7"/>
        <v>0</v>
      </c>
      <c r="BI163" s="140">
        <f t="shared" si="8"/>
        <v>0</v>
      </c>
      <c r="BJ163" s="2" t="s">
        <v>87</v>
      </c>
      <c r="BK163" s="140">
        <f t="shared" si="9"/>
        <v>0</v>
      </c>
      <c r="BL163" s="2" t="s">
        <v>344</v>
      </c>
      <c r="BM163" s="139" t="s">
        <v>637</v>
      </c>
    </row>
    <row r="164" spans="2:65" s="16" customFormat="1" ht="24.2" customHeight="1" x14ac:dyDescent="0.2">
      <c r="B164" s="17"/>
      <c r="C164" s="128">
        <v>21</v>
      </c>
      <c r="D164" s="128" t="s">
        <v>339</v>
      </c>
      <c r="E164" s="129" t="s">
        <v>4679</v>
      </c>
      <c r="F164" s="130" t="s">
        <v>4680</v>
      </c>
      <c r="G164" s="131" t="s">
        <v>449</v>
      </c>
      <c r="H164" s="132">
        <v>4</v>
      </c>
      <c r="I164" s="133"/>
      <c r="J164" s="134">
        <f t="shared" si="0"/>
        <v>0</v>
      </c>
      <c r="K164" s="130"/>
      <c r="L164" s="17"/>
      <c r="M164" s="135"/>
      <c r="N164" s="136" t="s">
        <v>45</v>
      </c>
      <c r="P164" s="137">
        <f t="shared" si="1"/>
        <v>0</v>
      </c>
      <c r="Q164" s="137">
        <v>0</v>
      </c>
      <c r="R164" s="137">
        <f t="shared" si="2"/>
        <v>0</v>
      </c>
      <c r="S164" s="137">
        <v>0</v>
      </c>
      <c r="T164" s="138">
        <f t="shared" si="3"/>
        <v>0</v>
      </c>
      <c r="AR164" s="139" t="s">
        <v>344</v>
      </c>
      <c r="AT164" s="139" t="s">
        <v>339</v>
      </c>
      <c r="AU164" s="139" t="s">
        <v>87</v>
      </c>
      <c r="AY164" s="2" t="s">
        <v>337</v>
      </c>
      <c r="BE164" s="140">
        <f t="shared" si="4"/>
        <v>0</v>
      </c>
      <c r="BF164" s="140">
        <f t="shared" si="5"/>
        <v>0</v>
      </c>
      <c r="BG164" s="140">
        <f t="shared" si="6"/>
        <v>0</v>
      </c>
      <c r="BH164" s="140">
        <f t="shared" si="7"/>
        <v>0</v>
      </c>
      <c r="BI164" s="140">
        <f t="shared" si="8"/>
        <v>0</v>
      </c>
      <c r="BJ164" s="2" t="s">
        <v>87</v>
      </c>
      <c r="BK164" s="140">
        <f t="shared" si="9"/>
        <v>0</v>
      </c>
      <c r="BL164" s="2" t="s">
        <v>344</v>
      </c>
      <c r="BM164" s="139" t="s">
        <v>646</v>
      </c>
    </row>
    <row r="165" spans="2:65" s="16" customFormat="1" ht="24.2" customHeight="1" x14ac:dyDescent="0.2">
      <c r="B165" s="17"/>
      <c r="C165" s="128">
        <v>22</v>
      </c>
      <c r="D165" s="128" t="s">
        <v>339</v>
      </c>
      <c r="E165" s="129" t="s">
        <v>4681</v>
      </c>
      <c r="F165" s="130" t="s">
        <v>4682</v>
      </c>
      <c r="G165" s="131" t="s">
        <v>449</v>
      </c>
      <c r="H165" s="132">
        <v>1</v>
      </c>
      <c r="I165" s="133"/>
      <c r="J165" s="134">
        <f t="shared" si="0"/>
        <v>0</v>
      </c>
      <c r="K165" s="130"/>
      <c r="L165" s="17"/>
      <c r="M165" s="135"/>
      <c r="N165" s="136" t="s">
        <v>45</v>
      </c>
      <c r="P165" s="137">
        <f t="shared" si="1"/>
        <v>0</v>
      </c>
      <c r="Q165" s="137">
        <v>0</v>
      </c>
      <c r="R165" s="137">
        <f t="shared" si="2"/>
        <v>0</v>
      </c>
      <c r="S165" s="137">
        <v>0</v>
      </c>
      <c r="T165" s="138">
        <f t="shared" si="3"/>
        <v>0</v>
      </c>
      <c r="AR165" s="139" t="s">
        <v>344</v>
      </c>
      <c r="AT165" s="139" t="s">
        <v>339</v>
      </c>
      <c r="AU165" s="139" t="s">
        <v>87</v>
      </c>
      <c r="AY165" s="2" t="s">
        <v>337</v>
      </c>
      <c r="BE165" s="140">
        <f t="shared" si="4"/>
        <v>0</v>
      </c>
      <c r="BF165" s="140">
        <f t="shared" si="5"/>
        <v>0</v>
      </c>
      <c r="BG165" s="140">
        <f t="shared" si="6"/>
        <v>0</v>
      </c>
      <c r="BH165" s="140">
        <f t="shared" si="7"/>
        <v>0</v>
      </c>
      <c r="BI165" s="140">
        <f t="shared" si="8"/>
        <v>0</v>
      </c>
      <c r="BJ165" s="2" t="s">
        <v>87</v>
      </c>
      <c r="BK165" s="140">
        <f t="shared" si="9"/>
        <v>0</v>
      </c>
      <c r="BL165" s="2" t="s">
        <v>344</v>
      </c>
      <c r="BM165" s="139" t="s">
        <v>658</v>
      </c>
    </row>
    <row r="166" spans="2:65" s="16" customFormat="1" ht="24.2" customHeight="1" x14ac:dyDescent="0.2">
      <c r="B166" s="17"/>
      <c r="C166" s="128">
        <v>23</v>
      </c>
      <c r="D166" s="128" t="s">
        <v>339</v>
      </c>
      <c r="E166" s="129" t="s">
        <v>4683</v>
      </c>
      <c r="F166" s="130" t="s">
        <v>4684</v>
      </c>
      <c r="G166" s="131" t="s">
        <v>449</v>
      </c>
      <c r="H166" s="132">
        <v>1</v>
      </c>
      <c r="I166" s="133"/>
      <c r="J166" s="134">
        <f t="shared" si="0"/>
        <v>0</v>
      </c>
      <c r="K166" s="130"/>
      <c r="L166" s="17"/>
      <c r="M166" s="135"/>
      <c r="N166" s="136" t="s">
        <v>45</v>
      </c>
      <c r="P166" s="137">
        <f t="shared" si="1"/>
        <v>0</v>
      </c>
      <c r="Q166" s="137">
        <v>0</v>
      </c>
      <c r="R166" s="137">
        <f t="shared" si="2"/>
        <v>0</v>
      </c>
      <c r="S166" s="137">
        <v>0</v>
      </c>
      <c r="T166" s="138">
        <f t="shared" si="3"/>
        <v>0</v>
      </c>
      <c r="AR166" s="139" t="s">
        <v>344</v>
      </c>
      <c r="AT166" s="139" t="s">
        <v>339</v>
      </c>
      <c r="AU166" s="139" t="s">
        <v>87</v>
      </c>
      <c r="AY166" s="2" t="s">
        <v>337</v>
      </c>
      <c r="BE166" s="140">
        <f t="shared" si="4"/>
        <v>0</v>
      </c>
      <c r="BF166" s="140">
        <f t="shared" si="5"/>
        <v>0</v>
      </c>
      <c r="BG166" s="140">
        <f t="shared" si="6"/>
        <v>0</v>
      </c>
      <c r="BH166" s="140">
        <f t="shared" si="7"/>
        <v>0</v>
      </c>
      <c r="BI166" s="140">
        <f t="shared" si="8"/>
        <v>0</v>
      </c>
      <c r="BJ166" s="2" t="s">
        <v>87</v>
      </c>
      <c r="BK166" s="140">
        <f t="shared" si="9"/>
        <v>0</v>
      </c>
      <c r="BL166" s="2" t="s">
        <v>344</v>
      </c>
      <c r="BM166" s="139" t="s">
        <v>685</v>
      </c>
    </row>
    <row r="167" spans="2:65" s="16" customFormat="1" ht="24.2" customHeight="1" x14ac:dyDescent="0.2">
      <c r="B167" s="17"/>
      <c r="C167" s="128">
        <v>24</v>
      </c>
      <c r="D167" s="128" t="s">
        <v>339</v>
      </c>
      <c r="E167" s="129" t="s">
        <v>4685</v>
      </c>
      <c r="F167" s="130" t="s">
        <v>4686</v>
      </c>
      <c r="G167" s="131" t="s">
        <v>449</v>
      </c>
      <c r="H167" s="132">
        <v>1</v>
      </c>
      <c r="I167" s="133"/>
      <c r="J167" s="134">
        <f t="shared" si="0"/>
        <v>0</v>
      </c>
      <c r="K167" s="130"/>
      <c r="L167" s="17"/>
      <c r="M167" s="135"/>
      <c r="N167" s="136" t="s">
        <v>45</v>
      </c>
      <c r="P167" s="137">
        <f t="shared" si="1"/>
        <v>0</v>
      </c>
      <c r="Q167" s="137">
        <v>0</v>
      </c>
      <c r="R167" s="137">
        <f t="shared" si="2"/>
        <v>0</v>
      </c>
      <c r="S167" s="137">
        <v>0</v>
      </c>
      <c r="T167" s="138">
        <f t="shared" si="3"/>
        <v>0</v>
      </c>
      <c r="AR167" s="139" t="s">
        <v>344</v>
      </c>
      <c r="AT167" s="139" t="s">
        <v>339</v>
      </c>
      <c r="AU167" s="139" t="s">
        <v>87</v>
      </c>
      <c r="AY167" s="2" t="s">
        <v>337</v>
      </c>
      <c r="BE167" s="140">
        <f t="shared" si="4"/>
        <v>0</v>
      </c>
      <c r="BF167" s="140">
        <f t="shared" si="5"/>
        <v>0</v>
      </c>
      <c r="BG167" s="140">
        <f t="shared" si="6"/>
        <v>0</v>
      </c>
      <c r="BH167" s="140">
        <f t="shared" si="7"/>
        <v>0</v>
      </c>
      <c r="BI167" s="140">
        <f t="shared" si="8"/>
        <v>0</v>
      </c>
      <c r="BJ167" s="2" t="s">
        <v>87</v>
      </c>
      <c r="BK167" s="140">
        <f t="shared" si="9"/>
        <v>0</v>
      </c>
      <c r="BL167" s="2" t="s">
        <v>344</v>
      </c>
      <c r="BM167" s="139" t="s">
        <v>699</v>
      </c>
    </row>
    <row r="168" spans="2:65" s="16" customFormat="1" ht="24.2" customHeight="1" x14ac:dyDescent="0.2">
      <c r="B168" s="17"/>
      <c r="C168" s="128">
        <v>25</v>
      </c>
      <c r="D168" s="128" t="s">
        <v>339</v>
      </c>
      <c r="E168" s="129" t="s">
        <v>4687</v>
      </c>
      <c r="F168" s="130" t="s">
        <v>4688</v>
      </c>
      <c r="G168" s="131" t="s">
        <v>449</v>
      </c>
      <c r="H168" s="132">
        <v>2</v>
      </c>
      <c r="I168" s="133"/>
      <c r="J168" s="134">
        <f t="shared" si="0"/>
        <v>0</v>
      </c>
      <c r="K168" s="130"/>
      <c r="L168" s="17"/>
      <c r="M168" s="135"/>
      <c r="N168" s="136" t="s">
        <v>45</v>
      </c>
      <c r="P168" s="137">
        <f t="shared" si="1"/>
        <v>0</v>
      </c>
      <c r="Q168" s="137">
        <v>0</v>
      </c>
      <c r="R168" s="137">
        <f t="shared" si="2"/>
        <v>0</v>
      </c>
      <c r="S168" s="137">
        <v>0</v>
      </c>
      <c r="T168" s="138">
        <f t="shared" si="3"/>
        <v>0</v>
      </c>
      <c r="AR168" s="139" t="s">
        <v>344</v>
      </c>
      <c r="AT168" s="139" t="s">
        <v>339</v>
      </c>
      <c r="AU168" s="139" t="s">
        <v>87</v>
      </c>
      <c r="AY168" s="2" t="s">
        <v>337</v>
      </c>
      <c r="BE168" s="140">
        <f t="shared" si="4"/>
        <v>0</v>
      </c>
      <c r="BF168" s="140">
        <f t="shared" si="5"/>
        <v>0</v>
      </c>
      <c r="BG168" s="140">
        <f t="shared" si="6"/>
        <v>0</v>
      </c>
      <c r="BH168" s="140">
        <f t="shared" si="7"/>
        <v>0</v>
      </c>
      <c r="BI168" s="140">
        <f t="shared" si="8"/>
        <v>0</v>
      </c>
      <c r="BJ168" s="2" t="s">
        <v>87</v>
      </c>
      <c r="BK168" s="140">
        <f t="shared" si="9"/>
        <v>0</v>
      </c>
      <c r="BL168" s="2" t="s">
        <v>344</v>
      </c>
      <c r="BM168" s="139" t="s">
        <v>708</v>
      </c>
    </row>
    <row r="169" spans="2:65" s="16" customFormat="1" ht="24.2" customHeight="1" x14ac:dyDescent="0.2">
      <c r="B169" s="17"/>
      <c r="C169" s="128">
        <v>26</v>
      </c>
      <c r="D169" s="128" t="s">
        <v>339</v>
      </c>
      <c r="E169" s="129" t="s">
        <v>4689</v>
      </c>
      <c r="F169" s="130" t="s">
        <v>4690</v>
      </c>
      <c r="G169" s="131" t="s">
        <v>449</v>
      </c>
      <c r="H169" s="132">
        <v>5</v>
      </c>
      <c r="I169" s="133"/>
      <c r="J169" s="134">
        <f t="shared" si="0"/>
        <v>0</v>
      </c>
      <c r="K169" s="130"/>
      <c r="L169" s="17"/>
      <c r="M169" s="135"/>
      <c r="N169" s="136" t="s">
        <v>45</v>
      </c>
      <c r="P169" s="137">
        <f t="shared" si="1"/>
        <v>0</v>
      </c>
      <c r="Q169" s="137">
        <v>0</v>
      </c>
      <c r="R169" s="137">
        <f t="shared" si="2"/>
        <v>0</v>
      </c>
      <c r="S169" s="137">
        <v>0</v>
      </c>
      <c r="T169" s="138">
        <f t="shared" si="3"/>
        <v>0</v>
      </c>
      <c r="AR169" s="139" t="s">
        <v>344</v>
      </c>
      <c r="AT169" s="139" t="s">
        <v>339</v>
      </c>
      <c r="AU169" s="139" t="s">
        <v>87</v>
      </c>
      <c r="AY169" s="2" t="s">
        <v>337</v>
      </c>
      <c r="BE169" s="140">
        <f t="shared" si="4"/>
        <v>0</v>
      </c>
      <c r="BF169" s="140">
        <f t="shared" si="5"/>
        <v>0</v>
      </c>
      <c r="BG169" s="140">
        <f t="shared" si="6"/>
        <v>0</v>
      </c>
      <c r="BH169" s="140">
        <f t="shared" si="7"/>
        <v>0</v>
      </c>
      <c r="BI169" s="140">
        <f t="shared" si="8"/>
        <v>0</v>
      </c>
      <c r="BJ169" s="2" t="s">
        <v>87</v>
      </c>
      <c r="BK169" s="140">
        <f t="shared" si="9"/>
        <v>0</v>
      </c>
      <c r="BL169" s="2" t="s">
        <v>344</v>
      </c>
      <c r="BM169" s="139" t="s">
        <v>733</v>
      </c>
    </row>
    <row r="170" spans="2:65" s="16" customFormat="1" ht="24.2" customHeight="1" x14ac:dyDescent="0.2">
      <c r="B170" s="17"/>
      <c r="C170" s="128">
        <v>27</v>
      </c>
      <c r="D170" s="128" t="s">
        <v>339</v>
      </c>
      <c r="E170" s="129" t="s">
        <v>4691</v>
      </c>
      <c r="F170" s="130" t="s">
        <v>4692</v>
      </c>
      <c r="G170" s="131" t="s">
        <v>449</v>
      </c>
      <c r="H170" s="132">
        <v>1</v>
      </c>
      <c r="I170" s="133"/>
      <c r="J170" s="134">
        <f t="shared" si="0"/>
        <v>0</v>
      </c>
      <c r="K170" s="130"/>
      <c r="L170" s="17"/>
      <c r="M170" s="135"/>
      <c r="N170" s="136" t="s">
        <v>45</v>
      </c>
      <c r="P170" s="137">
        <f t="shared" si="1"/>
        <v>0</v>
      </c>
      <c r="Q170" s="137">
        <v>0</v>
      </c>
      <c r="R170" s="137">
        <f t="shared" si="2"/>
        <v>0</v>
      </c>
      <c r="S170" s="137">
        <v>0</v>
      </c>
      <c r="T170" s="138">
        <f t="shared" si="3"/>
        <v>0</v>
      </c>
      <c r="AR170" s="139" t="s">
        <v>344</v>
      </c>
      <c r="AT170" s="139" t="s">
        <v>339</v>
      </c>
      <c r="AU170" s="139" t="s">
        <v>87</v>
      </c>
      <c r="AY170" s="2" t="s">
        <v>337</v>
      </c>
      <c r="BE170" s="140">
        <f t="shared" si="4"/>
        <v>0</v>
      </c>
      <c r="BF170" s="140">
        <f t="shared" si="5"/>
        <v>0</v>
      </c>
      <c r="BG170" s="140">
        <f t="shared" si="6"/>
        <v>0</v>
      </c>
      <c r="BH170" s="140">
        <f t="shared" si="7"/>
        <v>0</v>
      </c>
      <c r="BI170" s="140">
        <f t="shared" si="8"/>
        <v>0</v>
      </c>
      <c r="BJ170" s="2" t="s">
        <v>87</v>
      </c>
      <c r="BK170" s="140">
        <f t="shared" si="9"/>
        <v>0</v>
      </c>
      <c r="BL170" s="2" t="s">
        <v>344</v>
      </c>
      <c r="BM170" s="139" t="s">
        <v>748</v>
      </c>
    </row>
    <row r="171" spans="2:65" s="16" customFormat="1" ht="24.2" customHeight="1" x14ac:dyDescent="0.2">
      <c r="B171" s="17"/>
      <c r="C171" s="128">
        <v>28</v>
      </c>
      <c r="D171" s="128" t="s">
        <v>339</v>
      </c>
      <c r="E171" s="129" t="s">
        <v>4693</v>
      </c>
      <c r="F171" s="130" t="s">
        <v>4694</v>
      </c>
      <c r="G171" s="131" t="s">
        <v>449</v>
      </c>
      <c r="H171" s="132">
        <v>2</v>
      </c>
      <c r="I171" s="133"/>
      <c r="J171" s="134">
        <f t="shared" si="0"/>
        <v>0</v>
      </c>
      <c r="K171" s="130"/>
      <c r="L171" s="17"/>
      <c r="M171" s="135"/>
      <c r="N171" s="136" t="s">
        <v>45</v>
      </c>
      <c r="P171" s="137">
        <f t="shared" si="1"/>
        <v>0</v>
      </c>
      <c r="Q171" s="137">
        <v>0</v>
      </c>
      <c r="R171" s="137">
        <f t="shared" si="2"/>
        <v>0</v>
      </c>
      <c r="S171" s="137">
        <v>0</v>
      </c>
      <c r="T171" s="138">
        <f t="shared" si="3"/>
        <v>0</v>
      </c>
      <c r="AR171" s="139" t="s">
        <v>344</v>
      </c>
      <c r="AT171" s="139" t="s">
        <v>339</v>
      </c>
      <c r="AU171" s="139" t="s">
        <v>87</v>
      </c>
      <c r="AY171" s="2" t="s">
        <v>337</v>
      </c>
      <c r="BE171" s="140">
        <f t="shared" si="4"/>
        <v>0</v>
      </c>
      <c r="BF171" s="140">
        <f t="shared" si="5"/>
        <v>0</v>
      </c>
      <c r="BG171" s="140">
        <f t="shared" si="6"/>
        <v>0</v>
      </c>
      <c r="BH171" s="140">
        <f t="shared" si="7"/>
        <v>0</v>
      </c>
      <c r="BI171" s="140">
        <f t="shared" si="8"/>
        <v>0</v>
      </c>
      <c r="BJ171" s="2" t="s">
        <v>87</v>
      </c>
      <c r="BK171" s="140">
        <f t="shared" si="9"/>
        <v>0</v>
      </c>
      <c r="BL171" s="2" t="s">
        <v>344</v>
      </c>
      <c r="BM171" s="139" t="s">
        <v>762</v>
      </c>
    </row>
    <row r="172" spans="2:65" s="16" customFormat="1" ht="24.2" customHeight="1" x14ac:dyDescent="0.2">
      <c r="B172" s="17"/>
      <c r="C172" s="128">
        <v>29</v>
      </c>
      <c r="D172" s="128" t="s">
        <v>339</v>
      </c>
      <c r="E172" s="129" t="s">
        <v>4695</v>
      </c>
      <c r="F172" s="130" t="s">
        <v>4696</v>
      </c>
      <c r="G172" s="131" t="s">
        <v>449</v>
      </c>
      <c r="H172" s="132">
        <v>3</v>
      </c>
      <c r="I172" s="133"/>
      <c r="J172" s="134">
        <f t="shared" si="0"/>
        <v>0</v>
      </c>
      <c r="K172" s="130"/>
      <c r="L172" s="17"/>
      <c r="M172" s="135"/>
      <c r="N172" s="136" t="s">
        <v>45</v>
      </c>
      <c r="P172" s="137">
        <f t="shared" si="1"/>
        <v>0</v>
      </c>
      <c r="Q172" s="137">
        <v>0</v>
      </c>
      <c r="R172" s="137">
        <f t="shared" si="2"/>
        <v>0</v>
      </c>
      <c r="S172" s="137">
        <v>0</v>
      </c>
      <c r="T172" s="138">
        <f t="shared" si="3"/>
        <v>0</v>
      </c>
      <c r="AR172" s="139" t="s">
        <v>344</v>
      </c>
      <c r="AT172" s="139" t="s">
        <v>339</v>
      </c>
      <c r="AU172" s="139" t="s">
        <v>87</v>
      </c>
      <c r="AY172" s="2" t="s">
        <v>337</v>
      </c>
      <c r="BE172" s="140">
        <f t="shared" si="4"/>
        <v>0</v>
      </c>
      <c r="BF172" s="140">
        <f t="shared" si="5"/>
        <v>0</v>
      </c>
      <c r="BG172" s="140">
        <f t="shared" si="6"/>
        <v>0</v>
      </c>
      <c r="BH172" s="140">
        <f t="shared" si="7"/>
        <v>0</v>
      </c>
      <c r="BI172" s="140">
        <f t="shared" si="8"/>
        <v>0</v>
      </c>
      <c r="BJ172" s="2" t="s">
        <v>87</v>
      </c>
      <c r="BK172" s="140">
        <f t="shared" si="9"/>
        <v>0</v>
      </c>
      <c r="BL172" s="2" t="s">
        <v>344</v>
      </c>
      <c r="BM172" s="139" t="s">
        <v>774</v>
      </c>
    </row>
    <row r="173" spans="2:65" s="16" customFormat="1" ht="24.2" customHeight="1" x14ac:dyDescent="0.2">
      <c r="B173" s="17"/>
      <c r="C173" s="128">
        <v>30</v>
      </c>
      <c r="D173" s="128" t="s">
        <v>339</v>
      </c>
      <c r="E173" s="129" t="s">
        <v>4697</v>
      </c>
      <c r="F173" s="130" t="s">
        <v>4698</v>
      </c>
      <c r="G173" s="131" t="s">
        <v>449</v>
      </c>
      <c r="H173" s="132">
        <v>15</v>
      </c>
      <c r="I173" s="133"/>
      <c r="J173" s="134">
        <f t="shared" si="0"/>
        <v>0</v>
      </c>
      <c r="K173" s="130"/>
      <c r="L173" s="17"/>
      <c r="M173" s="135"/>
      <c r="N173" s="136" t="s">
        <v>45</v>
      </c>
      <c r="P173" s="137">
        <f t="shared" si="1"/>
        <v>0</v>
      </c>
      <c r="Q173" s="137">
        <v>0</v>
      </c>
      <c r="R173" s="137">
        <f t="shared" si="2"/>
        <v>0</v>
      </c>
      <c r="S173" s="137">
        <v>0</v>
      </c>
      <c r="T173" s="138">
        <f t="shared" si="3"/>
        <v>0</v>
      </c>
      <c r="AR173" s="139" t="s">
        <v>344</v>
      </c>
      <c r="AT173" s="139" t="s">
        <v>339</v>
      </c>
      <c r="AU173" s="139" t="s">
        <v>87</v>
      </c>
      <c r="AY173" s="2" t="s">
        <v>337</v>
      </c>
      <c r="BE173" s="140">
        <f t="shared" si="4"/>
        <v>0</v>
      </c>
      <c r="BF173" s="140">
        <f t="shared" si="5"/>
        <v>0</v>
      </c>
      <c r="BG173" s="140">
        <f t="shared" si="6"/>
        <v>0</v>
      </c>
      <c r="BH173" s="140">
        <f t="shared" si="7"/>
        <v>0</v>
      </c>
      <c r="BI173" s="140">
        <f t="shared" si="8"/>
        <v>0</v>
      </c>
      <c r="BJ173" s="2" t="s">
        <v>87</v>
      </c>
      <c r="BK173" s="140">
        <f t="shared" si="9"/>
        <v>0</v>
      </c>
      <c r="BL173" s="2" t="s">
        <v>344</v>
      </c>
      <c r="BM173" s="139" t="s">
        <v>788</v>
      </c>
    </row>
    <row r="174" spans="2:65" s="16" customFormat="1" ht="24.2" customHeight="1" x14ac:dyDescent="0.2">
      <c r="B174" s="17"/>
      <c r="C174" s="128">
        <v>31</v>
      </c>
      <c r="D174" s="128" t="s">
        <v>339</v>
      </c>
      <c r="E174" s="129" t="s">
        <v>4699</v>
      </c>
      <c r="F174" s="130" t="s">
        <v>4700</v>
      </c>
      <c r="G174" s="131" t="s">
        <v>449</v>
      </c>
      <c r="H174" s="132">
        <v>10</v>
      </c>
      <c r="I174" s="133"/>
      <c r="J174" s="134">
        <f t="shared" si="0"/>
        <v>0</v>
      </c>
      <c r="K174" s="130"/>
      <c r="L174" s="17"/>
      <c r="M174" s="135"/>
      <c r="N174" s="136" t="s">
        <v>45</v>
      </c>
      <c r="P174" s="137">
        <f t="shared" si="1"/>
        <v>0</v>
      </c>
      <c r="Q174" s="137">
        <v>0</v>
      </c>
      <c r="R174" s="137">
        <f t="shared" si="2"/>
        <v>0</v>
      </c>
      <c r="S174" s="137">
        <v>0</v>
      </c>
      <c r="T174" s="138">
        <f t="shared" si="3"/>
        <v>0</v>
      </c>
      <c r="AR174" s="139" t="s">
        <v>344</v>
      </c>
      <c r="AT174" s="139" t="s">
        <v>339</v>
      </c>
      <c r="AU174" s="139" t="s">
        <v>87</v>
      </c>
      <c r="AY174" s="2" t="s">
        <v>337</v>
      </c>
      <c r="BE174" s="140">
        <f t="shared" si="4"/>
        <v>0</v>
      </c>
      <c r="BF174" s="140">
        <f t="shared" si="5"/>
        <v>0</v>
      </c>
      <c r="BG174" s="140">
        <f t="shared" si="6"/>
        <v>0</v>
      </c>
      <c r="BH174" s="140">
        <f t="shared" si="7"/>
        <v>0</v>
      </c>
      <c r="BI174" s="140">
        <f t="shared" si="8"/>
        <v>0</v>
      </c>
      <c r="BJ174" s="2" t="s">
        <v>87</v>
      </c>
      <c r="BK174" s="140">
        <f t="shared" si="9"/>
        <v>0</v>
      </c>
      <c r="BL174" s="2" t="s">
        <v>344</v>
      </c>
      <c r="BM174" s="139" t="s">
        <v>797</v>
      </c>
    </row>
    <row r="175" spans="2:65" s="16" customFormat="1" ht="41.25" customHeight="1" x14ac:dyDescent="0.2">
      <c r="B175" s="17"/>
      <c r="C175" s="128">
        <v>32</v>
      </c>
      <c r="D175" s="128" t="s">
        <v>339</v>
      </c>
      <c r="E175" s="129" t="s">
        <v>4701</v>
      </c>
      <c r="F175" s="291" t="s">
        <v>9275</v>
      </c>
      <c r="G175" s="131" t="s">
        <v>449</v>
      </c>
      <c r="H175" s="132">
        <v>1</v>
      </c>
      <c r="I175" s="133"/>
      <c r="J175" s="134">
        <f t="shared" si="0"/>
        <v>0</v>
      </c>
      <c r="K175" s="130"/>
      <c r="L175" s="293" t="s">
        <v>9273</v>
      </c>
      <c r="M175" s="135"/>
      <c r="N175" s="136" t="s">
        <v>45</v>
      </c>
      <c r="P175" s="137">
        <f t="shared" si="1"/>
        <v>0</v>
      </c>
      <c r="Q175" s="137">
        <v>0</v>
      </c>
      <c r="R175" s="137">
        <f t="shared" si="2"/>
        <v>0</v>
      </c>
      <c r="S175" s="137">
        <v>0</v>
      </c>
      <c r="T175" s="138">
        <f t="shared" si="3"/>
        <v>0</v>
      </c>
      <c r="AR175" s="139" t="s">
        <v>344</v>
      </c>
      <c r="AT175" s="139" t="s">
        <v>339</v>
      </c>
      <c r="AU175" s="139" t="s">
        <v>87</v>
      </c>
      <c r="AY175" s="2" t="s">
        <v>337</v>
      </c>
      <c r="BE175" s="140">
        <f t="shared" si="4"/>
        <v>0</v>
      </c>
      <c r="BF175" s="140">
        <f t="shared" si="5"/>
        <v>0</v>
      </c>
      <c r="BG175" s="140">
        <f t="shared" si="6"/>
        <v>0</v>
      </c>
      <c r="BH175" s="140">
        <f t="shared" si="7"/>
        <v>0</v>
      </c>
      <c r="BI175" s="140">
        <f t="shared" si="8"/>
        <v>0</v>
      </c>
      <c r="BJ175" s="2" t="s">
        <v>87</v>
      </c>
      <c r="BK175" s="140">
        <f t="shared" si="9"/>
        <v>0</v>
      </c>
      <c r="BL175" s="2" t="s">
        <v>344</v>
      </c>
      <c r="BM175" s="139" t="s">
        <v>807</v>
      </c>
    </row>
    <row r="176" spans="2:65" s="16" customFormat="1" ht="41.25" customHeight="1" x14ac:dyDescent="0.2">
      <c r="B176" s="17"/>
      <c r="C176" s="128">
        <v>33</v>
      </c>
      <c r="D176" s="128" t="s">
        <v>339</v>
      </c>
      <c r="E176" s="129" t="s">
        <v>4702</v>
      </c>
      <c r="F176" s="291" t="s">
        <v>9274</v>
      </c>
      <c r="G176" s="131" t="s">
        <v>449</v>
      </c>
      <c r="H176" s="132">
        <v>1</v>
      </c>
      <c r="I176" s="133"/>
      <c r="J176" s="134">
        <f t="shared" si="0"/>
        <v>0</v>
      </c>
      <c r="K176" s="130"/>
      <c r="L176" s="293" t="s">
        <v>9273</v>
      </c>
      <c r="M176" s="135"/>
      <c r="N176" s="136" t="s">
        <v>45</v>
      </c>
      <c r="P176" s="137">
        <f t="shared" si="1"/>
        <v>0</v>
      </c>
      <c r="Q176" s="137">
        <v>0</v>
      </c>
      <c r="R176" s="137">
        <f t="shared" si="2"/>
        <v>0</v>
      </c>
      <c r="S176" s="137">
        <v>0</v>
      </c>
      <c r="T176" s="138">
        <f t="shared" si="3"/>
        <v>0</v>
      </c>
      <c r="AR176" s="139" t="s">
        <v>344</v>
      </c>
      <c r="AT176" s="139" t="s">
        <v>339</v>
      </c>
      <c r="AU176" s="139" t="s">
        <v>87</v>
      </c>
      <c r="AY176" s="2" t="s">
        <v>337</v>
      </c>
      <c r="BE176" s="140">
        <f t="shared" si="4"/>
        <v>0</v>
      </c>
      <c r="BF176" s="140">
        <f t="shared" si="5"/>
        <v>0</v>
      </c>
      <c r="BG176" s="140">
        <f t="shared" si="6"/>
        <v>0</v>
      </c>
      <c r="BH176" s="140">
        <f t="shared" si="7"/>
        <v>0</v>
      </c>
      <c r="BI176" s="140">
        <f t="shared" si="8"/>
        <v>0</v>
      </c>
      <c r="BJ176" s="2" t="s">
        <v>87</v>
      </c>
      <c r="BK176" s="140">
        <f t="shared" si="9"/>
        <v>0</v>
      </c>
      <c r="BL176" s="2" t="s">
        <v>344</v>
      </c>
      <c r="BM176" s="139" t="s">
        <v>818</v>
      </c>
    </row>
    <row r="177" spans="2:65" s="16" customFormat="1" ht="24.2" customHeight="1" x14ac:dyDescent="0.2">
      <c r="B177" s="17"/>
      <c r="C177" s="128">
        <v>34</v>
      </c>
      <c r="D177" s="128" t="s">
        <v>339</v>
      </c>
      <c r="E177" s="129" t="s">
        <v>4703</v>
      </c>
      <c r="F177" s="130" t="s">
        <v>4704</v>
      </c>
      <c r="G177" s="131" t="s">
        <v>449</v>
      </c>
      <c r="H177" s="132">
        <v>2</v>
      </c>
      <c r="I177" s="133"/>
      <c r="J177" s="134">
        <f t="shared" si="0"/>
        <v>0</v>
      </c>
      <c r="K177" s="130"/>
      <c r="L177" s="17"/>
      <c r="M177" s="135"/>
      <c r="N177" s="136" t="s">
        <v>45</v>
      </c>
      <c r="P177" s="137">
        <f t="shared" si="1"/>
        <v>0</v>
      </c>
      <c r="Q177" s="137">
        <v>0</v>
      </c>
      <c r="R177" s="137">
        <f t="shared" si="2"/>
        <v>0</v>
      </c>
      <c r="S177" s="137">
        <v>0</v>
      </c>
      <c r="T177" s="138">
        <f t="shared" si="3"/>
        <v>0</v>
      </c>
      <c r="AR177" s="139" t="s">
        <v>344</v>
      </c>
      <c r="AT177" s="139" t="s">
        <v>339</v>
      </c>
      <c r="AU177" s="139" t="s">
        <v>87</v>
      </c>
      <c r="AY177" s="2" t="s">
        <v>337</v>
      </c>
      <c r="BE177" s="140">
        <f t="shared" si="4"/>
        <v>0</v>
      </c>
      <c r="BF177" s="140">
        <f t="shared" si="5"/>
        <v>0</v>
      </c>
      <c r="BG177" s="140">
        <f t="shared" si="6"/>
        <v>0</v>
      </c>
      <c r="BH177" s="140">
        <f t="shared" si="7"/>
        <v>0</v>
      </c>
      <c r="BI177" s="140">
        <f t="shared" si="8"/>
        <v>0</v>
      </c>
      <c r="BJ177" s="2" t="s">
        <v>87</v>
      </c>
      <c r="BK177" s="140">
        <f t="shared" si="9"/>
        <v>0</v>
      </c>
      <c r="BL177" s="2" t="s">
        <v>344</v>
      </c>
      <c r="BM177" s="139" t="s">
        <v>829</v>
      </c>
    </row>
    <row r="178" spans="2:65" s="16" customFormat="1" ht="33" customHeight="1" x14ac:dyDescent="0.2">
      <c r="B178" s="17"/>
      <c r="C178" s="128">
        <v>35</v>
      </c>
      <c r="D178" s="128" t="s">
        <v>339</v>
      </c>
      <c r="E178" s="129" t="s">
        <v>4705</v>
      </c>
      <c r="F178" s="130" t="s">
        <v>4706</v>
      </c>
      <c r="G178" s="131" t="s">
        <v>449</v>
      </c>
      <c r="H178" s="132">
        <v>66</v>
      </c>
      <c r="I178" s="133"/>
      <c r="J178" s="134">
        <f t="shared" si="0"/>
        <v>0</v>
      </c>
      <c r="K178" s="130"/>
      <c r="L178" s="17"/>
      <c r="M178" s="135"/>
      <c r="N178" s="136" t="s">
        <v>45</v>
      </c>
      <c r="P178" s="137">
        <f t="shared" si="1"/>
        <v>0</v>
      </c>
      <c r="Q178" s="137">
        <v>0</v>
      </c>
      <c r="R178" s="137">
        <f t="shared" si="2"/>
        <v>0</v>
      </c>
      <c r="S178" s="137">
        <v>0</v>
      </c>
      <c r="T178" s="138">
        <f t="shared" si="3"/>
        <v>0</v>
      </c>
      <c r="AR178" s="139" t="s">
        <v>344</v>
      </c>
      <c r="AT178" s="139" t="s">
        <v>339</v>
      </c>
      <c r="AU178" s="139" t="s">
        <v>87</v>
      </c>
      <c r="AY178" s="2" t="s">
        <v>337</v>
      </c>
      <c r="BE178" s="140">
        <f t="shared" si="4"/>
        <v>0</v>
      </c>
      <c r="BF178" s="140">
        <f t="shared" si="5"/>
        <v>0</v>
      </c>
      <c r="BG178" s="140">
        <f t="shared" si="6"/>
        <v>0</v>
      </c>
      <c r="BH178" s="140">
        <f t="shared" si="7"/>
        <v>0</v>
      </c>
      <c r="BI178" s="140">
        <f t="shared" si="8"/>
        <v>0</v>
      </c>
      <c r="BJ178" s="2" t="s">
        <v>87</v>
      </c>
      <c r="BK178" s="140">
        <f t="shared" si="9"/>
        <v>0</v>
      </c>
      <c r="BL178" s="2" t="s">
        <v>344</v>
      </c>
      <c r="BM178" s="139" t="s">
        <v>850</v>
      </c>
    </row>
    <row r="179" spans="2:65" s="16" customFormat="1" ht="24.2" customHeight="1" x14ac:dyDescent="0.2">
      <c r="B179" s="17"/>
      <c r="C179" s="128">
        <v>36</v>
      </c>
      <c r="D179" s="128" t="s">
        <v>339</v>
      </c>
      <c r="E179" s="129" t="s">
        <v>4707</v>
      </c>
      <c r="F179" s="130" t="s">
        <v>4708</v>
      </c>
      <c r="G179" s="131" t="s">
        <v>449</v>
      </c>
      <c r="H179" s="132">
        <v>1</v>
      </c>
      <c r="I179" s="133"/>
      <c r="J179" s="134">
        <f t="shared" si="0"/>
        <v>0</v>
      </c>
      <c r="K179" s="130"/>
      <c r="L179" s="17"/>
      <c r="M179" s="135"/>
      <c r="N179" s="136" t="s">
        <v>45</v>
      </c>
      <c r="P179" s="137">
        <f t="shared" si="1"/>
        <v>0</v>
      </c>
      <c r="Q179" s="137">
        <v>0</v>
      </c>
      <c r="R179" s="137">
        <f t="shared" si="2"/>
        <v>0</v>
      </c>
      <c r="S179" s="137">
        <v>0</v>
      </c>
      <c r="T179" s="138">
        <f t="shared" si="3"/>
        <v>0</v>
      </c>
      <c r="AR179" s="139" t="s">
        <v>344</v>
      </c>
      <c r="AT179" s="139" t="s">
        <v>339</v>
      </c>
      <c r="AU179" s="139" t="s">
        <v>87</v>
      </c>
      <c r="AY179" s="2" t="s">
        <v>337</v>
      </c>
      <c r="BE179" s="140">
        <f t="shared" si="4"/>
        <v>0</v>
      </c>
      <c r="BF179" s="140">
        <f t="shared" si="5"/>
        <v>0</v>
      </c>
      <c r="BG179" s="140">
        <f t="shared" si="6"/>
        <v>0</v>
      </c>
      <c r="BH179" s="140">
        <f t="shared" si="7"/>
        <v>0</v>
      </c>
      <c r="BI179" s="140">
        <f t="shared" si="8"/>
        <v>0</v>
      </c>
      <c r="BJ179" s="2" t="s">
        <v>87</v>
      </c>
      <c r="BK179" s="140">
        <f t="shared" si="9"/>
        <v>0</v>
      </c>
      <c r="BL179" s="2" t="s">
        <v>344</v>
      </c>
      <c r="BM179" s="139" t="s">
        <v>3442</v>
      </c>
    </row>
    <row r="180" spans="2:65" s="116" customFormat="1" ht="25.9" customHeight="1" x14ac:dyDescent="0.2">
      <c r="B180" s="117"/>
      <c r="D180" s="118" t="s">
        <v>79</v>
      </c>
      <c r="E180" s="119" t="s">
        <v>4709</v>
      </c>
      <c r="F180" s="119" t="s">
        <v>4710</v>
      </c>
      <c r="J180" s="120">
        <f>BK180</f>
        <v>0</v>
      </c>
      <c r="L180" s="117"/>
      <c r="M180" s="121"/>
      <c r="P180" s="122">
        <f>SUM(P181:P202)</f>
        <v>0</v>
      </c>
      <c r="R180" s="122">
        <f>SUM(R181:R202)</f>
        <v>0.40778449999999994</v>
      </c>
      <c r="T180" s="123">
        <f>SUM(T181:T202)</f>
        <v>0</v>
      </c>
      <c r="AR180" s="118" t="s">
        <v>87</v>
      </c>
      <c r="AT180" s="124" t="s">
        <v>79</v>
      </c>
      <c r="AU180" s="124" t="s">
        <v>80</v>
      </c>
      <c r="AY180" s="118" t="s">
        <v>337</v>
      </c>
      <c r="BK180" s="125">
        <f>SUM(BK181:BK202)</f>
        <v>0</v>
      </c>
    </row>
    <row r="181" spans="2:65" s="16" customFormat="1" ht="16.5" customHeight="1" x14ac:dyDescent="0.2">
      <c r="B181" s="17"/>
      <c r="C181" s="128">
        <v>37</v>
      </c>
      <c r="D181" s="128" t="s">
        <v>339</v>
      </c>
      <c r="E181" s="129" t="s">
        <v>4711</v>
      </c>
      <c r="F181" s="130" t="s">
        <v>4712</v>
      </c>
      <c r="G181" s="131" t="s">
        <v>724</v>
      </c>
      <c r="H181" s="132">
        <v>267.005</v>
      </c>
      <c r="I181" s="133"/>
      <c r="J181" s="134">
        <f>ROUND(I181*H181,2)</f>
        <v>0</v>
      </c>
      <c r="K181" s="130" t="s">
        <v>343</v>
      </c>
      <c r="L181" s="17"/>
      <c r="M181" s="135"/>
      <c r="N181" s="136" t="s">
        <v>45</v>
      </c>
      <c r="P181" s="137">
        <f>O181*H181</f>
        <v>0</v>
      </c>
      <c r="Q181" s="137">
        <v>0</v>
      </c>
      <c r="R181" s="137">
        <f>Q181*H181</f>
        <v>0</v>
      </c>
      <c r="S181" s="137">
        <v>0</v>
      </c>
      <c r="T181" s="138">
        <f>S181*H181</f>
        <v>0</v>
      </c>
      <c r="AR181" s="139" t="s">
        <v>496</v>
      </c>
      <c r="AT181" s="139" t="s">
        <v>339</v>
      </c>
      <c r="AU181" s="139" t="s">
        <v>87</v>
      </c>
      <c r="AY181" s="2" t="s">
        <v>337</v>
      </c>
      <c r="BE181" s="140">
        <f>IF(N181="základní",J181,0)</f>
        <v>0</v>
      </c>
      <c r="BF181" s="140">
        <f>IF(N181="snížená",J181,0)</f>
        <v>0</v>
      </c>
      <c r="BG181" s="140">
        <f>IF(N181="zákl. přenesená",J181,0)</f>
        <v>0</v>
      </c>
      <c r="BH181" s="140">
        <f>IF(N181="sníž. přenesená",J181,0)</f>
        <v>0</v>
      </c>
      <c r="BI181" s="140">
        <f>IF(N181="nulová",J181,0)</f>
        <v>0</v>
      </c>
      <c r="BJ181" s="2" t="s">
        <v>87</v>
      </c>
      <c r="BK181" s="140">
        <f>ROUND(I181*H181,2)</f>
        <v>0</v>
      </c>
      <c r="BL181" s="2" t="s">
        <v>496</v>
      </c>
      <c r="BM181" s="139" t="s">
        <v>4713</v>
      </c>
    </row>
    <row r="182" spans="2:65" s="16" customFormat="1" ht="19.5" x14ac:dyDescent="0.2">
      <c r="B182" s="17"/>
      <c r="D182" s="143" t="s">
        <v>644</v>
      </c>
      <c r="F182" s="179" t="s">
        <v>4714</v>
      </c>
      <c r="L182" s="17"/>
      <c r="M182" s="180"/>
      <c r="T182" s="41"/>
      <c r="AT182" s="2" t="s">
        <v>644</v>
      </c>
      <c r="AU182" s="2" t="s">
        <v>87</v>
      </c>
    </row>
    <row r="183" spans="2:65" s="16" customFormat="1" ht="16.5" customHeight="1" x14ac:dyDescent="0.2">
      <c r="B183" s="17"/>
      <c r="C183" s="128">
        <v>38</v>
      </c>
      <c r="D183" s="128" t="s">
        <v>339</v>
      </c>
      <c r="E183" s="129" t="s">
        <v>4715</v>
      </c>
      <c r="F183" s="130" t="s">
        <v>4716</v>
      </c>
      <c r="G183" s="131" t="s">
        <v>724</v>
      </c>
      <c r="H183" s="132">
        <v>39.994999999999997</v>
      </c>
      <c r="I183" s="133"/>
      <c r="J183" s="134">
        <f>ROUND(I183*H183,2)</f>
        <v>0</v>
      </c>
      <c r="K183" s="130" t="s">
        <v>343</v>
      </c>
      <c r="L183" s="17"/>
      <c r="M183" s="135"/>
      <c r="N183" s="136" t="s">
        <v>45</v>
      </c>
      <c r="P183" s="137">
        <f>O183*H183</f>
        <v>0</v>
      </c>
      <c r="Q183" s="137">
        <v>0</v>
      </c>
      <c r="R183" s="137">
        <f>Q183*H183</f>
        <v>0</v>
      </c>
      <c r="S183" s="137">
        <v>0</v>
      </c>
      <c r="T183" s="138">
        <f>S183*H183</f>
        <v>0</v>
      </c>
      <c r="AR183" s="139" t="s">
        <v>496</v>
      </c>
      <c r="AT183" s="139" t="s">
        <v>339</v>
      </c>
      <c r="AU183" s="139" t="s">
        <v>87</v>
      </c>
      <c r="AY183" s="2" t="s">
        <v>337</v>
      </c>
      <c r="BE183" s="140">
        <f>IF(N183="základní",J183,0)</f>
        <v>0</v>
      </c>
      <c r="BF183" s="140">
        <f>IF(N183="snížená",J183,0)</f>
        <v>0</v>
      </c>
      <c r="BG183" s="140">
        <f>IF(N183="zákl. přenesená",J183,0)</f>
        <v>0</v>
      </c>
      <c r="BH183" s="140">
        <f>IF(N183="sníž. přenesená",J183,0)</f>
        <v>0</v>
      </c>
      <c r="BI183" s="140">
        <f>IF(N183="nulová",J183,0)</f>
        <v>0</v>
      </c>
      <c r="BJ183" s="2" t="s">
        <v>87</v>
      </c>
      <c r="BK183" s="140">
        <f>ROUND(I183*H183,2)</f>
        <v>0</v>
      </c>
      <c r="BL183" s="2" t="s">
        <v>496</v>
      </c>
      <c r="BM183" s="139" t="s">
        <v>4717</v>
      </c>
    </row>
    <row r="184" spans="2:65" s="16" customFormat="1" ht="16.5" customHeight="1" x14ac:dyDescent="0.2">
      <c r="B184" s="17"/>
      <c r="C184" s="162">
        <v>39</v>
      </c>
      <c r="D184" s="162" t="s">
        <v>519</v>
      </c>
      <c r="E184" s="163" t="s">
        <v>4718</v>
      </c>
      <c r="F184" s="164" t="s">
        <v>4719</v>
      </c>
      <c r="G184" s="165" t="s">
        <v>724</v>
      </c>
      <c r="H184" s="166">
        <v>3.28</v>
      </c>
      <c r="I184" s="167"/>
      <c r="J184" s="168">
        <f>ROUND(I184*H184,2)</f>
        <v>0</v>
      </c>
      <c r="K184" s="164" t="s">
        <v>343</v>
      </c>
      <c r="L184" s="169"/>
      <c r="M184" s="170"/>
      <c r="N184" s="171" t="s">
        <v>45</v>
      </c>
      <c r="P184" s="137">
        <f>O184*H184</f>
        <v>0</v>
      </c>
      <c r="Q184" s="137">
        <v>8.0000000000000004E-4</v>
      </c>
      <c r="R184" s="137">
        <f>Q184*H184</f>
        <v>2.624E-3</v>
      </c>
      <c r="S184" s="137">
        <v>0</v>
      </c>
      <c r="T184" s="138">
        <f>S184*H184</f>
        <v>0</v>
      </c>
      <c r="AR184" s="139" t="s">
        <v>446</v>
      </c>
      <c r="AT184" s="139" t="s">
        <v>519</v>
      </c>
      <c r="AU184" s="139" t="s">
        <v>87</v>
      </c>
      <c r="AY184" s="2" t="s">
        <v>337</v>
      </c>
      <c r="BE184" s="140">
        <f>IF(N184="základní",J184,0)</f>
        <v>0</v>
      </c>
      <c r="BF184" s="140">
        <f>IF(N184="snížená",J184,0)</f>
        <v>0</v>
      </c>
      <c r="BG184" s="140">
        <f>IF(N184="zákl. přenesená",J184,0)</f>
        <v>0</v>
      </c>
      <c r="BH184" s="140">
        <f>IF(N184="sníž. přenesená",J184,0)</f>
        <v>0</v>
      </c>
      <c r="BI184" s="140">
        <f>IF(N184="nulová",J184,0)</f>
        <v>0</v>
      </c>
      <c r="BJ184" s="2" t="s">
        <v>87</v>
      </c>
      <c r="BK184" s="140">
        <f>ROUND(I184*H184,2)</f>
        <v>0</v>
      </c>
      <c r="BL184" s="2" t="s">
        <v>344</v>
      </c>
      <c r="BM184" s="139" t="s">
        <v>4720</v>
      </c>
    </row>
    <row r="185" spans="2:65" s="141" customFormat="1" x14ac:dyDescent="0.2">
      <c r="B185" s="142"/>
      <c r="D185" s="143" t="s">
        <v>346</v>
      </c>
      <c r="E185" s="144"/>
      <c r="F185" s="145" t="s">
        <v>4721</v>
      </c>
      <c r="H185" s="144"/>
      <c r="L185" s="142"/>
      <c r="M185" s="146"/>
      <c r="T185" s="147"/>
      <c r="AT185" s="144" t="s">
        <v>346</v>
      </c>
      <c r="AU185" s="144" t="s">
        <v>87</v>
      </c>
      <c r="AV185" s="141" t="s">
        <v>87</v>
      </c>
      <c r="AW185" s="141" t="s">
        <v>33</v>
      </c>
      <c r="AX185" s="141" t="s">
        <v>80</v>
      </c>
      <c r="AY185" s="144" t="s">
        <v>337</v>
      </c>
    </row>
    <row r="186" spans="2:65" s="148" customFormat="1" x14ac:dyDescent="0.2">
      <c r="B186" s="149"/>
      <c r="D186" s="143" t="s">
        <v>346</v>
      </c>
      <c r="E186" s="150"/>
      <c r="F186" s="151" t="s">
        <v>4722</v>
      </c>
      <c r="H186" s="152">
        <v>3.28</v>
      </c>
      <c r="L186" s="149"/>
      <c r="M186" s="153"/>
      <c r="T186" s="154"/>
      <c r="AT186" s="150" t="s">
        <v>346</v>
      </c>
      <c r="AU186" s="150" t="s">
        <v>87</v>
      </c>
      <c r="AV186" s="148" t="s">
        <v>90</v>
      </c>
      <c r="AW186" s="148" t="s">
        <v>33</v>
      </c>
      <c r="AX186" s="148" t="s">
        <v>87</v>
      </c>
      <c r="AY186" s="150" t="s">
        <v>337</v>
      </c>
    </row>
    <row r="187" spans="2:65" s="16" customFormat="1" ht="16.5" customHeight="1" x14ac:dyDescent="0.2">
      <c r="B187" s="17"/>
      <c r="C187" s="162">
        <v>40</v>
      </c>
      <c r="D187" s="162" t="s">
        <v>519</v>
      </c>
      <c r="E187" s="163" t="s">
        <v>4723</v>
      </c>
      <c r="F187" s="164" t="s">
        <v>4724</v>
      </c>
      <c r="G187" s="165" t="s">
        <v>724</v>
      </c>
      <c r="H187" s="166">
        <v>210.57499999999999</v>
      </c>
      <c r="I187" s="167"/>
      <c r="J187" s="168">
        <f>ROUND(I187*H187,2)</f>
        <v>0</v>
      </c>
      <c r="K187" s="164" t="s">
        <v>343</v>
      </c>
      <c r="L187" s="169"/>
      <c r="M187" s="170"/>
      <c r="N187" s="171" t="s">
        <v>45</v>
      </c>
      <c r="P187" s="137">
        <f>O187*H187</f>
        <v>0</v>
      </c>
      <c r="Q187" s="137">
        <v>1E-3</v>
      </c>
      <c r="R187" s="137">
        <f>Q187*H187</f>
        <v>0.21057499999999998</v>
      </c>
      <c r="S187" s="137">
        <v>0</v>
      </c>
      <c r="T187" s="138">
        <f>S187*H187</f>
        <v>0</v>
      </c>
      <c r="AR187" s="139" t="s">
        <v>446</v>
      </c>
      <c r="AT187" s="139" t="s">
        <v>519</v>
      </c>
      <c r="AU187" s="139" t="s">
        <v>87</v>
      </c>
      <c r="AY187" s="2" t="s">
        <v>337</v>
      </c>
      <c r="BE187" s="140">
        <f>IF(N187="základní",J187,0)</f>
        <v>0</v>
      </c>
      <c r="BF187" s="140">
        <f>IF(N187="snížená",J187,0)</f>
        <v>0</v>
      </c>
      <c r="BG187" s="140">
        <f>IF(N187="zákl. přenesená",J187,0)</f>
        <v>0</v>
      </c>
      <c r="BH187" s="140">
        <f>IF(N187="sníž. přenesená",J187,0)</f>
        <v>0</v>
      </c>
      <c r="BI187" s="140">
        <f>IF(N187="nulová",J187,0)</f>
        <v>0</v>
      </c>
      <c r="BJ187" s="2" t="s">
        <v>87</v>
      </c>
      <c r="BK187" s="140">
        <f>ROUND(I187*H187,2)</f>
        <v>0</v>
      </c>
      <c r="BL187" s="2" t="s">
        <v>344</v>
      </c>
      <c r="BM187" s="139" t="s">
        <v>4725</v>
      </c>
    </row>
    <row r="188" spans="2:65" s="141" customFormat="1" x14ac:dyDescent="0.2">
      <c r="B188" s="142"/>
      <c r="D188" s="143" t="s">
        <v>346</v>
      </c>
      <c r="E188" s="144"/>
      <c r="F188" s="145" t="s">
        <v>4726</v>
      </c>
      <c r="H188" s="144"/>
      <c r="L188" s="142"/>
      <c r="M188" s="146"/>
      <c r="T188" s="147"/>
      <c r="AT188" s="144" t="s">
        <v>346</v>
      </c>
      <c r="AU188" s="144" t="s">
        <v>87</v>
      </c>
      <c r="AV188" s="141" t="s">
        <v>87</v>
      </c>
      <c r="AW188" s="141" t="s">
        <v>33</v>
      </c>
      <c r="AX188" s="141" t="s">
        <v>80</v>
      </c>
      <c r="AY188" s="144" t="s">
        <v>337</v>
      </c>
    </row>
    <row r="189" spans="2:65" s="148" customFormat="1" x14ac:dyDescent="0.2">
      <c r="B189" s="149"/>
      <c r="D189" s="143" t="s">
        <v>346</v>
      </c>
      <c r="E189" s="150"/>
      <c r="F189" s="151" t="s">
        <v>4727</v>
      </c>
      <c r="H189" s="152">
        <v>210.57499999999999</v>
      </c>
      <c r="L189" s="149"/>
      <c r="M189" s="153"/>
      <c r="T189" s="154"/>
      <c r="AT189" s="150" t="s">
        <v>346</v>
      </c>
      <c r="AU189" s="150" t="s">
        <v>87</v>
      </c>
      <c r="AV189" s="148" t="s">
        <v>90</v>
      </c>
      <c r="AW189" s="148" t="s">
        <v>33</v>
      </c>
      <c r="AX189" s="148" t="s">
        <v>87</v>
      </c>
      <c r="AY189" s="150" t="s">
        <v>337</v>
      </c>
    </row>
    <row r="190" spans="2:65" s="16" customFormat="1" ht="16.5" customHeight="1" x14ac:dyDescent="0.2">
      <c r="B190" s="17"/>
      <c r="C190" s="162">
        <v>41</v>
      </c>
      <c r="D190" s="162" t="s">
        <v>519</v>
      </c>
      <c r="E190" s="163" t="s">
        <v>4728</v>
      </c>
      <c r="F190" s="164" t="s">
        <v>4729</v>
      </c>
      <c r="G190" s="165" t="s">
        <v>724</v>
      </c>
      <c r="H190" s="166">
        <v>53.15</v>
      </c>
      <c r="I190" s="167"/>
      <c r="J190" s="168">
        <f>ROUND(I190*H190,2)</f>
        <v>0</v>
      </c>
      <c r="K190" s="164" t="s">
        <v>343</v>
      </c>
      <c r="L190" s="169"/>
      <c r="M190" s="170"/>
      <c r="N190" s="171" t="s">
        <v>45</v>
      </c>
      <c r="P190" s="137">
        <f>O190*H190</f>
        <v>0</v>
      </c>
      <c r="Q190" s="137">
        <v>1.5E-3</v>
      </c>
      <c r="R190" s="137">
        <f>Q190*H190</f>
        <v>7.9725000000000004E-2</v>
      </c>
      <c r="S190" s="137">
        <v>0</v>
      </c>
      <c r="T190" s="138">
        <f>S190*H190</f>
        <v>0</v>
      </c>
      <c r="AR190" s="139" t="s">
        <v>446</v>
      </c>
      <c r="AT190" s="139" t="s">
        <v>519</v>
      </c>
      <c r="AU190" s="139" t="s">
        <v>87</v>
      </c>
      <c r="AY190" s="2" t="s">
        <v>337</v>
      </c>
      <c r="BE190" s="140">
        <f>IF(N190="základní",J190,0)</f>
        <v>0</v>
      </c>
      <c r="BF190" s="140">
        <f>IF(N190="snížená",J190,0)</f>
        <v>0</v>
      </c>
      <c r="BG190" s="140">
        <f>IF(N190="zákl. přenesená",J190,0)</f>
        <v>0</v>
      </c>
      <c r="BH190" s="140">
        <f>IF(N190="sníž. přenesená",J190,0)</f>
        <v>0</v>
      </c>
      <c r="BI190" s="140">
        <f>IF(N190="nulová",J190,0)</f>
        <v>0</v>
      </c>
      <c r="BJ190" s="2" t="s">
        <v>87</v>
      </c>
      <c r="BK190" s="140">
        <f>ROUND(I190*H190,2)</f>
        <v>0</v>
      </c>
      <c r="BL190" s="2" t="s">
        <v>344</v>
      </c>
      <c r="BM190" s="139" t="s">
        <v>4730</v>
      </c>
    </row>
    <row r="191" spans="2:65" s="141" customFormat="1" x14ac:dyDescent="0.2">
      <c r="B191" s="142"/>
      <c r="D191" s="143" t="s">
        <v>346</v>
      </c>
      <c r="E191" s="144"/>
      <c r="F191" s="145" t="s">
        <v>4731</v>
      </c>
      <c r="H191" s="144"/>
      <c r="L191" s="142"/>
      <c r="M191" s="146"/>
      <c r="T191" s="147"/>
      <c r="AT191" s="144" t="s">
        <v>346</v>
      </c>
      <c r="AU191" s="144" t="s">
        <v>87</v>
      </c>
      <c r="AV191" s="141" t="s">
        <v>87</v>
      </c>
      <c r="AW191" s="141" t="s">
        <v>33</v>
      </c>
      <c r="AX191" s="141" t="s">
        <v>80</v>
      </c>
      <c r="AY191" s="144" t="s">
        <v>337</v>
      </c>
    </row>
    <row r="192" spans="2:65" s="148" customFormat="1" x14ac:dyDescent="0.2">
      <c r="B192" s="149"/>
      <c r="D192" s="143" t="s">
        <v>346</v>
      </c>
      <c r="E192" s="150"/>
      <c r="F192" s="151" t="s">
        <v>4732</v>
      </c>
      <c r="H192" s="152">
        <v>53.15</v>
      </c>
      <c r="L192" s="149"/>
      <c r="M192" s="153"/>
      <c r="T192" s="154"/>
      <c r="AT192" s="150" t="s">
        <v>346</v>
      </c>
      <c r="AU192" s="150" t="s">
        <v>87</v>
      </c>
      <c r="AV192" s="148" t="s">
        <v>90</v>
      </c>
      <c r="AW192" s="148" t="s">
        <v>33</v>
      </c>
      <c r="AX192" s="148" t="s">
        <v>87</v>
      </c>
      <c r="AY192" s="150" t="s">
        <v>337</v>
      </c>
    </row>
    <row r="193" spans="2:65" s="16" customFormat="1" ht="16.5" customHeight="1" x14ac:dyDescent="0.2">
      <c r="B193" s="17"/>
      <c r="C193" s="162">
        <v>42</v>
      </c>
      <c r="D193" s="162" t="s">
        <v>519</v>
      </c>
      <c r="E193" s="163" t="s">
        <v>4733</v>
      </c>
      <c r="F193" s="164" t="s">
        <v>4734</v>
      </c>
      <c r="G193" s="165" t="s">
        <v>724</v>
      </c>
      <c r="H193" s="166">
        <v>21.225000000000001</v>
      </c>
      <c r="I193" s="167"/>
      <c r="J193" s="168">
        <f>ROUND(I193*H193,2)</f>
        <v>0</v>
      </c>
      <c r="K193" s="164" t="s">
        <v>343</v>
      </c>
      <c r="L193" s="169"/>
      <c r="M193" s="170"/>
      <c r="N193" s="171" t="s">
        <v>45</v>
      </c>
      <c r="P193" s="137">
        <f>O193*H193</f>
        <v>0</v>
      </c>
      <c r="Q193" s="137">
        <v>2.0999999999999999E-3</v>
      </c>
      <c r="R193" s="137">
        <f>Q193*H193</f>
        <v>4.4572500000000001E-2</v>
      </c>
      <c r="S193" s="137">
        <v>0</v>
      </c>
      <c r="T193" s="138">
        <f>S193*H193</f>
        <v>0</v>
      </c>
      <c r="AR193" s="139" t="s">
        <v>446</v>
      </c>
      <c r="AT193" s="139" t="s">
        <v>519</v>
      </c>
      <c r="AU193" s="139" t="s">
        <v>87</v>
      </c>
      <c r="AY193" s="2" t="s">
        <v>337</v>
      </c>
      <c r="BE193" s="140">
        <f>IF(N193="základní",J193,0)</f>
        <v>0</v>
      </c>
      <c r="BF193" s="140">
        <f>IF(N193="snížená",J193,0)</f>
        <v>0</v>
      </c>
      <c r="BG193" s="140">
        <f>IF(N193="zákl. přenesená",J193,0)</f>
        <v>0</v>
      </c>
      <c r="BH193" s="140">
        <f>IF(N193="sníž. přenesená",J193,0)</f>
        <v>0</v>
      </c>
      <c r="BI193" s="140">
        <f>IF(N193="nulová",J193,0)</f>
        <v>0</v>
      </c>
      <c r="BJ193" s="2" t="s">
        <v>87</v>
      </c>
      <c r="BK193" s="140">
        <f>ROUND(I193*H193,2)</f>
        <v>0</v>
      </c>
      <c r="BL193" s="2" t="s">
        <v>344</v>
      </c>
      <c r="BM193" s="139" t="s">
        <v>4735</v>
      </c>
    </row>
    <row r="194" spans="2:65" s="141" customFormat="1" x14ac:dyDescent="0.2">
      <c r="B194" s="142"/>
      <c r="D194" s="143" t="s">
        <v>346</v>
      </c>
      <c r="E194" s="144"/>
      <c r="F194" s="145" t="s">
        <v>4736</v>
      </c>
      <c r="H194" s="144"/>
      <c r="L194" s="142"/>
      <c r="M194" s="146"/>
      <c r="T194" s="147"/>
      <c r="AT194" s="144" t="s">
        <v>346</v>
      </c>
      <c r="AU194" s="144" t="s">
        <v>87</v>
      </c>
      <c r="AV194" s="141" t="s">
        <v>87</v>
      </c>
      <c r="AW194" s="141" t="s">
        <v>33</v>
      </c>
      <c r="AX194" s="141" t="s">
        <v>80</v>
      </c>
      <c r="AY194" s="144" t="s">
        <v>337</v>
      </c>
    </row>
    <row r="195" spans="2:65" s="148" customFormat="1" x14ac:dyDescent="0.2">
      <c r="B195" s="149"/>
      <c r="D195" s="143" t="s">
        <v>346</v>
      </c>
      <c r="E195" s="150"/>
      <c r="F195" s="151" t="s">
        <v>4737</v>
      </c>
      <c r="H195" s="152">
        <v>21.225000000000001</v>
      </c>
      <c r="L195" s="149"/>
      <c r="M195" s="153"/>
      <c r="T195" s="154"/>
      <c r="AT195" s="150" t="s">
        <v>346</v>
      </c>
      <c r="AU195" s="150" t="s">
        <v>87</v>
      </c>
      <c r="AV195" s="148" t="s">
        <v>90</v>
      </c>
      <c r="AW195" s="148" t="s">
        <v>33</v>
      </c>
      <c r="AX195" s="148" t="s">
        <v>87</v>
      </c>
      <c r="AY195" s="150" t="s">
        <v>337</v>
      </c>
    </row>
    <row r="196" spans="2:65" s="16" customFormat="1" ht="16.5" customHeight="1" x14ac:dyDescent="0.2">
      <c r="B196" s="17"/>
      <c r="C196" s="162">
        <v>43</v>
      </c>
      <c r="D196" s="162" t="s">
        <v>519</v>
      </c>
      <c r="E196" s="163" t="s">
        <v>4738</v>
      </c>
      <c r="F196" s="164" t="s">
        <v>4739</v>
      </c>
      <c r="G196" s="165" t="s">
        <v>724</v>
      </c>
      <c r="H196" s="166">
        <v>16.37</v>
      </c>
      <c r="I196" s="167"/>
      <c r="J196" s="168">
        <f>ROUND(I196*H196,2)</f>
        <v>0</v>
      </c>
      <c r="K196" s="164" t="s">
        <v>343</v>
      </c>
      <c r="L196" s="169"/>
      <c r="M196" s="170"/>
      <c r="N196" s="171" t="s">
        <v>45</v>
      </c>
      <c r="P196" s="137">
        <f>O196*H196</f>
        <v>0</v>
      </c>
      <c r="Q196" s="137">
        <v>2.3999999999999998E-3</v>
      </c>
      <c r="R196" s="137">
        <f>Q196*H196</f>
        <v>3.9287999999999997E-2</v>
      </c>
      <c r="S196" s="137">
        <v>0</v>
      </c>
      <c r="T196" s="138">
        <f>S196*H196</f>
        <v>0</v>
      </c>
      <c r="AR196" s="139" t="s">
        <v>446</v>
      </c>
      <c r="AT196" s="139" t="s">
        <v>519</v>
      </c>
      <c r="AU196" s="139" t="s">
        <v>87</v>
      </c>
      <c r="AY196" s="2" t="s">
        <v>337</v>
      </c>
      <c r="BE196" s="140">
        <f>IF(N196="základní",J196,0)</f>
        <v>0</v>
      </c>
      <c r="BF196" s="140">
        <f>IF(N196="snížená",J196,0)</f>
        <v>0</v>
      </c>
      <c r="BG196" s="140">
        <f>IF(N196="zákl. přenesená",J196,0)</f>
        <v>0</v>
      </c>
      <c r="BH196" s="140">
        <f>IF(N196="sníž. přenesená",J196,0)</f>
        <v>0</v>
      </c>
      <c r="BI196" s="140">
        <f>IF(N196="nulová",J196,0)</f>
        <v>0</v>
      </c>
      <c r="BJ196" s="2" t="s">
        <v>87</v>
      </c>
      <c r="BK196" s="140">
        <f>ROUND(I196*H196,2)</f>
        <v>0</v>
      </c>
      <c r="BL196" s="2" t="s">
        <v>344</v>
      </c>
      <c r="BM196" s="139" t="s">
        <v>4740</v>
      </c>
    </row>
    <row r="197" spans="2:65" s="141" customFormat="1" x14ac:dyDescent="0.2">
      <c r="B197" s="142"/>
      <c r="D197" s="143" t="s">
        <v>346</v>
      </c>
      <c r="E197" s="144"/>
      <c r="F197" s="145" t="s">
        <v>4741</v>
      </c>
      <c r="H197" s="144"/>
      <c r="L197" s="142"/>
      <c r="M197" s="146"/>
      <c r="T197" s="147"/>
      <c r="AT197" s="144" t="s">
        <v>346</v>
      </c>
      <c r="AU197" s="144" t="s">
        <v>87</v>
      </c>
      <c r="AV197" s="141" t="s">
        <v>87</v>
      </c>
      <c r="AW197" s="141" t="s">
        <v>33</v>
      </c>
      <c r="AX197" s="141" t="s">
        <v>80</v>
      </c>
      <c r="AY197" s="144" t="s">
        <v>337</v>
      </c>
    </row>
    <row r="198" spans="2:65" s="148" customFormat="1" x14ac:dyDescent="0.2">
      <c r="B198" s="149"/>
      <c r="D198" s="143" t="s">
        <v>346</v>
      </c>
      <c r="E198" s="150"/>
      <c r="F198" s="151" t="s">
        <v>4742</v>
      </c>
      <c r="H198" s="152">
        <v>16.37</v>
      </c>
      <c r="L198" s="149"/>
      <c r="M198" s="153"/>
      <c r="T198" s="154"/>
      <c r="AT198" s="150" t="s">
        <v>346</v>
      </c>
      <c r="AU198" s="150" t="s">
        <v>87</v>
      </c>
      <c r="AV198" s="148" t="s">
        <v>90</v>
      </c>
      <c r="AW198" s="148" t="s">
        <v>33</v>
      </c>
      <c r="AX198" s="148" t="s">
        <v>87</v>
      </c>
      <c r="AY198" s="150" t="s">
        <v>337</v>
      </c>
    </row>
    <row r="199" spans="2:65" s="16" customFormat="1" ht="16.5" customHeight="1" x14ac:dyDescent="0.2">
      <c r="B199" s="17"/>
      <c r="C199" s="162">
        <v>44</v>
      </c>
      <c r="D199" s="162" t="s">
        <v>519</v>
      </c>
      <c r="E199" s="163" t="s">
        <v>4743</v>
      </c>
      <c r="F199" s="164" t="s">
        <v>4744</v>
      </c>
      <c r="G199" s="165" t="s">
        <v>724</v>
      </c>
      <c r="H199" s="166">
        <v>2.4</v>
      </c>
      <c r="I199" s="167"/>
      <c r="J199" s="168">
        <f>ROUND(I199*H199,2)</f>
        <v>0</v>
      </c>
      <c r="K199" s="164" t="s">
        <v>343</v>
      </c>
      <c r="L199" s="169"/>
      <c r="M199" s="170"/>
      <c r="N199" s="171" t="s">
        <v>45</v>
      </c>
      <c r="P199" s="137">
        <f>O199*H199</f>
        <v>0</v>
      </c>
      <c r="Q199" s="137">
        <v>3.0000000000000001E-3</v>
      </c>
      <c r="R199" s="137">
        <f>Q199*H199</f>
        <v>7.1999999999999998E-3</v>
      </c>
      <c r="S199" s="137">
        <v>0</v>
      </c>
      <c r="T199" s="138">
        <f>S199*H199</f>
        <v>0</v>
      </c>
      <c r="AR199" s="139" t="s">
        <v>446</v>
      </c>
      <c r="AT199" s="139" t="s">
        <v>519</v>
      </c>
      <c r="AU199" s="139" t="s">
        <v>87</v>
      </c>
      <c r="AY199" s="2" t="s">
        <v>337</v>
      </c>
      <c r="BE199" s="140">
        <f>IF(N199="základní",J199,0)</f>
        <v>0</v>
      </c>
      <c r="BF199" s="140">
        <f>IF(N199="snížená",J199,0)</f>
        <v>0</v>
      </c>
      <c r="BG199" s="140">
        <f>IF(N199="zákl. přenesená",J199,0)</f>
        <v>0</v>
      </c>
      <c r="BH199" s="140">
        <f>IF(N199="sníž. přenesená",J199,0)</f>
        <v>0</v>
      </c>
      <c r="BI199" s="140">
        <f>IF(N199="nulová",J199,0)</f>
        <v>0</v>
      </c>
      <c r="BJ199" s="2" t="s">
        <v>87</v>
      </c>
      <c r="BK199" s="140">
        <f>ROUND(I199*H199,2)</f>
        <v>0</v>
      </c>
      <c r="BL199" s="2" t="s">
        <v>344</v>
      </c>
      <c r="BM199" s="139" t="s">
        <v>4745</v>
      </c>
    </row>
    <row r="200" spans="2:65" s="141" customFormat="1" x14ac:dyDescent="0.2">
      <c r="B200" s="142"/>
      <c r="D200" s="143" t="s">
        <v>346</v>
      </c>
      <c r="E200" s="144"/>
      <c r="F200" s="145" t="s">
        <v>4746</v>
      </c>
      <c r="H200" s="144"/>
      <c r="L200" s="142"/>
      <c r="M200" s="146"/>
      <c r="T200" s="147"/>
      <c r="AT200" s="144" t="s">
        <v>346</v>
      </c>
      <c r="AU200" s="144" t="s">
        <v>87</v>
      </c>
      <c r="AV200" s="141" t="s">
        <v>87</v>
      </c>
      <c r="AW200" s="141" t="s">
        <v>33</v>
      </c>
      <c r="AX200" s="141" t="s">
        <v>80</v>
      </c>
      <c r="AY200" s="144" t="s">
        <v>337</v>
      </c>
    </row>
    <row r="201" spans="2:65" s="148" customFormat="1" x14ac:dyDescent="0.2">
      <c r="B201" s="149"/>
      <c r="D201" s="143" t="s">
        <v>346</v>
      </c>
      <c r="E201" s="150"/>
      <c r="F201" s="151" t="s">
        <v>1187</v>
      </c>
      <c r="H201" s="152">
        <v>2.4</v>
      </c>
      <c r="L201" s="149"/>
      <c r="M201" s="153"/>
      <c r="T201" s="154"/>
      <c r="AT201" s="150" t="s">
        <v>346</v>
      </c>
      <c r="AU201" s="150" t="s">
        <v>87</v>
      </c>
      <c r="AV201" s="148" t="s">
        <v>90</v>
      </c>
      <c r="AW201" s="148" t="s">
        <v>33</v>
      </c>
      <c r="AX201" s="148" t="s">
        <v>87</v>
      </c>
      <c r="AY201" s="150" t="s">
        <v>337</v>
      </c>
    </row>
    <row r="202" spans="2:65" s="16" customFormat="1" ht="16.5" customHeight="1" x14ac:dyDescent="0.2">
      <c r="B202" s="17"/>
      <c r="C202" s="162">
        <v>45</v>
      </c>
      <c r="D202" s="162" t="s">
        <v>519</v>
      </c>
      <c r="E202" s="163" t="s">
        <v>4747</v>
      </c>
      <c r="F202" s="164" t="s">
        <v>4748</v>
      </c>
      <c r="G202" s="165" t="s">
        <v>4749</v>
      </c>
      <c r="H202" s="166">
        <v>119</v>
      </c>
      <c r="I202" s="167"/>
      <c r="J202" s="168">
        <f>ROUND(I202*H202,2)</f>
        <v>0</v>
      </c>
      <c r="K202" s="164" t="s">
        <v>343</v>
      </c>
      <c r="L202" s="169"/>
      <c r="M202" s="170"/>
      <c r="N202" s="171" t="s">
        <v>45</v>
      </c>
      <c r="P202" s="137">
        <f>O202*H202</f>
        <v>0</v>
      </c>
      <c r="Q202" s="137">
        <v>2.0000000000000001E-4</v>
      </c>
      <c r="R202" s="137">
        <f>Q202*H202</f>
        <v>2.3800000000000002E-2</v>
      </c>
      <c r="S202" s="137">
        <v>0</v>
      </c>
      <c r="T202" s="138">
        <f>S202*H202</f>
        <v>0</v>
      </c>
      <c r="AR202" s="139" t="s">
        <v>446</v>
      </c>
      <c r="AT202" s="139" t="s">
        <v>519</v>
      </c>
      <c r="AU202" s="139" t="s">
        <v>87</v>
      </c>
      <c r="AY202" s="2" t="s">
        <v>337</v>
      </c>
      <c r="BE202" s="140">
        <f>IF(N202="základní",J202,0)</f>
        <v>0</v>
      </c>
      <c r="BF202" s="140">
        <f>IF(N202="snížená",J202,0)</f>
        <v>0</v>
      </c>
      <c r="BG202" s="140">
        <f>IF(N202="zákl. přenesená",J202,0)</f>
        <v>0</v>
      </c>
      <c r="BH202" s="140">
        <f>IF(N202="sníž. přenesená",J202,0)</f>
        <v>0</v>
      </c>
      <c r="BI202" s="140">
        <f>IF(N202="nulová",J202,0)</f>
        <v>0</v>
      </c>
      <c r="BJ202" s="2" t="s">
        <v>87</v>
      </c>
      <c r="BK202" s="140">
        <f>ROUND(I202*H202,2)</f>
        <v>0</v>
      </c>
      <c r="BL202" s="2" t="s">
        <v>344</v>
      </c>
      <c r="BM202" s="139" t="s">
        <v>4750</v>
      </c>
    </row>
    <row r="203" spans="2:65" s="116" customFormat="1" ht="25.9" customHeight="1" x14ac:dyDescent="0.2">
      <c r="B203" s="117"/>
      <c r="D203" s="118" t="s">
        <v>79</v>
      </c>
      <c r="E203" s="119" t="s">
        <v>4751</v>
      </c>
      <c r="F203" s="119" t="s">
        <v>4752</v>
      </c>
      <c r="J203" s="120">
        <f>BK203</f>
        <v>0</v>
      </c>
      <c r="L203" s="117"/>
      <c r="M203" s="121"/>
      <c r="P203" s="122">
        <f>SUM(P204:P231)</f>
        <v>0</v>
      </c>
      <c r="R203" s="122">
        <f>SUM(R204:R231)</f>
        <v>0</v>
      </c>
      <c r="T203" s="123">
        <f>SUM(T204:T231)</f>
        <v>0</v>
      </c>
      <c r="AR203" s="118" t="s">
        <v>87</v>
      </c>
      <c r="AT203" s="124" t="s">
        <v>79</v>
      </c>
      <c r="AU203" s="124" t="s">
        <v>80</v>
      </c>
      <c r="AY203" s="118" t="s">
        <v>337</v>
      </c>
      <c r="BK203" s="125">
        <f>SUM(BK204:BK231)</f>
        <v>0</v>
      </c>
    </row>
    <row r="204" spans="2:65" s="16" customFormat="1" ht="16.5" customHeight="1" x14ac:dyDescent="0.2">
      <c r="B204" s="17"/>
      <c r="C204" s="128">
        <v>46</v>
      </c>
      <c r="D204" s="128" t="s">
        <v>339</v>
      </c>
      <c r="E204" s="129" t="s">
        <v>4753</v>
      </c>
      <c r="F204" s="130" t="s">
        <v>4754</v>
      </c>
      <c r="G204" s="131" t="s">
        <v>724</v>
      </c>
      <c r="H204" s="132">
        <v>289.45</v>
      </c>
      <c r="I204" s="133"/>
      <c r="J204" s="134">
        <f>ROUND(I204*H204,2)</f>
        <v>0</v>
      </c>
      <c r="K204" s="130"/>
      <c r="L204" s="17"/>
      <c r="M204" s="135"/>
      <c r="N204" s="136" t="s">
        <v>45</v>
      </c>
      <c r="P204" s="137">
        <f>O204*H204</f>
        <v>0</v>
      </c>
      <c r="Q204" s="137">
        <v>0</v>
      </c>
      <c r="R204" s="137">
        <f>Q204*H204</f>
        <v>0</v>
      </c>
      <c r="S204" s="137">
        <v>0</v>
      </c>
      <c r="T204" s="138">
        <f>S204*H204</f>
        <v>0</v>
      </c>
      <c r="AR204" s="139" t="s">
        <v>344</v>
      </c>
      <c r="AT204" s="139" t="s">
        <v>339</v>
      </c>
      <c r="AU204" s="139" t="s">
        <v>87</v>
      </c>
      <c r="AY204" s="2" t="s">
        <v>337</v>
      </c>
      <c r="BE204" s="140">
        <f>IF(N204="základní",J204,0)</f>
        <v>0</v>
      </c>
      <c r="BF204" s="140">
        <f>IF(N204="snížená",J204,0)</f>
        <v>0</v>
      </c>
      <c r="BG204" s="140">
        <f>IF(N204="zákl. přenesená",J204,0)</f>
        <v>0</v>
      </c>
      <c r="BH204" s="140">
        <f>IF(N204="sníž. přenesená",J204,0)</f>
        <v>0</v>
      </c>
      <c r="BI204" s="140">
        <f>IF(N204="nulová",J204,0)</f>
        <v>0</v>
      </c>
      <c r="BJ204" s="2" t="s">
        <v>87</v>
      </c>
      <c r="BK204" s="140">
        <f>ROUND(I204*H204,2)</f>
        <v>0</v>
      </c>
      <c r="BL204" s="2" t="s">
        <v>344</v>
      </c>
      <c r="BM204" s="139" t="s">
        <v>4755</v>
      </c>
    </row>
    <row r="205" spans="2:65" s="16" customFormat="1" ht="19.5" x14ac:dyDescent="0.2">
      <c r="B205" s="17"/>
      <c r="D205" s="143" t="s">
        <v>644</v>
      </c>
      <c r="F205" s="179" t="s">
        <v>4756</v>
      </c>
      <c r="L205" s="17"/>
      <c r="M205" s="180"/>
      <c r="T205" s="41"/>
      <c r="AT205" s="2" t="s">
        <v>644</v>
      </c>
      <c r="AU205" s="2" t="s">
        <v>87</v>
      </c>
    </row>
    <row r="206" spans="2:65" s="148" customFormat="1" x14ac:dyDescent="0.2">
      <c r="B206" s="149"/>
      <c r="D206" s="143" t="s">
        <v>346</v>
      </c>
      <c r="E206" s="150"/>
      <c r="F206" s="151" t="s">
        <v>4757</v>
      </c>
      <c r="H206" s="152">
        <v>2.7</v>
      </c>
      <c r="L206" s="149"/>
      <c r="M206" s="153"/>
      <c r="T206" s="154"/>
      <c r="AT206" s="150" t="s">
        <v>346</v>
      </c>
      <c r="AU206" s="150" t="s">
        <v>87</v>
      </c>
      <c r="AV206" s="148" t="s">
        <v>90</v>
      </c>
      <c r="AW206" s="148" t="s">
        <v>33</v>
      </c>
      <c r="AX206" s="148" t="s">
        <v>80</v>
      </c>
      <c r="AY206" s="150" t="s">
        <v>337</v>
      </c>
    </row>
    <row r="207" spans="2:65" s="148" customFormat="1" x14ac:dyDescent="0.2">
      <c r="B207" s="149"/>
      <c r="D207" s="143" t="s">
        <v>346</v>
      </c>
      <c r="E207" s="150"/>
      <c r="F207" s="151" t="s">
        <v>4758</v>
      </c>
      <c r="H207" s="152">
        <v>7.2</v>
      </c>
      <c r="L207" s="149"/>
      <c r="M207" s="153"/>
      <c r="T207" s="154"/>
      <c r="AT207" s="150" t="s">
        <v>346</v>
      </c>
      <c r="AU207" s="150" t="s">
        <v>87</v>
      </c>
      <c r="AV207" s="148" t="s">
        <v>90</v>
      </c>
      <c r="AW207" s="148" t="s">
        <v>33</v>
      </c>
      <c r="AX207" s="148" t="s">
        <v>80</v>
      </c>
      <c r="AY207" s="150" t="s">
        <v>337</v>
      </c>
    </row>
    <row r="208" spans="2:65" s="148" customFormat="1" x14ac:dyDescent="0.2">
      <c r="B208" s="149"/>
      <c r="D208" s="143" t="s">
        <v>346</v>
      </c>
      <c r="E208" s="150"/>
      <c r="F208" s="151" t="s">
        <v>4759</v>
      </c>
      <c r="H208" s="152">
        <v>5.55</v>
      </c>
      <c r="L208" s="149"/>
      <c r="M208" s="153"/>
      <c r="T208" s="154"/>
      <c r="AT208" s="150" t="s">
        <v>346</v>
      </c>
      <c r="AU208" s="150" t="s">
        <v>87</v>
      </c>
      <c r="AV208" s="148" t="s">
        <v>90</v>
      </c>
      <c r="AW208" s="148" t="s">
        <v>33</v>
      </c>
      <c r="AX208" s="148" t="s">
        <v>80</v>
      </c>
      <c r="AY208" s="150" t="s">
        <v>337</v>
      </c>
    </row>
    <row r="209" spans="2:65" s="148" customFormat="1" x14ac:dyDescent="0.2">
      <c r="B209" s="149"/>
      <c r="D209" s="143" t="s">
        <v>346</v>
      </c>
      <c r="E209" s="150"/>
      <c r="F209" s="151" t="s">
        <v>4760</v>
      </c>
      <c r="H209" s="152">
        <v>1.95</v>
      </c>
      <c r="L209" s="149"/>
      <c r="M209" s="153"/>
      <c r="T209" s="154"/>
      <c r="AT209" s="150" t="s">
        <v>346</v>
      </c>
      <c r="AU209" s="150" t="s">
        <v>87</v>
      </c>
      <c r="AV209" s="148" t="s">
        <v>90</v>
      </c>
      <c r="AW209" s="148" t="s">
        <v>33</v>
      </c>
      <c r="AX209" s="148" t="s">
        <v>80</v>
      </c>
      <c r="AY209" s="150" t="s">
        <v>337</v>
      </c>
    </row>
    <row r="210" spans="2:65" s="148" customFormat="1" x14ac:dyDescent="0.2">
      <c r="B210" s="149"/>
      <c r="D210" s="143" t="s">
        <v>346</v>
      </c>
      <c r="E210" s="150"/>
      <c r="F210" s="151" t="s">
        <v>4761</v>
      </c>
      <c r="H210" s="152">
        <v>6.15</v>
      </c>
      <c r="L210" s="149"/>
      <c r="M210" s="153"/>
      <c r="T210" s="154"/>
      <c r="AT210" s="150" t="s">
        <v>346</v>
      </c>
      <c r="AU210" s="150" t="s">
        <v>87</v>
      </c>
      <c r="AV210" s="148" t="s">
        <v>90</v>
      </c>
      <c r="AW210" s="148" t="s">
        <v>33</v>
      </c>
      <c r="AX210" s="148" t="s">
        <v>80</v>
      </c>
      <c r="AY210" s="150" t="s">
        <v>337</v>
      </c>
    </row>
    <row r="211" spans="2:65" s="148" customFormat="1" x14ac:dyDescent="0.2">
      <c r="B211" s="149"/>
      <c r="D211" s="143" t="s">
        <v>346</v>
      </c>
      <c r="E211" s="150"/>
      <c r="F211" s="151" t="s">
        <v>4762</v>
      </c>
      <c r="H211" s="152">
        <v>16.45</v>
      </c>
      <c r="L211" s="149"/>
      <c r="M211" s="153"/>
      <c r="T211" s="154"/>
      <c r="AT211" s="150" t="s">
        <v>346</v>
      </c>
      <c r="AU211" s="150" t="s">
        <v>87</v>
      </c>
      <c r="AV211" s="148" t="s">
        <v>90</v>
      </c>
      <c r="AW211" s="148" t="s">
        <v>33</v>
      </c>
      <c r="AX211" s="148" t="s">
        <v>80</v>
      </c>
      <c r="AY211" s="150" t="s">
        <v>337</v>
      </c>
    </row>
    <row r="212" spans="2:65" s="148" customFormat="1" x14ac:dyDescent="0.2">
      <c r="B212" s="149"/>
      <c r="D212" s="143" t="s">
        <v>346</v>
      </c>
      <c r="E212" s="150"/>
      <c r="F212" s="151" t="s">
        <v>4763</v>
      </c>
      <c r="H212" s="152">
        <v>13</v>
      </c>
      <c r="L212" s="149"/>
      <c r="M212" s="153"/>
      <c r="T212" s="154"/>
      <c r="AT212" s="150" t="s">
        <v>346</v>
      </c>
      <c r="AU212" s="150" t="s">
        <v>87</v>
      </c>
      <c r="AV212" s="148" t="s">
        <v>90</v>
      </c>
      <c r="AW212" s="148" t="s">
        <v>33</v>
      </c>
      <c r="AX212" s="148" t="s">
        <v>80</v>
      </c>
      <c r="AY212" s="150" t="s">
        <v>337</v>
      </c>
    </row>
    <row r="213" spans="2:65" s="148" customFormat="1" x14ac:dyDescent="0.2">
      <c r="B213" s="149"/>
      <c r="D213" s="143" t="s">
        <v>346</v>
      </c>
      <c r="E213" s="150"/>
      <c r="F213" s="151" t="s">
        <v>4764</v>
      </c>
      <c r="H213" s="152">
        <v>189.75</v>
      </c>
      <c r="L213" s="149"/>
      <c r="M213" s="153"/>
      <c r="T213" s="154"/>
      <c r="AT213" s="150" t="s">
        <v>346</v>
      </c>
      <c r="AU213" s="150" t="s">
        <v>87</v>
      </c>
      <c r="AV213" s="148" t="s">
        <v>90</v>
      </c>
      <c r="AW213" s="148" t="s">
        <v>33</v>
      </c>
      <c r="AX213" s="148" t="s">
        <v>80</v>
      </c>
      <c r="AY213" s="150" t="s">
        <v>337</v>
      </c>
    </row>
    <row r="214" spans="2:65" s="148" customFormat="1" x14ac:dyDescent="0.2">
      <c r="B214" s="149"/>
      <c r="D214" s="143" t="s">
        <v>346</v>
      </c>
      <c r="E214" s="150"/>
      <c r="F214" s="151" t="s">
        <v>4765</v>
      </c>
      <c r="H214" s="152">
        <v>3.9</v>
      </c>
      <c r="L214" s="149"/>
      <c r="M214" s="153"/>
      <c r="T214" s="154"/>
      <c r="AT214" s="150" t="s">
        <v>346</v>
      </c>
      <c r="AU214" s="150" t="s">
        <v>87</v>
      </c>
      <c r="AV214" s="148" t="s">
        <v>90</v>
      </c>
      <c r="AW214" s="148" t="s">
        <v>33</v>
      </c>
      <c r="AX214" s="148" t="s">
        <v>80</v>
      </c>
      <c r="AY214" s="150" t="s">
        <v>337</v>
      </c>
    </row>
    <row r="215" spans="2:65" s="148" customFormat="1" x14ac:dyDescent="0.2">
      <c r="B215" s="149"/>
      <c r="D215" s="143" t="s">
        <v>346</v>
      </c>
      <c r="E215" s="150"/>
      <c r="F215" s="151" t="s">
        <v>4766</v>
      </c>
      <c r="H215" s="152">
        <v>16.8</v>
      </c>
      <c r="L215" s="149"/>
      <c r="M215" s="153"/>
      <c r="T215" s="154"/>
      <c r="AT215" s="150" t="s">
        <v>346</v>
      </c>
      <c r="AU215" s="150" t="s">
        <v>87</v>
      </c>
      <c r="AV215" s="148" t="s">
        <v>90</v>
      </c>
      <c r="AW215" s="148" t="s">
        <v>33</v>
      </c>
      <c r="AX215" s="148" t="s">
        <v>80</v>
      </c>
      <c r="AY215" s="150" t="s">
        <v>337</v>
      </c>
    </row>
    <row r="216" spans="2:65" s="148" customFormat="1" x14ac:dyDescent="0.2">
      <c r="B216" s="149"/>
      <c r="D216" s="143" t="s">
        <v>346</v>
      </c>
      <c r="E216" s="150"/>
      <c r="F216" s="151" t="s">
        <v>4767</v>
      </c>
      <c r="H216" s="152">
        <v>26</v>
      </c>
      <c r="L216" s="149"/>
      <c r="M216" s="153"/>
      <c r="T216" s="154"/>
      <c r="AT216" s="150" t="s">
        <v>346</v>
      </c>
      <c r="AU216" s="150" t="s">
        <v>87</v>
      </c>
      <c r="AV216" s="148" t="s">
        <v>90</v>
      </c>
      <c r="AW216" s="148" t="s">
        <v>33</v>
      </c>
      <c r="AX216" s="148" t="s">
        <v>80</v>
      </c>
      <c r="AY216" s="150" t="s">
        <v>337</v>
      </c>
    </row>
    <row r="217" spans="2:65" s="155" customFormat="1" x14ac:dyDescent="0.2">
      <c r="B217" s="156"/>
      <c r="D217" s="143" t="s">
        <v>346</v>
      </c>
      <c r="E217" s="157"/>
      <c r="F217" s="158" t="s">
        <v>351</v>
      </c>
      <c r="H217" s="159">
        <v>289.45</v>
      </c>
      <c r="L217" s="156"/>
      <c r="M217" s="160"/>
      <c r="T217" s="161"/>
      <c r="AT217" s="157" t="s">
        <v>346</v>
      </c>
      <c r="AU217" s="157" t="s">
        <v>87</v>
      </c>
      <c r="AV217" s="155" t="s">
        <v>344</v>
      </c>
      <c r="AW217" s="155" t="s">
        <v>33</v>
      </c>
      <c r="AX217" s="155" t="s">
        <v>87</v>
      </c>
      <c r="AY217" s="157" t="s">
        <v>337</v>
      </c>
    </row>
    <row r="218" spans="2:65" s="16" customFormat="1" ht="24.2" customHeight="1" x14ac:dyDescent="0.2">
      <c r="B218" s="17"/>
      <c r="C218" s="128">
        <v>47</v>
      </c>
      <c r="D218" s="128" t="s">
        <v>339</v>
      </c>
      <c r="E218" s="129" t="s">
        <v>4768</v>
      </c>
      <c r="F218" s="130" t="s">
        <v>4769</v>
      </c>
      <c r="G218" s="131" t="s">
        <v>4460</v>
      </c>
      <c r="H218" s="132">
        <v>66</v>
      </c>
      <c r="I218" s="133"/>
      <c r="J218" s="134">
        <f t="shared" ref="J218:J231" si="10">ROUND(I218*H218,2)</f>
        <v>0</v>
      </c>
      <c r="K218" s="130"/>
      <c r="L218" s="17"/>
      <c r="M218" s="135"/>
      <c r="N218" s="136" t="s">
        <v>45</v>
      </c>
      <c r="P218" s="137">
        <f t="shared" ref="P218:P231" si="11">O218*H218</f>
        <v>0</v>
      </c>
      <c r="Q218" s="137">
        <v>0</v>
      </c>
      <c r="R218" s="137">
        <f t="shared" ref="R218:R231" si="12">Q218*H218</f>
        <v>0</v>
      </c>
      <c r="S218" s="137">
        <v>0</v>
      </c>
      <c r="T218" s="138">
        <f t="shared" ref="T218:T231" si="13">S218*H218</f>
        <v>0</v>
      </c>
      <c r="AR218" s="139" t="s">
        <v>344</v>
      </c>
      <c r="AT218" s="139" t="s">
        <v>339</v>
      </c>
      <c r="AU218" s="139" t="s">
        <v>87</v>
      </c>
      <c r="AY218" s="2" t="s">
        <v>337</v>
      </c>
      <c r="BE218" s="140">
        <f t="shared" ref="BE218:BE231" si="14">IF(N218="základní",J218,0)</f>
        <v>0</v>
      </c>
      <c r="BF218" s="140">
        <f t="shared" ref="BF218:BF231" si="15">IF(N218="snížená",J218,0)</f>
        <v>0</v>
      </c>
      <c r="BG218" s="140">
        <f t="shared" ref="BG218:BG231" si="16">IF(N218="zákl. přenesená",J218,0)</f>
        <v>0</v>
      </c>
      <c r="BH218" s="140">
        <f t="shared" ref="BH218:BH231" si="17">IF(N218="sníž. přenesená",J218,0)</f>
        <v>0</v>
      </c>
      <c r="BI218" s="140">
        <f t="shared" ref="BI218:BI231" si="18">IF(N218="nulová",J218,0)</f>
        <v>0</v>
      </c>
      <c r="BJ218" s="2" t="s">
        <v>87</v>
      </c>
      <c r="BK218" s="140">
        <f t="shared" ref="BK218:BK231" si="19">ROUND(I218*H218,2)</f>
        <v>0</v>
      </c>
      <c r="BL218" s="2" t="s">
        <v>344</v>
      </c>
      <c r="BM218" s="139" t="s">
        <v>4770</v>
      </c>
    </row>
    <row r="219" spans="2:65" s="16" customFormat="1" ht="24.2" customHeight="1" x14ac:dyDescent="0.2">
      <c r="B219" s="17"/>
      <c r="C219" s="128">
        <v>48</v>
      </c>
      <c r="D219" s="128" t="s">
        <v>339</v>
      </c>
      <c r="E219" s="129" t="s">
        <v>4771</v>
      </c>
      <c r="F219" s="130" t="s">
        <v>4772</v>
      </c>
      <c r="G219" s="131" t="s">
        <v>4460</v>
      </c>
      <c r="H219" s="132">
        <v>3</v>
      </c>
      <c r="I219" s="133"/>
      <c r="J219" s="134">
        <f t="shared" si="10"/>
        <v>0</v>
      </c>
      <c r="K219" s="130"/>
      <c r="L219" s="17"/>
      <c r="M219" s="135"/>
      <c r="N219" s="136" t="s">
        <v>45</v>
      </c>
      <c r="P219" s="137">
        <f t="shared" si="11"/>
        <v>0</v>
      </c>
      <c r="Q219" s="137">
        <v>0</v>
      </c>
      <c r="R219" s="137">
        <f t="shared" si="12"/>
        <v>0</v>
      </c>
      <c r="S219" s="137">
        <v>0</v>
      </c>
      <c r="T219" s="138">
        <f t="shared" si="13"/>
        <v>0</v>
      </c>
      <c r="AR219" s="139" t="s">
        <v>344</v>
      </c>
      <c r="AT219" s="139" t="s">
        <v>339</v>
      </c>
      <c r="AU219" s="139" t="s">
        <v>87</v>
      </c>
      <c r="AY219" s="2" t="s">
        <v>337</v>
      </c>
      <c r="BE219" s="140">
        <f t="shared" si="14"/>
        <v>0</v>
      </c>
      <c r="BF219" s="140">
        <f t="shared" si="15"/>
        <v>0</v>
      </c>
      <c r="BG219" s="140">
        <f t="shared" si="16"/>
        <v>0</v>
      </c>
      <c r="BH219" s="140">
        <f t="shared" si="17"/>
        <v>0</v>
      </c>
      <c r="BI219" s="140">
        <f t="shared" si="18"/>
        <v>0</v>
      </c>
      <c r="BJ219" s="2" t="s">
        <v>87</v>
      </c>
      <c r="BK219" s="140">
        <f t="shared" si="19"/>
        <v>0</v>
      </c>
      <c r="BL219" s="2" t="s">
        <v>344</v>
      </c>
      <c r="BM219" s="139" t="s">
        <v>4773</v>
      </c>
    </row>
    <row r="220" spans="2:65" s="16" customFormat="1" ht="24.2" customHeight="1" x14ac:dyDescent="0.2">
      <c r="B220" s="17"/>
      <c r="C220" s="128">
        <v>49</v>
      </c>
      <c r="D220" s="128" t="s">
        <v>339</v>
      </c>
      <c r="E220" s="129" t="s">
        <v>4774</v>
      </c>
      <c r="F220" s="130" t="s">
        <v>4775</v>
      </c>
      <c r="G220" s="131" t="s">
        <v>4460</v>
      </c>
      <c r="H220" s="132">
        <v>4</v>
      </c>
      <c r="I220" s="133"/>
      <c r="J220" s="134">
        <f t="shared" si="10"/>
        <v>0</v>
      </c>
      <c r="K220" s="130"/>
      <c r="L220" s="17"/>
      <c r="M220" s="135"/>
      <c r="N220" s="136" t="s">
        <v>45</v>
      </c>
      <c r="P220" s="137">
        <f t="shared" si="11"/>
        <v>0</v>
      </c>
      <c r="Q220" s="137">
        <v>0</v>
      </c>
      <c r="R220" s="137">
        <f t="shared" si="12"/>
        <v>0</v>
      </c>
      <c r="S220" s="137">
        <v>0</v>
      </c>
      <c r="T220" s="138">
        <f t="shared" si="13"/>
        <v>0</v>
      </c>
      <c r="AR220" s="139" t="s">
        <v>344</v>
      </c>
      <c r="AT220" s="139" t="s">
        <v>339</v>
      </c>
      <c r="AU220" s="139" t="s">
        <v>87</v>
      </c>
      <c r="AY220" s="2" t="s">
        <v>337</v>
      </c>
      <c r="BE220" s="140">
        <f t="shared" si="14"/>
        <v>0</v>
      </c>
      <c r="BF220" s="140">
        <f t="shared" si="15"/>
        <v>0</v>
      </c>
      <c r="BG220" s="140">
        <f t="shared" si="16"/>
        <v>0</v>
      </c>
      <c r="BH220" s="140">
        <f t="shared" si="17"/>
        <v>0</v>
      </c>
      <c r="BI220" s="140">
        <f t="shared" si="18"/>
        <v>0</v>
      </c>
      <c r="BJ220" s="2" t="s">
        <v>87</v>
      </c>
      <c r="BK220" s="140">
        <f t="shared" si="19"/>
        <v>0</v>
      </c>
      <c r="BL220" s="2" t="s">
        <v>344</v>
      </c>
      <c r="BM220" s="139" t="s">
        <v>4776</v>
      </c>
    </row>
    <row r="221" spans="2:65" s="16" customFormat="1" ht="24.2" customHeight="1" x14ac:dyDescent="0.2">
      <c r="B221" s="17"/>
      <c r="C221" s="128">
        <v>50</v>
      </c>
      <c r="D221" s="128" t="s">
        <v>339</v>
      </c>
      <c r="E221" s="129" t="s">
        <v>4777</v>
      </c>
      <c r="F221" s="130" t="s">
        <v>4778</v>
      </c>
      <c r="G221" s="131" t="s">
        <v>4460</v>
      </c>
      <c r="H221" s="132">
        <v>1</v>
      </c>
      <c r="I221" s="133"/>
      <c r="J221" s="134">
        <f t="shared" si="10"/>
        <v>0</v>
      </c>
      <c r="K221" s="130"/>
      <c r="L221" s="17"/>
      <c r="M221" s="135"/>
      <c r="N221" s="136" t="s">
        <v>45</v>
      </c>
      <c r="P221" s="137">
        <f t="shared" si="11"/>
        <v>0</v>
      </c>
      <c r="Q221" s="137">
        <v>0</v>
      </c>
      <c r="R221" s="137">
        <f t="shared" si="12"/>
        <v>0</v>
      </c>
      <c r="S221" s="137">
        <v>0</v>
      </c>
      <c r="T221" s="138">
        <f t="shared" si="13"/>
        <v>0</v>
      </c>
      <c r="AR221" s="139" t="s">
        <v>344</v>
      </c>
      <c r="AT221" s="139" t="s">
        <v>339</v>
      </c>
      <c r="AU221" s="139" t="s">
        <v>87</v>
      </c>
      <c r="AY221" s="2" t="s">
        <v>337</v>
      </c>
      <c r="BE221" s="140">
        <f t="shared" si="14"/>
        <v>0</v>
      </c>
      <c r="BF221" s="140">
        <f t="shared" si="15"/>
        <v>0</v>
      </c>
      <c r="BG221" s="140">
        <f t="shared" si="16"/>
        <v>0</v>
      </c>
      <c r="BH221" s="140">
        <f t="shared" si="17"/>
        <v>0</v>
      </c>
      <c r="BI221" s="140">
        <f t="shared" si="18"/>
        <v>0</v>
      </c>
      <c r="BJ221" s="2" t="s">
        <v>87</v>
      </c>
      <c r="BK221" s="140">
        <f t="shared" si="19"/>
        <v>0</v>
      </c>
      <c r="BL221" s="2" t="s">
        <v>344</v>
      </c>
      <c r="BM221" s="139" t="s">
        <v>4779</v>
      </c>
    </row>
    <row r="222" spans="2:65" s="16" customFormat="1" ht="24.2" customHeight="1" x14ac:dyDescent="0.2">
      <c r="B222" s="17"/>
      <c r="C222" s="128">
        <v>51</v>
      </c>
      <c r="D222" s="128" t="s">
        <v>339</v>
      </c>
      <c r="E222" s="129" t="s">
        <v>4780</v>
      </c>
      <c r="F222" s="130" t="s">
        <v>4781</v>
      </c>
      <c r="G222" s="131" t="s">
        <v>4460</v>
      </c>
      <c r="H222" s="132">
        <v>1</v>
      </c>
      <c r="I222" s="133"/>
      <c r="J222" s="134">
        <f t="shared" si="10"/>
        <v>0</v>
      </c>
      <c r="K222" s="130"/>
      <c r="L222" s="17"/>
      <c r="M222" s="135"/>
      <c r="N222" s="136" t="s">
        <v>45</v>
      </c>
      <c r="P222" s="137">
        <f t="shared" si="11"/>
        <v>0</v>
      </c>
      <c r="Q222" s="137">
        <v>0</v>
      </c>
      <c r="R222" s="137">
        <f t="shared" si="12"/>
        <v>0</v>
      </c>
      <c r="S222" s="137">
        <v>0</v>
      </c>
      <c r="T222" s="138">
        <f t="shared" si="13"/>
        <v>0</v>
      </c>
      <c r="AR222" s="139" t="s">
        <v>344</v>
      </c>
      <c r="AT222" s="139" t="s">
        <v>339</v>
      </c>
      <c r="AU222" s="139" t="s">
        <v>87</v>
      </c>
      <c r="AY222" s="2" t="s">
        <v>337</v>
      </c>
      <c r="BE222" s="140">
        <f t="shared" si="14"/>
        <v>0</v>
      </c>
      <c r="BF222" s="140">
        <f t="shared" si="15"/>
        <v>0</v>
      </c>
      <c r="BG222" s="140">
        <f t="shared" si="16"/>
        <v>0</v>
      </c>
      <c r="BH222" s="140">
        <f t="shared" si="17"/>
        <v>0</v>
      </c>
      <c r="BI222" s="140">
        <f t="shared" si="18"/>
        <v>0</v>
      </c>
      <c r="BJ222" s="2" t="s">
        <v>87</v>
      </c>
      <c r="BK222" s="140">
        <f t="shared" si="19"/>
        <v>0</v>
      </c>
      <c r="BL222" s="2" t="s">
        <v>344</v>
      </c>
      <c r="BM222" s="139" t="s">
        <v>4782</v>
      </c>
    </row>
    <row r="223" spans="2:65" s="16" customFormat="1" ht="24.2" customHeight="1" x14ac:dyDescent="0.2">
      <c r="B223" s="17"/>
      <c r="C223" s="128">
        <v>52</v>
      </c>
      <c r="D223" s="128" t="s">
        <v>339</v>
      </c>
      <c r="E223" s="129" t="s">
        <v>4783</v>
      </c>
      <c r="F223" s="130" t="s">
        <v>4784</v>
      </c>
      <c r="G223" s="131" t="s">
        <v>4460</v>
      </c>
      <c r="H223" s="132">
        <v>1</v>
      </c>
      <c r="I223" s="133"/>
      <c r="J223" s="134">
        <f t="shared" si="10"/>
        <v>0</v>
      </c>
      <c r="K223" s="130"/>
      <c r="L223" s="17"/>
      <c r="M223" s="135"/>
      <c r="N223" s="136" t="s">
        <v>45</v>
      </c>
      <c r="P223" s="137">
        <f t="shared" si="11"/>
        <v>0</v>
      </c>
      <c r="Q223" s="137">
        <v>0</v>
      </c>
      <c r="R223" s="137">
        <f t="shared" si="12"/>
        <v>0</v>
      </c>
      <c r="S223" s="137">
        <v>0</v>
      </c>
      <c r="T223" s="138">
        <f t="shared" si="13"/>
        <v>0</v>
      </c>
      <c r="AR223" s="139" t="s">
        <v>344</v>
      </c>
      <c r="AT223" s="139" t="s">
        <v>339</v>
      </c>
      <c r="AU223" s="139" t="s">
        <v>87</v>
      </c>
      <c r="AY223" s="2" t="s">
        <v>337</v>
      </c>
      <c r="BE223" s="140">
        <f t="shared" si="14"/>
        <v>0</v>
      </c>
      <c r="BF223" s="140">
        <f t="shared" si="15"/>
        <v>0</v>
      </c>
      <c r="BG223" s="140">
        <f t="shared" si="16"/>
        <v>0</v>
      </c>
      <c r="BH223" s="140">
        <f t="shared" si="17"/>
        <v>0</v>
      </c>
      <c r="BI223" s="140">
        <f t="shared" si="18"/>
        <v>0</v>
      </c>
      <c r="BJ223" s="2" t="s">
        <v>87</v>
      </c>
      <c r="BK223" s="140">
        <f t="shared" si="19"/>
        <v>0</v>
      </c>
      <c r="BL223" s="2" t="s">
        <v>344</v>
      </c>
      <c r="BM223" s="139" t="s">
        <v>4785</v>
      </c>
    </row>
    <row r="224" spans="2:65" s="16" customFormat="1" ht="24.2" customHeight="1" x14ac:dyDescent="0.2">
      <c r="B224" s="17"/>
      <c r="C224" s="128">
        <v>53</v>
      </c>
      <c r="D224" s="128" t="s">
        <v>339</v>
      </c>
      <c r="E224" s="129" t="s">
        <v>4786</v>
      </c>
      <c r="F224" s="130" t="s">
        <v>4787</v>
      </c>
      <c r="G224" s="131" t="s">
        <v>4460</v>
      </c>
      <c r="H224" s="132">
        <v>1</v>
      </c>
      <c r="I224" s="133"/>
      <c r="J224" s="134">
        <f t="shared" si="10"/>
        <v>0</v>
      </c>
      <c r="K224" s="130"/>
      <c r="L224" s="17"/>
      <c r="M224" s="135"/>
      <c r="N224" s="136" t="s">
        <v>45</v>
      </c>
      <c r="P224" s="137">
        <f t="shared" si="11"/>
        <v>0</v>
      </c>
      <c r="Q224" s="137">
        <v>0</v>
      </c>
      <c r="R224" s="137">
        <f t="shared" si="12"/>
        <v>0</v>
      </c>
      <c r="S224" s="137">
        <v>0</v>
      </c>
      <c r="T224" s="138">
        <f t="shared" si="13"/>
        <v>0</v>
      </c>
      <c r="AR224" s="139" t="s">
        <v>344</v>
      </c>
      <c r="AT224" s="139" t="s">
        <v>339</v>
      </c>
      <c r="AU224" s="139" t="s">
        <v>87</v>
      </c>
      <c r="AY224" s="2" t="s">
        <v>337</v>
      </c>
      <c r="BE224" s="140">
        <f t="shared" si="14"/>
        <v>0</v>
      </c>
      <c r="BF224" s="140">
        <f t="shared" si="15"/>
        <v>0</v>
      </c>
      <c r="BG224" s="140">
        <f t="shared" si="16"/>
        <v>0</v>
      </c>
      <c r="BH224" s="140">
        <f t="shared" si="17"/>
        <v>0</v>
      </c>
      <c r="BI224" s="140">
        <f t="shared" si="18"/>
        <v>0</v>
      </c>
      <c r="BJ224" s="2" t="s">
        <v>87</v>
      </c>
      <c r="BK224" s="140">
        <f t="shared" si="19"/>
        <v>0</v>
      </c>
      <c r="BL224" s="2" t="s">
        <v>344</v>
      </c>
      <c r="BM224" s="139" t="s">
        <v>4788</v>
      </c>
    </row>
    <row r="225" spans="2:65" s="16" customFormat="1" ht="24.2" customHeight="1" x14ac:dyDescent="0.2">
      <c r="B225" s="17"/>
      <c r="C225" s="128">
        <v>54</v>
      </c>
      <c r="D225" s="128" t="s">
        <v>339</v>
      </c>
      <c r="E225" s="129" t="s">
        <v>4789</v>
      </c>
      <c r="F225" s="130" t="s">
        <v>4790</v>
      </c>
      <c r="G225" s="131" t="s">
        <v>4460</v>
      </c>
      <c r="H225" s="132">
        <v>8</v>
      </c>
      <c r="I225" s="133"/>
      <c r="J225" s="134">
        <f t="shared" si="10"/>
        <v>0</v>
      </c>
      <c r="K225" s="130"/>
      <c r="L225" s="17"/>
      <c r="M225" s="135"/>
      <c r="N225" s="136" t="s">
        <v>45</v>
      </c>
      <c r="P225" s="137">
        <f t="shared" si="11"/>
        <v>0</v>
      </c>
      <c r="Q225" s="137">
        <v>0</v>
      </c>
      <c r="R225" s="137">
        <f t="shared" si="12"/>
        <v>0</v>
      </c>
      <c r="S225" s="137">
        <v>0</v>
      </c>
      <c r="T225" s="138">
        <f t="shared" si="13"/>
        <v>0</v>
      </c>
      <c r="AR225" s="139" t="s">
        <v>344</v>
      </c>
      <c r="AT225" s="139" t="s">
        <v>339</v>
      </c>
      <c r="AU225" s="139" t="s">
        <v>87</v>
      </c>
      <c r="AY225" s="2" t="s">
        <v>337</v>
      </c>
      <c r="BE225" s="140">
        <f t="shared" si="14"/>
        <v>0</v>
      </c>
      <c r="BF225" s="140">
        <f t="shared" si="15"/>
        <v>0</v>
      </c>
      <c r="BG225" s="140">
        <f t="shared" si="16"/>
        <v>0</v>
      </c>
      <c r="BH225" s="140">
        <f t="shared" si="17"/>
        <v>0</v>
      </c>
      <c r="BI225" s="140">
        <f t="shared" si="18"/>
        <v>0</v>
      </c>
      <c r="BJ225" s="2" t="s">
        <v>87</v>
      </c>
      <c r="BK225" s="140">
        <f t="shared" si="19"/>
        <v>0</v>
      </c>
      <c r="BL225" s="2" t="s">
        <v>344</v>
      </c>
      <c r="BM225" s="139" t="s">
        <v>4791</v>
      </c>
    </row>
    <row r="226" spans="2:65" s="16" customFormat="1" ht="24.2" customHeight="1" x14ac:dyDescent="0.2">
      <c r="B226" s="17"/>
      <c r="C226" s="128">
        <v>55</v>
      </c>
      <c r="D226" s="128" t="s">
        <v>339</v>
      </c>
      <c r="E226" s="129" t="s">
        <v>4792</v>
      </c>
      <c r="F226" s="130" t="s">
        <v>4793</v>
      </c>
      <c r="G226" s="131" t="s">
        <v>4460</v>
      </c>
      <c r="H226" s="132">
        <v>4</v>
      </c>
      <c r="I226" s="133"/>
      <c r="J226" s="134">
        <f t="shared" si="10"/>
        <v>0</v>
      </c>
      <c r="K226" s="130"/>
      <c r="L226" s="17"/>
      <c r="M226" s="135"/>
      <c r="N226" s="136" t="s">
        <v>45</v>
      </c>
      <c r="P226" s="137">
        <f t="shared" si="11"/>
        <v>0</v>
      </c>
      <c r="Q226" s="137">
        <v>0</v>
      </c>
      <c r="R226" s="137">
        <f t="shared" si="12"/>
        <v>0</v>
      </c>
      <c r="S226" s="137">
        <v>0</v>
      </c>
      <c r="T226" s="138">
        <f t="shared" si="13"/>
        <v>0</v>
      </c>
      <c r="AR226" s="139" t="s">
        <v>344</v>
      </c>
      <c r="AT226" s="139" t="s">
        <v>339</v>
      </c>
      <c r="AU226" s="139" t="s">
        <v>87</v>
      </c>
      <c r="AY226" s="2" t="s">
        <v>337</v>
      </c>
      <c r="BE226" s="140">
        <f t="shared" si="14"/>
        <v>0</v>
      </c>
      <c r="BF226" s="140">
        <f t="shared" si="15"/>
        <v>0</v>
      </c>
      <c r="BG226" s="140">
        <f t="shared" si="16"/>
        <v>0</v>
      </c>
      <c r="BH226" s="140">
        <f t="shared" si="17"/>
        <v>0</v>
      </c>
      <c r="BI226" s="140">
        <f t="shared" si="18"/>
        <v>0</v>
      </c>
      <c r="BJ226" s="2" t="s">
        <v>87</v>
      </c>
      <c r="BK226" s="140">
        <f t="shared" si="19"/>
        <v>0</v>
      </c>
      <c r="BL226" s="2" t="s">
        <v>344</v>
      </c>
      <c r="BM226" s="139" t="s">
        <v>4794</v>
      </c>
    </row>
    <row r="227" spans="2:65" s="16" customFormat="1" ht="24.2" customHeight="1" x14ac:dyDescent="0.2">
      <c r="B227" s="17"/>
      <c r="C227" s="128">
        <v>56</v>
      </c>
      <c r="D227" s="128" t="s">
        <v>339</v>
      </c>
      <c r="E227" s="129" t="s">
        <v>4795</v>
      </c>
      <c r="F227" s="130" t="s">
        <v>4796</v>
      </c>
      <c r="G227" s="131" t="s">
        <v>4460</v>
      </c>
      <c r="H227" s="132">
        <v>2</v>
      </c>
      <c r="I227" s="133"/>
      <c r="J227" s="134">
        <f t="shared" si="10"/>
        <v>0</v>
      </c>
      <c r="K227" s="130"/>
      <c r="L227" s="17"/>
      <c r="M227" s="135"/>
      <c r="N227" s="136" t="s">
        <v>45</v>
      </c>
      <c r="P227" s="137">
        <f t="shared" si="11"/>
        <v>0</v>
      </c>
      <c r="Q227" s="137">
        <v>0</v>
      </c>
      <c r="R227" s="137">
        <f t="shared" si="12"/>
        <v>0</v>
      </c>
      <c r="S227" s="137">
        <v>0</v>
      </c>
      <c r="T227" s="138">
        <f t="shared" si="13"/>
        <v>0</v>
      </c>
      <c r="AR227" s="139" t="s">
        <v>344</v>
      </c>
      <c r="AT227" s="139" t="s">
        <v>339</v>
      </c>
      <c r="AU227" s="139" t="s">
        <v>87</v>
      </c>
      <c r="AY227" s="2" t="s">
        <v>337</v>
      </c>
      <c r="BE227" s="140">
        <f t="shared" si="14"/>
        <v>0</v>
      </c>
      <c r="BF227" s="140">
        <f t="shared" si="15"/>
        <v>0</v>
      </c>
      <c r="BG227" s="140">
        <f t="shared" si="16"/>
        <v>0</v>
      </c>
      <c r="BH227" s="140">
        <f t="shared" si="17"/>
        <v>0</v>
      </c>
      <c r="BI227" s="140">
        <f t="shared" si="18"/>
        <v>0</v>
      </c>
      <c r="BJ227" s="2" t="s">
        <v>87</v>
      </c>
      <c r="BK227" s="140">
        <f t="shared" si="19"/>
        <v>0</v>
      </c>
      <c r="BL227" s="2" t="s">
        <v>344</v>
      </c>
      <c r="BM227" s="139" t="s">
        <v>4797</v>
      </c>
    </row>
    <row r="228" spans="2:65" s="16" customFormat="1" ht="24.2" customHeight="1" x14ac:dyDescent="0.2">
      <c r="B228" s="17"/>
      <c r="C228" s="128">
        <v>57</v>
      </c>
      <c r="D228" s="128" t="s">
        <v>339</v>
      </c>
      <c r="E228" s="129" t="s">
        <v>4798</v>
      </c>
      <c r="F228" s="130" t="s">
        <v>4799</v>
      </c>
      <c r="G228" s="131" t="s">
        <v>4460</v>
      </c>
      <c r="H228" s="132">
        <v>3</v>
      </c>
      <c r="I228" s="133"/>
      <c r="J228" s="134">
        <f t="shared" si="10"/>
        <v>0</v>
      </c>
      <c r="K228" s="130"/>
      <c r="L228" s="17"/>
      <c r="M228" s="135"/>
      <c r="N228" s="136" t="s">
        <v>45</v>
      </c>
      <c r="P228" s="137">
        <f t="shared" si="11"/>
        <v>0</v>
      </c>
      <c r="Q228" s="137">
        <v>0</v>
      </c>
      <c r="R228" s="137">
        <f t="shared" si="12"/>
        <v>0</v>
      </c>
      <c r="S228" s="137">
        <v>0</v>
      </c>
      <c r="T228" s="138">
        <f t="shared" si="13"/>
        <v>0</v>
      </c>
      <c r="AR228" s="139" t="s">
        <v>344</v>
      </c>
      <c r="AT228" s="139" t="s">
        <v>339</v>
      </c>
      <c r="AU228" s="139" t="s">
        <v>87</v>
      </c>
      <c r="AY228" s="2" t="s">
        <v>337</v>
      </c>
      <c r="BE228" s="140">
        <f t="shared" si="14"/>
        <v>0</v>
      </c>
      <c r="BF228" s="140">
        <f t="shared" si="15"/>
        <v>0</v>
      </c>
      <c r="BG228" s="140">
        <f t="shared" si="16"/>
        <v>0</v>
      </c>
      <c r="BH228" s="140">
        <f t="shared" si="17"/>
        <v>0</v>
      </c>
      <c r="BI228" s="140">
        <f t="shared" si="18"/>
        <v>0</v>
      </c>
      <c r="BJ228" s="2" t="s">
        <v>87</v>
      </c>
      <c r="BK228" s="140">
        <f t="shared" si="19"/>
        <v>0</v>
      </c>
      <c r="BL228" s="2" t="s">
        <v>344</v>
      </c>
      <c r="BM228" s="139" t="s">
        <v>4800</v>
      </c>
    </row>
    <row r="229" spans="2:65" s="16" customFormat="1" ht="24.2" customHeight="1" x14ac:dyDescent="0.2">
      <c r="B229" s="17"/>
      <c r="C229" s="128">
        <v>58</v>
      </c>
      <c r="D229" s="128" t="s">
        <v>339</v>
      </c>
      <c r="E229" s="129" t="s">
        <v>4801</v>
      </c>
      <c r="F229" s="130" t="s">
        <v>4802</v>
      </c>
      <c r="G229" s="131" t="s">
        <v>4460</v>
      </c>
      <c r="H229" s="132">
        <v>1</v>
      </c>
      <c r="I229" s="133"/>
      <c r="J229" s="134">
        <f t="shared" si="10"/>
        <v>0</v>
      </c>
      <c r="K229" s="130"/>
      <c r="L229" s="17"/>
      <c r="M229" s="135"/>
      <c r="N229" s="136" t="s">
        <v>45</v>
      </c>
      <c r="P229" s="137">
        <f t="shared" si="11"/>
        <v>0</v>
      </c>
      <c r="Q229" s="137">
        <v>0</v>
      </c>
      <c r="R229" s="137">
        <f t="shared" si="12"/>
        <v>0</v>
      </c>
      <c r="S229" s="137">
        <v>0</v>
      </c>
      <c r="T229" s="138">
        <f t="shared" si="13"/>
        <v>0</v>
      </c>
      <c r="AR229" s="139" t="s">
        <v>344</v>
      </c>
      <c r="AT229" s="139" t="s">
        <v>339</v>
      </c>
      <c r="AU229" s="139" t="s">
        <v>87</v>
      </c>
      <c r="AY229" s="2" t="s">
        <v>337</v>
      </c>
      <c r="BE229" s="140">
        <f t="shared" si="14"/>
        <v>0</v>
      </c>
      <c r="BF229" s="140">
        <f t="shared" si="15"/>
        <v>0</v>
      </c>
      <c r="BG229" s="140">
        <f t="shared" si="16"/>
        <v>0</v>
      </c>
      <c r="BH229" s="140">
        <f t="shared" si="17"/>
        <v>0</v>
      </c>
      <c r="BI229" s="140">
        <f t="shared" si="18"/>
        <v>0</v>
      </c>
      <c r="BJ229" s="2" t="s">
        <v>87</v>
      </c>
      <c r="BK229" s="140">
        <f t="shared" si="19"/>
        <v>0</v>
      </c>
      <c r="BL229" s="2" t="s">
        <v>344</v>
      </c>
      <c r="BM229" s="139" t="s">
        <v>4803</v>
      </c>
    </row>
    <row r="230" spans="2:65" s="16" customFormat="1" ht="24.2" customHeight="1" x14ac:dyDescent="0.2">
      <c r="B230" s="17"/>
      <c r="C230" s="128">
        <v>59</v>
      </c>
      <c r="D230" s="128" t="s">
        <v>339</v>
      </c>
      <c r="E230" s="129" t="s">
        <v>4804</v>
      </c>
      <c r="F230" s="130" t="s">
        <v>4805</v>
      </c>
      <c r="G230" s="131" t="s">
        <v>4460</v>
      </c>
      <c r="H230" s="132">
        <v>2</v>
      </c>
      <c r="I230" s="133"/>
      <c r="J230" s="134">
        <f t="shared" si="10"/>
        <v>0</v>
      </c>
      <c r="K230" s="130"/>
      <c r="L230" s="17"/>
      <c r="M230" s="135"/>
      <c r="N230" s="136" t="s">
        <v>45</v>
      </c>
      <c r="P230" s="137">
        <f t="shared" si="11"/>
        <v>0</v>
      </c>
      <c r="Q230" s="137">
        <v>0</v>
      </c>
      <c r="R230" s="137">
        <f t="shared" si="12"/>
        <v>0</v>
      </c>
      <c r="S230" s="137">
        <v>0</v>
      </c>
      <c r="T230" s="138">
        <f t="shared" si="13"/>
        <v>0</v>
      </c>
      <c r="AR230" s="139" t="s">
        <v>344</v>
      </c>
      <c r="AT230" s="139" t="s">
        <v>339</v>
      </c>
      <c r="AU230" s="139" t="s">
        <v>87</v>
      </c>
      <c r="AY230" s="2" t="s">
        <v>337</v>
      </c>
      <c r="BE230" s="140">
        <f t="shared" si="14"/>
        <v>0</v>
      </c>
      <c r="BF230" s="140">
        <f t="shared" si="15"/>
        <v>0</v>
      </c>
      <c r="BG230" s="140">
        <f t="shared" si="16"/>
        <v>0</v>
      </c>
      <c r="BH230" s="140">
        <f t="shared" si="17"/>
        <v>0</v>
      </c>
      <c r="BI230" s="140">
        <f t="shared" si="18"/>
        <v>0</v>
      </c>
      <c r="BJ230" s="2" t="s">
        <v>87</v>
      </c>
      <c r="BK230" s="140">
        <f t="shared" si="19"/>
        <v>0</v>
      </c>
      <c r="BL230" s="2" t="s">
        <v>344</v>
      </c>
      <c r="BM230" s="139" t="s">
        <v>4806</v>
      </c>
    </row>
    <row r="231" spans="2:65" s="16" customFormat="1" ht="24.2" customHeight="1" x14ac:dyDescent="0.2">
      <c r="B231" s="17"/>
      <c r="C231" s="128">
        <v>60</v>
      </c>
      <c r="D231" s="128" t="s">
        <v>339</v>
      </c>
      <c r="E231" s="129" t="s">
        <v>4807</v>
      </c>
      <c r="F231" s="130" t="s">
        <v>4808</v>
      </c>
      <c r="G231" s="131" t="s">
        <v>4460</v>
      </c>
      <c r="H231" s="132">
        <v>1</v>
      </c>
      <c r="I231" s="133"/>
      <c r="J231" s="134">
        <f t="shared" si="10"/>
        <v>0</v>
      </c>
      <c r="K231" s="130"/>
      <c r="L231" s="17"/>
      <c r="M231" s="187"/>
      <c r="N231" s="188" t="s">
        <v>45</v>
      </c>
      <c r="O231" s="189"/>
      <c r="P231" s="190">
        <f t="shared" si="11"/>
        <v>0</v>
      </c>
      <c r="Q231" s="190">
        <v>0</v>
      </c>
      <c r="R231" s="190">
        <f t="shared" si="12"/>
        <v>0</v>
      </c>
      <c r="S231" s="190">
        <v>0</v>
      </c>
      <c r="T231" s="191">
        <f t="shared" si="13"/>
        <v>0</v>
      </c>
      <c r="AR231" s="139" t="s">
        <v>344</v>
      </c>
      <c r="AT231" s="139" t="s">
        <v>339</v>
      </c>
      <c r="AU231" s="139" t="s">
        <v>87</v>
      </c>
      <c r="AY231" s="2" t="s">
        <v>337</v>
      </c>
      <c r="BE231" s="140">
        <f t="shared" si="14"/>
        <v>0</v>
      </c>
      <c r="BF231" s="140">
        <f t="shared" si="15"/>
        <v>0</v>
      </c>
      <c r="BG231" s="140">
        <f t="shared" si="16"/>
        <v>0</v>
      </c>
      <c r="BH231" s="140">
        <f t="shared" si="17"/>
        <v>0</v>
      </c>
      <c r="BI231" s="140">
        <f t="shared" si="18"/>
        <v>0</v>
      </c>
      <c r="BJ231" s="2" t="s">
        <v>87</v>
      </c>
      <c r="BK231" s="140">
        <f t="shared" si="19"/>
        <v>0</v>
      </c>
      <c r="BL231" s="2" t="s">
        <v>344</v>
      </c>
      <c r="BM231" s="139" t="s">
        <v>4809</v>
      </c>
    </row>
    <row r="232" spans="2:65" s="16" customFormat="1" ht="6.95" customHeight="1" x14ac:dyDescent="0.2">
      <c r="B232" s="30"/>
      <c r="C232" s="19"/>
      <c r="D232" s="19"/>
      <c r="E232" s="19"/>
      <c r="F232" s="19"/>
      <c r="G232" s="19"/>
      <c r="H232" s="19"/>
      <c r="I232" s="19"/>
      <c r="J232" s="19"/>
      <c r="K232" s="19"/>
      <c r="L232" s="17"/>
    </row>
  </sheetData>
  <sheetProtection algorithmName="SHA-512" hashValue="uUEgAlakrJv1OvECGRh3SFg4uVkOcal4nx37NJRTAbGmwICbgu+LR2GIM/ooBuWWA4egrkMHuDFGIq3zJqaAPw==" saltValue="D62PFo7zbGo/eTsiNc7T2Q==" spinCount="100000" sheet="1" objects="1" scenarios="1" formatCells="0" formatColumns="0" formatRows="0" autoFilter="0"/>
  <autoFilter ref="C138:K231" xr:uid="{00000000-0009-0000-0000-000009000000}"/>
  <mergeCells count="16">
    <mergeCell ref="L2:V2"/>
    <mergeCell ref="J136:K136"/>
    <mergeCell ref="E22:H22"/>
    <mergeCell ref="E7:H7"/>
    <mergeCell ref="E9:H9"/>
    <mergeCell ref="E11:H11"/>
    <mergeCell ref="E13:H13"/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B2:BM234"/>
  <sheetViews>
    <sheetView showGridLines="0" workbookViewId="0">
      <selection activeCell="F104" sqref="F104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4.332031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5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126</v>
      </c>
      <c r="AZ2" s="2" t="s">
        <v>4810</v>
      </c>
      <c r="BA2" s="2"/>
      <c r="BB2" s="2"/>
      <c r="BC2" s="2" t="s">
        <v>4811</v>
      </c>
      <c r="BD2" s="2" t="s">
        <v>90</v>
      </c>
    </row>
    <row r="3" spans="2:5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5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56" ht="6.95" hidden="1" customHeight="1" x14ac:dyDescent="0.2">
      <c r="B5" s="5"/>
      <c r="L5" s="5"/>
    </row>
    <row r="6" spans="2:56" ht="12" hidden="1" customHeight="1" x14ac:dyDescent="0.2">
      <c r="B6" s="5"/>
      <c r="D6" s="12" t="s">
        <v>15</v>
      </c>
      <c r="L6" s="5"/>
    </row>
    <row r="7" spans="2:5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56" ht="12.75" hidden="1" x14ac:dyDescent="0.2">
      <c r="B8" s="5"/>
      <c r="D8" s="12" t="s">
        <v>190</v>
      </c>
      <c r="L8" s="5"/>
    </row>
    <row r="9" spans="2:5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56" ht="12" hidden="1" customHeight="1" x14ac:dyDescent="0.2">
      <c r="B10" s="5"/>
      <c r="D10" s="12" t="s">
        <v>196</v>
      </c>
      <c r="L10" s="5"/>
    </row>
    <row r="11" spans="2:56" s="16" customFormat="1" ht="16.5" hidden="1" customHeight="1" x14ac:dyDescent="0.2">
      <c r="B11" s="17"/>
      <c r="E11" s="328" t="s">
        <v>4414</v>
      </c>
      <c r="F11" s="328"/>
      <c r="G11" s="328"/>
      <c r="H11" s="328"/>
      <c r="L11" s="17"/>
    </row>
    <row r="12" spans="2:56" s="16" customFormat="1" ht="12" hidden="1" customHeight="1" x14ac:dyDescent="0.2">
      <c r="B12" s="17"/>
      <c r="D12" s="12" t="s">
        <v>4415</v>
      </c>
      <c r="L12" s="17"/>
    </row>
    <row r="13" spans="2:56" s="16" customFormat="1" ht="16.5" hidden="1" customHeight="1" x14ac:dyDescent="0.2">
      <c r="B13" s="17"/>
      <c r="E13" s="309" t="s">
        <v>4812</v>
      </c>
      <c r="F13" s="309"/>
      <c r="G13" s="309"/>
      <c r="H13" s="309"/>
      <c r="L13" s="17"/>
    </row>
    <row r="14" spans="2:56" s="16" customFormat="1" hidden="1" x14ac:dyDescent="0.2">
      <c r="B14" s="17"/>
      <c r="L14" s="17"/>
    </row>
    <row r="15" spans="2:5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5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 t="str">
        <f>IF(Rekapitulace_stavby!AN16="","",Rekapitulace_stavby!AN16)</f>
        <v>48025721</v>
      </c>
      <c r="L24" s="17"/>
    </row>
    <row r="25" spans="2:12" s="16" customFormat="1" ht="18" hidden="1" customHeight="1" x14ac:dyDescent="0.2">
      <c r="B25" s="17"/>
      <c r="E25" s="10" t="str">
        <f>IF(Rekapitulace_stavby!E17="","",Rekapitulace_stavby!E17)</f>
        <v>MEPRO s.r.o.</v>
      </c>
      <c r="I25" s="12" t="s">
        <v>26</v>
      </c>
      <c r="J25" s="10" t="str">
        <f>IF(Rekapitulace_stavby!AN17="","",Rekapitulace_stavby!AN17)</f>
        <v>CZ48025721</v>
      </c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 t="str">
        <f>IF(Rekapitulace_stavby!AN19="","",Rekapitulace_stavby!AN19)</f>
        <v>25415751</v>
      </c>
      <c r="L27" s="17"/>
    </row>
    <row r="28" spans="2:12" s="16" customFormat="1" ht="18" hidden="1" customHeight="1" x14ac:dyDescent="0.2">
      <c r="B28" s="17"/>
      <c r="E28" s="10" t="str">
        <f>IF(Rekapitulace_stavby!E20="","",Rekapitulace_stavby!E20)</f>
        <v>Propos Liberec s.r.o.</v>
      </c>
      <c r="I28" s="12" t="s">
        <v>26</v>
      </c>
      <c r="J28" s="10" t="str">
        <f>IF(Rekapitulace_stavby!AN20="","",Rekapitulace_stavby!AN20)</f>
        <v>CZ25415751</v>
      </c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47.25" hidden="1" customHeight="1" x14ac:dyDescent="0.2">
      <c r="B31" s="82"/>
      <c r="E31" s="304" t="s">
        <v>4813</v>
      </c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ROUND((SUM(BE139:BE233)),  2)</f>
        <v>0</v>
      </c>
      <c r="I37" s="86">
        <v>0.21</v>
      </c>
      <c r="J37" s="73">
        <f>ROUND(((SUM(BE139:BE233))*I37),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ROUND((SUM(BF139:BF233)),  2)</f>
        <v>0</v>
      </c>
      <c r="I38" s="86">
        <v>0.12</v>
      </c>
      <c r="J38" s="73">
        <f>ROUND(((SUM(BF139:BF233))*I38),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ROUND((SUM(BG139:BG233)),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ROUND((SUM(BH139:BH233)),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ROUND((SUM(BI139:BI233)),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4414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05 - Zámečnické prvky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MEPRO s.r.o.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Propos Liberec s.r.o.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4814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98" customFormat="1" ht="24.95" customHeight="1" x14ac:dyDescent="0.2">
      <c r="B102" s="99"/>
      <c r="D102" s="100" t="s">
        <v>4815</v>
      </c>
      <c r="E102" s="101"/>
      <c r="F102" s="101"/>
      <c r="G102" s="101"/>
      <c r="H102" s="101"/>
      <c r="I102" s="101"/>
      <c r="J102" s="102">
        <f>J161</f>
        <v>0</v>
      </c>
      <c r="L102" s="99"/>
    </row>
    <row r="103" spans="2:47" s="98" customFormat="1" ht="24.95" customHeight="1" x14ac:dyDescent="0.2">
      <c r="B103" s="99"/>
      <c r="D103" s="100" t="s">
        <v>4816</v>
      </c>
      <c r="E103" s="101"/>
      <c r="F103" s="101"/>
      <c r="G103" s="101"/>
      <c r="H103" s="101"/>
      <c r="I103" s="101"/>
      <c r="J103" s="102">
        <f>J182</f>
        <v>0</v>
      </c>
      <c r="L103" s="99"/>
    </row>
    <row r="104" spans="2:47" s="98" customFormat="1" ht="24.95" customHeight="1" x14ac:dyDescent="0.2">
      <c r="B104" s="99"/>
      <c r="D104" s="100" t="s">
        <v>4817</v>
      </c>
      <c r="E104" s="101"/>
      <c r="F104" s="101"/>
      <c r="G104" s="101"/>
      <c r="H104" s="101"/>
      <c r="I104" s="101"/>
      <c r="J104" s="102">
        <f>J189</f>
        <v>0</v>
      </c>
      <c r="L104" s="99"/>
    </row>
    <row r="105" spans="2:47" s="98" customFormat="1" ht="24.95" customHeight="1" x14ac:dyDescent="0.2">
      <c r="B105" s="99"/>
      <c r="D105" s="100" t="s">
        <v>4818</v>
      </c>
      <c r="E105" s="101"/>
      <c r="F105" s="101"/>
      <c r="G105" s="101"/>
      <c r="H105" s="101"/>
      <c r="I105" s="101"/>
      <c r="J105" s="102">
        <f>J194</f>
        <v>0</v>
      </c>
      <c r="L105" s="99"/>
    </row>
    <row r="106" spans="2:47" s="98" customFormat="1" ht="24.95" customHeight="1" x14ac:dyDescent="0.2">
      <c r="B106" s="99"/>
      <c r="D106" s="100" t="s">
        <v>4819</v>
      </c>
      <c r="E106" s="101"/>
      <c r="F106" s="101"/>
      <c r="G106" s="101"/>
      <c r="H106" s="101"/>
      <c r="I106" s="101"/>
      <c r="J106" s="102">
        <f>J203</f>
        <v>0</v>
      </c>
      <c r="L106" s="99"/>
    </row>
    <row r="107" spans="2:47" s="98" customFormat="1" ht="24.95" customHeight="1" x14ac:dyDescent="0.2">
      <c r="B107" s="99"/>
      <c r="D107" s="100" t="s">
        <v>4820</v>
      </c>
      <c r="E107" s="101"/>
      <c r="F107" s="101"/>
      <c r="G107" s="101"/>
      <c r="H107" s="101"/>
      <c r="I107" s="101"/>
      <c r="J107" s="102">
        <f>J208</f>
        <v>0</v>
      </c>
      <c r="L107" s="99"/>
    </row>
    <row r="108" spans="2:47" s="98" customFormat="1" ht="24.95" customHeight="1" x14ac:dyDescent="0.2">
      <c r="B108" s="99"/>
      <c r="D108" s="100" t="s">
        <v>310</v>
      </c>
      <c r="E108" s="101"/>
      <c r="F108" s="101"/>
      <c r="G108" s="101"/>
      <c r="H108" s="101"/>
      <c r="I108" s="101"/>
      <c r="J108" s="102">
        <f>J210</f>
        <v>0</v>
      </c>
      <c r="L108" s="99"/>
    </row>
    <row r="109" spans="2:47" s="70" customFormat="1" ht="19.899999999999999" customHeight="1" x14ac:dyDescent="0.2">
      <c r="B109" s="103"/>
      <c r="D109" s="104" t="s">
        <v>320</v>
      </c>
      <c r="E109" s="105"/>
      <c r="F109" s="105"/>
      <c r="G109" s="105"/>
      <c r="H109" s="105"/>
      <c r="I109" s="105"/>
      <c r="J109" s="106">
        <f>J211</f>
        <v>0</v>
      </c>
      <c r="L109" s="103"/>
    </row>
    <row r="110" spans="2:47" s="16" customFormat="1" ht="21.75" customHeight="1" x14ac:dyDescent="0.2">
      <c r="B110" s="17"/>
      <c r="L110" s="17"/>
    </row>
    <row r="111" spans="2:47" s="16" customFormat="1" ht="6.95" customHeight="1" x14ac:dyDescent="0.2">
      <c r="B111" s="30"/>
      <c r="C111" s="19"/>
      <c r="D111" s="19"/>
      <c r="E111" s="19"/>
      <c r="F111" s="19"/>
      <c r="G111" s="19"/>
      <c r="H111" s="19"/>
      <c r="I111" s="19"/>
      <c r="J111" s="19"/>
      <c r="K111" s="19"/>
      <c r="L111" s="17"/>
    </row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4414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05 - Zámečnické prvky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MEPRO s.r.o.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304" t="str">
        <f>E28</f>
        <v>Propos Liberec s.r.o.</v>
      </c>
      <c r="K136" s="327"/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P140+P161+P182+P189+P194+P203+P208+P210</f>
        <v>0</v>
      </c>
      <c r="Q139" s="39"/>
      <c r="R139" s="113">
        <f>R140+R161+R182+R189+R194+R203+R208+R210</f>
        <v>4.3455232999999991</v>
      </c>
      <c r="S139" s="39"/>
      <c r="T139" s="114">
        <f>T140+T161+T182+T189+T194+T203+T208+T210</f>
        <v>0.64574999999999994</v>
      </c>
      <c r="AT139" s="2" t="s">
        <v>79</v>
      </c>
      <c r="AU139" s="2" t="s">
        <v>303</v>
      </c>
      <c r="BK139" s="115">
        <f>BK140+BK161+BK182+BK189+BK194+BK203+BK208+BK210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4631</v>
      </c>
      <c r="F140" s="119" t="s">
        <v>4821</v>
      </c>
      <c r="J140" s="120">
        <f>BK140</f>
        <v>0</v>
      </c>
      <c r="L140" s="117"/>
      <c r="M140" s="121"/>
      <c r="P140" s="122">
        <f>SUM(P141:P160)</f>
        <v>0</v>
      </c>
      <c r="R140" s="122">
        <f>SUM(R141:R160)</f>
        <v>0</v>
      </c>
      <c r="T140" s="123">
        <f>SUM(T141:T160)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SUM(BK141:BK160)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4822</v>
      </c>
      <c r="F141" s="130" t="s">
        <v>4823</v>
      </c>
      <c r="G141" s="131" t="s">
        <v>724</v>
      </c>
      <c r="H141" s="132">
        <v>47.414999999999999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4824</v>
      </c>
    </row>
    <row r="142" spans="2:65" s="16" customFormat="1" ht="29.25" x14ac:dyDescent="0.2">
      <c r="B142" s="17"/>
      <c r="D142" s="143" t="s">
        <v>644</v>
      </c>
      <c r="F142" s="179" t="s">
        <v>4825</v>
      </c>
      <c r="L142" s="17"/>
      <c r="M142" s="180"/>
      <c r="T142" s="41"/>
      <c r="AT142" s="2" t="s">
        <v>644</v>
      </c>
      <c r="AU142" s="2" t="s">
        <v>87</v>
      </c>
    </row>
    <row r="143" spans="2:65" s="16" customFormat="1" ht="16.5" customHeight="1" x14ac:dyDescent="0.2">
      <c r="B143" s="17"/>
      <c r="C143" s="128">
        <v>2</v>
      </c>
      <c r="D143" s="128" t="s">
        <v>339</v>
      </c>
      <c r="E143" s="129" t="s">
        <v>4826</v>
      </c>
      <c r="F143" s="130" t="s">
        <v>4827</v>
      </c>
      <c r="G143" s="131" t="s">
        <v>724</v>
      </c>
      <c r="H143" s="132">
        <v>20.72</v>
      </c>
      <c r="I143" s="133"/>
      <c r="J143" s="134">
        <f>ROUND(I143*H143,2)</f>
        <v>0</v>
      </c>
      <c r="K143" s="130"/>
      <c r="L143" s="17"/>
      <c r="M143" s="135"/>
      <c r="N143" s="136" t="s">
        <v>45</v>
      </c>
      <c r="P143" s="137">
        <f>O143*H143</f>
        <v>0</v>
      </c>
      <c r="Q143" s="137">
        <v>0</v>
      </c>
      <c r="R143" s="137">
        <f>Q143*H143</f>
        <v>0</v>
      </c>
      <c r="S143" s="137">
        <v>0</v>
      </c>
      <c r="T143" s="138">
        <f>S143*H143</f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>IF(N143="základní",J143,0)</f>
        <v>0</v>
      </c>
      <c r="BF143" s="140">
        <f>IF(N143="snížená",J143,0)</f>
        <v>0</v>
      </c>
      <c r="BG143" s="140">
        <f>IF(N143="zákl. přenesená",J143,0)</f>
        <v>0</v>
      </c>
      <c r="BH143" s="140">
        <f>IF(N143="sníž. přenesená",J143,0)</f>
        <v>0</v>
      </c>
      <c r="BI143" s="140">
        <f>IF(N143="nulová",J143,0)</f>
        <v>0</v>
      </c>
      <c r="BJ143" s="2" t="s">
        <v>87</v>
      </c>
      <c r="BK143" s="140">
        <f>ROUND(I143*H143,2)</f>
        <v>0</v>
      </c>
      <c r="BL143" s="2" t="s">
        <v>344</v>
      </c>
      <c r="BM143" s="139" t="s">
        <v>4828</v>
      </c>
    </row>
    <row r="144" spans="2:65" s="16" customFormat="1" ht="16.5" customHeight="1" x14ac:dyDescent="0.2">
      <c r="B144" s="17"/>
      <c r="C144" s="128">
        <v>3</v>
      </c>
      <c r="D144" s="128" t="s">
        <v>339</v>
      </c>
      <c r="E144" s="129" t="s">
        <v>4829</v>
      </c>
      <c r="F144" s="130" t="s">
        <v>4830</v>
      </c>
      <c r="G144" s="131" t="s">
        <v>724</v>
      </c>
      <c r="H144" s="132">
        <v>11.4</v>
      </c>
      <c r="I144" s="133"/>
      <c r="J144" s="134">
        <f>ROUND(I144*H144,2)</f>
        <v>0</v>
      </c>
      <c r="K144" s="130"/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</v>
      </c>
      <c r="T144" s="138">
        <f>S144*H144</f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344</v>
      </c>
      <c r="BM144" s="139" t="s">
        <v>4831</v>
      </c>
    </row>
    <row r="145" spans="2:65" s="16" customFormat="1" ht="16.5" customHeight="1" x14ac:dyDescent="0.2">
      <c r="B145" s="17"/>
      <c r="C145" s="128">
        <v>4</v>
      </c>
      <c r="D145" s="128" t="s">
        <v>339</v>
      </c>
      <c r="E145" s="129" t="s">
        <v>4832</v>
      </c>
      <c r="F145" s="130" t="s">
        <v>4833</v>
      </c>
      <c r="G145" s="131" t="s">
        <v>724</v>
      </c>
      <c r="H145" s="132">
        <v>97.92</v>
      </c>
      <c r="I145" s="133"/>
      <c r="J145" s="134">
        <f>ROUND(I145*H145,2)</f>
        <v>0</v>
      </c>
      <c r="K145" s="130"/>
      <c r="L145" s="17"/>
      <c r="M145" s="135"/>
      <c r="N145" s="136" t="s">
        <v>45</v>
      </c>
      <c r="P145" s="137">
        <f>O145*H145</f>
        <v>0</v>
      </c>
      <c r="Q145" s="137">
        <v>0</v>
      </c>
      <c r="R145" s="137">
        <f>Q145*H145</f>
        <v>0</v>
      </c>
      <c r="S145" s="137">
        <v>0</v>
      </c>
      <c r="T145" s="138">
        <f>S145*H145</f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>IF(N145="základní",J145,0)</f>
        <v>0</v>
      </c>
      <c r="BF145" s="140">
        <f>IF(N145="snížená",J145,0)</f>
        <v>0</v>
      </c>
      <c r="BG145" s="140">
        <f>IF(N145="zákl. přenesená",J145,0)</f>
        <v>0</v>
      </c>
      <c r="BH145" s="140">
        <f>IF(N145="sníž. přenesená",J145,0)</f>
        <v>0</v>
      </c>
      <c r="BI145" s="140">
        <f>IF(N145="nulová",J145,0)</f>
        <v>0</v>
      </c>
      <c r="BJ145" s="2" t="s">
        <v>87</v>
      </c>
      <c r="BK145" s="140">
        <f>ROUND(I145*H145,2)</f>
        <v>0</v>
      </c>
      <c r="BL145" s="2" t="s">
        <v>344</v>
      </c>
      <c r="BM145" s="139" t="s">
        <v>4834</v>
      </c>
    </row>
    <row r="146" spans="2:65" s="16" customFormat="1" ht="16.5" customHeight="1" x14ac:dyDescent="0.2">
      <c r="B146" s="17"/>
      <c r="C146" s="128">
        <v>5</v>
      </c>
      <c r="D146" s="128" t="s">
        <v>339</v>
      </c>
      <c r="E146" s="129" t="s">
        <v>4835</v>
      </c>
      <c r="F146" s="130" t="s">
        <v>4836</v>
      </c>
      <c r="G146" s="131" t="s">
        <v>724</v>
      </c>
      <c r="H146" s="132">
        <v>35.4</v>
      </c>
      <c r="I146" s="133"/>
      <c r="J146" s="134">
        <f>ROUND(I146*H146,2)</f>
        <v>0</v>
      </c>
      <c r="K146" s="130"/>
      <c r="L146" s="17"/>
      <c r="M146" s="135"/>
      <c r="N146" s="136" t="s">
        <v>45</v>
      </c>
      <c r="P146" s="137">
        <f>O146*H146</f>
        <v>0</v>
      </c>
      <c r="Q146" s="137">
        <v>0</v>
      </c>
      <c r="R146" s="137">
        <f>Q146*H146</f>
        <v>0</v>
      </c>
      <c r="S146" s="137">
        <v>0</v>
      </c>
      <c r="T146" s="138">
        <f>S146*H146</f>
        <v>0</v>
      </c>
      <c r="AR146" s="139" t="s">
        <v>344</v>
      </c>
      <c r="AT146" s="139" t="s">
        <v>339</v>
      </c>
      <c r="AU146" s="139" t="s">
        <v>87</v>
      </c>
      <c r="AY146" s="2" t="s">
        <v>337</v>
      </c>
      <c r="BE146" s="140">
        <f>IF(N146="základní",J146,0)</f>
        <v>0</v>
      </c>
      <c r="BF146" s="140">
        <f>IF(N146="snížená",J146,0)</f>
        <v>0</v>
      </c>
      <c r="BG146" s="140">
        <f>IF(N146="zákl. přenesená",J146,0)</f>
        <v>0</v>
      </c>
      <c r="BH146" s="140">
        <f>IF(N146="sníž. přenesená",J146,0)</f>
        <v>0</v>
      </c>
      <c r="BI146" s="140">
        <f>IF(N146="nulová",J146,0)</f>
        <v>0</v>
      </c>
      <c r="BJ146" s="2" t="s">
        <v>87</v>
      </c>
      <c r="BK146" s="140">
        <f>ROUND(I146*H146,2)</f>
        <v>0</v>
      </c>
      <c r="BL146" s="2" t="s">
        <v>344</v>
      </c>
      <c r="BM146" s="139" t="s">
        <v>4837</v>
      </c>
    </row>
    <row r="147" spans="2:65" s="16" customFormat="1" ht="16.5" customHeight="1" x14ac:dyDescent="0.2">
      <c r="B147" s="17"/>
      <c r="C147" s="128">
        <v>6</v>
      </c>
      <c r="D147" s="128" t="s">
        <v>339</v>
      </c>
      <c r="E147" s="129" t="s">
        <v>4838</v>
      </c>
      <c r="F147" s="130" t="s">
        <v>4839</v>
      </c>
      <c r="G147" s="131" t="s">
        <v>724</v>
      </c>
      <c r="H147" s="132">
        <v>50.3</v>
      </c>
      <c r="I147" s="133"/>
      <c r="J147" s="134">
        <f>ROUND(I147*H147,2)</f>
        <v>0</v>
      </c>
      <c r="K147" s="130"/>
      <c r="L147" s="17"/>
      <c r="M147" s="135"/>
      <c r="N147" s="136" t="s">
        <v>45</v>
      </c>
      <c r="P147" s="137">
        <f>O147*H147</f>
        <v>0</v>
      </c>
      <c r="Q147" s="137">
        <v>0</v>
      </c>
      <c r="R147" s="137">
        <f>Q147*H147</f>
        <v>0</v>
      </c>
      <c r="S147" s="137">
        <v>0</v>
      </c>
      <c r="T147" s="138">
        <f>S147*H147</f>
        <v>0</v>
      </c>
      <c r="AR147" s="139" t="s">
        <v>344</v>
      </c>
      <c r="AT147" s="139" t="s">
        <v>339</v>
      </c>
      <c r="AU147" s="139" t="s">
        <v>87</v>
      </c>
      <c r="AY147" s="2" t="s">
        <v>337</v>
      </c>
      <c r="BE147" s="140">
        <f>IF(N147="základní",J147,0)</f>
        <v>0</v>
      </c>
      <c r="BF147" s="140">
        <f>IF(N147="snížená",J147,0)</f>
        <v>0</v>
      </c>
      <c r="BG147" s="140">
        <f>IF(N147="zákl. přenesená",J147,0)</f>
        <v>0</v>
      </c>
      <c r="BH147" s="140">
        <f>IF(N147="sníž. přenesená",J147,0)</f>
        <v>0</v>
      </c>
      <c r="BI147" s="140">
        <f>IF(N147="nulová",J147,0)</f>
        <v>0</v>
      </c>
      <c r="BJ147" s="2" t="s">
        <v>87</v>
      </c>
      <c r="BK147" s="140">
        <f>ROUND(I147*H147,2)</f>
        <v>0</v>
      </c>
      <c r="BL147" s="2" t="s">
        <v>344</v>
      </c>
      <c r="BM147" s="139" t="s">
        <v>4840</v>
      </c>
    </row>
    <row r="148" spans="2:65" s="16" customFormat="1" ht="39" x14ac:dyDescent="0.2">
      <c r="B148" s="17"/>
      <c r="D148" s="143" t="s">
        <v>644</v>
      </c>
      <c r="F148" s="179" t="s">
        <v>4841</v>
      </c>
      <c r="L148" s="17"/>
      <c r="M148" s="180"/>
      <c r="T148" s="41"/>
      <c r="AT148" s="2" t="s">
        <v>644</v>
      </c>
      <c r="AU148" s="2" t="s">
        <v>87</v>
      </c>
    </row>
    <row r="149" spans="2:65" s="16" customFormat="1" ht="16.5" customHeight="1" x14ac:dyDescent="0.2">
      <c r="B149" s="17"/>
      <c r="C149" s="128">
        <v>7</v>
      </c>
      <c r="D149" s="128" t="s">
        <v>339</v>
      </c>
      <c r="E149" s="129" t="s">
        <v>4842</v>
      </c>
      <c r="F149" s="130" t="s">
        <v>4843</v>
      </c>
      <c r="G149" s="131" t="s">
        <v>724</v>
      </c>
      <c r="H149" s="132">
        <v>12.71</v>
      </c>
      <c r="I149" s="133"/>
      <c r="J149" s="134">
        <f>ROUND(I149*H149,2)</f>
        <v>0</v>
      </c>
      <c r="K149" s="130"/>
      <c r="L149" s="17"/>
      <c r="M149" s="135"/>
      <c r="N149" s="136" t="s">
        <v>45</v>
      </c>
      <c r="P149" s="137">
        <f>O149*H149</f>
        <v>0</v>
      </c>
      <c r="Q149" s="137">
        <v>0</v>
      </c>
      <c r="R149" s="137">
        <f>Q149*H149</f>
        <v>0</v>
      </c>
      <c r="S149" s="137">
        <v>0</v>
      </c>
      <c r="T149" s="138">
        <f>S149*H149</f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>IF(N149="základní",J149,0)</f>
        <v>0</v>
      </c>
      <c r="BF149" s="140">
        <f>IF(N149="snížená",J149,0)</f>
        <v>0</v>
      </c>
      <c r="BG149" s="140">
        <f>IF(N149="zákl. přenesená",J149,0)</f>
        <v>0</v>
      </c>
      <c r="BH149" s="140">
        <f>IF(N149="sníž. přenesená",J149,0)</f>
        <v>0</v>
      </c>
      <c r="BI149" s="140">
        <f>IF(N149="nulová",J149,0)</f>
        <v>0</v>
      </c>
      <c r="BJ149" s="2" t="s">
        <v>87</v>
      </c>
      <c r="BK149" s="140">
        <f>ROUND(I149*H149,2)</f>
        <v>0</v>
      </c>
      <c r="BL149" s="2" t="s">
        <v>344</v>
      </c>
      <c r="BM149" s="139" t="s">
        <v>4844</v>
      </c>
    </row>
    <row r="150" spans="2:65" s="16" customFormat="1" ht="16.5" customHeight="1" x14ac:dyDescent="0.2">
      <c r="B150" s="17"/>
      <c r="C150" s="128">
        <v>8</v>
      </c>
      <c r="D150" s="128" t="s">
        <v>339</v>
      </c>
      <c r="E150" s="129" t="s">
        <v>4845</v>
      </c>
      <c r="F150" s="130" t="s">
        <v>4846</v>
      </c>
      <c r="G150" s="131" t="s">
        <v>724</v>
      </c>
      <c r="H150" s="132">
        <v>3.6</v>
      </c>
      <c r="I150" s="133"/>
      <c r="J150" s="134">
        <f>ROUND(I150*H150,2)</f>
        <v>0</v>
      </c>
      <c r="K150" s="130"/>
      <c r="L150" s="17"/>
      <c r="M150" s="135"/>
      <c r="N150" s="136" t="s">
        <v>45</v>
      </c>
      <c r="P150" s="137">
        <f>O150*H150</f>
        <v>0</v>
      </c>
      <c r="Q150" s="137">
        <v>0</v>
      </c>
      <c r="R150" s="137">
        <f>Q150*H150</f>
        <v>0</v>
      </c>
      <c r="S150" s="137">
        <v>0</v>
      </c>
      <c r="T150" s="138">
        <f>S150*H150</f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>IF(N150="základní",J150,0)</f>
        <v>0</v>
      </c>
      <c r="BF150" s="140">
        <f>IF(N150="snížená",J150,0)</f>
        <v>0</v>
      </c>
      <c r="BG150" s="140">
        <f>IF(N150="zákl. přenesená",J150,0)</f>
        <v>0</v>
      </c>
      <c r="BH150" s="140">
        <f>IF(N150="sníž. přenesená",J150,0)</f>
        <v>0</v>
      </c>
      <c r="BI150" s="140">
        <f>IF(N150="nulová",J150,0)</f>
        <v>0</v>
      </c>
      <c r="BJ150" s="2" t="s">
        <v>87</v>
      </c>
      <c r="BK150" s="140">
        <f>ROUND(I150*H150,2)</f>
        <v>0</v>
      </c>
      <c r="BL150" s="2" t="s">
        <v>344</v>
      </c>
      <c r="BM150" s="139" t="s">
        <v>4847</v>
      </c>
    </row>
    <row r="151" spans="2:65" s="16" customFormat="1" ht="39" x14ac:dyDescent="0.2">
      <c r="B151" s="17"/>
      <c r="D151" s="143" t="s">
        <v>644</v>
      </c>
      <c r="F151" s="179" t="s">
        <v>4848</v>
      </c>
      <c r="L151" s="17"/>
      <c r="M151" s="180"/>
      <c r="T151" s="41"/>
      <c r="AT151" s="2" t="s">
        <v>644</v>
      </c>
      <c r="AU151" s="2" t="s">
        <v>87</v>
      </c>
    </row>
    <row r="152" spans="2:65" s="16" customFormat="1" ht="16.5" customHeight="1" x14ac:dyDescent="0.2">
      <c r="B152" s="17"/>
      <c r="C152" s="128">
        <v>9</v>
      </c>
      <c r="D152" s="128" t="s">
        <v>339</v>
      </c>
      <c r="E152" s="129" t="s">
        <v>4849</v>
      </c>
      <c r="F152" s="130" t="s">
        <v>4850</v>
      </c>
      <c r="G152" s="131" t="s">
        <v>724</v>
      </c>
      <c r="H152" s="132">
        <v>6</v>
      </c>
      <c r="I152" s="133"/>
      <c r="J152" s="134">
        <f>ROUND(I152*H152,2)</f>
        <v>0</v>
      </c>
      <c r="K152" s="130"/>
      <c r="L152" s="17"/>
      <c r="M152" s="135"/>
      <c r="N152" s="136" t="s">
        <v>45</v>
      </c>
      <c r="P152" s="137">
        <f>O152*H152</f>
        <v>0</v>
      </c>
      <c r="Q152" s="137">
        <v>0</v>
      </c>
      <c r="R152" s="137">
        <f>Q152*H152</f>
        <v>0</v>
      </c>
      <c r="S152" s="137">
        <v>0</v>
      </c>
      <c r="T152" s="138">
        <f>S152*H152</f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>IF(N152="základní",J152,0)</f>
        <v>0</v>
      </c>
      <c r="BF152" s="140">
        <f>IF(N152="snížená",J152,0)</f>
        <v>0</v>
      </c>
      <c r="BG152" s="140">
        <f>IF(N152="zákl. přenesená",J152,0)</f>
        <v>0</v>
      </c>
      <c r="BH152" s="140">
        <f>IF(N152="sníž. přenesená",J152,0)</f>
        <v>0</v>
      </c>
      <c r="BI152" s="140">
        <f>IF(N152="nulová",J152,0)</f>
        <v>0</v>
      </c>
      <c r="BJ152" s="2" t="s">
        <v>87</v>
      </c>
      <c r="BK152" s="140">
        <f>ROUND(I152*H152,2)</f>
        <v>0</v>
      </c>
      <c r="BL152" s="2" t="s">
        <v>344</v>
      </c>
      <c r="BM152" s="139" t="s">
        <v>4851</v>
      </c>
    </row>
    <row r="153" spans="2:65" s="16" customFormat="1" ht="19.5" x14ac:dyDescent="0.2">
      <c r="B153" s="17"/>
      <c r="D153" s="143" t="s">
        <v>644</v>
      </c>
      <c r="F153" s="179" t="s">
        <v>4852</v>
      </c>
      <c r="L153" s="17"/>
      <c r="M153" s="180"/>
      <c r="T153" s="41"/>
      <c r="AT153" s="2" t="s">
        <v>644</v>
      </c>
      <c r="AU153" s="2" t="s">
        <v>87</v>
      </c>
    </row>
    <row r="154" spans="2:65" s="16" customFormat="1" ht="16.5" customHeight="1" x14ac:dyDescent="0.2">
      <c r="B154" s="17"/>
      <c r="C154" s="128">
        <v>10</v>
      </c>
      <c r="D154" s="128" t="s">
        <v>339</v>
      </c>
      <c r="E154" s="129" t="s">
        <v>4853</v>
      </c>
      <c r="F154" s="130" t="s">
        <v>4854</v>
      </c>
      <c r="G154" s="131" t="s">
        <v>724</v>
      </c>
      <c r="H154" s="132">
        <v>14.52</v>
      </c>
      <c r="I154" s="133"/>
      <c r="J154" s="134">
        <f>ROUND(I154*H154,2)</f>
        <v>0</v>
      </c>
      <c r="K154" s="130"/>
      <c r="L154" s="17"/>
      <c r="M154" s="135"/>
      <c r="N154" s="136" t="s">
        <v>45</v>
      </c>
      <c r="P154" s="137">
        <f>O154*H154</f>
        <v>0</v>
      </c>
      <c r="Q154" s="137">
        <v>0</v>
      </c>
      <c r="R154" s="137">
        <f>Q154*H154</f>
        <v>0</v>
      </c>
      <c r="S154" s="137">
        <v>0</v>
      </c>
      <c r="T154" s="138">
        <f>S154*H154</f>
        <v>0</v>
      </c>
      <c r="AR154" s="139" t="s">
        <v>344</v>
      </c>
      <c r="AT154" s="139" t="s">
        <v>339</v>
      </c>
      <c r="AU154" s="139" t="s">
        <v>87</v>
      </c>
      <c r="AY154" s="2" t="s">
        <v>337</v>
      </c>
      <c r="BE154" s="140">
        <f>IF(N154="základní",J154,0)</f>
        <v>0</v>
      </c>
      <c r="BF154" s="140">
        <f>IF(N154="snížená",J154,0)</f>
        <v>0</v>
      </c>
      <c r="BG154" s="140">
        <f>IF(N154="zákl. přenesená",J154,0)</f>
        <v>0</v>
      </c>
      <c r="BH154" s="140">
        <f>IF(N154="sníž. přenesená",J154,0)</f>
        <v>0</v>
      </c>
      <c r="BI154" s="140">
        <f>IF(N154="nulová",J154,0)</f>
        <v>0</v>
      </c>
      <c r="BJ154" s="2" t="s">
        <v>87</v>
      </c>
      <c r="BK154" s="140">
        <f>ROUND(I154*H154,2)</f>
        <v>0</v>
      </c>
      <c r="BL154" s="2" t="s">
        <v>344</v>
      </c>
      <c r="BM154" s="139" t="s">
        <v>4855</v>
      </c>
    </row>
    <row r="155" spans="2:65" s="16" customFormat="1" ht="16.5" customHeight="1" x14ac:dyDescent="0.2">
      <c r="B155" s="17"/>
      <c r="C155" s="128">
        <v>11</v>
      </c>
      <c r="D155" s="128" t="s">
        <v>339</v>
      </c>
      <c r="E155" s="129" t="s">
        <v>4856</v>
      </c>
      <c r="F155" s="130" t="s">
        <v>4857</v>
      </c>
      <c r="G155" s="131" t="s">
        <v>724</v>
      </c>
      <c r="H155" s="132">
        <v>21.57</v>
      </c>
      <c r="I155" s="133"/>
      <c r="J155" s="134">
        <f>ROUND(I155*H155,2)</f>
        <v>0</v>
      </c>
      <c r="K155" s="130"/>
      <c r="L155" s="17"/>
      <c r="M155" s="135"/>
      <c r="N155" s="136" t="s">
        <v>45</v>
      </c>
      <c r="P155" s="137">
        <f>O155*H155</f>
        <v>0</v>
      </c>
      <c r="Q155" s="137">
        <v>0</v>
      </c>
      <c r="R155" s="137">
        <f>Q155*H155</f>
        <v>0</v>
      </c>
      <c r="S155" s="137">
        <v>0</v>
      </c>
      <c r="T155" s="138">
        <f>S155*H155</f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>IF(N155="základní",J155,0)</f>
        <v>0</v>
      </c>
      <c r="BF155" s="140">
        <f>IF(N155="snížená",J155,0)</f>
        <v>0</v>
      </c>
      <c r="BG155" s="140">
        <f>IF(N155="zákl. přenesená",J155,0)</f>
        <v>0</v>
      </c>
      <c r="BH155" s="140">
        <f>IF(N155="sníž. přenesená",J155,0)</f>
        <v>0</v>
      </c>
      <c r="BI155" s="140">
        <f>IF(N155="nulová",J155,0)</f>
        <v>0</v>
      </c>
      <c r="BJ155" s="2" t="s">
        <v>87</v>
      </c>
      <c r="BK155" s="140">
        <f>ROUND(I155*H155,2)</f>
        <v>0</v>
      </c>
      <c r="BL155" s="2" t="s">
        <v>344</v>
      </c>
      <c r="BM155" s="139" t="s">
        <v>4858</v>
      </c>
    </row>
    <row r="156" spans="2:65" s="16" customFormat="1" ht="16.5" customHeight="1" x14ac:dyDescent="0.2">
      <c r="B156" s="17"/>
      <c r="C156" s="128">
        <v>12</v>
      </c>
      <c r="D156" s="128" t="s">
        <v>339</v>
      </c>
      <c r="E156" s="129" t="s">
        <v>4859</v>
      </c>
      <c r="F156" s="130" t="s">
        <v>4860</v>
      </c>
      <c r="G156" s="131" t="s">
        <v>724</v>
      </c>
      <c r="H156" s="132">
        <v>2.85</v>
      </c>
      <c r="I156" s="133"/>
      <c r="J156" s="134">
        <f>ROUND(I156*H156,2)</f>
        <v>0</v>
      </c>
      <c r="K156" s="130"/>
      <c r="L156" s="17"/>
      <c r="M156" s="135"/>
      <c r="N156" s="136" t="s">
        <v>45</v>
      </c>
      <c r="P156" s="137">
        <f>O156*H156</f>
        <v>0</v>
      </c>
      <c r="Q156" s="137">
        <v>0</v>
      </c>
      <c r="R156" s="137">
        <f>Q156*H156</f>
        <v>0</v>
      </c>
      <c r="S156" s="137">
        <v>0</v>
      </c>
      <c r="T156" s="138">
        <f>S156*H156</f>
        <v>0</v>
      </c>
      <c r="AR156" s="139" t="s">
        <v>344</v>
      </c>
      <c r="AT156" s="139" t="s">
        <v>339</v>
      </c>
      <c r="AU156" s="139" t="s">
        <v>87</v>
      </c>
      <c r="AY156" s="2" t="s">
        <v>337</v>
      </c>
      <c r="BE156" s="140">
        <f>IF(N156="základní",J156,0)</f>
        <v>0</v>
      </c>
      <c r="BF156" s="140">
        <f>IF(N156="snížená",J156,0)</f>
        <v>0</v>
      </c>
      <c r="BG156" s="140">
        <f>IF(N156="zákl. přenesená",J156,0)</f>
        <v>0</v>
      </c>
      <c r="BH156" s="140">
        <f>IF(N156="sníž. přenesená",J156,0)</f>
        <v>0</v>
      </c>
      <c r="BI156" s="140">
        <f>IF(N156="nulová",J156,0)</f>
        <v>0</v>
      </c>
      <c r="BJ156" s="2" t="s">
        <v>87</v>
      </c>
      <c r="BK156" s="140">
        <f>ROUND(I156*H156,2)</f>
        <v>0</v>
      </c>
      <c r="BL156" s="2" t="s">
        <v>344</v>
      </c>
      <c r="BM156" s="139" t="s">
        <v>4861</v>
      </c>
    </row>
    <row r="157" spans="2:65" s="16" customFormat="1" ht="16.5" customHeight="1" x14ac:dyDescent="0.2">
      <c r="B157" s="17"/>
      <c r="C157" s="128">
        <v>13</v>
      </c>
      <c r="D157" s="128" t="s">
        <v>339</v>
      </c>
      <c r="E157" s="129" t="s">
        <v>4862</v>
      </c>
      <c r="F157" s="130" t="s">
        <v>4863</v>
      </c>
      <c r="G157" s="131" t="s">
        <v>724</v>
      </c>
      <c r="H157" s="132">
        <v>30.02</v>
      </c>
      <c r="I157" s="133"/>
      <c r="J157" s="134">
        <f>ROUND(I157*H157,2)</f>
        <v>0</v>
      </c>
      <c r="K157" s="130"/>
      <c r="L157" s="17"/>
      <c r="M157" s="135"/>
      <c r="N157" s="136" t="s">
        <v>45</v>
      </c>
      <c r="P157" s="137">
        <f>O157*H157</f>
        <v>0</v>
      </c>
      <c r="Q157" s="137">
        <v>0</v>
      </c>
      <c r="R157" s="137">
        <f>Q157*H157</f>
        <v>0</v>
      </c>
      <c r="S157" s="137">
        <v>0</v>
      </c>
      <c r="T157" s="138">
        <f>S157*H157</f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>IF(N157="základní",J157,0)</f>
        <v>0</v>
      </c>
      <c r="BF157" s="140">
        <f>IF(N157="snížená",J157,0)</f>
        <v>0</v>
      </c>
      <c r="BG157" s="140">
        <f>IF(N157="zákl. přenesená",J157,0)</f>
        <v>0</v>
      </c>
      <c r="BH157" s="140">
        <f>IF(N157="sníž. přenesená",J157,0)</f>
        <v>0</v>
      </c>
      <c r="BI157" s="140">
        <f>IF(N157="nulová",J157,0)</f>
        <v>0</v>
      </c>
      <c r="BJ157" s="2" t="s">
        <v>87</v>
      </c>
      <c r="BK157" s="140">
        <f>ROUND(I157*H157,2)</f>
        <v>0</v>
      </c>
      <c r="BL157" s="2" t="s">
        <v>344</v>
      </c>
      <c r="BM157" s="139" t="s">
        <v>4864</v>
      </c>
    </row>
    <row r="158" spans="2:65" s="16" customFormat="1" ht="29.25" x14ac:dyDescent="0.2">
      <c r="B158" s="17"/>
      <c r="D158" s="143" t="s">
        <v>644</v>
      </c>
      <c r="F158" s="179" t="s">
        <v>4865</v>
      </c>
      <c r="L158" s="17"/>
      <c r="M158" s="180"/>
      <c r="T158" s="41"/>
      <c r="AT158" s="2" t="s">
        <v>644</v>
      </c>
      <c r="AU158" s="2" t="s">
        <v>87</v>
      </c>
    </row>
    <row r="159" spans="2:65" s="16" customFormat="1" ht="16.5" customHeight="1" x14ac:dyDescent="0.2">
      <c r="B159" s="17"/>
      <c r="C159" s="128">
        <v>14</v>
      </c>
      <c r="D159" s="128" t="s">
        <v>339</v>
      </c>
      <c r="E159" s="129" t="s">
        <v>4866</v>
      </c>
      <c r="F159" s="130" t="s">
        <v>4867</v>
      </c>
      <c r="G159" s="131" t="s">
        <v>724</v>
      </c>
      <c r="H159" s="132">
        <v>12.77</v>
      </c>
      <c r="I159" s="133"/>
      <c r="J159" s="134">
        <f>ROUND(I159*H159,2)</f>
        <v>0</v>
      </c>
      <c r="K159" s="130"/>
      <c r="L159" s="17"/>
      <c r="M159" s="135"/>
      <c r="N159" s="136" t="s">
        <v>45</v>
      </c>
      <c r="P159" s="137">
        <f>O159*H159</f>
        <v>0</v>
      </c>
      <c r="Q159" s="137">
        <v>0</v>
      </c>
      <c r="R159" s="137">
        <f>Q159*H159</f>
        <v>0</v>
      </c>
      <c r="S159" s="137">
        <v>0</v>
      </c>
      <c r="T159" s="138">
        <f>S159*H159</f>
        <v>0</v>
      </c>
      <c r="AR159" s="139" t="s">
        <v>344</v>
      </c>
      <c r="AT159" s="139" t="s">
        <v>339</v>
      </c>
      <c r="AU159" s="139" t="s">
        <v>87</v>
      </c>
      <c r="AY159" s="2" t="s">
        <v>337</v>
      </c>
      <c r="BE159" s="140">
        <f>IF(N159="základní",J159,0)</f>
        <v>0</v>
      </c>
      <c r="BF159" s="140">
        <f>IF(N159="snížená",J159,0)</f>
        <v>0</v>
      </c>
      <c r="BG159" s="140">
        <f>IF(N159="zákl. přenesená",J159,0)</f>
        <v>0</v>
      </c>
      <c r="BH159" s="140">
        <f>IF(N159="sníž. přenesená",J159,0)</f>
        <v>0</v>
      </c>
      <c r="BI159" s="140">
        <f>IF(N159="nulová",J159,0)</f>
        <v>0</v>
      </c>
      <c r="BJ159" s="2" t="s">
        <v>87</v>
      </c>
      <c r="BK159" s="140">
        <f>ROUND(I159*H159,2)</f>
        <v>0</v>
      </c>
      <c r="BL159" s="2" t="s">
        <v>344</v>
      </c>
      <c r="BM159" s="139" t="s">
        <v>4868</v>
      </c>
    </row>
    <row r="160" spans="2:65" s="16" customFormat="1" ht="16.5" customHeight="1" x14ac:dyDescent="0.2">
      <c r="B160" s="17"/>
      <c r="C160" s="128">
        <v>15</v>
      </c>
      <c r="D160" s="128" t="s">
        <v>339</v>
      </c>
      <c r="E160" s="129" t="s">
        <v>4869</v>
      </c>
      <c r="F160" s="130" t="s">
        <v>4870</v>
      </c>
      <c r="G160" s="131" t="s">
        <v>724</v>
      </c>
      <c r="H160" s="132">
        <v>69.525000000000006</v>
      </c>
      <c r="I160" s="133"/>
      <c r="J160" s="134">
        <f>ROUND(I160*H160,2)</f>
        <v>0</v>
      </c>
      <c r="K160" s="130"/>
      <c r="L160" s="17"/>
      <c r="M160" s="135"/>
      <c r="N160" s="136" t="s">
        <v>45</v>
      </c>
      <c r="P160" s="137">
        <f>O160*H160</f>
        <v>0</v>
      </c>
      <c r="Q160" s="137">
        <v>0</v>
      </c>
      <c r="R160" s="137">
        <f>Q160*H160</f>
        <v>0</v>
      </c>
      <c r="S160" s="137">
        <v>0</v>
      </c>
      <c r="T160" s="138">
        <f>S160*H160</f>
        <v>0</v>
      </c>
      <c r="AR160" s="139" t="s">
        <v>344</v>
      </c>
      <c r="AT160" s="139" t="s">
        <v>339</v>
      </c>
      <c r="AU160" s="139" t="s">
        <v>87</v>
      </c>
      <c r="AY160" s="2" t="s">
        <v>337</v>
      </c>
      <c r="BE160" s="140">
        <f>IF(N160="základní",J160,0)</f>
        <v>0</v>
      </c>
      <c r="BF160" s="140">
        <f>IF(N160="snížená",J160,0)</f>
        <v>0</v>
      </c>
      <c r="BG160" s="140">
        <f>IF(N160="zákl. přenesená",J160,0)</f>
        <v>0</v>
      </c>
      <c r="BH160" s="140">
        <f>IF(N160="sníž. přenesená",J160,0)</f>
        <v>0</v>
      </c>
      <c r="BI160" s="140">
        <f>IF(N160="nulová",J160,0)</f>
        <v>0</v>
      </c>
      <c r="BJ160" s="2" t="s">
        <v>87</v>
      </c>
      <c r="BK160" s="140">
        <f>ROUND(I160*H160,2)</f>
        <v>0</v>
      </c>
      <c r="BL160" s="2" t="s">
        <v>344</v>
      </c>
      <c r="BM160" s="139" t="s">
        <v>4871</v>
      </c>
    </row>
    <row r="161" spans="2:65" s="116" customFormat="1" ht="25.9" customHeight="1" x14ac:dyDescent="0.2">
      <c r="B161" s="117"/>
      <c r="D161" s="118" t="s">
        <v>79</v>
      </c>
      <c r="E161" s="119" t="s">
        <v>87</v>
      </c>
      <c r="F161" s="119" t="s">
        <v>4872</v>
      </c>
      <c r="J161" s="120">
        <f>BK161</f>
        <v>0</v>
      </c>
      <c r="L161" s="117"/>
      <c r="M161" s="121"/>
      <c r="P161" s="122">
        <f>SUM(P162:P181)</f>
        <v>0</v>
      </c>
      <c r="R161" s="122">
        <f>SUM(R162:R181)</f>
        <v>0</v>
      </c>
      <c r="T161" s="123">
        <f>SUM(T162:T181)</f>
        <v>0</v>
      </c>
      <c r="AR161" s="118" t="s">
        <v>87</v>
      </c>
      <c r="AT161" s="124" t="s">
        <v>79</v>
      </c>
      <c r="AU161" s="124" t="s">
        <v>80</v>
      </c>
      <c r="AY161" s="118" t="s">
        <v>337</v>
      </c>
      <c r="BK161" s="125">
        <f>SUM(BK162:BK181)</f>
        <v>0</v>
      </c>
    </row>
    <row r="162" spans="2:65" s="16" customFormat="1" ht="16.5" customHeight="1" x14ac:dyDescent="0.2">
      <c r="B162" s="17"/>
      <c r="C162" s="128">
        <v>16</v>
      </c>
      <c r="D162" s="128" t="s">
        <v>339</v>
      </c>
      <c r="E162" s="129" t="s">
        <v>4873</v>
      </c>
      <c r="F162" s="130" t="s">
        <v>4874</v>
      </c>
      <c r="G162" s="131" t="s">
        <v>4460</v>
      </c>
      <c r="H162" s="132">
        <v>1</v>
      </c>
      <c r="I162" s="133"/>
      <c r="J162" s="134">
        <f>ROUND(I162*H162,2)</f>
        <v>0</v>
      </c>
      <c r="K162" s="130"/>
      <c r="L162" s="17"/>
      <c r="M162" s="135"/>
      <c r="N162" s="136" t="s">
        <v>45</v>
      </c>
      <c r="P162" s="137">
        <f>O162*H162</f>
        <v>0</v>
      </c>
      <c r="Q162" s="137">
        <v>0</v>
      </c>
      <c r="R162" s="137">
        <f>Q162*H162</f>
        <v>0</v>
      </c>
      <c r="S162" s="137">
        <v>0</v>
      </c>
      <c r="T162" s="138">
        <f>S162*H162</f>
        <v>0</v>
      </c>
      <c r="AR162" s="139" t="s">
        <v>344</v>
      </c>
      <c r="AT162" s="139" t="s">
        <v>339</v>
      </c>
      <c r="AU162" s="139" t="s">
        <v>87</v>
      </c>
      <c r="AY162" s="2" t="s">
        <v>337</v>
      </c>
      <c r="BE162" s="140">
        <f>IF(N162="základní",J162,0)</f>
        <v>0</v>
      </c>
      <c r="BF162" s="140">
        <f>IF(N162="snížená",J162,0)</f>
        <v>0</v>
      </c>
      <c r="BG162" s="140">
        <f>IF(N162="zákl. přenesená",J162,0)</f>
        <v>0</v>
      </c>
      <c r="BH162" s="140">
        <f>IF(N162="sníž. přenesená",J162,0)</f>
        <v>0</v>
      </c>
      <c r="BI162" s="140">
        <f>IF(N162="nulová",J162,0)</f>
        <v>0</v>
      </c>
      <c r="BJ162" s="2" t="s">
        <v>87</v>
      </c>
      <c r="BK162" s="140">
        <f>ROUND(I162*H162,2)</f>
        <v>0</v>
      </c>
      <c r="BL162" s="2" t="s">
        <v>344</v>
      </c>
      <c r="BM162" s="139" t="s">
        <v>90</v>
      </c>
    </row>
    <row r="163" spans="2:65" s="16" customFormat="1" ht="29.25" x14ac:dyDescent="0.2">
      <c r="B163" s="17"/>
      <c r="D163" s="143" t="s">
        <v>644</v>
      </c>
      <c r="F163" s="179" t="s">
        <v>4825</v>
      </c>
      <c r="L163" s="17"/>
      <c r="M163" s="180"/>
      <c r="T163" s="41"/>
      <c r="AT163" s="2" t="s">
        <v>644</v>
      </c>
      <c r="AU163" s="2" t="s">
        <v>87</v>
      </c>
    </row>
    <row r="164" spans="2:65" s="16" customFormat="1" ht="16.5" customHeight="1" x14ac:dyDescent="0.2">
      <c r="B164" s="17"/>
      <c r="C164" s="128">
        <v>17</v>
      </c>
      <c r="D164" s="128" t="s">
        <v>339</v>
      </c>
      <c r="E164" s="129" t="s">
        <v>4875</v>
      </c>
      <c r="F164" s="130" t="s">
        <v>4876</v>
      </c>
      <c r="G164" s="131" t="s">
        <v>4460</v>
      </c>
      <c r="H164" s="132">
        <v>1</v>
      </c>
      <c r="I164" s="133"/>
      <c r="J164" s="134">
        <f>ROUND(I164*H164,2)</f>
        <v>0</v>
      </c>
      <c r="K164" s="130"/>
      <c r="L164" s="17"/>
      <c r="M164" s="135"/>
      <c r="N164" s="136" t="s">
        <v>45</v>
      </c>
      <c r="P164" s="137">
        <f>O164*H164</f>
        <v>0</v>
      </c>
      <c r="Q164" s="137">
        <v>0</v>
      </c>
      <c r="R164" s="137">
        <f>Q164*H164</f>
        <v>0</v>
      </c>
      <c r="S164" s="137">
        <v>0</v>
      </c>
      <c r="T164" s="138">
        <f>S164*H164</f>
        <v>0</v>
      </c>
      <c r="AR164" s="139" t="s">
        <v>344</v>
      </c>
      <c r="AT164" s="139" t="s">
        <v>339</v>
      </c>
      <c r="AU164" s="139" t="s">
        <v>87</v>
      </c>
      <c r="AY164" s="2" t="s">
        <v>337</v>
      </c>
      <c r="BE164" s="140">
        <f>IF(N164="základní",J164,0)</f>
        <v>0</v>
      </c>
      <c r="BF164" s="140">
        <f>IF(N164="snížená",J164,0)</f>
        <v>0</v>
      </c>
      <c r="BG164" s="140">
        <f>IF(N164="zákl. přenesená",J164,0)</f>
        <v>0</v>
      </c>
      <c r="BH164" s="140">
        <f>IF(N164="sníž. přenesená",J164,0)</f>
        <v>0</v>
      </c>
      <c r="BI164" s="140">
        <f>IF(N164="nulová",J164,0)</f>
        <v>0</v>
      </c>
      <c r="BJ164" s="2" t="s">
        <v>87</v>
      </c>
      <c r="BK164" s="140">
        <f>ROUND(I164*H164,2)</f>
        <v>0</v>
      </c>
      <c r="BL164" s="2" t="s">
        <v>344</v>
      </c>
      <c r="BM164" s="139" t="s">
        <v>344</v>
      </c>
    </row>
    <row r="165" spans="2:65" s="16" customFormat="1" ht="16.5" customHeight="1" x14ac:dyDescent="0.2">
      <c r="B165" s="17"/>
      <c r="C165" s="128">
        <v>18</v>
      </c>
      <c r="D165" s="128" t="s">
        <v>339</v>
      </c>
      <c r="E165" s="129" t="s">
        <v>4877</v>
      </c>
      <c r="F165" s="130" t="s">
        <v>4878</v>
      </c>
      <c r="G165" s="131" t="s">
        <v>4460</v>
      </c>
      <c r="H165" s="132">
        <v>1</v>
      </c>
      <c r="I165" s="133"/>
      <c r="J165" s="134">
        <f>ROUND(I165*H165,2)</f>
        <v>0</v>
      </c>
      <c r="K165" s="130"/>
      <c r="L165" s="17"/>
      <c r="M165" s="135"/>
      <c r="N165" s="136" t="s">
        <v>45</v>
      </c>
      <c r="P165" s="137">
        <f>O165*H165</f>
        <v>0</v>
      </c>
      <c r="Q165" s="137">
        <v>0</v>
      </c>
      <c r="R165" s="137">
        <f>Q165*H165</f>
        <v>0</v>
      </c>
      <c r="S165" s="137">
        <v>0</v>
      </c>
      <c r="T165" s="138">
        <f>S165*H165</f>
        <v>0</v>
      </c>
      <c r="AR165" s="139" t="s">
        <v>344</v>
      </c>
      <c r="AT165" s="139" t="s">
        <v>339</v>
      </c>
      <c r="AU165" s="139" t="s">
        <v>87</v>
      </c>
      <c r="AY165" s="2" t="s">
        <v>337</v>
      </c>
      <c r="BE165" s="140">
        <f>IF(N165="základní",J165,0)</f>
        <v>0</v>
      </c>
      <c r="BF165" s="140">
        <f>IF(N165="snížená",J165,0)</f>
        <v>0</v>
      </c>
      <c r="BG165" s="140">
        <f>IF(N165="zákl. přenesená",J165,0)</f>
        <v>0</v>
      </c>
      <c r="BH165" s="140">
        <f>IF(N165="sníž. přenesená",J165,0)</f>
        <v>0</v>
      </c>
      <c r="BI165" s="140">
        <f>IF(N165="nulová",J165,0)</f>
        <v>0</v>
      </c>
      <c r="BJ165" s="2" t="s">
        <v>87</v>
      </c>
      <c r="BK165" s="140">
        <f>ROUND(I165*H165,2)</f>
        <v>0</v>
      </c>
      <c r="BL165" s="2" t="s">
        <v>344</v>
      </c>
      <c r="BM165" s="139" t="s">
        <v>430</v>
      </c>
    </row>
    <row r="166" spans="2:65" s="148" customFormat="1" x14ac:dyDescent="0.2">
      <c r="B166" s="149"/>
      <c r="D166" s="143" t="s">
        <v>346</v>
      </c>
      <c r="E166" s="150"/>
      <c r="F166" s="151" t="s">
        <v>87</v>
      </c>
      <c r="H166" s="152">
        <v>1</v>
      </c>
      <c r="L166" s="149"/>
      <c r="M166" s="153"/>
      <c r="T166" s="154"/>
      <c r="AT166" s="150" t="s">
        <v>346</v>
      </c>
      <c r="AU166" s="150" t="s">
        <v>87</v>
      </c>
      <c r="AV166" s="148" t="s">
        <v>90</v>
      </c>
      <c r="AW166" s="148" t="s">
        <v>33</v>
      </c>
      <c r="AX166" s="148" t="s">
        <v>87</v>
      </c>
      <c r="AY166" s="150" t="s">
        <v>337</v>
      </c>
    </row>
    <row r="167" spans="2:65" s="141" customFormat="1" x14ac:dyDescent="0.2">
      <c r="B167" s="142"/>
      <c r="D167" s="143" t="s">
        <v>346</v>
      </c>
      <c r="E167" s="144"/>
      <c r="F167" s="145" t="s">
        <v>4879</v>
      </c>
      <c r="H167" s="144"/>
      <c r="L167" s="142"/>
      <c r="M167" s="146"/>
      <c r="T167" s="147"/>
      <c r="AT167" s="144" t="s">
        <v>346</v>
      </c>
      <c r="AU167" s="144" t="s">
        <v>87</v>
      </c>
      <c r="AV167" s="141" t="s">
        <v>87</v>
      </c>
      <c r="AW167" s="141" t="s">
        <v>33</v>
      </c>
      <c r="AX167" s="141" t="s">
        <v>80</v>
      </c>
      <c r="AY167" s="144" t="s">
        <v>337</v>
      </c>
    </row>
    <row r="168" spans="2:65" s="16" customFormat="1" ht="16.5" customHeight="1" x14ac:dyDescent="0.2">
      <c r="B168" s="17"/>
      <c r="C168" s="128">
        <v>19</v>
      </c>
      <c r="D168" s="128" t="s">
        <v>339</v>
      </c>
      <c r="E168" s="129" t="s">
        <v>4880</v>
      </c>
      <c r="F168" s="130" t="s">
        <v>4881</v>
      </c>
      <c r="G168" s="131" t="s">
        <v>4460</v>
      </c>
      <c r="H168" s="132">
        <v>3</v>
      </c>
      <c r="I168" s="133"/>
      <c r="J168" s="134">
        <f>ROUND(I168*H168,2)</f>
        <v>0</v>
      </c>
      <c r="K168" s="130"/>
      <c r="L168" s="17"/>
      <c r="M168" s="135"/>
      <c r="N168" s="136" t="s">
        <v>45</v>
      </c>
      <c r="P168" s="137">
        <f>O168*H168</f>
        <v>0</v>
      </c>
      <c r="Q168" s="137">
        <v>0</v>
      </c>
      <c r="R168" s="137">
        <f>Q168*H168</f>
        <v>0</v>
      </c>
      <c r="S168" s="137">
        <v>0</v>
      </c>
      <c r="T168" s="138">
        <f>S168*H168</f>
        <v>0</v>
      </c>
      <c r="AR168" s="139" t="s">
        <v>344</v>
      </c>
      <c r="AT168" s="139" t="s">
        <v>339</v>
      </c>
      <c r="AU168" s="139" t="s">
        <v>87</v>
      </c>
      <c r="AY168" s="2" t="s">
        <v>337</v>
      </c>
      <c r="BE168" s="140">
        <f>IF(N168="základní",J168,0)</f>
        <v>0</v>
      </c>
      <c r="BF168" s="140">
        <f>IF(N168="snížená",J168,0)</f>
        <v>0</v>
      </c>
      <c r="BG168" s="140">
        <f>IF(N168="zákl. přenesená",J168,0)</f>
        <v>0</v>
      </c>
      <c r="BH168" s="140">
        <f>IF(N168="sníž. přenesená",J168,0)</f>
        <v>0</v>
      </c>
      <c r="BI168" s="140">
        <f>IF(N168="nulová",J168,0)</f>
        <v>0</v>
      </c>
      <c r="BJ168" s="2" t="s">
        <v>87</v>
      </c>
      <c r="BK168" s="140">
        <f>ROUND(I168*H168,2)</f>
        <v>0</v>
      </c>
      <c r="BL168" s="2" t="s">
        <v>344</v>
      </c>
      <c r="BM168" s="139" t="s">
        <v>446</v>
      </c>
    </row>
    <row r="169" spans="2:65" s="16" customFormat="1" ht="21.75" customHeight="1" x14ac:dyDescent="0.2">
      <c r="B169" s="17"/>
      <c r="C169" s="128">
        <v>20</v>
      </c>
      <c r="D169" s="128" t="s">
        <v>339</v>
      </c>
      <c r="E169" s="129" t="s">
        <v>4882</v>
      </c>
      <c r="F169" s="130" t="s">
        <v>4883</v>
      </c>
      <c r="G169" s="131" t="s">
        <v>4460</v>
      </c>
      <c r="H169" s="132">
        <v>1</v>
      </c>
      <c r="I169" s="133"/>
      <c r="J169" s="134">
        <f>ROUND(I169*H169,2)</f>
        <v>0</v>
      </c>
      <c r="K169" s="130"/>
      <c r="L169" s="17"/>
      <c r="M169" s="135"/>
      <c r="N169" s="136" t="s">
        <v>45</v>
      </c>
      <c r="P169" s="137">
        <f>O169*H169</f>
        <v>0</v>
      </c>
      <c r="Q169" s="137">
        <v>0</v>
      </c>
      <c r="R169" s="137">
        <f>Q169*H169</f>
        <v>0</v>
      </c>
      <c r="S169" s="137">
        <v>0</v>
      </c>
      <c r="T169" s="138">
        <f>S169*H169</f>
        <v>0</v>
      </c>
      <c r="AR169" s="139" t="s">
        <v>344</v>
      </c>
      <c r="AT169" s="139" t="s">
        <v>339</v>
      </c>
      <c r="AU169" s="139" t="s">
        <v>87</v>
      </c>
      <c r="AY169" s="2" t="s">
        <v>337</v>
      </c>
      <c r="BE169" s="140">
        <f>IF(N169="základní",J169,0)</f>
        <v>0</v>
      </c>
      <c r="BF169" s="140">
        <f>IF(N169="snížená",J169,0)</f>
        <v>0</v>
      </c>
      <c r="BG169" s="140">
        <f>IF(N169="zákl. přenesená",J169,0)</f>
        <v>0</v>
      </c>
      <c r="BH169" s="140">
        <f>IF(N169="sníž. přenesená",J169,0)</f>
        <v>0</v>
      </c>
      <c r="BI169" s="140">
        <f>IF(N169="nulová",J169,0)</f>
        <v>0</v>
      </c>
      <c r="BJ169" s="2" t="s">
        <v>87</v>
      </c>
      <c r="BK169" s="140">
        <f>ROUND(I169*H169,2)</f>
        <v>0</v>
      </c>
      <c r="BL169" s="2" t="s">
        <v>344</v>
      </c>
      <c r="BM169" s="139" t="s">
        <v>4884</v>
      </c>
    </row>
    <row r="170" spans="2:65" s="16" customFormat="1" ht="16.5" customHeight="1" x14ac:dyDescent="0.2">
      <c r="B170" s="17"/>
      <c r="C170" s="128">
        <v>21</v>
      </c>
      <c r="D170" s="128" t="s">
        <v>339</v>
      </c>
      <c r="E170" s="129" t="s">
        <v>4885</v>
      </c>
      <c r="F170" s="130" t="s">
        <v>4886</v>
      </c>
      <c r="G170" s="131" t="s">
        <v>4460</v>
      </c>
      <c r="H170" s="132">
        <v>1</v>
      </c>
      <c r="I170" s="133"/>
      <c r="J170" s="134">
        <f>ROUND(I170*H170,2)</f>
        <v>0</v>
      </c>
      <c r="K170" s="130"/>
      <c r="L170" s="17"/>
      <c r="M170" s="135"/>
      <c r="N170" s="136" t="s">
        <v>45</v>
      </c>
      <c r="P170" s="137">
        <f>O170*H170</f>
        <v>0</v>
      </c>
      <c r="Q170" s="137">
        <v>0</v>
      </c>
      <c r="R170" s="137">
        <f>Q170*H170</f>
        <v>0</v>
      </c>
      <c r="S170" s="137">
        <v>0</v>
      </c>
      <c r="T170" s="138">
        <f>S170*H170</f>
        <v>0</v>
      </c>
      <c r="AR170" s="139" t="s">
        <v>344</v>
      </c>
      <c r="AT170" s="139" t="s">
        <v>339</v>
      </c>
      <c r="AU170" s="139" t="s">
        <v>87</v>
      </c>
      <c r="AY170" s="2" t="s">
        <v>337</v>
      </c>
      <c r="BE170" s="140">
        <f>IF(N170="základní",J170,0)</f>
        <v>0</v>
      </c>
      <c r="BF170" s="140">
        <f>IF(N170="snížená",J170,0)</f>
        <v>0</v>
      </c>
      <c r="BG170" s="140">
        <f>IF(N170="zákl. přenesená",J170,0)</f>
        <v>0</v>
      </c>
      <c r="BH170" s="140">
        <f>IF(N170="sníž. přenesená",J170,0)</f>
        <v>0</v>
      </c>
      <c r="BI170" s="140">
        <f>IF(N170="nulová",J170,0)</f>
        <v>0</v>
      </c>
      <c r="BJ170" s="2" t="s">
        <v>87</v>
      </c>
      <c r="BK170" s="140">
        <f>ROUND(I170*H170,2)</f>
        <v>0</v>
      </c>
      <c r="BL170" s="2" t="s">
        <v>344</v>
      </c>
      <c r="BM170" s="139" t="s">
        <v>4887</v>
      </c>
    </row>
    <row r="171" spans="2:65" s="141" customFormat="1" x14ac:dyDescent="0.2">
      <c r="B171" s="142"/>
      <c r="D171" s="143" t="s">
        <v>346</v>
      </c>
      <c r="E171" s="144"/>
      <c r="F171" s="145" t="s">
        <v>4888</v>
      </c>
      <c r="H171" s="144"/>
      <c r="L171" s="142"/>
      <c r="M171" s="146"/>
      <c r="T171" s="147"/>
      <c r="AT171" s="144" t="s">
        <v>346</v>
      </c>
      <c r="AU171" s="144" t="s">
        <v>87</v>
      </c>
      <c r="AV171" s="141" t="s">
        <v>87</v>
      </c>
      <c r="AW171" s="141" t="s">
        <v>33</v>
      </c>
      <c r="AX171" s="141" t="s">
        <v>80</v>
      </c>
      <c r="AY171" s="144" t="s">
        <v>337</v>
      </c>
    </row>
    <row r="172" spans="2:65" s="148" customFormat="1" x14ac:dyDescent="0.2">
      <c r="B172" s="149"/>
      <c r="D172" s="143" t="s">
        <v>346</v>
      </c>
      <c r="E172" s="150"/>
      <c r="F172" s="151" t="s">
        <v>87</v>
      </c>
      <c r="H172" s="152">
        <v>1</v>
      </c>
      <c r="L172" s="149"/>
      <c r="M172" s="153"/>
      <c r="T172" s="154"/>
      <c r="AT172" s="150" t="s">
        <v>346</v>
      </c>
      <c r="AU172" s="150" t="s">
        <v>87</v>
      </c>
      <c r="AV172" s="148" t="s">
        <v>90</v>
      </c>
      <c r="AW172" s="148" t="s">
        <v>33</v>
      </c>
      <c r="AX172" s="148" t="s">
        <v>87</v>
      </c>
      <c r="AY172" s="150" t="s">
        <v>337</v>
      </c>
    </row>
    <row r="173" spans="2:65" s="141" customFormat="1" x14ac:dyDescent="0.2">
      <c r="B173" s="142"/>
      <c r="D173" s="143" t="s">
        <v>346</v>
      </c>
      <c r="E173" s="144"/>
      <c r="F173" s="145" t="s">
        <v>4889</v>
      </c>
      <c r="H173" s="144"/>
      <c r="L173" s="142"/>
      <c r="M173" s="146"/>
      <c r="T173" s="147"/>
      <c r="AT173" s="144" t="s">
        <v>346</v>
      </c>
      <c r="AU173" s="144" t="s">
        <v>87</v>
      </c>
      <c r="AV173" s="141" t="s">
        <v>87</v>
      </c>
      <c r="AW173" s="141" t="s">
        <v>33</v>
      </c>
      <c r="AX173" s="141" t="s">
        <v>80</v>
      </c>
      <c r="AY173" s="144" t="s">
        <v>337</v>
      </c>
    </row>
    <row r="174" spans="2:65" s="16" customFormat="1" ht="16.5" customHeight="1" x14ac:dyDescent="0.2">
      <c r="B174" s="17"/>
      <c r="C174" s="128">
        <v>22</v>
      </c>
      <c r="D174" s="128" t="s">
        <v>339</v>
      </c>
      <c r="E174" s="129" t="s">
        <v>4890</v>
      </c>
      <c r="F174" s="130" t="s">
        <v>4891</v>
      </c>
      <c r="G174" s="131" t="s">
        <v>724</v>
      </c>
      <c r="H174" s="132">
        <v>39</v>
      </c>
      <c r="I174" s="133"/>
      <c r="J174" s="134">
        <f>ROUND(I174*H174,2)</f>
        <v>0</v>
      </c>
      <c r="K174" s="130"/>
      <c r="L174" s="17"/>
      <c r="M174" s="135"/>
      <c r="N174" s="136" t="s">
        <v>45</v>
      </c>
      <c r="P174" s="137">
        <f>O174*H174</f>
        <v>0</v>
      </c>
      <c r="Q174" s="137">
        <v>0</v>
      </c>
      <c r="R174" s="137">
        <f>Q174*H174</f>
        <v>0</v>
      </c>
      <c r="S174" s="137">
        <v>0</v>
      </c>
      <c r="T174" s="138">
        <f>S174*H174</f>
        <v>0</v>
      </c>
      <c r="AR174" s="139" t="s">
        <v>344</v>
      </c>
      <c r="AT174" s="139" t="s">
        <v>339</v>
      </c>
      <c r="AU174" s="139" t="s">
        <v>87</v>
      </c>
      <c r="AY174" s="2" t="s">
        <v>337</v>
      </c>
      <c r="BE174" s="140">
        <f>IF(N174="základní",J174,0)</f>
        <v>0</v>
      </c>
      <c r="BF174" s="140">
        <f>IF(N174="snížená",J174,0)</f>
        <v>0</v>
      </c>
      <c r="BG174" s="140">
        <f>IF(N174="zákl. přenesená",J174,0)</f>
        <v>0</v>
      </c>
      <c r="BH174" s="140">
        <f>IF(N174="sníž. přenesená",J174,0)</f>
        <v>0</v>
      </c>
      <c r="BI174" s="140">
        <f>IF(N174="nulová",J174,0)</f>
        <v>0</v>
      </c>
      <c r="BJ174" s="2" t="s">
        <v>87</v>
      </c>
      <c r="BK174" s="140">
        <f>ROUND(I174*H174,2)</f>
        <v>0</v>
      </c>
      <c r="BL174" s="2" t="s">
        <v>344</v>
      </c>
      <c r="BM174" s="139" t="s">
        <v>4892</v>
      </c>
    </row>
    <row r="175" spans="2:65" s="141" customFormat="1" x14ac:dyDescent="0.2">
      <c r="B175" s="142"/>
      <c r="D175" s="143" t="s">
        <v>346</v>
      </c>
      <c r="E175" s="144"/>
      <c r="F175" s="145" t="s">
        <v>4893</v>
      </c>
      <c r="H175" s="144"/>
      <c r="L175" s="142"/>
      <c r="M175" s="146"/>
      <c r="T175" s="147"/>
      <c r="AT175" s="144" t="s">
        <v>346</v>
      </c>
      <c r="AU175" s="144" t="s">
        <v>87</v>
      </c>
      <c r="AV175" s="141" t="s">
        <v>87</v>
      </c>
      <c r="AW175" s="141" t="s">
        <v>33</v>
      </c>
      <c r="AX175" s="141" t="s">
        <v>80</v>
      </c>
      <c r="AY175" s="144" t="s">
        <v>337</v>
      </c>
    </row>
    <row r="176" spans="2:65" s="148" customFormat="1" x14ac:dyDescent="0.2">
      <c r="B176" s="149"/>
      <c r="D176" s="143" t="s">
        <v>346</v>
      </c>
      <c r="E176" s="150"/>
      <c r="F176" s="151" t="s">
        <v>4894</v>
      </c>
      <c r="H176" s="152">
        <v>39</v>
      </c>
      <c r="L176" s="149"/>
      <c r="M176" s="153"/>
      <c r="T176" s="154"/>
      <c r="AT176" s="150" t="s">
        <v>346</v>
      </c>
      <c r="AU176" s="150" t="s">
        <v>87</v>
      </c>
      <c r="AV176" s="148" t="s">
        <v>90</v>
      </c>
      <c r="AW176" s="148" t="s">
        <v>33</v>
      </c>
      <c r="AX176" s="148" t="s">
        <v>87</v>
      </c>
      <c r="AY176" s="150" t="s">
        <v>337</v>
      </c>
    </row>
    <row r="177" spans="2:65" s="16" customFormat="1" ht="16.5" customHeight="1" x14ac:dyDescent="0.2">
      <c r="B177" s="17"/>
      <c r="C177" s="128">
        <v>23</v>
      </c>
      <c r="D177" s="128" t="s">
        <v>339</v>
      </c>
      <c r="E177" s="129" t="s">
        <v>4895</v>
      </c>
      <c r="F177" s="130" t="s">
        <v>4896</v>
      </c>
      <c r="G177" s="131" t="s">
        <v>724</v>
      </c>
      <c r="H177" s="132">
        <v>39</v>
      </c>
      <c r="I177" s="133"/>
      <c r="J177" s="134">
        <f>ROUND(I177*H177,2)</f>
        <v>0</v>
      </c>
      <c r="K177" s="130"/>
      <c r="L177" s="17"/>
      <c r="M177" s="135"/>
      <c r="N177" s="136" t="s">
        <v>45</v>
      </c>
      <c r="P177" s="137">
        <f>O177*H177</f>
        <v>0</v>
      </c>
      <c r="Q177" s="137">
        <v>0</v>
      </c>
      <c r="R177" s="137">
        <f>Q177*H177</f>
        <v>0</v>
      </c>
      <c r="S177" s="137">
        <v>0</v>
      </c>
      <c r="T177" s="138">
        <f>S177*H177</f>
        <v>0</v>
      </c>
      <c r="AR177" s="139" t="s">
        <v>344</v>
      </c>
      <c r="AT177" s="139" t="s">
        <v>339</v>
      </c>
      <c r="AU177" s="139" t="s">
        <v>87</v>
      </c>
      <c r="AY177" s="2" t="s">
        <v>337</v>
      </c>
      <c r="BE177" s="140">
        <f>IF(N177="základní",J177,0)</f>
        <v>0</v>
      </c>
      <c r="BF177" s="140">
        <f>IF(N177="snížená",J177,0)</f>
        <v>0</v>
      </c>
      <c r="BG177" s="140">
        <f>IF(N177="zákl. přenesená",J177,0)</f>
        <v>0</v>
      </c>
      <c r="BH177" s="140">
        <f>IF(N177="sníž. přenesená",J177,0)</f>
        <v>0</v>
      </c>
      <c r="BI177" s="140">
        <f>IF(N177="nulová",J177,0)</f>
        <v>0</v>
      </c>
      <c r="BJ177" s="2" t="s">
        <v>87</v>
      </c>
      <c r="BK177" s="140">
        <f>ROUND(I177*H177,2)</f>
        <v>0</v>
      </c>
      <c r="BL177" s="2" t="s">
        <v>344</v>
      </c>
      <c r="BM177" s="139" t="s">
        <v>4897</v>
      </c>
    </row>
    <row r="178" spans="2:65" s="141" customFormat="1" x14ac:dyDescent="0.2">
      <c r="B178" s="142"/>
      <c r="D178" s="143" t="s">
        <v>346</v>
      </c>
      <c r="E178" s="144"/>
      <c r="F178" s="145" t="s">
        <v>4898</v>
      </c>
      <c r="H178" s="144"/>
      <c r="L178" s="142"/>
      <c r="M178" s="146"/>
      <c r="T178" s="147"/>
      <c r="AT178" s="144" t="s">
        <v>346</v>
      </c>
      <c r="AU178" s="144" t="s">
        <v>87</v>
      </c>
      <c r="AV178" s="141" t="s">
        <v>87</v>
      </c>
      <c r="AW178" s="141" t="s">
        <v>33</v>
      </c>
      <c r="AX178" s="141" t="s">
        <v>80</v>
      </c>
      <c r="AY178" s="144" t="s">
        <v>337</v>
      </c>
    </row>
    <row r="179" spans="2:65" s="141" customFormat="1" x14ac:dyDescent="0.2">
      <c r="B179" s="142"/>
      <c r="D179" s="143" t="s">
        <v>346</v>
      </c>
      <c r="E179" s="144"/>
      <c r="F179" s="145" t="s">
        <v>4899</v>
      </c>
      <c r="H179" s="144"/>
      <c r="L179" s="142"/>
      <c r="M179" s="146"/>
      <c r="T179" s="147"/>
      <c r="AT179" s="144" t="s">
        <v>346</v>
      </c>
      <c r="AU179" s="144" t="s">
        <v>87</v>
      </c>
      <c r="AV179" s="141" t="s">
        <v>87</v>
      </c>
      <c r="AW179" s="141" t="s">
        <v>33</v>
      </c>
      <c r="AX179" s="141" t="s">
        <v>80</v>
      </c>
      <c r="AY179" s="144" t="s">
        <v>337</v>
      </c>
    </row>
    <row r="180" spans="2:65" s="148" customFormat="1" x14ac:dyDescent="0.2">
      <c r="B180" s="149"/>
      <c r="D180" s="143" t="s">
        <v>346</v>
      </c>
      <c r="E180" s="150"/>
      <c r="F180" s="151" t="s">
        <v>4894</v>
      </c>
      <c r="H180" s="152">
        <v>39</v>
      </c>
      <c r="L180" s="149"/>
      <c r="M180" s="153"/>
      <c r="T180" s="154"/>
      <c r="AT180" s="150" t="s">
        <v>346</v>
      </c>
      <c r="AU180" s="150" t="s">
        <v>87</v>
      </c>
      <c r="AV180" s="148" t="s">
        <v>90</v>
      </c>
      <c r="AW180" s="148" t="s">
        <v>33</v>
      </c>
      <c r="AX180" s="148" t="s">
        <v>87</v>
      </c>
      <c r="AY180" s="150" t="s">
        <v>337</v>
      </c>
    </row>
    <row r="181" spans="2:65" s="141" customFormat="1" x14ac:dyDescent="0.2">
      <c r="B181" s="142"/>
      <c r="D181" s="143" t="s">
        <v>346</v>
      </c>
      <c r="E181" s="144"/>
      <c r="F181" s="145" t="s">
        <v>4889</v>
      </c>
      <c r="H181" s="144"/>
      <c r="L181" s="142"/>
      <c r="M181" s="146"/>
      <c r="T181" s="147"/>
      <c r="AT181" s="144" t="s">
        <v>346</v>
      </c>
      <c r="AU181" s="144" t="s">
        <v>87</v>
      </c>
      <c r="AV181" s="141" t="s">
        <v>87</v>
      </c>
      <c r="AW181" s="141" t="s">
        <v>33</v>
      </c>
      <c r="AX181" s="141" t="s">
        <v>80</v>
      </c>
      <c r="AY181" s="144" t="s">
        <v>337</v>
      </c>
    </row>
    <row r="182" spans="2:65" s="116" customFormat="1" ht="25.9" customHeight="1" x14ac:dyDescent="0.2">
      <c r="B182" s="117"/>
      <c r="D182" s="118" t="s">
        <v>79</v>
      </c>
      <c r="E182" s="119" t="s">
        <v>90</v>
      </c>
      <c r="F182" s="119" t="s">
        <v>338</v>
      </c>
      <c r="J182" s="120">
        <f>BK182</f>
        <v>0</v>
      </c>
      <c r="L182" s="117"/>
      <c r="M182" s="121"/>
      <c r="P182" s="122">
        <f>SUM(P183:P188)</f>
        <v>0</v>
      </c>
      <c r="R182" s="122">
        <f>SUM(R183:R188)</f>
        <v>2.5018699999999998</v>
      </c>
      <c r="T182" s="123">
        <f>SUM(T183:T188)</f>
        <v>0</v>
      </c>
      <c r="AR182" s="118" t="s">
        <v>87</v>
      </c>
      <c r="AT182" s="124" t="s">
        <v>79</v>
      </c>
      <c r="AU182" s="124" t="s">
        <v>80</v>
      </c>
      <c r="AY182" s="118" t="s">
        <v>337</v>
      </c>
      <c r="BK182" s="125">
        <f>SUM(BK183:BK188)</f>
        <v>0</v>
      </c>
    </row>
    <row r="183" spans="2:65" s="16" customFormat="1" ht="16.5" customHeight="1" x14ac:dyDescent="0.2">
      <c r="B183" s="17"/>
      <c r="C183" s="128">
        <v>24</v>
      </c>
      <c r="D183" s="128" t="s">
        <v>339</v>
      </c>
      <c r="E183" s="129" t="s">
        <v>4900</v>
      </c>
      <c r="F183" s="130" t="s">
        <v>4901</v>
      </c>
      <c r="G183" s="131" t="s">
        <v>342</v>
      </c>
      <c r="H183" s="132">
        <v>1</v>
      </c>
      <c r="I183" s="133"/>
      <c r="J183" s="134">
        <f>ROUND(I183*H183,2)</f>
        <v>0</v>
      </c>
      <c r="K183" s="130" t="s">
        <v>343</v>
      </c>
      <c r="L183" s="17"/>
      <c r="M183" s="135"/>
      <c r="N183" s="136" t="s">
        <v>45</v>
      </c>
      <c r="P183" s="137">
        <f>O183*H183</f>
        <v>0</v>
      </c>
      <c r="Q183" s="137">
        <v>2.5018699999999998</v>
      </c>
      <c r="R183" s="137">
        <f>Q183*H183</f>
        <v>2.5018699999999998</v>
      </c>
      <c r="S183" s="137">
        <v>0</v>
      </c>
      <c r="T183" s="138">
        <f>S183*H183</f>
        <v>0</v>
      </c>
      <c r="AR183" s="139" t="s">
        <v>344</v>
      </c>
      <c r="AT183" s="139" t="s">
        <v>339</v>
      </c>
      <c r="AU183" s="139" t="s">
        <v>87</v>
      </c>
      <c r="AY183" s="2" t="s">
        <v>337</v>
      </c>
      <c r="BE183" s="140">
        <f>IF(N183="základní",J183,0)</f>
        <v>0</v>
      </c>
      <c r="BF183" s="140">
        <f>IF(N183="snížená",J183,0)</f>
        <v>0</v>
      </c>
      <c r="BG183" s="140">
        <f>IF(N183="zákl. přenesená",J183,0)</f>
        <v>0</v>
      </c>
      <c r="BH183" s="140">
        <f>IF(N183="sníž. přenesená",J183,0)</f>
        <v>0</v>
      </c>
      <c r="BI183" s="140">
        <f>IF(N183="nulová",J183,0)</f>
        <v>0</v>
      </c>
      <c r="BJ183" s="2" t="s">
        <v>87</v>
      </c>
      <c r="BK183" s="140">
        <f>ROUND(I183*H183,2)</f>
        <v>0</v>
      </c>
      <c r="BL183" s="2" t="s">
        <v>344</v>
      </c>
      <c r="BM183" s="139" t="s">
        <v>4902</v>
      </c>
    </row>
    <row r="184" spans="2:65" s="141" customFormat="1" x14ac:dyDescent="0.2">
      <c r="B184" s="142"/>
      <c r="D184" s="143" t="s">
        <v>346</v>
      </c>
      <c r="E184" s="144"/>
      <c r="F184" s="145" t="s">
        <v>4903</v>
      </c>
      <c r="H184" s="144"/>
      <c r="L184" s="142"/>
      <c r="M184" s="146"/>
      <c r="T184" s="147"/>
      <c r="AT184" s="144" t="s">
        <v>346</v>
      </c>
      <c r="AU184" s="144" t="s">
        <v>87</v>
      </c>
      <c r="AV184" s="141" t="s">
        <v>87</v>
      </c>
      <c r="AW184" s="141" t="s">
        <v>33</v>
      </c>
      <c r="AX184" s="141" t="s">
        <v>80</v>
      </c>
      <c r="AY184" s="144" t="s">
        <v>337</v>
      </c>
    </row>
    <row r="185" spans="2:65" s="148" customFormat="1" x14ac:dyDescent="0.2">
      <c r="B185" s="149"/>
      <c r="D185" s="143" t="s">
        <v>346</v>
      </c>
      <c r="E185" s="150"/>
      <c r="F185" s="151" t="s">
        <v>4904</v>
      </c>
      <c r="H185" s="152">
        <v>0.5</v>
      </c>
      <c r="L185" s="149"/>
      <c r="M185" s="153"/>
      <c r="T185" s="154"/>
      <c r="AT185" s="150" t="s">
        <v>346</v>
      </c>
      <c r="AU185" s="150" t="s">
        <v>87</v>
      </c>
      <c r="AV185" s="148" t="s">
        <v>90</v>
      </c>
      <c r="AW185" s="148" t="s">
        <v>33</v>
      </c>
      <c r="AX185" s="148" t="s">
        <v>80</v>
      </c>
      <c r="AY185" s="150" t="s">
        <v>337</v>
      </c>
    </row>
    <row r="186" spans="2:65" s="141" customFormat="1" x14ac:dyDescent="0.2">
      <c r="B186" s="142"/>
      <c r="D186" s="143" t="s">
        <v>346</v>
      </c>
      <c r="E186" s="144"/>
      <c r="F186" s="145" t="s">
        <v>4905</v>
      </c>
      <c r="H186" s="144"/>
      <c r="L186" s="142"/>
      <c r="M186" s="146"/>
      <c r="T186" s="147"/>
      <c r="AT186" s="144" t="s">
        <v>346</v>
      </c>
      <c r="AU186" s="144" t="s">
        <v>87</v>
      </c>
      <c r="AV186" s="141" t="s">
        <v>87</v>
      </c>
      <c r="AW186" s="141" t="s">
        <v>33</v>
      </c>
      <c r="AX186" s="141" t="s">
        <v>80</v>
      </c>
      <c r="AY186" s="144" t="s">
        <v>337</v>
      </c>
    </row>
    <row r="187" spans="2:65" s="148" customFormat="1" x14ac:dyDescent="0.2">
      <c r="B187" s="149"/>
      <c r="D187" s="143" t="s">
        <v>346</v>
      </c>
      <c r="E187" s="150"/>
      <c r="F187" s="151" t="s">
        <v>4904</v>
      </c>
      <c r="H187" s="152">
        <v>0.5</v>
      </c>
      <c r="L187" s="149"/>
      <c r="M187" s="153"/>
      <c r="T187" s="154"/>
      <c r="AT187" s="150" t="s">
        <v>346</v>
      </c>
      <c r="AU187" s="150" t="s">
        <v>87</v>
      </c>
      <c r="AV187" s="148" t="s">
        <v>90</v>
      </c>
      <c r="AW187" s="148" t="s">
        <v>33</v>
      </c>
      <c r="AX187" s="148" t="s">
        <v>80</v>
      </c>
      <c r="AY187" s="150" t="s">
        <v>337</v>
      </c>
    </row>
    <row r="188" spans="2:65" s="155" customFormat="1" x14ac:dyDescent="0.2">
      <c r="B188" s="156"/>
      <c r="D188" s="143" t="s">
        <v>346</v>
      </c>
      <c r="E188" s="157"/>
      <c r="F188" s="158" t="s">
        <v>351</v>
      </c>
      <c r="H188" s="159">
        <v>1</v>
      </c>
      <c r="L188" s="156"/>
      <c r="M188" s="160"/>
      <c r="T188" s="161"/>
      <c r="AT188" s="157" t="s">
        <v>346</v>
      </c>
      <c r="AU188" s="157" t="s">
        <v>87</v>
      </c>
      <c r="AV188" s="155" t="s">
        <v>344</v>
      </c>
      <c r="AW188" s="155" t="s">
        <v>33</v>
      </c>
      <c r="AX188" s="155" t="s">
        <v>87</v>
      </c>
      <c r="AY188" s="157" t="s">
        <v>337</v>
      </c>
    </row>
    <row r="189" spans="2:65" s="116" customFormat="1" ht="25.9" customHeight="1" x14ac:dyDescent="0.2">
      <c r="B189" s="117"/>
      <c r="D189" s="118" t="s">
        <v>79</v>
      </c>
      <c r="E189" s="119" t="s">
        <v>430</v>
      </c>
      <c r="F189" s="119" t="s">
        <v>565</v>
      </c>
      <c r="J189" s="120">
        <f>BK189</f>
        <v>0</v>
      </c>
      <c r="L189" s="117"/>
      <c r="M189" s="121"/>
      <c r="P189" s="122">
        <f>SUM(P190:P193)</f>
        <v>0</v>
      </c>
      <c r="R189" s="122">
        <f>SUM(R190:R193)</f>
        <v>1.7774639999999999</v>
      </c>
      <c r="T189" s="123">
        <f>SUM(T190:T193)</f>
        <v>0</v>
      </c>
      <c r="AR189" s="118" t="s">
        <v>87</v>
      </c>
      <c r="AT189" s="124" t="s">
        <v>79</v>
      </c>
      <c r="AU189" s="124" t="s">
        <v>80</v>
      </c>
      <c r="AY189" s="118" t="s">
        <v>337</v>
      </c>
      <c r="BK189" s="125">
        <f>SUM(BK190:BK193)</f>
        <v>0</v>
      </c>
    </row>
    <row r="190" spans="2:65" s="16" customFormat="1" ht="16.5" customHeight="1" x14ac:dyDescent="0.2">
      <c r="B190" s="17"/>
      <c r="C190" s="128">
        <v>25</v>
      </c>
      <c r="D190" s="128" t="s">
        <v>339</v>
      </c>
      <c r="E190" s="129" t="s">
        <v>4906</v>
      </c>
      <c r="F190" s="130" t="s">
        <v>4907</v>
      </c>
      <c r="G190" s="131" t="s">
        <v>425</v>
      </c>
      <c r="H190" s="132">
        <v>93.6</v>
      </c>
      <c r="I190" s="133"/>
      <c r="J190" s="134">
        <f>ROUND(I190*H190,2)</f>
        <v>0</v>
      </c>
      <c r="K190" s="130" t="s">
        <v>343</v>
      </c>
      <c r="L190" s="17"/>
      <c r="M190" s="135"/>
      <c r="N190" s="136" t="s">
        <v>45</v>
      </c>
      <c r="P190" s="137">
        <f>O190*H190</f>
        <v>0</v>
      </c>
      <c r="Q190" s="137">
        <v>1.899E-2</v>
      </c>
      <c r="R190" s="137">
        <f>Q190*H190</f>
        <v>1.7774639999999999</v>
      </c>
      <c r="S190" s="137">
        <v>0</v>
      </c>
      <c r="T190" s="138">
        <f>S190*H190</f>
        <v>0</v>
      </c>
      <c r="AR190" s="139" t="s">
        <v>344</v>
      </c>
      <c r="AT190" s="139" t="s">
        <v>339</v>
      </c>
      <c r="AU190" s="139" t="s">
        <v>87</v>
      </c>
      <c r="AY190" s="2" t="s">
        <v>337</v>
      </c>
      <c r="BE190" s="140">
        <f>IF(N190="základní",J190,0)</f>
        <v>0</v>
      </c>
      <c r="BF190" s="140">
        <f>IF(N190="snížená",J190,0)</f>
        <v>0</v>
      </c>
      <c r="BG190" s="140">
        <f>IF(N190="zákl. přenesená",J190,0)</f>
        <v>0</v>
      </c>
      <c r="BH190" s="140">
        <f>IF(N190="sníž. přenesená",J190,0)</f>
        <v>0</v>
      </c>
      <c r="BI190" s="140">
        <f>IF(N190="nulová",J190,0)</f>
        <v>0</v>
      </c>
      <c r="BJ190" s="2" t="s">
        <v>87</v>
      </c>
      <c r="BK190" s="140">
        <f>ROUND(I190*H190,2)</f>
        <v>0</v>
      </c>
      <c r="BL190" s="2" t="s">
        <v>344</v>
      </c>
      <c r="BM190" s="139" t="s">
        <v>4908</v>
      </c>
    </row>
    <row r="191" spans="2:65" s="141" customFormat="1" x14ac:dyDescent="0.2">
      <c r="B191" s="142"/>
      <c r="D191" s="143" t="s">
        <v>346</v>
      </c>
      <c r="E191" s="144"/>
      <c r="F191" s="145" t="s">
        <v>4909</v>
      </c>
      <c r="H191" s="144"/>
      <c r="L191" s="142"/>
      <c r="M191" s="146"/>
      <c r="T191" s="147"/>
      <c r="AT191" s="144" t="s">
        <v>346</v>
      </c>
      <c r="AU191" s="144" t="s">
        <v>87</v>
      </c>
      <c r="AV191" s="141" t="s">
        <v>87</v>
      </c>
      <c r="AW191" s="141" t="s">
        <v>33</v>
      </c>
      <c r="AX191" s="141" t="s">
        <v>80</v>
      </c>
      <c r="AY191" s="144" t="s">
        <v>337</v>
      </c>
    </row>
    <row r="192" spans="2:65" s="148" customFormat="1" x14ac:dyDescent="0.2">
      <c r="B192" s="149"/>
      <c r="D192" s="143" t="s">
        <v>346</v>
      </c>
      <c r="E192" s="150"/>
      <c r="F192" s="151" t="s">
        <v>4910</v>
      </c>
      <c r="H192" s="152">
        <v>93.6</v>
      </c>
      <c r="L192" s="149"/>
      <c r="M192" s="153"/>
      <c r="T192" s="154"/>
      <c r="AT192" s="150" t="s">
        <v>346</v>
      </c>
      <c r="AU192" s="150" t="s">
        <v>87</v>
      </c>
      <c r="AV192" s="148" t="s">
        <v>90</v>
      </c>
      <c r="AW192" s="148" t="s">
        <v>33</v>
      </c>
      <c r="AX192" s="148" t="s">
        <v>87</v>
      </c>
      <c r="AY192" s="150" t="s">
        <v>337</v>
      </c>
    </row>
    <row r="193" spans="2:65" s="16" customFormat="1" ht="16.5" customHeight="1" x14ac:dyDescent="0.2">
      <c r="B193" s="17"/>
      <c r="C193" s="128">
        <v>26</v>
      </c>
      <c r="D193" s="128" t="s">
        <v>339</v>
      </c>
      <c r="E193" s="129" t="s">
        <v>3820</v>
      </c>
      <c r="F193" s="130" t="s">
        <v>3821</v>
      </c>
      <c r="G193" s="131" t="s">
        <v>425</v>
      </c>
      <c r="H193" s="132">
        <v>93.6</v>
      </c>
      <c r="I193" s="133"/>
      <c r="J193" s="134">
        <f>ROUND(I193*H193,2)</f>
        <v>0</v>
      </c>
      <c r="K193" s="130" t="s">
        <v>343</v>
      </c>
      <c r="L193" s="17"/>
      <c r="M193" s="135"/>
      <c r="N193" s="136" t="s">
        <v>45</v>
      </c>
      <c r="P193" s="137">
        <f>O193*H193</f>
        <v>0</v>
      </c>
      <c r="Q193" s="137">
        <v>0</v>
      </c>
      <c r="R193" s="137">
        <f>Q193*H193</f>
        <v>0</v>
      </c>
      <c r="S193" s="137">
        <v>0</v>
      </c>
      <c r="T193" s="138">
        <f>S193*H193</f>
        <v>0</v>
      </c>
      <c r="AR193" s="139" t="s">
        <v>344</v>
      </c>
      <c r="AT193" s="139" t="s">
        <v>339</v>
      </c>
      <c r="AU193" s="139" t="s">
        <v>87</v>
      </c>
      <c r="AY193" s="2" t="s">
        <v>337</v>
      </c>
      <c r="BE193" s="140">
        <f>IF(N193="základní",J193,0)</f>
        <v>0</v>
      </c>
      <c r="BF193" s="140">
        <f>IF(N193="snížená",J193,0)</f>
        <v>0</v>
      </c>
      <c r="BG193" s="140">
        <f>IF(N193="zákl. přenesená",J193,0)</f>
        <v>0</v>
      </c>
      <c r="BH193" s="140">
        <f>IF(N193="sníž. přenesená",J193,0)</f>
        <v>0</v>
      </c>
      <c r="BI193" s="140">
        <f>IF(N193="nulová",J193,0)</f>
        <v>0</v>
      </c>
      <c r="BJ193" s="2" t="s">
        <v>87</v>
      </c>
      <c r="BK193" s="140">
        <f>ROUND(I193*H193,2)</f>
        <v>0</v>
      </c>
      <c r="BL193" s="2" t="s">
        <v>344</v>
      </c>
      <c r="BM193" s="139" t="s">
        <v>4911</v>
      </c>
    </row>
    <row r="194" spans="2:65" s="116" customFormat="1" ht="25.9" customHeight="1" x14ac:dyDescent="0.2">
      <c r="B194" s="117"/>
      <c r="D194" s="118" t="s">
        <v>79</v>
      </c>
      <c r="E194" s="119" t="s">
        <v>452</v>
      </c>
      <c r="F194" s="119" t="s">
        <v>869</v>
      </c>
      <c r="J194" s="120">
        <f>BK194</f>
        <v>0</v>
      </c>
      <c r="L194" s="117"/>
      <c r="M194" s="121"/>
      <c r="P194" s="122">
        <f>SUM(P195:P202)</f>
        <v>0</v>
      </c>
      <c r="R194" s="122">
        <f>SUM(R195:R202)</f>
        <v>0</v>
      </c>
      <c r="T194" s="123">
        <f>SUM(T195:T202)</f>
        <v>0.64574999999999994</v>
      </c>
      <c r="AR194" s="118" t="s">
        <v>87</v>
      </c>
      <c r="AT194" s="124" t="s">
        <v>79</v>
      </c>
      <c r="AU194" s="124" t="s">
        <v>80</v>
      </c>
      <c r="AY194" s="118" t="s">
        <v>337</v>
      </c>
      <c r="BK194" s="125">
        <f>SUM(BK195:BK202)</f>
        <v>0</v>
      </c>
    </row>
    <row r="195" spans="2:65" s="16" customFormat="1" ht="16.5" customHeight="1" x14ac:dyDescent="0.2">
      <c r="B195" s="17"/>
      <c r="C195" s="128">
        <v>27</v>
      </c>
      <c r="D195" s="128" t="s">
        <v>339</v>
      </c>
      <c r="E195" s="129" t="s">
        <v>4912</v>
      </c>
      <c r="F195" s="130" t="s">
        <v>4913</v>
      </c>
      <c r="G195" s="131" t="s">
        <v>724</v>
      </c>
      <c r="H195" s="132">
        <v>39</v>
      </c>
      <c r="I195" s="133"/>
      <c r="J195" s="134">
        <f>ROUND(I195*H195,2)</f>
        <v>0</v>
      </c>
      <c r="K195" s="130" t="s">
        <v>343</v>
      </c>
      <c r="L195" s="17"/>
      <c r="M195" s="135"/>
      <c r="N195" s="136" t="s">
        <v>45</v>
      </c>
      <c r="P195" s="137">
        <f>O195*H195</f>
        <v>0</v>
      </c>
      <c r="Q195" s="137">
        <v>0</v>
      </c>
      <c r="R195" s="137">
        <f>Q195*H195</f>
        <v>0</v>
      </c>
      <c r="S195" s="137">
        <v>9.2499999999999995E-3</v>
      </c>
      <c r="T195" s="138">
        <f>S195*H195</f>
        <v>0.36074999999999996</v>
      </c>
      <c r="AR195" s="139" t="s">
        <v>344</v>
      </c>
      <c r="AT195" s="139" t="s">
        <v>339</v>
      </c>
      <c r="AU195" s="139" t="s">
        <v>87</v>
      </c>
      <c r="AY195" s="2" t="s">
        <v>337</v>
      </c>
      <c r="BE195" s="140">
        <f>IF(N195="základní",J195,0)</f>
        <v>0</v>
      </c>
      <c r="BF195" s="140">
        <f>IF(N195="snížená",J195,0)</f>
        <v>0</v>
      </c>
      <c r="BG195" s="140">
        <f>IF(N195="zákl. přenesená",J195,0)</f>
        <v>0</v>
      </c>
      <c r="BH195" s="140">
        <f>IF(N195="sníž. přenesená",J195,0)</f>
        <v>0</v>
      </c>
      <c r="BI195" s="140">
        <f>IF(N195="nulová",J195,0)</f>
        <v>0</v>
      </c>
      <c r="BJ195" s="2" t="s">
        <v>87</v>
      </c>
      <c r="BK195" s="140">
        <f>ROUND(I195*H195,2)</f>
        <v>0</v>
      </c>
      <c r="BL195" s="2" t="s">
        <v>344</v>
      </c>
      <c r="BM195" s="139" t="s">
        <v>4914</v>
      </c>
    </row>
    <row r="196" spans="2:65" s="141" customFormat="1" x14ac:dyDescent="0.2">
      <c r="B196" s="142"/>
      <c r="D196" s="143" t="s">
        <v>346</v>
      </c>
      <c r="E196" s="144"/>
      <c r="F196" s="145" t="s">
        <v>4915</v>
      </c>
      <c r="H196" s="144"/>
      <c r="L196" s="142"/>
      <c r="M196" s="146"/>
      <c r="T196" s="147"/>
      <c r="AT196" s="144" t="s">
        <v>346</v>
      </c>
      <c r="AU196" s="144" t="s">
        <v>87</v>
      </c>
      <c r="AV196" s="141" t="s">
        <v>87</v>
      </c>
      <c r="AW196" s="141" t="s">
        <v>33</v>
      </c>
      <c r="AX196" s="141" t="s">
        <v>80</v>
      </c>
      <c r="AY196" s="144" t="s">
        <v>337</v>
      </c>
    </row>
    <row r="197" spans="2:65" s="141" customFormat="1" x14ac:dyDescent="0.2">
      <c r="B197" s="142"/>
      <c r="D197" s="143" t="s">
        <v>346</v>
      </c>
      <c r="E197" s="144"/>
      <c r="F197" s="145" t="s">
        <v>4916</v>
      </c>
      <c r="H197" s="144"/>
      <c r="L197" s="142"/>
      <c r="M197" s="146"/>
      <c r="T197" s="147"/>
      <c r="AT197" s="144" t="s">
        <v>346</v>
      </c>
      <c r="AU197" s="144" t="s">
        <v>87</v>
      </c>
      <c r="AV197" s="141" t="s">
        <v>87</v>
      </c>
      <c r="AW197" s="141" t="s">
        <v>33</v>
      </c>
      <c r="AX197" s="141" t="s">
        <v>80</v>
      </c>
      <c r="AY197" s="144" t="s">
        <v>337</v>
      </c>
    </row>
    <row r="198" spans="2:65" s="148" customFormat="1" x14ac:dyDescent="0.2">
      <c r="B198" s="149"/>
      <c r="D198" s="143" t="s">
        <v>346</v>
      </c>
      <c r="E198" s="150"/>
      <c r="F198" s="151" t="s">
        <v>4894</v>
      </c>
      <c r="H198" s="152">
        <v>39</v>
      </c>
      <c r="L198" s="149"/>
      <c r="M198" s="153"/>
      <c r="T198" s="154"/>
      <c r="AT198" s="150" t="s">
        <v>346</v>
      </c>
      <c r="AU198" s="150" t="s">
        <v>87</v>
      </c>
      <c r="AV198" s="148" t="s">
        <v>90</v>
      </c>
      <c r="AW198" s="148" t="s">
        <v>33</v>
      </c>
      <c r="AX198" s="148" t="s">
        <v>87</v>
      </c>
      <c r="AY198" s="150" t="s">
        <v>337</v>
      </c>
    </row>
    <row r="199" spans="2:65" s="16" customFormat="1" ht="16.5" customHeight="1" x14ac:dyDescent="0.2">
      <c r="B199" s="17"/>
      <c r="C199" s="128">
        <v>28</v>
      </c>
      <c r="D199" s="128" t="s">
        <v>339</v>
      </c>
      <c r="E199" s="129" t="s">
        <v>4917</v>
      </c>
      <c r="F199" s="130" t="s">
        <v>4918</v>
      </c>
      <c r="G199" s="131" t="s">
        <v>449</v>
      </c>
      <c r="H199" s="132">
        <v>1</v>
      </c>
      <c r="I199" s="133"/>
      <c r="J199" s="134">
        <f>ROUND(I199*H199,2)</f>
        <v>0</v>
      </c>
      <c r="K199" s="130" t="s">
        <v>343</v>
      </c>
      <c r="L199" s="17"/>
      <c r="M199" s="135"/>
      <c r="N199" s="136" t="s">
        <v>45</v>
      </c>
      <c r="P199" s="137">
        <f>O199*H199</f>
        <v>0</v>
      </c>
      <c r="Q199" s="137">
        <v>0</v>
      </c>
      <c r="R199" s="137">
        <f>Q199*H199</f>
        <v>0</v>
      </c>
      <c r="S199" s="137">
        <v>0.28499999999999998</v>
      </c>
      <c r="T199" s="138">
        <f>S199*H199</f>
        <v>0.28499999999999998</v>
      </c>
      <c r="AR199" s="139" t="s">
        <v>344</v>
      </c>
      <c r="AT199" s="139" t="s">
        <v>339</v>
      </c>
      <c r="AU199" s="139" t="s">
        <v>87</v>
      </c>
      <c r="AY199" s="2" t="s">
        <v>337</v>
      </c>
      <c r="BE199" s="140">
        <f>IF(N199="základní",J199,0)</f>
        <v>0</v>
      </c>
      <c r="BF199" s="140">
        <f>IF(N199="snížená",J199,0)</f>
        <v>0</v>
      </c>
      <c r="BG199" s="140">
        <f>IF(N199="zákl. přenesená",J199,0)</f>
        <v>0</v>
      </c>
      <c r="BH199" s="140">
        <f>IF(N199="sníž. přenesená",J199,0)</f>
        <v>0</v>
      </c>
      <c r="BI199" s="140">
        <f>IF(N199="nulová",J199,0)</f>
        <v>0</v>
      </c>
      <c r="BJ199" s="2" t="s">
        <v>87</v>
      </c>
      <c r="BK199" s="140">
        <f>ROUND(I199*H199,2)</f>
        <v>0</v>
      </c>
      <c r="BL199" s="2" t="s">
        <v>344</v>
      </c>
      <c r="BM199" s="139" t="s">
        <v>4919</v>
      </c>
    </row>
    <row r="200" spans="2:65" s="141" customFormat="1" x14ac:dyDescent="0.2">
      <c r="B200" s="142"/>
      <c r="D200" s="143" t="s">
        <v>346</v>
      </c>
      <c r="E200" s="144"/>
      <c r="F200" s="145" t="s">
        <v>4920</v>
      </c>
      <c r="H200" s="144"/>
      <c r="L200" s="142"/>
      <c r="M200" s="146"/>
      <c r="T200" s="147"/>
      <c r="AT200" s="144" t="s">
        <v>346</v>
      </c>
      <c r="AU200" s="144" t="s">
        <v>87</v>
      </c>
      <c r="AV200" s="141" t="s">
        <v>87</v>
      </c>
      <c r="AW200" s="141" t="s">
        <v>33</v>
      </c>
      <c r="AX200" s="141" t="s">
        <v>80</v>
      </c>
      <c r="AY200" s="144" t="s">
        <v>337</v>
      </c>
    </row>
    <row r="201" spans="2:65" s="148" customFormat="1" x14ac:dyDescent="0.2">
      <c r="B201" s="149"/>
      <c r="D201" s="143" t="s">
        <v>346</v>
      </c>
      <c r="E201" s="150"/>
      <c r="F201" s="151" t="s">
        <v>87</v>
      </c>
      <c r="H201" s="152">
        <v>1</v>
      </c>
      <c r="L201" s="149"/>
      <c r="M201" s="153"/>
      <c r="T201" s="154"/>
      <c r="AT201" s="150" t="s">
        <v>346</v>
      </c>
      <c r="AU201" s="150" t="s">
        <v>87</v>
      </c>
      <c r="AV201" s="148" t="s">
        <v>90</v>
      </c>
      <c r="AW201" s="148" t="s">
        <v>33</v>
      </c>
      <c r="AX201" s="148" t="s">
        <v>87</v>
      </c>
      <c r="AY201" s="150" t="s">
        <v>337</v>
      </c>
    </row>
    <row r="202" spans="2:65" s="16" customFormat="1" ht="16.5" customHeight="1" x14ac:dyDescent="0.2">
      <c r="B202" s="17"/>
      <c r="C202" s="128">
        <v>29</v>
      </c>
      <c r="D202" s="128" t="s">
        <v>339</v>
      </c>
      <c r="E202" s="129" t="s">
        <v>4921</v>
      </c>
      <c r="F202" s="130" t="s">
        <v>4922</v>
      </c>
      <c r="G202" s="131" t="s">
        <v>425</v>
      </c>
      <c r="H202" s="132">
        <v>93.6</v>
      </c>
      <c r="I202" s="133"/>
      <c r="J202" s="134">
        <f>ROUND(I202*H202,2)</f>
        <v>0</v>
      </c>
      <c r="K202" s="130" t="s">
        <v>343</v>
      </c>
      <c r="L202" s="17"/>
      <c r="M202" s="135"/>
      <c r="N202" s="136" t="s">
        <v>45</v>
      </c>
      <c r="P202" s="137">
        <f>O202*H202</f>
        <v>0</v>
      </c>
      <c r="Q202" s="137">
        <v>0</v>
      </c>
      <c r="R202" s="137">
        <f>Q202*H202</f>
        <v>0</v>
      </c>
      <c r="S202" s="137">
        <v>0</v>
      </c>
      <c r="T202" s="138">
        <f>S202*H202</f>
        <v>0</v>
      </c>
      <c r="AR202" s="139" t="s">
        <v>344</v>
      </c>
      <c r="AT202" s="139" t="s">
        <v>339</v>
      </c>
      <c r="AU202" s="139" t="s">
        <v>87</v>
      </c>
      <c r="AY202" s="2" t="s">
        <v>337</v>
      </c>
      <c r="BE202" s="140">
        <f>IF(N202="základní",J202,0)</f>
        <v>0</v>
      </c>
      <c r="BF202" s="140">
        <f>IF(N202="snížená",J202,0)</f>
        <v>0</v>
      </c>
      <c r="BG202" s="140">
        <f>IF(N202="zákl. přenesená",J202,0)</f>
        <v>0</v>
      </c>
      <c r="BH202" s="140">
        <f>IF(N202="sníž. přenesená",J202,0)</f>
        <v>0</v>
      </c>
      <c r="BI202" s="140">
        <f>IF(N202="nulová",J202,0)</f>
        <v>0</v>
      </c>
      <c r="BJ202" s="2" t="s">
        <v>87</v>
      </c>
      <c r="BK202" s="140">
        <f>ROUND(I202*H202,2)</f>
        <v>0</v>
      </c>
      <c r="BL202" s="2" t="s">
        <v>344</v>
      </c>
      <c r="BM202" s="139" t="s">
        <v>4923</v>
      </c>
    </row>
    <row r="203" spans="2:65" s="116" customFormat="1" ht="25.9" customHeight="1" x14ac:dyDescent="0.2">
      <c r="B203" s="117"/>
      <c r="D203" s="118" t="s">
        <v>79</v>
      </c>
      <c r="E203" s="119" t="s">
        <v>4924</v>
      </c>
      <c r="F203" s="119" t="s">
        <v>4925</v>
      </c>
      <c r="J203" s="120">
        <f>BK203</f>
        <v>0</v>
      </c>
      <c r="L203" s="117"/>
      <c r="M203" s="121"/>
      <c r="P203" s="122">
        <f>SUM(P204:P207)</f>
        <v>0</v>
      </c>
      <c r="R203" s="122">
        <f>SUM(R204:R207)</f>
        <v>0</v>
      </c>
      <c r="T203" s="123">
        <f>SUM(T204:T207)</f>
        <v>0</v>
      </c>
      <c r="AR203" s="118" t="s">
        <v>87</v>
      </c>
      <c r="AT203" s="124" t="s">
        <v>79</v>
      </c>
      <c r="AU203" s="124" t="s">
        <v>80</v>
      </c>
      <c r="AY203" s="118" t="s">
        <v>337</v>
      </c>
      <c r="BK203" s="125">
        <f>SUM(BK204:BK207)</f>
        <v>0</v>
      </c>
    </row>
    <row r="204" spans="2:65" s="16" customFormat="1" ht="16.5" customHeight="1" x14ac:dyDescent="0.2">
      <c r="B204" s="17"/>
      <c r="C204" s="128">
        <v>30</v>
      </c>
      <c r="D204" s="128" t="s">
        <v>339</v>
      </c>
      <c r="E204" s="129" t="s">
        <v>4926</v>
      </c>
      <c r="F204" s="130" t="s">
        <v>4927</v>
      </c>
      <c r="G204" s="131" t="s">
        <v>990</v>
      </c>
      <c r="H204" s="132">
        <v>0.64600000000000002</v>
      </c>
      <c r="I204" s="133"/>
      <c r="J204" s="134">
        <f>ROUND(I204*H204,2)</f>
        <v>0</v>
      </c>
      <c r="K204" s="130" t="s">
        <v>343</v>
      </c>
      <c r="L204" s="17"/>
      <c r="M204" s="135"/>
      <c r="N204" s="136" t="s">
        <v>45</v>
      </c>
      <c r="P204" s="137">
        <f>O204*H204</f>
        <v>0</v>
      </c>
      <c r="Q204" s="137">
        <v>0</v>
      </c>
      <c r="R204" s="137">
        <f>Q204*H204</f>
        <v>0</v>
      </c>
      <c r="S204" s="137">
        <v>0</v>
      </c>
      <c r="T204" s="138">
        <f>S204*H204</f>
        <v>0</v>
      </c>
      <c r="AR204" s="139" t="s">
        <v>344</v>
      </c>
      <c r="AT204" s="139" t="s">
        <v>339</v>
      </c>
      <c r="AU204" s="139" t="s">
        <v>87</v>
      </c>
      <c r="AY204" s="2" t="s">
        <v>337</v>
      </c>
      <c r="BE204" s="140">
        <f>IF(N204="základní",J204,0)</f>
        <v>0</v>
      </c>
      <c r="BF204" s="140">
        <f>IF(N204="snížená",J204,0)</f>
        <v>0</v>
      </c>
      <c r="BG204" s="140">
        <f>IF(N204="zákl. přenesená",J204,0)</f>
        <v>0</v>
      </c>
      <c r="BH204" s="140">
        <f>IF(N204="sníž. přenesená",J204,0)</f>
        <v>0</v>
      </c>
      <c r="BI204" s="140">
        <f>IF(N204="nulová",J204,0)</f>
        <v>0</v>
      </c>
      <c r="BJ204" s="2" t="s">
        <v>87</v>
      </c>
      <c r="BK204" s="140">
        <f>ROUND(I204*H204,2)</f>
        <v>0</v>
      </c>
      <c r="BL204" s="2" t="s">
        <v>344</v>
      </c>
      <c r="BM204" s="139" t="s">
        <v>4928</v>
      </c>
    </row>
    <row r="205" spans="2:65" s="16" customFormat="1" ht="16.5" customHeight="1" x14ac:dyDescent="0.2">
      <c r="B205" s="17"/>
      <c r="C205" s="128">
        <v>31</v>
      </c>
      <c r="D205" s="128" t="s">
        <v>339</v>
      </c>
      <c r="E205" s="129" t="s">
        <v>4929</v>
      </c>
      <c r="F205" s="130" t="s">
        <v>4930</v>
      </c>
      <c r="G205" s="131" t="s">
        <v>990</v>
      </c>
      <c r="H205" s="132">
        <v>9.0440000000000005</v>
      </c>
      <c r="I205" s="133"/>
      <c r="J205" s="134">
        <f>ROUND(I205*H205,2)</f>
        <v>0</v>
      </c>
      <c r="K205" s="130" t="s">
        <v>343</v>
      </c>
      <c r="L205" s="17"/>
      <c r="M205" s="135"/>
      <c r="N205" s="136" t="s">
        <v>45</v>
      </c>
      <c r="P205" s="137">
        <f>O205*H205</f>
        <v>0</v>
      </c>
      <c r="Q205" s="137">
        <v>0</v>
      </c>
      <c r="R205" s="137">
        <f>Q205*H205</f>
        <v>0</v>
      </c>
      <c r="S205" s="137">
        <v>0</v>
      </c>
      <c r="T205" s="138">
        <f>S205*H205</f>
        <v>0</v>
      </c>
      <c r="AR205" s="139" t="s">
        <v>344</v>
      </c>
      <c r="AT205" s="139" t="s">
        <v>339</v>
      </c>
      <c r="AU205" s="139" t="s">
        <v>87</v>
      </c>
      <c r="AY205" s="2" t="s">
        <v>337</v>
      </c>
      <c r="BE205" s="140">
        <f>IF(N205="základní",J205,0)</f>
        <v>0</v>
      </c>
      <c r="BF205" s="140">
        <f>IF(N205="snížená",J205,0)</f>
        <v>0</v>
      </c>
      <c r="BG205" s="140">
        <f>IF(N205="zákl. přenesená",J205,0)</f>
        <v>0</v>
      </c>
      <c r="BH205" s="140">
        <f>IF(N205="sníž. přenesená",J205,0)</f>
        <v>0</v>
      </c>
      <c r="BI205" s="140">
        <f>IF(N205="nulová",J205,0)</f>
        <v>0</v>
      </c>
      <c r="BJ205" s="2" t="s">
        <v>87</v>
      </c>
      <c r="BK205" s="140">
        <f>ROUND(I205*H205,2)</f>
        <v>0</v>
      </c>
      <c r="BL205" s="2" t="s">
        <v>344</v>
      </c>
      <c r="BM205" s="139" t="s">
        <v>4931</v>
      </c>
    </row>
    <row r="206" spans="2:65" s="148" customFormat="1" x14ac:dyDescent="0.2">
      <c r="B206" s="149"/>
      <c r="D206" s="143" t="s">
        <v>346</v>
      </c>
      <c r="F206" s="151" t="s">
        <v>4932</v>
      </c>
      <c r="H206" s="152">
        <v>9.0440000000000005</v>
      </c>
      <c r="L206" s="149"/>
      <c r="M206" s="153"/>
      <c r="T206" s="154"/>
      <c r="AT206" s="150" t="s">
        <v>346</v>
      </c>
      <c r="AU206" s="150" t="s">
        <v>87</v>
      </c>
      <c r="AV206" s="148" t="s">
        <v>90</v>
      </c>
      <c r="AW206" s="148" t="s">
        <v>3</v>
      </c>
      <c r="AX206" s="148" t="s">
        <v>87</v>
      </c>
      <c r="AY206" s="150" t="s">
        <v>337</v>
      </c>
    </row>
    <row r="207" spans="2:65" s="16" customFormat="1" ht="16.5" customHeight="1" x14ac:dyDescent="0.2">
      <c r="B207" s="17"/>
      <c r="C207" s="128">
        <v>32</v>
      </c>
      <c r="D207" s="128" t="s">
        <v>339</v>
      </c>
      <c r="E207" s="129" t="s">
        <v>4933</v>
      </c>
      <c r="F207" s="130" t="s">
        <v>4934</v>
      </c>
      <c r="G207" s="131" t="s">
        <v>990</v>
      </c>
      <c r="H207" s="132">
        <v>0.64600000000000002</v>
      </c>
      <c r="I207" s="133"/>
      <c r="J207" s="134">
        <f>ROUND(I207*H207,2)</f>
        <v>0</v>
      </c>
      <c r="K207" s="130"/>
      <c r="L207" s="17"/>
      <c r="M207" s="135"/>
      <c r="N207" s="136" t="s">
        <v>45</v>
      </c>
      <c r="P207" s="137">
        <f>O207*H207</f>
        <v>0</v>
      </c>
      <c r="Q207" s="137">
        <v>0</v>
      </c>
      <c r="R207" s="137">
        <f>Q207*H207</f>
        <v>0</v>
      </c>
      <c r="S207" s="137">
        <v>0</v>
      </c>
      <c r="T207" s="138">
        <f>S207*H207</f>
        <v>0</v>
      </c>
      <c r="AR207" s="139" t="s">
        <v>344</v>
      </c>
      <c r="AT207" s="139" t="s">
        <v>339</v>
      </c>
      <c r="AU207" s="139" t="s">
        <v>87</v>
      </c>
      <c r="AY207" s="2" t="s">
        <v>337</v>
      </c>
      <c r="BE207" s="140">
        <f>IF(N207="základní",J207,0)</f>
        <v>0</v>
      </c>
      <c r="BF207" s="140">
        <f>IF(N207="snížená",J207,0)</f>
        <v>0</v>
      </c>
      <c r="BG207" s="140">
        <f>IF(N207="zákl. přenesená",J207,0)</f>
        <v>0</v>
      </c>
      <c r="BH207" s="140">
        <f>IF(N207="sníž. přenesená",J207,0)</f>
        <v>0</v>
      </c>
      <c r="BI207" s="140">
        <f>IF(N207="nulová",J207,0)</f>
        <v>0</v>
      </c>
      <c r="BJ207" s="2" t="s">
        <v>87</v>
      </c>
      <c r="BK207" s="140">
        <f>ROUND(I207*H207,2)</f>
        <v>0</v>
      </c>
      <c r="BL207" s="2" t="s">
        <v>344</v>
      </c>
      <c r="BM207" s="139" t="s">
        <v>4935</v>
      </c>
    </row>
    <row r="208" spans="2:65" s="116" customFormat="1" ht="25.9" customHeight="1" x14ac:dyDescent="0.2">
      <c r="B208" s="117"/>
      <c r="D208" s="118" t="s">
        <v>79</v>
      </c>
      <c r="E208" s="119" t="s">
        <v>986</v>
      </c>
      <c r="F208" s="119" t="s">
        <v>987</v>
      </c>
      <c r="J208" s="120">
        <f>BK208</f>
        <v>0</v>
      </c>
      <c r="L208" s="117"/>
      <c r="M208" s="121"/>
      <c r="P208" s="122">
        <f>P209</f>
        <v>0</v>
      </c>
      <c r="R208" s="122">
        <f>R209</f>
        <v>0</v>
      </c>
      <c r="T208" s="123">
        <f>T209</f>
        <v>0</v>
      </c>
      <c r="AR208" s="118" t="s">
        <v>87</v>
      </c>
      <c r="AT208" s="124" t="s">
        <v>79</v>
      </c>
      <c r="AU208" s="124" t="s">
        <v>80</v>
      </c>
      <c r="AY208" s="118" t="s">
        <v>337</v>
      </c>
      <c r="BK208" s="125">
        <f>BK209</f>
        <v>0</v>
      </c>
    </row>
    <row r="209" spans="2:65" s="16" customFormat="1" ht="16.5" customHeight="1" x14ac:dyDescent="0.2">
      <c r="B209" s="17"/>
      <c r="C209" s="128">
        <v>33</v>
      </c>
      <c r="D209" s="128" t="s">
        <v>339</v>
      </c>
      <c r="E209" s="129" t="s">
        <v>4936</v>
      </c>
      <c r="F209" s="130" t="s">
        <v>4937</v>
      </c>
      <c r="G209" s="131" t="s">
        <v>990</v>
      </c>
      <c r="H209" s="132">
        <v>4.2789999999999999</v>
      </c>
      <c r="I209" s="133"/>
      <c r="J209" s="134">
        <f>ROUND(I209*H209,2)</f>
        <v>0</v>
      </c>
      <c r="K209" s="130" t="s">
        <v>343</v>
      </c>
      <c r="L209" s="17"/>
      <c r="M209" s="135"/>
      <c r="N209" s="136" t="s">
        <v>45</v>
      </c>
      <c r="P209" s="137">
        <f>O209*H209</f>
        <v>0</v>
      </c>
      <c r="Q209" s="137">
        <v>0</v>
      </c>
      <c r="R209" s="137">
        <f>Q209*H209</f>
        <v>0</v>
      </c>
      <c r="S209" s="137">
        <v>0</v>
      </c>
      <c r="T209" s="138">
        <f>S209*H209</f>
        <v>0</v>
      </c>
      <c r="AR209" s="139" t="s">
        <v>344</v>
      </c>
      <c r="AT209" s="139" t="s">
        <v>339</v>
      </c>
      <c r="AU209" s="139" t="s">
        <v>87</v>
      </c>
      <c r="AY209" s="2" t="s">
        <v>337</v>
      </c>
      <c r="BE209" s="140">
        <f>IF(N209="základní",J209,0)</f>
        <v>0</v>
      </c>
      <c r="BF209" s="140">
        <f>IF(N209="snížená",J209,0)</f>
        <v>0</v>
      </c>
      <c r="BG209" s="140">
        <f>IF(N209="zákl. přenesená",J209,0)</f>
        <v>0</v>
      </c>
      <c r="BH209" s="140">
        <f>IF(N209="sníž. přenesená",J209,0)</f>
        <v>0</v>
      </c>
      <c r="BI209" s="140">
        <f>IF(N209="nulová",J209,0)</f>
        <v>0</v>
      </c>
      <c r="BJ209" s="2" t="s">
        <v>87</v>
      </c>
      <c r="BK209" s="140">
        <f>ROUND(I209*H209,2)</f>
        <v>0</v>
      </c>
      <c r="BL209" s="2" t="s">
        <v>344</v>
      </c>
      <c r="BM209" s="139" t="s">
        <v>4938</v>
      </c>
    </row>
    <row r="210" spans="2:65" s="116" customFormat="1" ht="25.9" customHeight="1" x14ac:dyDescent="0.2">
      <c r="B210" s="117"/>
      <c r="D210" s="118" t="s">
        <v>79</v>
      </c>
      <c r="E210" s="119" t="s">
        <v>992</v>
      </c>
      <c r="F210" s="119" t="s">
        <v>993</v>
      </c>
      <c r="J210" s="120">
        <f>BK210</f>
        <v>0</v>
      </c>
      <c r="L210" s="117"/>
      <c r="M210" s="121"/>
      <c r="P210" s="122">
        <f>P211</f>
        <v>0</v>
      </c>
      <c r="R210" s="122">
        <f>R211</f>
        <v>6.6189299999999993E-2</v>
      </c>
      <c r="T210" s="123">
        <f>T211</f>
        <v>0</v>
      </c>
      <c r="AR210" s="118" t="s">
        <v>90</v>
      </c>
      <c r="AT210" s="124" t="s">
        <v>79</v>
      </c>
      <c r="AU210" s="124" t="s">
        <v>80</v>
      </c>
      <c r="AY210" s="118" t="s">
        <v>337</v>
      </c>
      <c r="BK210" s="125">
        <f>BK211</f>
        <v>0</v>
      </c>
    </row>
    <row r="211" spans="2:65" s="116" customFormat="1" ht="22.9" customHeight="1" x14ac:dyDescent="0.2">
      <c r="B211" s="117"/>
      <c r="D211" s="118" t="s">
        <v>79</v>
      </c>
      <c r="E211" s="126" t="s">
        <v>2282</v>
      </c>
      <c r="F211" s="126" t="s">
        <v>2283</v>
      </c>
      <c r="J211" s="127">
        <f>BK211</f>
        <v>0</v>
      </c>
      <c r="L211" s="117"/>
      <c r="M211" s="121"/>
      <c r="P211" s="122">
        <f>SUM(P212:P233)</f>
        <v>0</v>
      </c>
      <c r="R211" s="122">
        <f>SUM(R212:R233)</f>
        <v>6.6189299999999993E-2</v>
      </c>
      <c r="T211" s="123">
        <f>SUM(T212:T233)</f>
        <v>0</v>
      </c>
      <c r="AR211" s="118" t="s">
        <v>90</v>
      </c>
      <c r="AT211" s="124" t="s">
        <v>79</v>
      </c>
      <c r="AU211" s="124" t="s">
        <v>87</v>
      </c>
      <c r="AY211" s="118" t="s">
        <v>337</v>
      </c>
      <c r="BK211" s="125">
        <f>SUM(BK212:BK233)</f>
        <v>0</v>
      </c>
    </row>
    <row r="212" spans="2:65" s="16" customFormat="1" ht="16.5" customHeight="1" x14ac:dyDescent="0.2">
      <c r="B212" s="17"/>
      <c r="C212" s="128">
        <v>34</v>
      </c>
      <c r="D212" s="128" t="s">
        <v>339</v>
      </c>
      <c r="E212" s="129" t="s">
        <v>4939</v>
      </c>
      <c r="F212" s="130" t="s">
        <v>4940</v>
      </c>
      <c r="G212" s="131" t="s">
        <v>425</v>
      </c>
      <c r="H212" s="132">
        <v>89.444999999999993</v>
      </c>
      <c r="I212" s="133"/>
      <c r="J212" s="134">
        <f>ROUND(I212*H212,2)</f>
        <v>0</v>
      </c>
      <c r="K212" s="130" t="s">
        <v>343</v>
      </c>
      <c r="L212" s="17"/>
      <c r="M212" s="135"/>
      <c r="N212" s="136" t="s">
        <v>45</v>
      </c>
      <c r="P212" s="137">
        <f>O212*H212</f>
        <v>0</v>
      </c>
      <c r="Q212" s="137">
        <v>6.9999999999999994E-5</v>
      </c>
      <c r="R212" s="137">
        <f>Q212*H212</f>
        <v>6.2611499999999992E-3</v>
      </c>
      <c r="S212" s="137">
        <v>0</v>
      </c>
      <c r="T212" s="138">
        <f>S212*H212</f>
        <v>0</v>
      </c>
      <c r="AR212" s="139" t="s">
        <v>496</v>
      </c>
      <c r="AT212" s="139" t="s">
        <v>339</v>
      </c>
      <c r="AU212" s="139" t="s">
        <v>90</v>
      </c>
      <c r="AY212" s="2" t="s">
        <v>337</v>
      </c>
      <c r="BE212" s="140">
        <f>IF(N212="základní",J212,0)</f>
        <v>0</v>
      </c>
      <c r="BF212" s="140">
        <f>IF(N212="snížená",J212,0)</f>
        <v>0</v>
      </c>
      <c r="BG212" s="140">
        <f>IF(N212="zákl. přenesená",J212,0)</f>
        <v>0</v>
      </c>
      <c r="BH212" s="140">
        <f>IF(N212="sníž. přenesená",J212,0)</f>
        <v>0</v>
      </c>
      <c r="BI212" s="140">
        <f>IF(N212="nulová",J212,0)</f>
        <v>0</v>
      </c>
      <c r="BJ212" s="2" t="s">
        <v>87</v>
      </c>
      <c r="BK212" s="140">
        <f>ROUND(I212*H212,2)</f>
        <v>0</v>
      </c>
      <c r="BL212" s="2" t="s">
        <v>496</v>
      </c>
      <c r="BM212" s="139" t="s">
        <v>4941</v>
      </c>
    </row>
    <row r="213" spans="2:65" s="141" customFormat="1" x14ac:dyDescent="0.2">
      <c r="B213" s="142"/>
      <c r="D213" s="143" t="s">
        <v>346</v>
      </c>
      <c r="E213" s="144"/>
      <c r="F213" s="145" t="s">
        <v>4942</v>
      </c>
      <c r="H213" s="144"/>
      <c r="L213" s="142"/>
      <c r="M213" s="146"/>
      <c r="T213" s="147"/>
      <c r="AT213" s="144" t="s">
        <v>346</v>
      </c>
      <c r="AU213" s="144" t="s">
        <v>90</v>
      </c>
      <c r="AV213" s="141" t="s">
        <v>87</v>
      </c>
      <c r="AW213" s="141" t="s">
        <v>33</v>
      </c>
      <c r="AX213" s="141" t="s">
        <v>80</v>
      </c>
      <c r="AY213" s="144" t="s">
        <v>337</v>
      </c>
    </row>
    <row r="214" spans="2:65" s="148" customFormat="1" x14ac:dyDescent="0.2">
      <c r="B214" s="149"/>
      <c r="D214" s="143" t="s">
        <v>346</v>
      </c>
      <c r="E214" s="150"/>
      <c r="F214" s="151" t="s">
        <v>4810</v>
      </c>
      <c r="H214" s="152">
        <v>89.444999999999993</v>
      </c>
      <c r="L214" s="149"/>
      <c r="M214" s="153"/>
      <c r="T214" s="154"/>
      <c r="AT214" s="150" t="s">
        <v>346</v>
      </c>
      <c r="AU214" s="150" t="s">
        <v>90</v>
      </c>
      <c r="AV214" s="148" t="s">
        <v>90</v>
      </c>
      <c r="AW214" s="148" t="s">
        <v>33</v>
      </c>
      <c r="AX214" s="148" t="s">
        <v>87</v>
      </c>
      <c r="AY214" s="150" t="s">
        <v>337</v>
      </c>
    </row>
    <row r="215" spans="2:65" s="16" customFormat="1" ht="16.5" customHeight="1" x14ac:dyDescent="0.2">
      <c r="B215" s="17"/>
      <c r="C215" s="128">
        <v>35</v>
      </c>
      <c r="D215" s="128" t="s">
        <v>339</v>
      </c>
      <c r="E215" s="129" t="s">
        <v>2935</v>
      </c>
      <c r="F215" s="130" t="s">
        <v>2936</v>
      </c>
      <c r="G215" s="131" t="s">
        <v>425</v>
      </c>
      <c r="H215" s="132">
        <v>89.444999999999993</v>
      </c>
      <c r="I215" s="133"/>
      <c r="J215" s="134">
        <f>ROUND(I215*H215,2)</f>
        <v>0</v>
      </c>
      <c r="K215" s="130" t="s">
        <v>343</v>
      </c>
      <c r="L215" s="17"/>
      <c r="M215" s="135"/>
      <c r="N215" s="136" t="s">
        <v>45</v>
      </c>
      <c r="P215" s="137">
        <f>O215*H215</f>
        <v>0</v>
      </c>
      <c r="Q215" s="137">
        <v>6.9999999999999994E-5</v>
      </c>
      <c r="R215" s="137">
        <f>Q215*H215</f>
        <v>6.2611499999999992E-3</v>
      </c>
      <c r="S215" s="137">
        <v>0</v>
      </c>
      <c r="T215" s="138">
        <f>S215*H215</f>
        <v>0</v>
      </c>
      <c r="AR215" s="139" t="s">
        <v>496</v>
      </c>
      <c r="AT215" s="139" t="s">
        <v>339</v>
      </c>
      <c r="AU215" s="139" t="s">
        <v>90</v>
      </c>
      <c r="AY215" s="2" t="s">
        <v>337</v>
      </c>
      <c r="BE215" s="140">
        <f>IF(N215="základní",J215,0)</f>
        <v>0</v>
      </c>
      <c r="BF215" s="140">
        <f>IF(N215="snížená",J215,0)</f>
        <v>0</v>
      </c>
      <c r="BG215" s="140">
        <f>IF(N215="zákl. přenesená",J215,0)</f>
        <v>0</v>
      </c>
      <c r="BH215" s="140">
        <f>IF(N215="sníž. přenesená",J215,0)</f>
        <v>0</v>
      </c>
      <c r="BI215" s="140">
        <f>IF(N215="nulová",J215,0)</f>
        <v>0</v>
      </c>
      <c r="BJ215" s="2" t="s">
        <v>87</v>
      </c>
      <c r="BK215" s="140">
        <f>ROUND(I215*H215,2)</f>
        <v>0</v>
      </c>
      <c r="BL215" s="2" t="s">
        <v>496</v>
      </c>
      <c r="BM215" s="139" t="s">
        <v>4943</v>
      </c>
    </row>
    <row r="216" spans="2:65" s="148" customFormat="1" x14ac:dyDescent="0.2">
      <c r="B216" s="149"/>
      <c r="D216" s="143" t="s">
        <v>346</v>
      </c>
      <c r="E216" s="150"/>
      <c r="F216" s="151" t="s">
        <v>4810</v>
      </c>
      <c r="H216" s="152">
        <v>89.444999999999993</v>
      </c>
      <c r="L216" s="149"/>
      <c r="M216" s="153"/>
      <c r="T216" s="154"/>
      <c r="AT216" s="150" t="s">
        <v>346</v>
      </c>
      <c r="AU216" s="150" t="s">
        <v>90</v>
      </c>
      <c r="AV216" s="148" t="s">
        <v>90</v>
      </c>
      <c r="AW216" s="148" t="s">
        <v>33</v>
      </c>
      <c r="AX216" s="148" t="s">
        <v>87</v>
      </c>
      <c r="AY216" s="150" t="s">
        <v>337</v>
      </c>
    </row>
    <row r="217" spans="2:65" s="16" customFormat="1" ht="16.5" customHeight="1" x14ac:dyDescent="0.2">
      <c r="B217" s="17"/>
      <c r="C217" s="128">
        <v>36</v>
      </c>
      <c r="D217" s="128" t="s">
        <v>339</v>
      </c>
      <c r="E217" s="129" t="s">
        <v>4944</v>
      </c>
      <c r="F217" s="130" t="s">
        <v>4945</v>
      </c>
      <c r="G217" s="131" t="s">
        <v>425</v>
      </c>
      <c r="H217" s="132">
        <v>89.444999999999993</v>
      </c>
      <c r="I217" s="133"/>
      <c r="J217" s="134">
        <f>ROUND(I217*H217,2)</f>
        <v>0</v>
      </c>
      <c r="K217" s="130" t="s">
        <v>343</v>
      </c>
      <c r="L217" s="17"/>
      <c r="M217" s="135"/>
      <c r="N217" s="136" t="s">
        <v>45</v>
      </c>
      <c r="P217" s="137">
        <f>O217*H217</f>
        <v>0</v>
      </c>
      <c r="Q217" s="137">
        <v>0</v>
      </c>
      <c r="R217" s="137">
        <f>Q217*H217</f>
        <v>0</v>
      </c>
      <c r="S217" s="137">
        <v>0</v>
      </c>
      <c r="T217" s="138">
        <f>S217*H217</f>
        <v>0</v>
      </c>
      <c r="AR217" s="139" t="s">
        <v>496</v>
      </c>
      <c r="AT217" s="139" t="s">
        <v>339</v>
      </c>
      <c r="AU217" s="139" t="s">
        <v>90</v>
      </c>
      <c r="AY217" s="2" t="s">
        <v>337</v>
      </c>
      <c r="BE217" s="140">
        <f>IF(N217="základní",J217,0)</f>
        <v>0</v>
      </c>
      <c r="BF217" s="140">
        <f>IF(N217="snížená",J217,0)</f>
        <v>0</v>
      </c>
      <c r="BG217" s="140">
        <f>IF(N217="zákl. přenesená",J217,0)</f>
        <v>0</v>
      </c>
      <c r="BH217" s="140">
        <f>IF(N217="sníž. přenesená",J217,0)</f>
        <v>0</v>
      </c>
      <c r="BI217" s="140">
        <f>IF(N217="nulová",J217,0)</f>
        <v>0</v>
      </c>
      <c r="BJ217" s="2" t="s">
        <v>87</v>
      </c>
      <c r="BK217" s="140">
        <f>ROUND(I217*H217,2)</f>
        <v>0</v>
      </c>
      <c r="BL217" s="2" t="s">
        <v>496</v>
      </c>
      <c r="BM217" s="139" t="s">
        <v>4946</v>
      </c>
    </row>
    <row r="218" spans="2:65" s="148" customFormat="1" x14ac:dyDescent="0.2">
      <c r="B218" s="149"/>
      <c r="D218" s="143" t="s">
        <v>346</v>
      </c>
      <c r="E218" s="150"/>
      <c r="F218" s="151" t="s">
        <v>4810</v>
      </c>
      <c r="H218" s="152">
        <v>89.444999999999993</v>
      </c>
      <c r="L218" s="149"/>
      <c r="M218" s="153"/>
      <c r="T218" s="154"/>
      <c r="AT218" s="150" t="s">
        <v>346</v>
      </c>
      <c r="AU218" s="150" t="s">
        <v>90</v>
      </c>
      <c r="AV218" s="148" t="s">
        <v>90</v>
      </c>
      <c r="AW218" s="148" t="s">
        <v>33</v>
      </c>
      <c r="AX218" s="148" t="s">
        <v>87</v>
      </c>
      <c r="AY218" s="150" t="s">
        <v>337</v>
      </c>
    </row>
    <row r="219" spans="2:65" s="16" customFormat="1" ht="16.5" customHeight="1" x14ac:dyDescent="0.2">
      <c r="B219" s="17"/>
      <c r="C219" s="128">
        <v>37</v>
      </c>
      <c r="D219" s="128" t="s">
        <v>339</v>
      </c>
      <c r="E219" s="129" t="s">
        <v>4947</v>
      </c>
      <c r="F219" s="130" t="s">
        <v>4948</v>
      </c>
      <c r="G219" s="131" t="s">
        <v>425</v>
      </c>
      <c r="H219" s="132">
        <v>89.444999999999993</v>
      </c>
      <c r="I219" s="133"/>
      <c r="J219" s="134">
        <f>ROUND(I219*H219,2)</f>
        <v>0</v>
      </c>
      <c r="K219" s="130" t="s">
        <v>343</v>
      </c>
      <c r="L219" s="17"/>
      <c r="M219" s="135"/>
      <c r="N219" s="136" t="s">
        <v>45</v>
      </c>
      <c r="P219" s="137">
        <f>O219*H219</f>
        <v>0</v>
      </c>
      <c r="Q219" s="137">
        <v>0</v>
      </c>
      <c r="R219" s="137">
        <f>Q219*H219</f>
        <v>0</v>
      </c>
      <c r="S219" s="137">
        <v>0</v>
      </c>
      <c r="T219" s="138">
        <f>S219*H219</f>
        <v>0</v>
      </c>
      <c r="AR219" s="139" t="s">
        <v>496</v>
      </c>
      <c r="AT219" s="139" t="s">
        <v>339</v>
      </c>
      <c r="AU219" s="139" t="s">
        <v>90</v>
      </c>
      <c r="AY219" s="2" t="s">
        <v>337</v>
      </c>
      <c r="BE219" s="140">
        <f>IF(N219="základní",J219,0)</f>
        <v>0</v>
      </c>
      <c r="BF219" s="140">
        <f>IF(N219="snížená",J219,0)</f>
        <v>0</v>
      </c>
      <c r="BG219" s="140">
        <f>IF(N219="zákl. přenesená",J219,0)</f>
        <v>0</v>
      </c>
      <c r="BH219" s="140">
        <f>IF(N219="sníž. přenesená",J219,0)</f>
        <v>0</v>
      </c>
      <c r="BI219" s="140">
        <f>IF(N219="nulová",J219,0)</f>
        <v>0</v>
      </c>
      <c r="BJ219" s="2" t="s">
        <v>87</v>
      </c>
      <c r="BK219" s="140">
        <f>ROUND(I219*H219,2)</f>
        <v>0</v>
      </c>
      <c r="BL219" s="2" t="s">
        <v>496</v>
      </c>
      <c r="BM219" s="139" t="s">
        <v>4949</v>
      </c>
    </row>
    <row r="220" spans="2:65" s="148" customFormat="1" x14ac:dyDescent="0.2">
      <c r="B220" s="149"/>
      <c r="D220" s="143" t="s">
        <v>346</v>
      </c>
      <c r="E220" s="150"/>
      <c r="F220" s="151" t="s">
        <v>4810</v>
      </c>
      <c r="H220" s="152">
        <v>89.444999999999993</v>
      </c>
      <c r="L220" s="149"/>
      <c r="M220" s="153"/>
      <c r="T220" s="154"/>
      <c r="AT220" s="150" t="s">
        <v>346</v>
      </c>
      <c r="AU220" s="150" t="s">
        <v>90</v>
      </c>
      <c r="AV220" s="148" t="s">
        <v>90</v>
      </c>
      <c r="AW220" s="148" t="s">
        <v>33</v>
      </c>
      <c r="AX220" s="148" t="s">
        <v>87</v>
      </c>
      <c r="AY220" s="150" t="s">
        <v>337</v>
      </c>
    </row>
    <row r="221" spans="2:65" s="16" customFormat="1" ht="16.5" customHeight="1" x14ac:dyDescent="0.2">
      <c r="B221" s="17"/>
      <c r="C221" s="128">
        <v>38</v>
      </c>
      <c r="D221" s="128" t="s">
        <v>339</v>
      </c>
      <c r="E221" s="129" t="s">
        <v>2970</v>
      </c>
      <c r="F221" s="130" t="s">
        <v>2971</v>
      </c>
      <c r="G221" s="131" t="s">
        <v>425</v>
      </c>
      <c r="H221" s="132">
        <v>89.444999999999993</v>
      </c>
      <c r="I221" s="133"/>
      <c r="J221" s="134">
        <f>ROUND(I221*H221,2)</f>
        <v>0</v>
      </c>
      <c r="K221" s="130" t="s">
        <v>343</v>
      </c>
      <c r="L221" s="17"/>
      <c r="M221" s="135"/>
      <c r="N221" s="136" t="s">
        <v>45</v>
      </c>
      <c r="P221" s="137">
        <f>O221*H221</f>
        <v>0</v>
      </c>
      <c r="Q221" s="137">
        <v>1.3999999999999999E-4</v>
      </c>
      <c r="R221" s="137">
        <f>Q221*H221</f>
        <v>1.2522299999999998E-2</v>
      </c>
      <c r="S221" s="137">
        <v>0</v>
      </c>
      <c r="T221" s="138">
        <f>S221*H221</f>
        <v>0</v>
      </c>
      <c r="AR221" s="139" t="s">
        <v>496</v>
      </c>
      <c r="AT221" s="139" t="s">
        <v>339</v>
      </c>
      <c r="AU221" s="139" t="s">
        <v>90</v>
      </c>
      <c r="AY221" s="2" t="s">
        <v>337</v>
      </c>
      <c r="BE221" s="140">
        <f>IF(N221="základní",J221,0)</f>
        <v>0</v>
      </c>
      <c r="BF221" s="140">
        <f>IF(N221="snížená",J221,0)</f>
        <v>0</v>
      </c>
      <c r="BG221" s="140">
        <f>IF(N221="zákl. přenesená",J221,0)</f>
        <v>0</v>
      </c>
      <c r="BH221" s="140">
        <f>IF(N221="sníž. přenesená",J221,0)</f>
        <v>0</v>
      </c>
      <c r="BI221" s="140">
        <f>IF(N221="nulová",J221,0)</f>
        <v>0</v>
      </c>
      <c r="BJ221" s="2" t="s">
        <v>87</v>
      </c>
      <c r="BK221" s="140">
        <f>ROUND(I221*H221,2)</f>
        <v>0</v>
      </c>
      <c r="BL221" s="2" t="s">
        <v>496</v>
      </c>
      <c r="BM221" s="139" t="s">
        <v>4950</v>
      </c>
    </row>
    <row r="222" spans="2:65" s="141" customFormat="1" x14ac:dyDescent="0.2">
      <c r="B222" s="142"/>
      <c r="D222" s="143" t="s">
        <v>346</v>
      </c>
      <c r="E222" s="144"/>
      <c r="F222" s="145" t="s">
        <v>4951</v>
      </c>
      <c r="H222" s="144"/>
      <c r="L222" s="142"/>
      <c r="M222" s="146"/>
      <c r="T222" s="147"/>
      <c r="AT222" s="144" t="s">
        <v>346</v>
      </c>
      <c r="AU222" s="144" t="s">
        <v>90</v>
      </c>
      <c r="AV222" s="141" t="s">
        <v>87</v>
      </c>
      <c r="AW222" s="141" t="s">
        <v>33</v>
      </c>
      <c r="AX222" s="141" t="s">
        <v>80</v>
      </c>
      <c r="AY222" s="144" t="s">
        <v>337</v>
      </c>
    </row>
    <row r="223" spans="2:65" s="141" customFormat="1" x14ac:dyDescent="0.2">
      <c r="B223" s="142"/>
      <c r="D223" s="143" t="s">
        <v>346</v>
      </c>
      <c r="E223" s="144"/>
      <c r="F223" s="145" t="s">
        <v>4952</v>
      </c>
      <c r="H223" s="144"/>
      <c r="L223" s="142"/>
      <c r="M223" s="146"/>
      <c r="T223" s="147"/>
      <c r="AT223" s="144" t="s">
        <v>346</v>
      </c>
      <c r="AU223" s="144" t="s">
        <v>90</v>
      </c>
      <c r="AV223" s="141" t="s">
        <v>87</v>
      </c>
      <c r="AW223" s="141" t="s">
        <v>33</v>
      </c>
      <c r="AX223" s="141" t="s">
        <v>80</v>
      </c>
      <c r="AY223" s="144" t="s">
        <v>337</v>
      </c>
    </row>
    <row r="224" spans="2:65" s="141" customFormat="1" x14ac:dyDescent="0.2">
      <c r="B224" s="142"/>
      <c r="D224" s="143" t="s">
        <v>346</v>
      </c>
      <c r="E224" s="144"/>
      <c r="F224" s="145" t="s">
        <v>4953</v>
      </c>
      <c r="H224" s="144"/>
      <c r="L224" s="142"/>
      <c r="M224" s="146"/>
      <c r="T224" s="147"/>
      <c r="AT224" s="144" t="s">
        <v>346</v>
      </c>
      <c r="AU224" s="144" t="s">
        <v>90</v>
      </c>
      <c r="AV224" s="141" t="s">
        <v>87</v>
      </c>
      <c r="AW224" s="141" t="s">
        <v>33</v>
      </c>
      <c r="AX224" s="141" t="s">
        <v>80</v>
      </c>
      <c r="AY224" s="144" t="s">
        <v>337</v>
      </c>
    </row>
    <row r="225" spans="2:65" s="148" customFormat="1" x14ac:dyDescent="0.2">
      <c r="B225" s="149"/>
      <c r="D225" s="143" t="s">
        <v>346</v>
      </c>
      <c r="E225" s="150"/>
      <c r="F225" s="151" t="s">
        <v>4954</v>
      </c>
      <c r="H225" s="152">
        <v>76.05</v>
      </c>
      <c r="L225" s="149"/>
      <c r="M225" s="153"/>
      <c r="T225" s="154"/>
      <c r="AT225" s="150" t="s">
        <v>346</v>
      </c>
      <c r="AU225" s="150" t="s">
        <v>90</v>
      </c>
      <c r="AV225" s="148" t="s">
        <v>90</v>
      </c>
      <c r="AW225" s="148" t="s">
        <v>33</v>
      </c>
      <c r="AX225" s="148" t="s">
        <v>80</v>
      </c>
      <c r="AY225" s="150" t="s">
        <v>337</v>
      </c>
    </row>
    <row r="226" spans="2:65" s="141" customFormat="1" x14ac:dyDescent="0.2">
      <c r="B226" s="142"/>
      <c r="D226" s="143" t="s">
        <v>346</v>
      </c>
      <c r="E226" s="144"/>
      <c r="F226" s="145" t="s">
        <v>4955</v>
      </c>
      <c r="H226" s="144"/>
      <c r="L226" s="142"/>
      <c r="M226" s="146"/>
      <c r="T226" s="147"/>
      <c r="AT226" s="144" t="s">
        <v>346</v>
      </c>
      <c r="AU226" s="144" t="s">
        <v>90</v>
      </c>
      <c r="AV226" s="141" t="s">
        <v>87</v>
      </c>
      <c r="AW226" s="141" t="s">
        <v>33</v>
      </c>
      <c r="AX226" s="141" t="s">
        <v>80</v>
      </c>
      <c r="AY226" s="144" t="s">
        <v>337</v>
      </c>
    </row>
    <row r="227" spans="2:65" s="148" customFormat="1" x14ac:dyDescent="0.2">
      <c r="B227" s="149"/>
      <c r="D227" s="143" t="s">
        <v>346</v>
      </c>
      <c r="E227" s="150"/>
      <c r="F227" s="151" t="s">
        <v>4956</v>
      </c>
      <c r="H227" s="152">
        <v>13.395</v>
      </c>
      <c r="L227" s="149"/>
      <c r="M227" s="153"/>
      <c r="T227" s="154"/>
      <c r="AT227" s="150" t="s">
        <v>346</v>
      </c>
      <c r="AU227" s="150" t="s">
        <v>90</v>
      </c>
      <c r="AV227" s="148" t="s">
        <v>90</v>
      </c>
      <c r="AW227" s="148" t="s">
        <v>33</v>
      </c>
      <c r="AX227" s="148" t="s">
        <v>80</v>
      </c>
      <c r="AY227" s="150" t="s">
        <v>337</v>
      </c>
    </row>
    <row r="228" spans="2:65" s="141" customFormat="1" x14ac:dyDescent="0.2">
      <c r="B228" s="142"/>
      <c r="D228" s="143" t="s">
        <v>346</v>
      </c>
      <c r="E228" s="144"/>
      <c r="F228" s="145" t="s">
        <v>4957</v>
      </c>
      <c r="H228" s="144"/>
      <c r="L228" s="142"/>
      <c r="M228" s="146"/>
      <c r="T228" s="147"/>
      <c r="AT228" s="144" t="s">
        <v>346</v>
      </c>
      <c r="AU228" s="144" t="s">
        <v>90</v>
      </c>
      <c r="AV228" s="141" t="s">
        <v>87</v>
      </c>
      <c r="AW228" s="141" t="s">
        <v>33</v>
      </c>
      <c r="AX228" s="141" t="s">
        <v>80</v>
      </c>
      <c r="AY228" s="144" t="s">
        <v>337</v>
      </c>
    </row>
    <row r="229" spans="2:65" s="155" customFormat="1" x14ac:dyDescent="0.2">
      <c r="B229" s="156"/>
      <c r="D229" s="143" t="s">
        <v>346</v>
      </c>
      <c r="E229" s="157" t="s">
        <v>4810</v>
      </c>
      <c r="F229" s="158" t="s">
        <v>351</v>
      </c>
      <c r="H229" s="159">
        <v>89.444999999999993</v>
      </c>
      <c r="L229" s="156"/>
      <c r="M229" s="160"/>
      <c r="T229" s="161"/>
      <c r="AT229" s="157" t="s">
        <v>346</v>
      </c>
      <c r="AU229" s="157" t="s">
        <v>90</v>
      </c>
      <c r="AV229" s="155" t="s">
        <v>344</v>
      </c>
      <c r="AW229" s="155" t="s">
        <v>33</v>
      </c>
      <c r="AX229" s="155" t="s">
        <v>87</v>
      </c>
      <c r="AY229" s="157" t="s">
        <v>337</v>
      </c>
    </row>
    <row r="230" spans="2:65" s="16" customFormat="1" ht="16.5" customHeight="1" x14ac:dyDescent="0.2">
      <c r="B230" s="17"/>
      <c r="C230" s="128">
        <v>39</v>
      </c>
      <c r="D230" s="128" t="s">
        <v>339</v>
      </c>
      <c r="E230" s="129" t="s">
        <v>2973</v>
      </c>
      <c r="F230" s="130" t="s">
        <v>2974</v>
      </c>
      <c r="G230" s="131" t="s">
        <v>425</v>
      </c>
      <c r="H230" s="132">
        <v>89.444999999999993</v>
      </c>
      <c r="I230" s="133"/>
      <c r="J230" s="134">
        <f>ROUND(I230*H230,2)</f>
        <v>0</v>
      </c>
      <c r="K230" s="130" t="s">
        <v>343</v>
      </c>
      <c r="L230" s="17"/>
      <c r="M230" s="135"/>
      <c r="N230" s="136" t="s">
        <v>45</v>
      </c>
      <c r="P230" s="137">
        <f>O230*H230</f>
        <v>0</v>
      </c>
      <c r="Q230" s="137">
        <v>2.3000000000000001E-4</v>
      </c>
      <c r="R230" s="137">
        <f>Q230*H230</f>
        <v>2.057235E-2</v>
      </c>
      <c r="S230" s="137">
        <v>0</v>
      </c>
      <c r="T230" s="138">
        <f>S230*H230</f>
        <v>0</v>
      </c>
      <c r="AR230" s="139" t="s">
        <v>496</v>
      </c>
      <c r="AT230" s="139" t="s">
        <v>339</v>
      </c>
      <c r="AU230" s="139" t="s">
        <v>90</v>
      </c>
      <c r="AY230" s="2" t="s">
        <v>337</v>
      </c>
      <c r="BE230" s="140">
        <f>IF(N230="základní",J230,0)</f>
        <v>0</v>
      </c>
      <c r="BF230" s="140">
        <f>IF(N230="snížená",J230,0)</f>
        <v>0</v>
      </c>
      <c r="BG230" s="140">
        <f>IF(N230="zákl. přenesená",J230,0)</f>
        <v>0</v>
      </c>
      <c r="BH230" s="140">
        <f>IF(N230="sníž. přenesená",J230,0)</f>
        <v>0</v>
      </c>
      <c r="BI230" s="140">
        <f>IF(N230="nulová",J230,0)</f>
        <v>0</v>
      </c>
      <c r="BJ230" s="2" t="s">
        <v>87</v>
      </c>
      <c r="BK230" s="140">
        <f>ROUND(I230*H230,2)</f>
        <v>0</v>
      </c>
      <c r="BL230" s="2" t="s">
        <v>496</v>
      </c>
      <c r="BM230" s="139" t="s">
        <v>4958</v>
      </c>
    </row>
    <row r="231" spans="2:65" s="148" customFormat="1" x14ac:dyDescent="0.2">
      <c r="B231" s="149"/>
      <c r="D231" s="143" t="s">
        <v>346</v>
      </c>
      <c r="E231" s="150"/>
      <c r="F231" s="151" t="s">
        <v>4810</v>
      </c>
      <c r="H231" s="152">
        <v>89.444999999999993</v>
      </c>
      <c r="L231" s="149"/>
      <c r="M231" s="153"/>
      <c r="T231" s="154"/>
      <c r="AT231" s="150" t="s">
        <v>346</v>
      </c>
      <c r="AU231" s="150" t="s">
        <v>90</v>
      </c>
      <c r="AV231" s="148" t="s">
        <v>90</v>
      </c>
      <c r="AW231" s="148" t="s">
        <v>33</v>
      </c>
      <c r="AX231" s="148" t="s">
        <v>87</v>
      </c>
      <c r="AY231" s="150" t="s">
        <v>337</v>
      </c>
    </row>
    <row r="232" spans="2:65" s="16" customFormat="1" ht="16.5" customHeight="1" x14ac:dyDescent="0.2">
      <c r="B232" s="17"/>
      <c r="C232" s="128">
        <v>40</v>
      </c>
      <c r="D232" s="128" t="s">
        <v>339</v>
      </c>
      <c r="E232" s="129" t="s">
        <v>2976</v>
      </c>
      <c r="F232" s="130" t="s">
        <v>2977</v>
      </c>
      <c r="G232" s="131" t="s">
        <v>425</v>
      </c>
      <c r="H232" s="132">
        <v>89.444999999999993</v>
      </c>
      <c r="I232" s="133"/>
      <c r="J232" s="134">
        <f>ROUND(I232*H232,2)</f>
        <v>0</v>
      </c>
      <c r="K232" s="130" t="s">
        <v>343</v>
      </c>
      <c r="L232" s="17"/>
      <c r="M232" s="135"/>
      <c r="N232" s="136" t="s">
        <v>45</v>
      </c>
      <c r="P232" s="137">
        <f>O232*H232</f>
        <v>0</v>
      </c>
      <c r="Q232" s="137">
        <v>2.3000000000000001E-4</v>
      </c>
      <c r="R232" s="137">
        <f>Q232*H232</f>
        <v>2.057235E-2</v>
      </c>
      <c r="S232" s="137">
        <v>0</v>
      </c>
      <c r="T232" s="138">
        <f>S232*H232</f>
        <v>0</v>
      </c>
      <c r="AR232" s="139" t="s">
        <v>496</v>
      </c>
      <c r="AT232" s="139" t="s">
        <v>339</v>
      </c>
      <c r="AU232" s="139" t="s">
        <v>90</v>
      </c>
      <c r="AY232" s="2" t="s">
        <v>337</v>
      </c>
      <c r="BE232" s="140">
        <f>IF(N232="základní",J232,0)</f>
        <v>0</v>
      </c>
      <c r="BF232" s="140">
        <f>IF(N232="snížená",J232,0)</f>
        <v>0</v>
      </c>
      <c r="BG232" s="140">
        <f>IF(N232="zákl. přenesená",J232,0)</f>
        <v>0</v>
      </c>
      <c r="BH232" s="140">
        <f>IF(N232="sníž. přenesená",J232,0)</f>
        <v>0</v>
      </c>
      <c r="BI232" s="140">
        <f>IF(N232="nulová",J232,0)</f>
        <v>0</v>
      </c>
      <c r="BJ232" s="2" t="s">
        <v>87</v>
      </c>
      <c r="BK232" s="140">
        <f>ROUND(I232*H232,2)</f>
        <v>0</v>
      </c>
      <c r="BL232" s="2" t="s">
        <v>496</v>
      </c>
      <c r="BM232" s="139" t="s">
        <v>4959</v>
      </c>
    </row>
    <row r="233" spans="2:65" s="148" customFormat="1" x14ac:dyDescent="0.2">
      <c r="B233" s="149"/>
      <c r="D233" s="143" t="s">
        <v>346</v>
      </c>
      <c r="E233" s="150"/>
      <c r="F233" s="151" t="s">
        <v>4810</v>
      </c>
      <c r="H233" s="152">
        <v>89.444999999999993</v>
      </c>
      <c r="L233" s="149"/>
      <c r="M233" s="184"/>
      <c r="N233" s="185"/>
      <c r="O233" s="185"/>
      <c r="P233" s="185"/>
      <c r="Q233" s="185"/>
      <c r="R233" s="185"/>
      <c r="S233" s="185"/>
      <c r="T233" s="186"/>
      <c r="AT233" s="150" t="s">
        <v>346</v>
      </c>
      <c r="AU233" s="150" t="s">
        <v>90</v>
      </c>
      <c r="AV233" s="148" t="s">
        <v>90</v>
      </c>
      <c r="AW233" s="148" t="s">
        <v>33</v>
      </c>
      <c r="AX233" s="148" t="s">
        <v>87</v>
      </c>
      <c r="AY233" s="150" t="s">
        <v>337</v>
      </c>
    </row>
    <row r="234" spans="2:65" s="16" customFormat="1" ht="6.95" customHeight="1" x14ac:dyDescent="0.2">
      <c r="B234" s="30"/>
      <c r="C234" s="19"/>
      <c r="D234" s="19"/>
      <c r="E234" s="19"/>
      <c r="F234" s="19"/>
      <c r="G234" s="19"/>
      <c r="H234" s="19"/>
      <c r="I234" s="19"/>
      <c r="J234" s="19"/>
      <c r="K234" s="19"/>
      <c r="L234" s="17"/>
    </row>
  </sheetData>
  <sheetProtection algorithmName="SHA-512" hashValue="8K0AyVpiv7jLEQKbmveJSKAhXKBk269R4a7nr2p4uzNDM8F9DMaFTNqGMPlyuIpmrmwemODUB75yYcEb7/2Psg==" saltValue="Ol0UmirYA5T140VV03702Q==" spinCount="100000" sheet="1" objects="1" scenarios="1" formatCells="0" formatColumns="0" formatRows="0" autoFilter="0"/>
  <autoFilter ref="C138:K233" xr:uid="{00000000-0009-0000-0000-00000A000000}"/>
  <mergeCells count="16">
    <mergeCell ref="L2:V2"/>
    <mergeCell ref="J136:K136"/>
    <mergeCell ref="E22:H22"/>
    <mergeCell ref="E7:H7"/>
    <mergeCell ref="E9:H9"/>
    <mergeCell ref="E11:H11"/>
    <mergeCell ref="E13:H13"/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/>
  <dimension ref="B2:BM418"/>
  <sheetViews>
    <sheetView showGridLines="0" workbookViewId="0">
      <selection activeCell="F102" sqref="F102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5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129</v>
      </c>
      <c r="AZ2" s="2" t="s">
        <v>4960</v>
      </c>
      <c r="BA2" s="2"/>
      <c r="BB2" s="2"/>
      <c r="BC2" s="2" t="s">
        <v>4961</v>
      </c>
      <c r="BD2" s="2" t="s">
        <v>90</v>
      </c>
    </row>
    <row r="3" spans="2:5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  <c r="AZ3" s="2" t="s">
        <v>4962</v>
      </c>
      <c r="BA3" s="2"/>
      <c r="BB3" s="2"/>
      <c r="BC3" s="2" t="s">
        <v>4963</v>
      </c>
      <c r="BD3" s="2" t="s">
        <v>90</v>
      </c>
    </row>
    <row r="4" spans="2:5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56" ht="6.95" hidden="1" customHeight="1" x14ac:dyDescent="0.2">
      <c r="B5" s="5"/>
      <c r="L5" s="5"/>
    </row>
    <row r="6" spans="2:56" ht="12" hidden="1" customHeight="1" x14ac:dyDescent="0.2">
      <c r="B6" s="5"/>
      <c r="D6" s="12" t="s">
        <v>15</v>
      </c>
      <c r="L6" s="5"/>
    </row>
    <row r="7" spans="2:5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56" ht="12" hidden="1" customHeight="1" x14ac:dyDescent="0.2">
      <c r="B8" s="5"/>
      <c r="D8" s="12" t="s">
        <v>190</v>
      </c>
      <c r="L8" s="5"/>
    </row>
    <row r="9" spans="2:5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</row>
    <row r="10" spans="2:56" s="16" customFormat="1" ht="12" hidden="1" customHeight="1" x14ac:dyDescent="0.2">
      <c r="B10" s="17"/>
      <c r="D10" s="12" t="s">
        <v>196</v>
      </c>
      <c r="L10" s="17"/>
    </row>
    <row r="11" spans="2:56" s="16" customFormat="1" ht="16.5" hidden="1" customHeight="1" x14ac:dyDescent="0.2">
      <c r="B11" s="17"/>
      <c r="E11" s="309" t="s">
        <v>4964</v>
      </c>
      <c r="F11" s="309"/>
      <c r="G11" s="309"/>
      <c r="H11" s="309"/>
      <c r="L11" s="17"/>
    </row>
    <row r="12" spans="2:56" s="16" customFormat="1" hidden="1" x14ac:dyDescent="0.2">
      <c r="B12" s="17"/>
      <c r="L12" s="17"/>
    </row>
    <row r="13" spans="2:5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</row>
    <row r="14" spans="2:56" s="16" customFormat="1" ht="12" hidden="1" customHeight="1" x14ac:dyDescent="0.2">
      <c r="B14" s="17"/>
      <c r="D14" s="12" t="s">
        <v>19</v>
      </c>
      <c r="F14" s="10" t="s">
        <v>20</v>
      </c>
      <c r="I14" s="12" t="s">
        <v>21</v>
      </c>
      <c r="J14" s="38" t="str">
        <f>IF(Rekapitulace_stavby!AN8&lt;&gt;"",Rekapitulace_stavby!AN8,"")</f>
        <v/>
      </c>
      <c r="L14" s="17"/>
    </row>
    <row r="15" spans="2:56" s="16" customFormat="1" ht="10.9" hidden="1" customHeight="1" x14ac:dyDescent="0.2">
      <c r="B15" s="17"/>
      <c r="L15" s="17"/>
    </row>
    <row r="16" spans="2:56" s="16" customFormat="1" ht="12" hidden="1" customHeight="1" x14ac:dyDescent="0.2">
      <c r="B16" s="17"/>
      <c r="D16" s="12" t="s">
        <v>22</v>
      </c>
      <c r="I16" s="12" t="s">
        <v>23</v>
      </c>
      <c r="J16" s="10" t="s">
        <v>24</v>
      </c>
      <c r="L16" s="17"/>
    </row>
    <row r="17" spans="2:12" s="16" customFormat="1" ht="18" hidden="1" customHeight="1" x14ac:dyDescent="0.2">
      <c r="B17" s="17"/>
      <c r="E17" s="10" t="s">
        <v>25</v>
      </c>
      <c r="I17" s="12" t="s">
        <v>26</v>
      </c>
      <c r="J17" s="10" t="s">
        <v>27</v>
      </c>
      <c r="L17" s="17"/>
    </row>
    <row r="18" spans="2:12" s="16" customFormat="1" ht="6.95" hidden="1" customHeight="1" x14ac:dyDescent="0.2">
      <c r="B18" s="17"/>
      <c r="L18" s="17"/>
    </row>
    <row r="19" spans="2:12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</row>
    <row r="20" spans="2:12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12" s="16" customFormat="1" ht="6.95" hidden="1" customHeight="1" x14ac:dyDescent="0.2">
      <c r="B21" s="17"/>
      <c r="L21" s="17"/>
    </row>
    <row r="22" spans="2:12" s="16" customFormat="1" ht="12" hidden="1" customHeight="1" x14ac:dyDescent="0.2">
      <c r="B22" s="17"/>
      <c r="D22" s="12" t="s">
        <v>29</v>
      </c>
      <c r="I22" s="12" t="s">
        <v>23</v>
      </c>
      <c r="J22" s="10" t="s">
        <v>30</v>
      </c>
      <c r="L22" s="17"/>
    </row>
    <row r="23" spans="2:12" s="16" customFormat="1" ht="18" hidden="1" customHeight="1" x14ac:dyDescent="0.2">
      <c r="B23" s="17"/>
      <c r="E23" s="10" t="s">
        <v>31</v>
      </c>
      <c r="I23" s="12" t="s">
        <v>26</v>
      </c>
      <c r="J23" s="10" t="s">
        <v>32</v>
      </c>
      <c r="L23" s="17"/>
    </row>
    <row r="24" spans="2:12" s="16" customFormat="1" ht="6.95" hidden="1" customHeight="1" x14ac:dyDescent="0.2">
      <c r="B24" s="17"/>
      <c r="L24" s="17"/>
    </row>
    <row r="25" spans="2:12" s="16" customFormat="1" ht="12" hidden="1" customHeight="1" x14ac:dyDescent="0.2">
      <c r="B25" s="17"/>
      <c r="D25" s="12" t="s">
        <v>34</v>
      </c>
      <c r="I25" s="12" t="s">
        <v>23</v>
      </c>
      <c r="J25" s="10" t="s">
        <v>35</v>
      </c>
      <c r="L25" s="17"/>
    </row>
    <row r="26" spans="2:12" s="16" customFormat="1" ht="18" hidden="1" customHeight="1" x14ac:dyDescent="0.2">
      <c r="B26" s="17"/>
      <c r="E26" s="10" t="s">
        <v>36</v>
      </c>
      <c r="I26" s="12" t="s">
        <v>26</v>
      </c>
      <c r="J26" s="10" t="s">
        <v>37</v>
      </c>
      <c r="L26" s="17"/>
    </row>
    <row r="27" spans="2:12" s="16" customFormat="1" ht="6.95" hidden="1" customHeight="1" x14ac:dyDescent="0.2">
      <c r="B27" s="17"/>
      <c r="L27" s="17"/>
    </row>
    <row r="28" spans="2:12" s="16" customFormat="1" ht="12" hidden="1" customHeight="1" x14ac:dyDescent="0.2">
      <c r="B28" s="17"/>
      <c r="D28" s="12" t="s">
        <v>38</v>
      </c>
      <c r="L28" s="17"/>
    </row>
    <row r="29" spans="2:12" s="81" customFormat="1" ht="16.5" hidden="1" customHeight="1" x14ac:dyDescent="0.2">
      <c r="B29" s="82"/>
      <c r="E29" s="304"/>
      <c r="F29" s="304"/>
      <c r="G29" s="304"/>
      <c r="H29" s="304"/>
      <c r="L29" s="82"/>
    </row>
    <row r="30" spans="2:12" s="16" customFormat="1" ht="6.95" hidden="1" customHeight="1" x14ac:dyDescent="0.2">
      <c r="B30" s="17"/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ROUND((SUM(BE138:BE417)),  2)</f>
        <v>0</v>
      </c>
      <c r="I35" s="86">
        <v>0.21</v>
      </c>
      <c r="J35" s="73">
        <f>ROUND(((SUM(BE138:BE417))*I35),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ROUND((SUM(BF138:BF417)),  2)</f>
        <v>0</v>
      </c>
      <c r="I36" s="86">
        <v>0.12</v>
      </c>
      <c r="J36" s="73">
        <f>ROUND(((SUM(BF138:BF417))*I36),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ROUND((SUM(BG138:BG417)),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ROUND((SUM(BH138:BH417)),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ROUND((SUM(BI138:BI417)),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OST - Ostatní konstrukce a práce, lešení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>Alej Svobody 703 Plzeň 1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304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308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98" customFormat="1" ht="24.95" customHeight="1" x14ac:dyDescent="0.2">
      <c r="B101" s="99"/>
      <c r="D101" s="100" t="s">
        <v>4965</v>
      </c>
      <c r="E101" s="101"/>
      <c r="F101" s="101"/>
      <c r="G101" s="101"/>
      <c r="H101" s="101"/>
      <c r="I101" s="101"/>
      <c r="J101" s="102">
        <f>J404</f>
        <v>0</v>
      </c>
      <c r="L101" s="99"/>
    </row>
    <row r="102" spans="2:47" s="16" customFormat="1" ht="21.75" customHeight="1" x14ac:dyDescent="0.2">
      <c r="B102" s="17"/>
      <c r="L102" s="17"/>
    </row>
    <row r="103" spans="2:47" s="16" customFormat="1" ht="6.95" customHeight="1" x14ac:dyDescent="0.2">
      <c r="B103" s="30"/>
      <c r="C103" s="19"/>
      <c r="D103" s="19"/>
      <c r="E103" s="19"/>
      <c r="F103" s="19"/>
      <c r="G103" s="19"/>
      <c r="H103" s="19"/>
      <c r="I103" s="19"/>
      <c r="J103" s="19"/>
      <c r="K103" s="19"/>
      <c r="L103" s="17"/>
    </row>
    <row r="107" spans="2:47" ht="2.4500000000000002" customHeight="1" x14ac:dyDescent="0.2"/>
    <row r="108" spans="2:47" ht="2.4500000000000002" customHeight="1" x14ac:dyDescent="0.2"/>
    <row r="109" spans="2:47" ht="2.4500000000000002" customHeight="1" x14ac:dyDescent="0.2"/>
    <row r="110" spans="2:47" ht="2.4500000000000002" customHeight="1" x14ac:dyDescent="0.2"/>
    <row r="111" spans="2:47" ht="2.4500000000000002" customHeight="1" x14ac:dyDescent="0.2"/>
    <row r="112" spans="2:47" ht="2.4500000000000002" customHeight="1" x14ac:dyDescent="0.2"/>
    <row r="113" spans="2:12" ht="2.4500000000000002" customHeight="1" x14ac:dyDescent="0.2"/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ht="2.4500000000000002" customHeight="1" x14ac:dyDescent="0.2"/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OST - Ostatní konstrukce a práce, lešení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tr">
        <f>F14</f>
        <v>Alej Svobody 703 Plzeň 1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15.2" customHeight="1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P139+P404</f>
        <v>0</v>
      </c>
      <c r="Q138" s="39"/>
      <c r="R138" s="113">
        <f>R139+R404</f>
        <v>0.56962045000000006</v>
      </c>
      <c r="S138" s="39"/>
      <c r="T138" s="114">
        <f>T139+T404</f>
        <v>0</v>
      </c>
      <c r="AT138" s="2" t="s">
        <v>79</v>
      </c>
      <c r="AU138" s="2" t="s">
        <v>303</v>
      </c>
      <c r="BK138" s="115">
        <f>BK139+BK404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</f>
        <v>0</v>
      </c>
      <c r="R139" s="122">
        <f>R140</f>
        <v>0.56962045000000006</v>
      </c>
      <c r="T139" s="123">
        <f>T140</f>
        <v>0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452</v>
      </c>
      <c r="F140" s="126" t="s">
        <v>869</v>
      </c>
      <c r="J140" s="127">
        <f>BK140</f>
        <v>0</v>
      </c>
      <c r="L140" s="117"/>
      <c r="M140" s="121"/>
      <c r="P140" s="122">
        <f>SUM(P141:P403)</f>
        <v>0</v>
      </c>
      <c r="R140" s="122">
        <f>SUM(R141:R403)</f>
        <v>0.56962045000000006</v>
      </c>
      <c r="T140" s="123">
        <f>SUM(T141:T403)</f>
        <v>0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SUM(BK141:BK403)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4966</v>
      </c>
      <c r="F141" s="130" t="s">
        <v>4967</v>
      </c>
      <c r="G141" s="131" t="s">
        <v>449</v>
      </c>
      <c r="H141" s="132">
        <v>30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1.1000000000000001E-3</v>
      </c>
      <c r="R141" s="137">
        <f>Q141*H141</f>
        <v>3.3000000000000002E-2</v>
      </c>
      <c r="S141" s="137">
        <v>0</v>
      </c>
      <c r="T141" s="138">
        <f>S141*H141</f>
        <v>0</v>
      </c>
      <c r="AR141" s="139" t="s">
        <v>496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496</v>
      </c>
      <c r="BM141" s="139" t="s">
        <v>4968</v>
      </c>
    </row>
    <row r="142" spans="2:65" s="141" customFormat="1" x14ac:dyDescent="0.2">
      <c r="B142" s="142"/>
      <c r="D142" s="143" t="s">
        <v>346</v>
      </c>
      <c r="E142" s="144"/>
      <c r="F142" s="145" t="s">
        <v>4969</v>
      </c>
      <c r="H142" s="144"/>
      <c r="L142" s="142"/>
      <c r="M142" s="146"/>
      <c r="T142" s="147"/>
      <c r="AT142" s="144" t="s">
        <v>346</v>
      </c>
      <c r="AU142" s="144" t="s">
        <v>90</v>
      </c>
      <c r="AV142" s="141" t="s">
        <v>87</v>
      </c>
      <c r="AW142" s="141" t="s">
        <v>33</v>
      </c>
      <c r="AX142" s="141" t="s">
        <v>80</v>
      </c>
      <c r="AY142" s="144" t="s">
        <v>337</v>
      </c>
    </row>
    <row r="143" spans="2:65" s="148" customFormat="1" x14ac:dyDescent="0.2">
      <c r="B143" s="149"/>
      <c r="D143" s="143" t="s">
        <v>346</v>
      </c>
      <c r="E143" s="150"/>
      <c r="F143" s="151" t="s">
        <v>614</v>
      </c>
      <c r="H143" s="152">
        <v>30</v>
      </c>
      <c r="L143" s="149"/>
      <c r="M143" s="153"/>
      <c r="T143" s="154"/>
      <c r="AT143" s="150" t="s">
        <v>346</v>
      </c>
      <c r="AU143" s="150" t="s">
        <v>90</v>
      </c>
      <c r="AV143" s="148" t="s">
        <v>90</v>
      </c>
      <c r="AW143" s="148" t="s">
        <v>33</v>
      </c>
      <c r="AX143" s="148" t="s">
        <v>87</v>
      </c>
      <c r="AY143" s="150" t="s">
        <v>337</v>
      </c>
    </row>
    <row r="144" spans="2:65" s="16" customFormat="1" ht="21.75" customHeight="1" x14ac:dyDescent="0.2">
      <c r="B144" s="17"/>
      <c r="C144" s="128">
        <v>2</v>
      </c>
      <c r="D144" s="128" t="s">
        <v>339</v>
      </c>
      <c r="E144" s="129" t="s">
        <v>4970</v>
      </c>
      <c r="F144" s="130" t="s">
        <v>4971</v>
      </c>
      <c r="G144" s="131" t="s">
        <v>425</v>
      </c>
      <c r="H144" s="132">
        <v>154.63</v>
      </c>
      <c r="I144" s="133"/>
      <c r="J144" s="134">
        <f>ROUND(I144*H144,2)</f>
        <v>0</v>
      </c>
      <c r="K144" s="130" t="s">
        <v>343</v>
      </c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</v>
      </c>
      <c r="T144" s="138">
        <f>S144*H144</f>
        <v>0</v>
      </c>
      <c r="AR144" s="139" t="s">
        <v>344</v>
      </c>
      <c r="AT144" s="139" t="s">
        <v>339</v>
      </c>
      <c r="AU144" s="139" t="s">
        <v>90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344</v>
      </c>
      <c r="BM144" s="139" t="s">
        <v>4972</v>
      </c>
    </row>
    <row r="145" spans="2:65" s="141" customFormat="1" x14ac:dyDescent="0.2">
      <c r="B145" s="142"/>
      <c r="D145" s="143" t="s">
        <v>346</v>
      </c>
      <c r="E145" s="144"/>
      <c r="F145" s="145" t="s">
        <v>3117</v>
      </c>
      <c r="H145" s="144"/>
      <c r="L145" s="142"/>
      <c r="M145" s="146"/>
      <c r="T145" s="147"/>
      <c r="AT145" s="144" t="s">
        <v>346</v>
      </c>
      <c r="AU145" s="144" t="s">
        <v>90</v>
      </c>
      <c r="AV145" s="141" t="s">
        <v>87</v>
      </c>
      <c r="AW145" s="141" t="s">
        <v>33</v>
      </c>
      <c r="AX145" s="141" t="s">
        <v>80</v>
      </c>
      <c r="AY145" s="144" t="s">
        <v>337</v>
      </c>
    </row>
    <row r="146" spans="2:65" s="141" customFormat="1" x14ac:dyDescent="0.2">
      <c r="B146" s="142"/>
      <c r="D146" s="143" t="s">
        <v>346</v>
      </c>
      <c r="E146" s="144"/>
      <c r="F146" s="145" t="s">
        <v>4973</v>
      </c>
      <c r="H146" s="144"/>
      <c r="L146" s="142"/>
      <c r="M146" s="146"/>
      <c r="T146" s="147"/>
      <c r="AT146" s="144" t="s">
        <v>346</v>
      </c>
      <c r="AU146" s="144" t="s">
        <v>90</v>
      </c>
      <c r="AV146" s="141" t="s">
        <v>87</v>
      </c>
      <c r="AW146" s="141" t="s">
        <v>33</v>
      </c>
      <c r="AX146" s="141" t="s">
        <v>80</v>
      </c>
      <c r="AY146" s="144" t="s">
        <v>337</v>
      </c>
    </row>
    <row r="147" spans="2:65" s="148" customFormat="1" x14ac:dyDescent="0.2">
      <c r="B147" s="149"/>
      <c r="D147" s="143" t="s">
        <v>346</v>
      </c>
      <c r="E147" s="150"/>
      <c r="F147" s="151" t="s">
        <v>4974</v>
      </c>
      <c r="H147" s="152">
        <v>45.44</v>
      </c>
      <c r="L147" s="149"/>
      <c r="M147" s="153"/>
      <c r="T147" s="154"/>
      <c r="AT147" s="150" t="s">
        <v>346</v>
      </c>
      <c r="AU147" s="150" t="s">
        <v>90</v>
      </c>
      <c r="AV147" s="148" t="s">
        <v>90</v>
      </c>
      <c r="AW147" s="148" t="s">
        <v>33</v>
      </c>
      <c r="AX147" s="148" t="s">
        <v>80</v>
      </c>
      <c r="AY147" s="150" t="s">
        <v>337</v>
      </c>
    </row>
    <row r="148" spans="2:65" s="141" customFormat="1" x14ac:dyDescent="0.2">
      <c r="B148" s="142"/>
      <c r="D148" s="143" t="s">
        <v>346</v>
      </c>
      <c r="E148" s="144"/>
      <c r="F148" s="145" t="s">
        <v>4975</v>
      </c>
      <c r="H148" s="144"/>
      <c r="L148" s="142"/>
      <c r="M148" s="146"/>
      <c r="T148" s="147"/>
      <c r="AT148" s="144" t="s">
        <v>346</v>
      </c>
      <c r="AU148" s="144" t="s">
        <v>90</v>
      </c>
      <c r="AV148" s="141" t="s">
        <v>87</v>
      </c>
      <c r="AW148" s="141" t="s">
        <v>33</v>
      </c>
      <c r="AX148" s="141" t="s">
        <v>80</v>
      </c>
      <c r="AY148" s="144" t="s">
        <v>337</v>
      </c>
    </row>
    <row r="149" spans="2:65" s="148" customFormat="1" x14ac:dyDescent="0.2">
      <c r="B149" s="149"/>
      <c r="D149" s="143" t="s">
        <v>346</v>
      </c>
      <c r="E149" s="150"/>
      <c r="F149" s="151" t="s">
        <v>4976</v>
      </c>
      <c r="H149" s="152">
        <v>90.27</v>
      </c>
      <c r="L149" s="149"/>
      <c r="M149" s="153"/>
      <c r="T149" s="154"/>
      <c r="AT149" s="150" t="s">
        <v>346</v>
      </c>
      <c r="AU149" s="150" t="s">
        <v>90</v>
      </c>
      <c r="AV149" s="148" t="s">
        <v>90</v>
      </c>
      <c r="AW149" s="148" t="s">
        <v>33</v>
      </c>
      <c r="AX149" s="148" t="s">
        <v>80</v>
      </c>
      <c r="AY149" s="150" t="s">
        <v>337</v>
      </c>
    </row>
    <row r="150" spans="2:65" s="148" customFormat="1" x14ac:dyDescent="0.2">
      <c r="B150" s="149"/>
      <c r="D150" s="143" t="s">
        <v>346</v>
      </c>
      <c r="E150" s="150"/>
      <c r="F150" s="151" t="s">
        <v>4977</v>
      </c>
      <c r="H150" s="152">
        <v>18.920000000000002</v>
      </c>
      <c r="L150" s="149"/>
      <c r="M150" s="153"/>
      <c r="T150" s="154"/>
      <c r="AT150" s="150" t="s">
        <v>346</v>
      </c>
      <c r="AU150" s="150" t="s">
        <v>90</v>
      </c>
      <c r="AV150" s="148" t="s">
        <v>90</v>
      </c>
      <c r="AW150" s="148" t="s">
        <v>33</v>
      </c>
      <c r="AX150" s="148" t="s">
        <v>80</v>
      </c>
      <c r="AY150" s="150" t="s">
        <v>337</v>
      </c>
    </row>
    <row r="151" spans="2:65" s="155" customFormat="1" x14ac:dyDescent="0.2">
      <c r="B151" s="156"/>
      <c r="D151" s="143" t="s">
        <v>346</v>
      </c>
      <c r="E151" s="157" t="s">
        <v>4960</v>
      </c>
      <c r="F151" s="158" t="s">
        <v>351</v>
      </c>
      <c r="H151" s="159">
        <v>154.63</v>
      </c>
      <c r="L151" s="156"/>
      <c r="M151" s="160"/>
      <c r="T151" s="161"/>
      <c r="AT151" s="157" t="s">
        <v>346</v>
      </c>
      <c r="AU151" s="157" t="s">
        <v>90</v>
      </c>
      <c r="AV151" s="155" t="s">
        <v>344</v>
      </c>
      <c r="AW151" s="155" t="s">
        <v>33</v>
      </c>
      <c r="AX151" s="155" t="s">
        <v>87</v>
      </c>
      <c r="AY151" s="157" t="s">
        <v>337</v>
      </c>
    </row>
    <row r="152" spans="2:65" s="16" customFormat="1" ht="24.2" customHeight="1" x14ac:dyDescent="0.2">
      <c r="B152" s="17"/>
      <c r="C152" s="128">
        <v>3</v>
      </c>
      <c r="D152" s="128" t="s">
        <v>339</v>
      </c>
      <c r="E152" s="129" t="s">
        <v>4978</v>
      </c>
      <c r="F152" s="130" t="s">
        <v>4979</v>
      </c>
      <c r="G152" s="131" t="s">
        <v>425</v>
      </c>
      <c r="H152" s="132">
        <v>3706.2779999999998</v>
      </c>
      <c r="I152" s="133"/>
      <c r="J152" s="134">
        <f>ROUND(I152*H152,2)</f>
        <v>0</v>
      </c>
      <c r="K152" s="130" t="s">
        <v>343</v>
      </c>
      <c r="L152" s="17"/>
      <c r="M152" s="135"/>
      <c r="N152" s="136" t="s">
        <v>45</v>
      </c>
      <c r="P152" s="137">
        <f>O152*H152</f>
        <v>0</v>
      </c>
      <c r="Q152" s="137">
        <v>0</v>
      </c>
      <c r="R152" s="137">
        <f>Q152*H152</f>
        <v>0</v>
      </c>
      <c r="S152" s="137">
        <v>0</v>
      </c>
      <c r="T152" s="138">
        <f>S152*H152</f>
        <v>0</v>
      </c>
      <c r="AR152" s="139" t="s">
        <v>344</v>
      </c>
      <c r="AT152" s="139" t="s">
        <v>339</v>
      </c>
      <c r="AU152" s="139" t="s">
        <v>90</v>
      </c>
      <c r="AY152" s="2" t="s">
        <v>337</v>
      </c>
      <c r="BE152" s="140">
        <f>IF(N152="základní",J152,0)</f>
        <v>0</v>
      </c>
      <c r="BF152" s="140">
        <f>IF(N152="snížená",J152,0)</f>
        <v>0</v>
      </c>
      <c r="BG152" s="140">
        <f>IF(N152="zákl. přenesená",J152,0)</f>
        <v>0</v>
      </c>
      <c r="BH152" s="140">
        <f>IF(N152="sníž. přenesená",J152,0)</f>
        <v>0</v>
      </c>
      <c r="BI152" s="140">
        <f>IF(N152="nulová",J152,0)</f>
        <v>0</v>
      </c>
      <c r="BJ152" s="2" t="s">
        <v>87</v>
      </c>
      <c r="BK152" s="140">
        <f>ROUND(I152*H152,2)</f>
        <v>0</v>
      </c>
      <c r="BL152" s="2" t="s">
        <v>344</v>
      </c>
      <c r="BM152" s="139" t="s">
        <v>4980</v>
      </c>
    </row>
    <row r="153" spans="2:65" s="141" customFormat="1" x14ac:dyDescent="0.2">
      <c r="B153" s="142"/>
      <c r="D153" s="143" t="s">
        <v>346</v>
      </c>
      <c r="E153" s="144"/>
      <c r="F153" s="145" t="s">
        <v>3458</v>
      </c>
      <c r="H153" s="144"/>
      <c r="L153" s="142"/>
      <c r="M153" s="146"/>
      <c r="T153" s="147"/>
      <c r="AT153" s="144" t="s">
        <v>346</v>
      </c>
      <c r="AU153" s="144" t="s">
        <v>90</v>
      </c>
      <c r="AV153" s="141" t="s">
        <v>87</v>
      </c>
      <c r="AW153" s="141" t="s">
        <v>33</v>
      </c>
      <c r="AX153" s="141" t="s">
        <v>80</v>
      </c>
      <c r="AY153" s="144" t="s">
        <v>337</v>
      </c>
    </row>
    <row r="154" spans="2:65" s="141" customFormat="1" x14ac:dyDescent="0.2">
      <c r="B154" s="142"/>
      <c r="D154" s="143" t="s">
        <v>346</v>
      </c>
      <c r="E154" s="144"/>
      <c r="F154" s="145" t="s">
        <v>3459</v>
      </c>
      <c r="H154" s="144"/>
      <c r="L154" s="142"/>
      <c r="M154" s="146"/>
      <c r="T154" s="147"/>
      <c r="AT154" s="144" t="s">
        <v>346</v>
      </c>
      <c r="AU154" s="144" t="s">
        <v>90</v>
      </c>
      <c r="AV154" s="141" t="s">
        <v>87</v>
      </c>
      <c r="AW154" s="141" t="s">
        <v>33</v>
      </c>
      <c r="AX154" s="141" t="s">
        <v>80</v>
      </c>
      <c r="AY154" s="144" t="s">
        <v>337</v>
      </c>
    </row>
    <row r="155" spans="2:65" s="141" customFormat="1" x14ac:dyDescent="0.2">
      <c r="B155" s="142"/>
      <c r="D155" s="143" t="s">
        <v>346</v>
      </c>
      <c r="E155" s="144"/>
      <c r="F155" s="145" t="s">
        <v>4981</v>
      </c>
      <c r="H155" s="144"/>
      <c r="L155" s="142"/>
      <c r="M155" s="146"/>
      <c r="T155" s="147"/>
      <c r="AT155" s="144" t="s">
        <v>346</v>
      </c>
      <c r="AU155" s="144" t="s">
        <v>90</v>
      </c>
      <c r="AV155" s="141" t="s">
        <v>87</v>
      </c>
      <c r="AW155" s="141" t="s">
        <v>33</v>
      </c>
      <c r="AX155" s="141" t="s">
        <v>80</v>
      </c>
      <c r="AY155" s="144" t="s">
        <v>337</v>
      </c>
    </row>
    <row r="156" spans="2:65" s="141" customFormat="1" x14ac:dyDescent="0.2">
      <c r="B156" s="142"/>
      <c r="D156" s="143" t="s">
        <v>346</v>
      </c>
      <c r="E156" s="144"/>
      <c r="F156" s="145" t="s">
        <v>3460</v>
      </c>
      <c r="H156" s="144"/>
      <c r="L156" s="142"/>
      <c r="M156" s="146"/>
      <c r="T156" s="147"/>
      <c r="AT156" s="144" t="s">
        <v>346</v>
      </c>
      <c r="AU156" s="144" t="s">
        <v>90</v>
      </c>
      <c r="AV156" s="141" t="s">
        <v>87</v>
      </c>
      <c r="AW156" s="141" t="s">
        <v>33</v>
      </c>
      <c r="AX156" s="141" t="s">
        <v>80</v>
      </c>
      <c r="AY156" s="144" t="s">
        <v>337</v>
      </c>
    </row>
    <row r="157" spans="2:65" s="141" customFormat="1" x14ac:dyDescent="0.2">
      <c r="B157" s="142"/>
      <c r="D157" s="143" t="s">
        <v>346</v>
      </c>
      <c r="E157" s="144"/>
      <c r="F157" s="145" t="s">
        <v>3461</v>
      </c>
      <c r="H157" s="144"/>
      <c r="L157" s="142"/>
      <c r="M157" s="146"/>
      <c r="T157" s="147"/>
      <c r="AT157" s="144" t="s">
        <v>346</v>
      </c>
      <c r="AU157" s="144" t="s">
        <v>90</v>
      </c>
      <c r="AV157" s="141" t="s">
        <v>87</v>
      </c>
      <c r="AW157" s="141" t="s">
        <v>33</v>
      </c>
      <c r="AX157" s="141" t="s">
        <v>80</v>
      </c>
      <c r="AY157" s="144" t="s">
        <v>337</v>
      </c>
    </row>
    <row r="158" spans="2:65" s="148" customFormat="1" x14ac:dyDescent="0.2">
      <c r="B158" s="149"/>
      <c r="D158" s="143" t="s">
        <v>346</v>
      </c>
      <c r="E158" s="150"/>
      <c r="F158" s="151" t="s">
        <v>4982</v>
      </c>
      <c r="H158" s="152">
        <v>178.99600000000001</v>
      </c>
      <c r="L158" s="149"/>
      <c r="M158" s="153"/>
      <c r="T158" s="154"/>
      <c r="AT158" s="150" t="s">
        <v>346</v>
      </c>
      <c r="AU158" s="150" t="s">
        <v>90</v>
      </c>
      <c r="AV158" s="148" t="s">
        <v>90</v>
      </c>
      <c r="AW158" s="148" t="s">
        <v>33</v>
      </c>
      <c r="AX158" s="148" t="s">
        <v>80</v>
      </c>
      <c r="AY158" s="150" t="s">
        <v>337</v>
      </c>
    </row>
    <row r="159" spans="2:65" s="148" customFormat="1" x14ac:dyDescent="0.2">
      <c r="B159" s="149"/>
      <c r="D159" s="143" t="s">
        <v>346</v>
      </c>
      <c r="E159" s="150"/>
      <c r="F159" s="151" t="s">
        <v>3463</v>
      </c>
      <c r="H159" s="152">
        <v>1.5389999999999999</v>
      </c>
      <c r="L159" s="149"/>
      <c r="M159" s="153"/>
      <c r="T159" s="154"/>
      <c r="AT159" s="150" t="s">
        <v>346</v>
      </c>
      <c r="AU159" s="150" t="s">
        <v>90</v>
      </c>
      <c r="AV159" s="148" t="s">
        <v>90</v>
      </c>
      <c r="AW159" s="148" t="s">
        <v>33</v>
      </c>
      <c r="AX159" s="148" t="s">
        <v>80</v>
      </c>
      <c r="AY159" s="150" t="s">
        <v>337</v>
      </c>
    </row>
    <row r="160" spans="2:65" s="141" customFormat="1" x14ac:dyDescent="0.2">
      <c r="B160" s="142"/>
      <c r="D160" s="143" t="s">
        <v>346</v>
      </c>
      <c r="E160" s="144"/>
      <c r="F160" s="145" t="s">
        <v>3466</v>
      </c>
      <c r="H160" s="144"/>
      <c r="L160" s="142"/>
      <c r="M160" s="146"/>
      <c r="T160" s="147"/>
      <c r="AT160" s="144" t="s">
        <v>346</v>
      </c>
      <c r="AU160" s="144" t="s">
        <v>90</v>
      </c>
      <c r="AV160" s="141" t="s">
        <v>87</v>
      </c>
      <c r="AW160" s="141" t="s">
        <v>33</v>
      </c>
      <c r="AX160" s="141" t="s">
        <v>80</v>
      </c>
      <c r="AY160" s="144" t="s">
        <v>337</v>
      </c>
    </row>
    <row r="161" spans="2:51" s="141" customFormat="1" x14ac:dyDescent="0.2">
      <c r="B161" s="142"/>
      <c r="D161" s="143" t="s">
        <v>346</v>
      </c>
      <c r="E161" s="144"/>
      <c r="F161" s="145" t="s">
        <v>3467</v>
      </c>
      <c r="H161" s="144"/>
      <c r="L161" s="142"/>
      <c r="M161" s="146"/>
      <c r="T161" s="147"/>
      <c r="AT161" s="144" t="s">
        <v>346</v>
      </c>
      <c r="AU161" s="144" t="s">
        <v>90</v>
      </c>
      <c r="AV161" s="141" t="s">
        <v>87</v>
      </c>
      <c r="AW161" s="141" t="s">
        <v>33</v>
      </c>
      <c r="AX161" s="141" t="s">
        <v>80</v>
      </c>
      <c r="AY161" s="144" t="s">
        <v>337</v>
      </c>
    </row>
    <row r="162" spans="2:51" s="141" customFormat="1" x14ac:dyDescent="0.2">
      <c r="B162" s="142"/>
      <c r="D162" s="143" t="s">
        <v>346</v>
      </c>
      <c r="E162" s="144"/>
      <c r="F162" s="145" t="s">
        <v>3379</v>
      </c>
      <c r="H162" s="144"/>
      <c r="L162" s="142"/>
      <c r="M162" s="146"/>
      <c r="T162" s="147"/>
      <c r="AT162" s="144" t="s">
        <v>346</v>
      </c>
      <c r="AU162" s="144" t="s">
        <v>90</v>
      </c>
      <c r="AV162" s="141" t="s">
        <v>87</v>
      </c>
      <c r="AW162" s="141" t="s">
        <v>33</v>
      </c>
      <c r="AX162" s="141" t="s">
        <v>80</v>
      </c>
      <c r="AY162" s="144" t="s">
        <v>337</v>
      </c>
    </row>
    <row r="163" spans="2:51" s="148" customFormat="1" x14ac:dyDescent="0.2">
      <c r="B163" s="149"/>
      <c r="D163" s="143" t="s">
        <v>346</v>
      </c>
      <c r="E163" s="150"/>
      <c r="F163" s="151" t="s">
        <v>4983</v>
      </c>
      <c r="H163" s="152">
        <v>110.985</v>
      </c>
      <c r="L163" s="149"/>
      <c r="M163" s="153"/>
      <c r="T163" s="154"/>
      <c r="AT163" s="150" t="s">
        <v>346</v>
      </c>
      <c r="AU163" s="150" t="s">
        <v>90</v>
      </c>
      <c r="AV163" s="148" t="s">
        <v>90</v>
      </c>
      <c r="AW163" s="148" t="s">
        <v>33</v>
      </c>
      <c r="AX163" s="148" t="s">
        <v>80</v>
      </c>
      <c r="AY163" s="150" t="s">
        <v>337</v>
      </c>
    </row>
    <row r="164" spans="2:51" s="148" customFormat="1" x14ac:dyDescent="0.2">
      <c r="B164" s="149"/>
      <c r="D164" s="143" t="s">
        <v>346</v>
      </c>
      <c r="E164" s="150"/>
      <c r="F164" s="151" t="s">
        <v>3470</v>
      </c>
      <c r="H164" s="152">
        <v>0.6</v>
      </c>
      <c r="L164" s="149"/>
      <c r="M164" s="153"/>
      <c r="T164" s="154"/>
      <c r="AT164" s="150" t="s">
        <v>346</v>
      </c>
      <c r="AU164" s="150" t="s">
        <v>90</v>
      </c>
      <c r="AV164" s="148" t="s">
        <v>90</v>
      </c>
      <c r="AW164" s="148" t="s">
        <v>33</v>
      </c>
      <c r="AX164" s="148" t="s">
        <v>80</v>
      </c>
      <c r="AY164" s="150" t="s">
        <v>337</v>
      </c>
    </row>
    <row r="165" spans="2:51" s="141" customFormat="1" x14ac:dyDescent="0.2">
      <c r="B165" s="142"/>
      <c r="D165" s="143" t="s">
        <v>346</v>
      </c>
      <c r="E165" s="144"/>
      <c r="F165" s="145" t="s">
        <v>3381</v>
      </c>
      <c r="H165" s="144"/>
      <c r="L165" s="142"/>
      <c r="M165" s="146"/>
      <c r="T165" s="147"/>
      <c r="AT165" s="144" t="s">
        <v>346</v>
      </c>
      <c r="AU165" s="144" t="s">
        <v>90</v>
      </c>
      <c r="AV165" s="141" t="s">
        <v>87</v>
      </c>
      <c r="AW165" s="141" t="s">
        <v>33</v>
      </c>
      <c r="AX165" s="141" t="s">
        <v>80</v>
      </c>
      <c r="AY165" s="144" t="s">
        <v>337</v>
      </c>
    </row>
    <row r="166" spans="2:51" s="148" customFormat="1" x14ac:dyDescent="0.2">
      <c r="B166" s="149"/>
      <c r="D166" s="143" t="s">
        <v>346</v>
      </c>
      <c r="E166" s="150"/>
      <c r="F166" s="151" t="s">
        <v>4984</v>
      </c>
      <c r="H166" s="152">
        <v>811.19100000000003</v>
      </c>
      <c r="L166" s="149"/>
      <c r="M166" s="153"/>
      <c r="T166" s="154"/>
      <c r="AT166" s="150" t="s">
        <v>346</v>
      </c>
      <c r="AU166" s="150" t="s">
        <v>90</v>
      </c>
      <c r="AV166" s="148" t="s">
        <v>90</v>
      </c>
      <c r="AW166" s="148" t="s">
        <v>33</v>
      </c>
      <c r="AX166" s="148" t="s">
        <v>80</v>
      </c>
      <c r="AY166" s="150" t="s">
        <v>337</v>
      </c>
    </row>
    <row r="167" spans="2:51" s="141" customFormat="1" x14ac:dyDescent="0.2">
      <c r="B167" s="142"/>
      <c r="D167" s="143" t="s">
        <v>346</v>
      </c>
      <c r="E167" s="144"/>
      <c r="F167" s="145" t="s">
        <v>3383</v>
      </c>
      <c r="H167" s="144"/>
      <c r="L167" s="142"/>
      <c r="M167" s="146"/>
      <c r="T167" s="147"/>
      <c r="AT167" s="144" t="s">
        <v>346</v>
      </c>
      <c r="AU167" s="144" t="s">
        <v>90</v>
      </c>
      <c r="AV167" s="141" t="s">
        <v>87</v>
      </c>
      <c r="AW167" s="141" t="s">
        <v>33</v>
      </c>
      <c r="AX167" s="141" t="s">
        <v>80</v>
      </c>
      <c r="AY167" s="144" t="s">
        <v>337</v>
      </c>
    </row>
    <row r="168" spans="2:51" s="148" customFormat="1" x14ac:dyDescent="0.2">
      <c r="B168" s="149"/>
      <c r="D168" s="143" t="s">
        <v>346</v>
      </c>
      <c r="E168" s="150"/>
      <c r="F168" s="151" t="s">
        <v>4985</v>
      </c>
      <c r="H168" s="152">
        <v>275.20999999999998</v>
      </c>
      <c r="L168" s="149"/>
      <c r="M168" s="153"/>
      <c r="T168" s="154"/>
      <c r="AT168" s="150" t="s">
        <v>346</v>
      </c>
      <c r="AU168" s="150" t="s">
        <v>90</v>
      </c>
      <c r="AV168" s="148" t="s">
        <v>90</v>
      </c>
      <c r="AW168" s="148" t="s">
        <v>33</v>
      </c>
      <c r="AX168" s="148" t="s">
        <v>80</v>
      </c>
      <c r="AY168" s="150" t="s">
        <v>337</v>
      </c>
    </row>
    <row r="169" spans="2:51" s="141" customFormat="1" x14ac:dyDescent="0.2">
      <c r="B169" s="142"/>
      <c r="D169" s="143" t="s">
        <v>346</v>
      </c>
      <c r="E169" s="144"/>
      <c r="F169" s="145" t="s">
        <v>3101</v>
      </c>
      <c r="H169" s="144"/>
      <c r="L169" s="142"/>
      <c r="M169" s="146"/>
      <c r="T169" s="147"/>
      <c r="AT169" s="144" t="s">
        <v>346</v>
      </c>
      <c r="AU169" s="144" t="s">
        <v>90</v>
      </c>
      <c r="AV169" s="141" t="s">
        <v>87</v>
      </c>
      <c r="AW169" s="141" t="s">
        <v>33</v>
      </c>
      <c r="AX169" s="141" t="s">
        <v>80</v>
      </c>
      <c r="AY169" s="144" t="s">
        <v>337</v>
      </c>
    </row>
    <row r="170" spans="2:51" s="141" customFormat="1" x14ac:dyDescent="0.2">
      <c r="B170" s="142"/>
      <c r="D170" s="143" t="s">
        <v>346</v>
      </c>
      <c r="E170" s="144"/>
      <c r="F170" s="145" t="s">
        <v>3102</v>
      </c>
      <c r="H170" s="144"/>
      <c r="L170" s="142"/>
      <c r="M170" s="146"/>
      <c r="T170" s="147"/>
      <c r="AT170" s="144" t="s">
        <v>346</v>
      </c>
      <c r="AU170" s="144" t="s">
        <v>90</v>
      </c>
      <c r="AV170" s="141" t="s">
        <v>87</v>
      </c>
      <c r="AW170" s="141" t="s">
        <v>33</v>
      </c>
      <c r="AX170" s="141" t="s">
        <v>80</v>
      </c>
      <c r="AY170" s="144" t="s">
        <v>337</v>
      </c>
    </row>
    <row r="171" spans="2:51" s="148" customFormat="1" x14ac:dyDescent="0.2">
      <c r="B171" s="149"/>
      <c r="D171" s="143" t="s">
        <v>346</v>
      </c>
      <c r="E171" s="150"/>
      <c r="F171" s="151" t="s">
        <v>4986</v>
      </c>
      <c r="H171" s="152">
        <v>141.6</v>
      </c>
      <c r="L171" s="149"/>
      <c r="M171" s="153"/>
      <c r="T171" s="154"/>
      <c r="AT171" s="150" t="s">
        <v>346</v>
      </c>
      <c r="AU171" s="150" t="s">
        <v>90</v>
      </c>
      <c r="AV171" s="148" t="s">
        <v>90</v>
      </c>
      <c r="AW171" s="148" t="s">
        <v>33</v>
      </c>
      <c r="AX171" s="148" t="s">
        <v>80</v>
      </c>
      <c r="AY171" s="150" t="s">
        <v>337</v>
      </c>
    </row>
    <row r="172" spans="2:51" s="141" customFormat="1" x14ac:dyDescent="0.2">
      <c r="B172" s="142"/>
      <c r="D172" s="143" t="s">
        <v>346</v>
      </c>
      <c r="E172" s="144"/>
      <c r="F172" s="145" t="s">
        <v>3104</v>
      </c>
      <c r="H172" s="144"/>
      <c r="L172" s="142"/>
      <c r="M172" s="146"/>
      <c r="T172" s="147"/>
      <c r="AT172" s="144" t="s">
        <v>346</v>
      </c>
      <c r="AU172" s="144" t="s">
        <v>90</v>
      </c>
      <c r="AV172" s="141" t="s">
        <v>87</v>
      </c>
      <c r="AW172" s="141" t="s">
        <v>33</v>
      </c>
      <c r="AX172" s="141" t="s">
        <v>80</v>
      </c>
      <c r="AY172" s="144" t="s">
        <v>337</v>
      </c>
    </row>
    <row r="173" spans="2:51" s="148" customFormat="1" x14ac:dyDescent="0.2">
      <c r="B173" s="149"/>
      <c r="D173" s="143" t="s">
        <v>346</v>
      </c>
      <c r="E173" s="150"/>
      <c r="F173" s="151" t="s">
        <v>4987</v>
      </c>
      <c r="H173" s="152">
        <v>28.32</v>
      </c>
      <c r="L173" s="149"/>
      <c r="M173" s="153"/>
      <c r="T173" s="154"/>
      <c r="AT173" s="150" t="s">
        <v>346</v>
      </c>
      <c r="AU173" s="150" t="s">
        <v>90</v>
      </c>
      <c r="AV173" s="148" t="s">
        <v>90</v>
      </c>
      <c r="AW173" s="148" t="s">
        <v>33</v>
      </c>
      <c r="AX173" s="148" t="s">
        <v>80</v>
      </c>
      <c r="AY173" s="150" t="s">
        <v>337</v>
      </c>
    </row>
    <row r="174" spans="2:51" s="141" customFormat="1" x14ac:dyDescent="0.2">
      <c r="B174" s="142"/>
      <c r="D174" s="143" t="s">
        <v>346</v>
      </c>
      <c r="E174" s="144"/>
      <c r="F174" s="145" t="s">
        <v>3106</v>
      </c>
      <c r="H174" s="144"/>
      <c r="L174" s="142"/>
      <c r="M174" s="146"/>
      <c r="T174" s="147"/>
      <c r="AT174" s="144" t="s">
        <v>346</v>
      </c>
      <c r="AU174" s="144" t="s">
        <v>90</v>
      </c>
      <c r="AV174" s="141" t="s">
        <v>87</v>
      </c>
      <c r="AW174" s="141" t="s">
        <v>33</v>
      </c>
      <c r="AX174" s="141" t="s">
        <v>80</v>
      </c>
      <c r="AY174" s="144" t="s">
        <v>337</v>
      </c>
    </row>
    <row r="175" spans="2:51" s="148" customFormat="1" x14ac:dyDescent="0.2">
      <c r="B175" s="149"/>
      <c r="D175" s="143" t="s">
        <v>346</v>
      </c>
      <c r="E175" s="150"/>
      <c r="F175" s="151" t="s">
        <v>4988</v>
      </c>
      <c r="H175" s="152">
        <v>219.48</v>
      </c>
      <c r="L175" s="149"/>
      <c r="M175" s="153"/>
      <c r="T175" s="154"/>
      <c r="AT175" s="150" t="s">
        <v>346</v>
      </c>
      <c r="AU175" s="150" t="s">
        <v>90</v>
      </c>
      <c r="AV175" s="148" t="s">
        <v>90</v>
      </c>
      <c r="AW175" s="148" t="s">
        <v>33</v>
      </c>
      <c r="AX175" s="148" t="s">
        <v>80</v>
      </c>
      <c r="AY175" s="150" t="s">
        <v>337</v>
      </c>
    </row>
    <row r="176" spans="2:51" s="141" customFormat="1" x14ac:dyDescent="0.2">
      <c r="B176" s="142"/>
      <c r="D176" s="143" t="s">
        <v>346</v>
      </c>
      <c r="E176" s="144"/>
      <c r="F176" s="145" t="s">
        <v>3108</v>
      </c>
      <c r="H176" s="144"/>
      <c r="L176" s="142"/>
      <c r="M176" s="146"/>
      <c r="T176" s="147"/>
      <c r="AT176" s="144" t="s">
        <v>346</v>
      </c>
      <c r="AU176" s="144" t="s">
        <v>90</v>
      </c>
      <c r="AV176" s="141" t="s">
        <v>87</v>
      </c>
      <c r="AW176" s="141" t="s">
        <v>33</v>
      </c>
      <c r="AX176" s="141" t="s">
        <v>80</v>
      </c>
      <c r="AY176" s="144" t="s">
        <v>337</v>
      </c>
    </row>
    <row r="177" spans="2:51" s="148" customFormat="1" x14ac:dyDescent="0.2">
      <c r="B177" s="149"/>
      <c r="D177" s="143" t="s">
        <v>346</v>
      </c>
      <c r="E177" s="150"/>
      <c r="F177" s="151" t="s">
        <v>4989</v>
      </c>
      <c r="H177" s="152">
        <v>113.28</v>
      </c>
      <c r="L177" s="149"/>
      <c r="M177" s="153"/>
      <c r="T177" s="154"/>
      <c r="AT177" s="150" t="s">
        <v>346</v>
      </c>
      <c r="AU177" s="150" t="s">
        <v>90</v>
      </c>
      <c r="AV177" s="148" t="s">
        <v>90</v>
      </c>
      <c r="AW177" s="148" t="s">
        <v>33</v>
      </c>
      <c r="AX177" s="148" t="s">
        <v>80</v>
      </c>
      <c r="AY177" s="150" t="s">
        <v>337</v>
      </c>
    </row>
    <row r="178" spans="2:51" s="141" customFormat="1" x14ac:dyDescent="0.2">
      <c r="B178" s="142"/>
      <c r="D178" s="143" t="s">
        <v>346</v>
      </c>
      <c r="E178" s="144"/>
      <c r="F178" s="145" t="s">
        <v>3259</v>
      </c>
      <c r="H178" s="144"/>
      <c r="L178" s="142"/>
      <c r="M178" s="146"/>
      <c r="T178" s="147"/>
      <c r="AT178" s="144" t="s">
        <v>346</v>
      </c>
      <c r="AU178" s="144" t="s">
        <v>90</v>
      </c>
      <c r="AV178" s="141" t="s">
        <v>87</v>
      </c>
      <c r="AW178" s="141" t="s">
        <v>33</v>
      </c>
      <c r="AX178" s="141" t="s">
        <v>80</v>
      </c>
      <c r="AY178" s="144" t="s">
        <v>337</v>
      </c>
    </row>
    <row r="179" spans="2:51" s="141" customFormat="1" x14ac:dyDescent="0.2">
      <c r="B179" s="142"/>
      <c r="D179" s="143" t="s">
        <v>346</v>
      </c>
      <c r="E179" s="144"/>
      <c r="F179" s="145" t="s">
        <v>3467</v>
      </c>
      <c r="H179" s="144"/>
      <c r="L179" s="142"/>
      <c r="M179" s="146"/>
      <c r="T179" s="147"/>
      <c r="AT179" s="144" t="s">
        <v>346</v>
      </c>
      <c r="AU179" s="144" t="s">
        <v>90</v>
      </c>
      <c r="AV179" s="141" t="s">
        <v>87</v>
      </c>
      <c r="AW179" s="141" t="s">
        <v>33</v>
      </c>
      <c r="AX179" s="141" t="s">
        <v>80</v>
      </c>
      <c r="AY179" s="144" t="s">
        <v>337</v>
      </c>
    </row>
    <row r="180" spans="2:51" s="148" customFormat="1" x14ac:dyDescent="0.2">
      <c r="B180" s="149"/>
      <c r="D180" s="143" t="s">
        <v>346</v>
      </c>
      <c r="E180" s="150"/>
      <c r="F180" s="151" t="s">
        <v>4990</v>
      </c>
      <c r="H180" s="152">
        <v>302.51</v>
      </c>
      <c r="L180" s="149"/>
      <c r="M180" s="153"/>
      <c r="T180" s="154"/>
      <c r="AT180" s="150" t="s">
        <v>346</v>
      </c>
      <c r="AU180" s="150" t="s">
        <v>90</v>
      </c>
      <c r="AV180" s="148" t="s">
        <v>90</v>
      </c>
      <c r="AW180" s="148" t="s">
        <v>33</v>
      </c>
      <c r="AX180" s="148" t="s">
        <v>80</v>
      </c>
      <c r="AY180" s="150" t="s">
        <v>337</v>
      </c>
    </row>
    <row r="181" spans="2:51" s="141" customFormat="1" x14ac:dyDescent="0.2">
      <c r="B181" s="142"/>
      <c r="D181" s="143" t="s">
        <v>346</v>
      </c>
      <c r="E181" s="144"/>
      <c r="F181" s="145" t="s">
        <v>3336</v>
      </c>
      <c r="H181" s="144"/>
      <c r="L181" s="142"/>
      <c r="M181" s="146"/>
      <c r="T181" s="147"/>
      <c r="AT181" s="144" t="s">
        <v>346</v>
      </c>
      <c r="AU181" s="144" t="s">
        <v>90</v>
      </c>
      <c r="AV181" s="141" t="s">
        <v>87</v>
      </c>
      <c r="AW181" s="141" t="s">
        <v>33</v>
      </c>
      <c r="AX181" s="141" t="s">
        <v>80</v>
      </c>
      <c r="AY181" s="144" t="s">
        <v>337</v>
      </c>
    </row>
    <row r="182" spans="2:51" s="141" customFormat="1" x14ac:dyDescent="0.2">
      <c r="B182" s="142"/>
      <c r="D182" s="143" t="s">
        <v>346</v>
      </c>
      <c r="E182" s="144"/>
      <c r="F182" s="145" t="s">
        <v>3513</v>
      </c>
      <c r="H182" s="144"/>
      <c r="L182" s="142"/>
      <c r="M182" s="146"/>
      <c r="T182" s="147"/>
      <c r="AT182" s="144" t="s">
        <v>346</v>
      </c>
      <c r="AU182" s="144" t="s">
        <v>90</v>
      </c>
      <c r="AV182" s="141" t="s">
        <v>87</v>
      </c>
      <c r="AW182" s="141" t="s">
        <v>33</v>
      </c>
      <c r="AX182" s="141" t="s">
        <v>80</v>
      </c>
      <c r="AY182" s="144" t="s">
        <v>337</v>
      </c>
    </row>
    <row r="183" spans="2:51" s="141" customFormat="1" x14ac:dyDescent="0.2">
      <c r="B183" s="142"/>
      <c r="D183" s="143" t="s">
        <v>346</v>
      </c>
      <c r="E183" s="144"/>
      <c r="F183" s="145" t="s">
        <v>3394</v>
      </c>
      <c r="H183" s="144"/>
      <c r="L183" s="142"/>
      <c r="M183" s="146"/>
      <c r="T183" s="147"/>
      <c r="AT183" s="144" t="s">
        <v>346</v>
      </c>
      <c r="AU183" s="144" t="s">
        <v>90</v>
      </c>
      <c r="AV183" s="141" t="s">
        <v>87</v>
      </c>
      <c r="AW183" s="141" t="s">
        <v>33</v>
      </c>
      <c r="AX183" s="141" t="s">
        <v>80</v>
      </c>
      <c r="AY183" s="144" t="s">
        <v>337</v>
      </c>
    </row>
    <row r="184" spans="2:51" s="148" customFormat="1" x14ac:dyDescent="0.2">
      <c r="B184" s="149"/>
      <c r="D184" s="143" t="s">
        <v>346</v>
      </c>
      <c r="E184" s="150"/>
      <c r="F184" s="151" t="s">
        <v>4991</v>
      </c>
      <c r="H184" s="152">
        <v>744.39</v>
      </c>
      <c r="L184" s="149"/>
      <c r="M184" s="153"/>
      <c r="T184" s="154"/>
      <c r="AT184" s="150" t="s">
        <v>346</v>
      </c>
      <c r="AU184" s="150" t="s">
        <v>90</v>
      </c>
      <c r="AV184" s="148" t="s">
        <v>90</v>
      </c>
      <c r="AW184" s="148" t="s">
        <v>33</v>
      </c>
      <c r="AX184" s="148" t="s">
        <v>80</v>
      </c>
      <c r="AY184" s="150" t="s">
        <v>337</v>
      </c>
    </row>
    <row r="185" spans="2:51" s="141" customFormat="1" x14ac:dyDescent="0.2">
      <c r="B185" s="142"/>
      <c r="D185" s="143" t="s">
        <v>346</v>
      </c>
      <c r="E185" s="144"/>
      <c r="F185" s="145" t="s">
        <v>3396</v>
      </c>
      <c r="H185" s="144"/>
      <c r="L185" s="142"/>
      <c r="M185" s="146"/>
      <c r="T185" s="147"/>
      <c r="AT185" s="144" t="s">
        <v>346</v>
      </c>
      <c r="AU185" s="144" t="s">
        <v>90</v>
      </c>
      <c r="AV185" s="141" t="s">
        <v>87</v>
      </c>
      <c r="AW185" s="141" t="s">
        <v>33</v>
      </c>
      <c r="AX185" s="141" t="s">
        <v>80</v>
      </c>
      <c r="AY185" s="144" t="s">
        <v>337</v>
      </c>
    </row>
    <row r="186" spans="2:51" s="148" customFormat="1" x14ac:dyDescent="0.2">
      <c r="B186" s="149"/>
      <c r="D186" s="143" t="s">
        <v>346</v>
      </c>
      <c r="E186" s="150"/>
      <c r="F186" s="151" t="s">
        <v>4992</v>
      </c>
      <c r="H186" s="152">
        <v>12.96</v>
      </c>
      <c r="L186" s="149"/>
      <c r="M186" s="153"/>
      <c r="T186" s="154"/>
      <c r="AT186" s="150" t="s">
        <v>346</v>
      </c>
      <c r="AU186" s="150" t="s">
        <v>90</v>
      </c>
      <c r="AV186" s="148" t="s">
        <v>90</v>
      </c>
      <c r="AW186" s="148" t="s">
        <v>33</v>
      </c>
      <c r="AX186" s="148" t="s">
        <v>80</v>
      </c>
      <c r="AY186" s="150" t="s">
        <v>337</v>
      </c>
    </row>
    <row r="187" spans="2:51" s="141" customFormat="1" x14ac:dyDescent="0.2">
      <c r="B187" s="142"/>
      <c r="D187" s="143" t="s">
        <v>346</v>
      </c>
      <c r="E187" s="144"/>
      <c r="F187" s="145" t="s">
        <v>3398</v>
      </c>
      <c r="H187" s="144"/>
      <c r="L187" s="142"/>
      <c r="M187" s="146"/>
      <c r="T187" s="147"/>
      <c r="AT187" s="144" t="s">
        <v>346</v>
      </c>
      <c r="AU187" s="144" t="s">
        <v>90</v>
      </c>
      <c r="AV187" s="141" t="s">
        <v>87</v>
      </c>
      <c r="AW187" s="141" t="s">
        <v>33</v>
      </c>
      <c r="AX187" s="141" t="s">
        <v>80</v>
      </c>
      <c r="AY187" s="144" t="s">
        <v>337</v>
      </c>
    </row>
    <row r="188" spans="2:51" s="148" customFormat="1" x14ac:dyDescent="0.2">
      <c r="B188" s="149"/>
      <c r="D188" s="143" t="s">
        <v>346</v>
      </c>
      <c r="E188" s="150"/>
      <c r="F188" s="151" t="s">
        <v>4993</v>
      </c>
      <c r="H188" s="152">
        <v>292.875</v>
      </c>
      <c r="L188" s="149"/>
      <c r="M188" s="153"/>
      <c r="T188" s="154"/>
      <c r="AT188" s="150" t="s">
        <v>346</v>
      </c>
      <c r="AU188" s="150" t="s">
        <v>90</v>
      </c>
      <c r="AV188" s="148" t="s">
        <v>90</v>
      </c>
      <c r="AW188" s="148" t="s">
        <v>33</v>
      </c>
      <c r="AX188" s="148" t="s">
        <v>80</v>
      </c>
      <c r="AY188" s="150" t="s">
        <v>337</v>
      </c>
    </row>
    <row r="189" spans="2:51" s="141" customFormat="1" x14ac:dyDescent="0.2">
      <c r="B189" s="142"/>
      <c r="D189" s="143" t="s">
        <v>346</v>
      </c>
      <c r="E189" s="144"/>
      <c r="F189" s="145" t="s">
        <v>3400</v>
      </c>
      <c r="H189" s="144"/>
      <c r="L189" s="142"/>
      <c r="M189" s="146"/>
      <c r="T189" s="147"/>
      <c r="AT189" s="144" t="s">
        <v>346</v>
      </c>
      <c r="AU189" s="144" t="s">
        <v>90</v>
      </c>
      <c r="AV189" s="141" t="s">
        <v>87</v>
      </c>
      <c r="AW189" s="141" t="s">
        <v>33</v>
      </c>
      <c r="AX189" s="141" t="s">
        <v>80</v>
      </c>
      <c r="AY189" s="144" t="s">
        <v>337</v>
      </c>
    </row>
    <row r="190" spans="2:51" s="148" customFormat="1" x14ac:dyDescent="0.2">
      <c r="B190" s="149"/>
      <c r="D190" s="143" t="s">
        <v>346</v>
      </c>
      <c r="E190" s="150"/>
      <c r="F190" s="151" t="s">
        <v>4994</v>
      </c>
      <c r="H190" s="152">
        <v>-14.88</v>
      </c>
      <c r="L190" s="149"/>
      <c r="M190" s="153"/>
      <c r="T190" s="154"/>
      <c r="AT190" s="150" t="s">
        <v>346</v>
      </c>
      <c r="AU190" s="150" t="s">
        <v>90</v>
      </c>
      <c r="AV190" s="148" t="s">
        <v>90</v>
      </c>
      <c r="AW190" s="148" t="s">
        <v>33</v>
      </c>
      <c r="AX190" s="148" t="s">
        <v>80</v>
      </c>
      <c r="AY190" s="150" t="s">
        <v>337</v>
      </c>
    </row>
    <row r="191" spans="2:51" s="148" customFormat="1" x14ac:dyDescent="0.2">
      <c r="B191" s="149"/>
      <c r="D191" s="143" t="s">
        <v>346</v>
      </c>
      <c r="E191" s="150"/>
      <c r="F191" s="151" t="s">
        <v>4995</v>
      </c>
      <c r="H191" s="152">
        <v>-16.16</v>
      </c>
      <c r="L191" s="149"/>
      <c r="M191" s="153"/>
      <c r="T191" s="154"/>
      <c r="AT191" s="150" t="s">
        <v>346</v>
      </c>
      <c r="AU191" s="150" t="s">
        <v>90</v>
      </c>
      <c r="AV191" s="148" t="s">
        <v>90</v>
      </c>
      <c r="AW191" s="148" t="s">
        <v>33</v>
      </c>
      <c r="AX191" s="148" t="s">
        <v>80</v>
      </c>
      <c r="AY191" s="150" t="s">
        <v>337</v>
      </c>
    </row>
    <row r="192" spans="2:51" s="141" customFormat="1" x14ac:dyDescent="0.2">
      <c r="B192" s="142"/>
      <c r="D192" s="143" t="s">
        <v>346</v>
      </c>
      <c r="E192" s="144"/>
      <c r="F192" s="145" t="s">
        <v>3403</v>
      </c>
      <c r="H192" s="144"/>
      <c r="L192" s="142"/>
      <c r="M192" s="146"/>
      <c r="T192" s="147"/>
      <c r="AT192" s="144" t="s">
        <v>346</v>
      </c>
      <c r="AU192" s="144" t="s">
        <v>90</v>
      </c>
      <c r="AV192" s="141" t="s">
        <v>87</v>
      </c>
      <c r="AW192" s="141" t="s">
        <v>33</v>
      </c>
      <c r="AX192" s="141" t="s">
        <v>80</v>
      </c>
      <c r="AY192" s="144" t="s">
        <v>337</v>
      </c>
    </row>
    <row r="193" spans="2:65" s="148" customFormat="1" x14ac:dyDescent="0.2">
      <c r="B193" s="149"/>
      <c r="D193" s="143" t="s">
        <v>346</v>
      </c>
      <c r="E193" s="150"/>
      <c r="F193" s="151" t="s">
        <v>4996</v>
      </c>
      <c r="H193" s="152">
        <v>118.096</v>
      </c>
      <c r="L193" s="149"/>
      <c r="M193" s="153"/>
      <c r="T193" s="154"/>
      <c r="AT193" s="150" t="s">
        <v>346</v>
      </c>
      <c r="AU193" s="150" t="s">
        <v>90</v>
      </c>
      <c r="AV193" s="148" t="s">
        <v>90</v>
      </c>
      <c r="AW193" s="148" t="s">
        <v>33</v>
      </c>
      <c r="AX193" s="148" t="s">
        <v>80</v>
      </c>
      <c r="AY193" s="150" t="s">
        <v>337</v>
      </c>
    </row>
    <row r="194" spans="2:65" s="141" customFormat="1" x14ac:dyDescent="0.2">
      <c r="B194" s="142"/>
      <c r="D194" s="143" t="s">
        <v>346</v>
      </c>
      <c r="E194" s="144"/>
      <c r="F194" s="145" t="s">
        <v>3396</v>
      </c>
      <c r="H194" s="144"/>
      <c r="L194" s="142"/>
      <c r="M194" s="146"/>
      <c r="T194" s="147"/>
      <c r="AT194" s="144" t="s">
        <v>346</v>
      </c>
      <c r="AU194" s="144" t="s">
        <v>90</v>
      </c>
      <c r="AV194" s="141" t="s">
        <v>87</v>
      </c>
      <c r="AW194" s="141" t="s">
        <v>33</v>
      </c>
      <c r="AX194" s="141" t="s">
        <v>80</v>
      </c>
      <c r="AY194" s="144" t="s">
        <v>337</v>
      </c>
    </row>
    <row r="195" spans="2:65" s="148" customFormat="1" x14ac:dyDescent="0.2">
      <c r="B195" s="149"/>
      <c r="D195" s="143" t="s">
        <v>346</v>
      </c>
      <c r="E195" s="150"/>
      <c r="F195" s="151" t="s">
        <v>4997</v>
      </c>
      <c r="H195" s="152">
        <v>3.6960000000000002</v>
      </c>
      <c r="L195" s="149"/>
      <c r="M195" s="153"/>
      <c r="T195" s="154"/>
      <c r="AT195" s="150" t="s">
        <v>346</v>
      </c>
      <c r="AU195" s="150" t="s">
        <v>90</v>
      </c>
      <c r="AV195" s="148" t="s">
        <v>90</v>
      </c>
      <c r="AW195" s="148" t="s">
        <v>33</v>
      </c>
      <c r="AX195" s="148" t="s">
        <v>80</v>
      </c>
      <c r="AY195" s="150" t="s">
        <v>337</v>
      </c>
    </row>
    <row r="196" spans="2:65" s="141" customFormat="1" x14ac:dyDescent="0.2">
      <c r="B196" s="142"/>
      <c r="D196" s="143" t="s">
        <v>346</v>
      </c>
      <c r="E196" s="144"/>
      <c r="F196" s="145" t="s">
        <v>3406</v>
      </c>
      <c r="H196" s="144"/>
      <c r="L196" s="142"/>
      <c r="M196" s="146"/>
      <c r="T196" s="147"/>
      <c r="AT196" s="144" t="s">
        <v>346</v>
      </c>
      <c r="AU196" s="144" t="s">
        <v>90</v>
      </c>
      <c r="AV196" s="141" t="s">
        <v>87</v>
      </c>
      <c r="AW196" s="141" t="s">
        <v>33</v>
      </c>
      <c r="AX196" s="141" t="s">
        <v>80</v>
      </c>
      <c r="AY196" s="144" t="s">
        <v>337</v>
      </c>
    </row>
    <row r="197" spans="2:65" s="148" customFormat="1" x14ac:dyDescent="0.2">
      <c r="B197" s="149"/>
      <c r="D197" s="143" t="s">
        <v>346</v>
      </c>
      <c r="E197" s="150"/>
      <c r="F197" s="151" t="s">
        <v>4998</v>
      </c>
      <c r="H197" s="152">
        <v>207.68</v>
      </c>
      <c r="L197" s="149"/>
      <c r="M197" s="153"/>
      <c r="T197" s="154"/>
      <c r="AT197" s="150" t="s">
        <v>346</v>
      </c>
      <c r="AU197" s="150" t="s">
        <v>90</v>
      </c>
      <c r="AV197" s="148" t="s">
        <v>90</v>
      </c>
      <c r="AW197" s="148" t="s">
        <v>33</v>
      </c>
      <c r="AX197" s="148" t="s">
        <v>80</v>
      </c>
      <c r="AY197" s="150" t="s">
        <v>337</v>
      </c>
    </row>
    <row r="198" spans="2:65" s="141" customFormat="1" x14ac:dyDescent="0.2">
      <c r="B198" s="142"/>
      <c r="D198" s="143" t="s">
        <v>346</v>
      </c>
      <c r="E198" s="144"/>
      <c r="F198" s="145" t="s">
        <v>4999</v>
      </c>
      <c r="H198" s="144"/>
      <c r="L198" s="142"/>
      <c r="M198" s="146"/>
      <c r="T198" s="147"/>
      <c r="AT198" s="144" t="s">
        <v>346</v>
      </c>
      <c r="AU198" s="144" t="s">
        <v>90</v>
      </c>
      <c r="AV198" s="141" t="s">
        <v>87</v>
      </c>
      <c r="AW198" s="141" t="s">
        <v>33</v>
      </c>
      <c r="AX198" s="141" t="s">
        <v>80</v>
      </c>
      <c r="AY198" s="144" t="s">
        <v>337</v>
      </c>
    </row>
    <row r="199" spans="2:65" s="148" customFormat="1" x14ac:dyDescent="0.2">
      <c r="B199" s="149"/>
      <c r="D199" s="143" t="s">
        <v>346</v>
      </c>
      <c r="E199" s="150"/>
      <c r="F199" s="151" t="s">
        <v>5000</v>
      </c>
      <c r="H199" s="152">
        <v>173.91</v>
      </c>
      <c r="L199" s="149"/>
      <c r="M199" s="153"/>
      <c r="T199" s="154"/>
      <c r="AT199" s="150" t="s">
        <v>346</v>
      </c>
      <c r="AU199" s="150" t="s">
        <v>90</v>
      </c>
      <c r="AV199" s="148" t="s">
        <v>90</v>
      </c>
      <c r="AW199" s="148" t="s">
        <v>33</v>
      </c>
      <c r="AX199" s="148" t="s">
        <v>80</v>
      </c>
      <c r="AY199" s="150" t="s">
        <v>337</v>
      </c>
    </row>
    <row r="200" spans="2:65" s="155" customFormat="1" x14ac:dyDescent="0.2">
      <c r="B200" s="156"/>
      <c r="D200" s="143" t="s">
        <v>346</v>
      </c>
      <c r="E200" s="157" t="s">
        <v>4962</v>
      </c>
      <c r="F200" s="158" t="s">
        <v>351</v>
      </c>
      <c r="H200" s="159">
        <v>3706.2779999999998</v>
      </c>
      <c r="L200" s="156"/>
      <c r="M200" s="160"/>
      <c r="T200" s="161"/>
      <c r="AT200" s="157" t="s">
        <v>346</v>
      </c>
      <c r="AU200" s="157" t="s">
        <v>90</v>
      </c>
      <c r="AV200" s="155" t="s">
        <v>344</v>
      </c>
      <c r="AW200" s="155" t="s">
        <v>33</v>
      </c>
      <c r="AX200" s="155" t="s">
        <v>87</v>
      </c>
      <c r="AY200" s="157" t="s">
        <v>337</v>
      </c>
    </row>
    <row r="201" spans="2:65" s="16" customFormat="1" ht="24.2" customHeight="1" x14ac:dyDescent="0.2">
      <c r="B201" s="17"/>
      <c r="C201" s="128">
        <v>4</v>
      </c>
      <c r="D201" s="128" t="s">
        <v>339</v>
      </c>
      <c r="E201" s="129" t="s">
        <v>5001</v>
      </c>
      <c r="F201" s="130" t="s">
        <v>5002</v>
      </c>
      <c r="G201" s="131" t="s">
        <v>425</v>
      </c>
      <c r="H201" s="132">
        <v>9277.7999999999993</v>
      </c>
      <c r="I201" s="133"/>
      <c r="J201" s="134">
        <f>ROUND(I201*H201,2)</f>
        <v>0</v>
      </c>
      <c r="K201" s="130" t="s">
        <v>343</v>
      </c>
      <c r="L201" s="17"/>
      <c r="M201" s="135"/>
      <c r="N201" s="136" t="s">
        <v>45</v>
      </c>
      <c r="P201" s="137">
        <f>O201*H201</f>
        <v>0</v>
      </c>
      <c r="Q201" s="137">
        <v>0</v>
      </c>
      <c r="R201" s="137">
        <f>Q201*H201</f>
        <v>0</v>
      </c>
      <c r="S201" s="137">
        <v>0</v>
      </c>
      <c r="T201" s="138">
        <f>S201*H201</f>
        <v>0</v>
      </c>
      <c r="AR201" s="139" t="s">
        <v>344</v>
      </c>
      <c r="AT201" s="139" t="s">
        <v>339</v>
      </c>
      <c r="AU201" s="139" t="s">
        <v>90</v>
      </c>
      <c r="AY201" s="2" t="s">
        <v>337</v>
      </c>
      <c r="BE201" s="140">
        <f>IF(N201="základní",J201,0)</f>
        <v>0</v>
      </c>
      <c r="BF201" s="140">
        <f>IF(N201="snížená",J201,0)</f>
        <v>0</v>
      </c>
      <c r="BG201" s="140">
        <f>IF(N201="zákl. přenesená",J201,0)</f>
        <v>0</v>
      </c>
      <c r="BH201" s="140">
        <f>IF(N201="sníž. přenesená",J201,0)</f>
        <v>0</v>
      </c>
      <c r="BI201" s="140">
        <f>IF(N201="nulová",J201,0)</f>
        <v>0</v>
      </c>
      <c r="BJ201" s="2" t="s">
        <v>87</v>
      </c>
      <c r="BK201" s="140">
        <f>ROUND(I201*H201,2)</f>
        <v>0</v>
      </c>
      <c r="BL201" s="2" t="s">
        <v>344</v>
      </c>
      <c r="BM201" s="139" t="s">
        <v>5003</v>
      </c>
    </row>
    <row r="202" spans="2:65" s="148" customFormat="1" x14ac:dyDescent="0.2">
      <c r="B202" s="149"/>
      <c r="D202" s="143" t="s">
        <v>346</v>
      </c>
      <c r="E202" s="150"/>
      <c r="F202" s="151" t="s">
        <v>5004</v>
      </c>
      <c r="H202" s="152">
        <v>9277.7999999999993</v>
      </c>
      <c r="L202" s="149"/>
      <c r="M202" s="153"/>
      <c r="T202" s="154"/>
      <c r="AT202" s="150" t="s">
        <v>346</v>
      </c>
      <c r="AU202" s="150" t="s">
        <v>90</v>
      </c>
      <c r="AV202" s="148" t="s">
        <v>90</v>
      </c>
      <c r="AW202" s="148" t="s">
        <v>33</v>
      </c>
      <c r="AX202" s="148" t="s">
        <v>87</v>
      </c>
      <c r="AY202" s="150" t="s">
        <v>337</v>
      </c>
    </row>
    <row r="203" spans="2:65" s="16" customFormat="1" ht="24.2" customHeight="1" x14ac:dyDescent="0.2">
      <c r="B203" s="17"/>
      <c r="C203" s="128">
        <v>5</v>
      </c>
      <c r="D203" s="128" t="s">
        <v>339</v>
      </c>
      <c r="E203" s="129" t="s">
        <v>5005</v>
      </c>
      <c r="F203" s="130" t="s">
        <v>5006</v>
      </c>
      <c r="G203" s="131" t="s">
        <v>425</v>
      </c>
      <c r="H203" s="132">
        <v>222376.68</v>
      </c>
      <c r="I203" s="133"/>
      <c r="J203" s="134">
        <f>ROUND(I203*H203,2)</f>
        <v>0</v>
      </c>
      <c r="K203" s="130" t="s">
        <v>343</v>
      </c>
      <c r="L203" s="17"/>
      <c r="M203" s="135"/>
      <c r="N203" s="136" t="s">
        <v>45</v>
      </c>
      <c r="P203" s="137">
        <f>O203*H203</f>
        <v>0</v>
      </c>
      <c r="Q203" s="137">
        <v>0</v>
      </c>
      <c r="R203" s="137">
        <f>Q203*H203</f>
        <v>0</v>
      </c>
      <c r="S203" s="137">
        <v>0</v>
      </c>
      <c r="T203" s="138">
        <f>S203*H203</f>
        <v>0</v>
      </c>
      <c r="AR203" s="139" t="s">
        <v>344</v>
      </c>
      <c r="AT203" s="139" t="s">
        <v>339</v>
      </c>
      <c r="AU203" s="139" t="s">
        <v>90</v>
      </c>
      <c r="AY203" s="2" t="s">
        <v>337</v>
      </c>
      <c r="BE203" s="140">
        <f>IF(N203="základní",J203,0)</f>
        <v>0</v>
      </c>
      <c r="BF203" s="140">
        <f>IF(N203="snížená",J203,0)</f>
        <v>0</v>
      </c>
      <c r="BG203" s="140">
        <f>IF(N203="zákl. přenesená",J203,0)</f>
        <v>0</v>
      </c>
      <c r="BH203" s="140">
        <f>IF(N203="sníž. přenesená",J203,0)</f>
        <v>0</v>
      </c>
      <c r="BI203" s="140">
        <f>IF(N203="nulová",J203,0)</f>
        <v>0</v>
      </c>
      <c r="BJ203" s="2" t="s">
        <v>87</v>
      </c>
      <c r="BK203" s="140">
        <f>ROUND(I203*H203,2)</f>
        <v>0</v>
      </c>
      <c r="BL203" s="2" t="s">
        <v>344</v>
      </c>
      <c r="BM203" s="139" t="s">
        <v>5007</v>
      </c>
    </row>
    <row r="204" spans="2:65" s="148" customFormat="1" x14ac:dyDescent="0.2">
      <c r="B204" s="149"/>
      <c r="D204" s="143" t="s">
        <v>346</v>
      </c>
      <c r="E204" s="150"/>
      <c r="F204" s="151" t="s">
        <v>5008</v>
      </c>
      <c r="H204" s="152">
        <v>222376.68</v>
      </c>
      <c r="L204" s="149"/>
      <c r="M204" s="153"/>
      <c r="T204" s="154"/>
      <c r="AT204" s="150" t="s">
        <v>346</v>
      </c>
      <c r="AU204" s="150" t="s">
        <v>90</v>
      </c>
      <c r="AV204" s="148" t="s">
        <v>90</v>
      </c>
      <c r="AW204" s="148" t="s">
        <v>33</v>
      </c>
      <c r="AX204" s="148" t="s">
        <v>87</v>
      </c>
      <c r="AY204" s="150" t="s">
        <v>337</v>
      </c>
    </row>
    <row r="205" spans="2:65" s="16" customFormat="1" ht="24.2" customHeight="1" x14ac:dyDescent="0.2">
      <c r="B205" s="17"/>
      <c r="C205" s="128">
        <v>6</v>
      </c>
      <c r="D205" s="128" t="s">
        <v>339</v>
      </c>
      <c r="E205" s="129" t="s">
        <v>5009</v>
      </c>
      <c r="F205" s="130" t="s">
        <v>5010</v>
      </c>
      <c r="G205" s="131" t="s">
        <v>425</v>
      </c>
      <c r="H205" s="132">
        <v>154.63</v>
      </c>
      <c r="I205" s="133"/>
      <c r="J205" s="134">
        <f>ROUND(I205*H205,2)</f>
        <v>0</v>
      </c>
      <c r="K205" s="130" t="s">
        <v>343</v>
      </c>
      <c r="L205" s="17"/>
      <c r="M205" s="135"/>
      <c r="N205" s="136" t="s">
        <v>45</v>
      </c>
      <c r="P205" s="137">
        <f>O205*H205</f>
        <v>0</v>
      </c>
      <c r="Q205" s="137">
        <v>0</v>
      </c>
      <c r="R205" s="137">
        <f>Q205*H205</f>
        <v>0</v>
      </c>
      <c r="S205" s="137">
        <v>0</v>
      </c>
      <c r="T205" s="138">
        <f>S205*H205</f>
        <v>0</v>
      </c>
      <c r="AR205" s="139" t="s">
        <v>344</v>
      </c>
      <c r="AT205" s="139" t="s">
        <v>339</v>
      </c>
      <c r="AU205" s="139" t="s">
        <v>90</v>
      </c>
      <c r="AY205" s="2" t="s">
        <v>337</v>
      </c>
      <c r="BE205" s="140">
        <f>IF(N205="základní",J205,0)</f>
        <v>0</v>
      </c>
      <c r="BF205" s="140">
        <f>IF(N205="snížená",J205,0)</f>
        <v>0</v>
      </c>
      <c r="BG205" s="140">
        <f>IF(N205="zákl. přenesená",J205,0)</f>
        <v>0</v>
      </c>
      <c r="BH205" s="140">
        <f>IF(N205="sníž. přenesená",J205,0)</f>
        <v>0</v>
      </c>
      <c r="BI205" s="140">
        <f>IF(N205="nulová",J205,0)</f>
        <v>0</v>
      </c>
      <c r="BJ205" s="2" t="s">
        <v>87</v>
      </c>
      <c r="BK205" s="140">
        <f>ROUND(I205*H205,2)</f>
        <v>0</v>
      </c>
      <c r="BL205" s="2" t="s">
        <v>344</v>
      </c>
      <c r="BM205" s="139" t="s">
        <v>5011</v>
      </c>
    </row>
    <row r="206" spans="2:65" s="16" customFormat="1" ht="24.2" customHeight="1" x14ac:dyDescent="0.2">
      <c r="B206" s="17"/>
      <c r="C206" s="128">
        <v>7</v>
      </c>
      <c r="D206" s="128" t="s">
        <v>339</v>
      </c>
      <c r="E206" s="129" t="s">
        <v>5012</v>
      </c>
      <c r="F206" s="130" t="s">
        <v>5013</v>
      </c>
      <c r="G206" s="131" t="s">
        <v>425</v>
      </c>
      <c r="H206" s="132">
        <v>3706.2779999999998</v>
      </c>
      <c r="I206" s="133"/>
      <c r="J206" s="134">
        <f>ROUND(I206*H206,2)</f>
        <v>0</v>
      </c>
      <c r="K206" s="130" t="s">
        <v>343</v>
      </c>
      <c r="L206" s="17"/>
      <c r="M206" s="135"/>
      <c r="N206" s="136" t="s">
        <v>45</v>
      </c>
      <c r="P206" s="137">
        <f>O206*H206</f>
        <v>0</v>
      </c>
      <c r="Q206" s="137">
        <v>0</v>
      </c>
      <c r="R206" s="137">
        <f>Q206*H206</f>
        <v>0</v>
      </c>
      <c r="S206" s="137">
        <v>0</v>
      </c>
      <c r="T206" s="138">
        <f>S206*H206</f>
        <v>0</v>
      </c>
      <c r="AR206" s="139" t="s">
        <v>344</v>
      </c>
      <c r="AT206" s="139" t="s">
        <v>339</v>
      </c>
      <c r="AU206" s="139" t="s">
        <v>90</v>
      </c>
      <c r="AY206" s="2" t="s">
        <v>337</v>
      </c>
      <c r="BE206" s="140">
        <f>IF(N206="základní",J206,0)</f>
        <v>0</v>
      </c>
      <c r="BF206" s="140">
        <f>IF(N206="snížená",J206,0)</f>
        <v>0</v>
      </c>
      <c r="BG206" s="140">
        <f>IF(N206="zákl. přenesená",J206,0)</f>
        <v>0</v>
      </c>
      <c r="BH206" s="140">
        <f>IF(N206="sníž. přenesená",J206,0)</f>
        <v>0</v>
      </c>
      <c r="BI206" s="140">
        <f>IF(N206="nulová",J206,0)</f>
        <v>0</v>
      </c>
      <c r="BJ206" s="2" t="s">
        <v>87</v>
      </c>
      <c r="BK206" s="140">
        <f>ROUND(I206*H206,2)</f>
        <v>0</v>
      </c>
      <c r="BL206" s="2" t="s">
        <v>344</v>
      </c>
      <c r="BM206" s="139" t="s">
        <v>5014</v>
      </c>
    </row>
    <row r="207" spans="2:65" s="148" customFormat="1" x14ac:dyDescent="0.2">
      <c r="B207" s="149"/>
      <c r="D207" s="143" t="s">
        <v>346</v>
      </c>
      <c r="E207" s="150"/>
      <c r="F207" s="151" t="s">
        <v>4962</v>
      </c>
      <c r="H207" s="152">
        <v>3706.2779999999998</v>
      </c>
      <c r="L207" s="149"/>
      <c r="M207" s="153"/>
      <c r="T207" s="154"/>
      <c r="AT207" s="150" t="s">
        <v>346</v>
      </c>
      <c r="AU207" s="150" t="s">
        <v>90</v>
      </c>
      <c r="AV207" s="148" t="s">
        <v>90</v>
      </c>
      <c r="AW207" s="148" t="s">
        <v>33</v>
      </c>
      <c r="AX207" s="148" t="s">
        <v>87</v>
      </c>
      <c r="AY207" s="150" t="s">
        <v>337</v>
      </c>
    </row>
    <row r="208" spans="2:65" s="16" customFormat="1" ht="16.5" customHeight="1" x14ac:dyDescent="0.2">
      <c r="B208" s="17"/>
      <c r="C208" s="128">
        <v>8</v>
      </c>
      <c r="D208" s="128" t="s">
        <v>339</v>
      </c>
      <c r="E208" s="129" t="s">
        <v>5015</v>
      </c>
      <c r="F208" s="130" t="s">
        <v>5016</v>
      </c>
      <c r="G208" s="131" t="s">
        <v>425</v>
      </c>
      <c r="H208" s="132">
        <v>3860.9079999999999</v>
      </c>
      <c r="I208" s="133"/>
      <c r="J208" s="134">
        <f>ROUND(I208*H208,2)</f>
        <v>0</v>
      </c>
      <c r="K208" s="130" t="s">
        <v>343</v>
      </c>
      <c r="L208" s="17"/>
      <c r="M208" s="135"/>
      <c r="N208" s="136" t="s">
        <v>45</v>
      </c>
      <c r="P208" s="137">
        <f>O208*H208</f>
        <v>0</v>
      </c>
      <c r="Q208" s="137">
        <v>0</v>
      </c>
      <c r="R208" s="137">
        <f>Q208*H208</f>
        <v>0</v>
      </c>
      <c r="S208" s="137">
        <v>0</v>
      </c>
      <c r="T208" s="138">
        <f>S208*H208</f>
        <v>0</v>
      </c>
      <c r="AR208" s="139" t="s">
        <v>344</v>
      </c>
      <c r="AT208" s="139" t="s">
        <v>339</v>
      </c>
      <c r="AU208" s="139" t="s">
        <v>90</v>
      </c>
      <c r="AY208" s="2" t="s">
        <v>337</v>
      </c>
      <c r="BE208" s="140">
        <f>IF(N208="základní",J208,0)</f>
        <v>0</v>
      </c>
      <c r="BF208" s="140">
        <f>IF(N208="snížená",J208,0)</f>
        <v>0</v>
      </c>
      <c r="BG208" s="140">
        <f>IF(N208="zákl. přenesená",J208,0)</f>
        <v>0</v>
      </c>
      <c r="BH208" s="140">
        <f>IF(N208="sníž. přenesená",J208,0)</f>
        <v>0</v>
      </c>
      <c r="BI208" s="140">
        <f>IF(N208="nulová",J208,0)</f>
        <v>0</v>
      </c>
      <c r="BJ208" s="2" t="s">
        <v>87</v>
      </c>
      <c r="BK208" s="140">
        <f>ROUND(I208*H208,2)</f>
        <v>0</v>
      </c>
      <c r="BL208" s="2" t="s">
        <v>344</v>
      </c>
      <c r="BM208" s="139" t="s">
        <v>5017</v>
      </c>
    </row>
    <row r="209" spans="2:65" s="148" customFormat="1" x14ac:dyDescent="0.2">
      <c r="B209" s="149"/>
      <c r="D209" s="143" t="s">
        <v>346</v>
      </c>
      <c r="E209" s="150"/>
      <c r="F209" s="151" t="s">
        <v>4960</v>
      </c>
      <c r="H209" s="152">
        <v>154.63</v>
      </c>
      <c r="L209" s="149"/>
      <c r="M209" s="153"/>
      <c r="T209" s="154"/>
      <c r="AT209" s="150" t="s">
        <v>346</v>
      </c>
      <c r="AU209" s="150" t="s">
        <v>90</v>
      </c>
      <c r="AV209" s="148" t="s">
        <v>90</v>
      </c>
      <c r="AW209" s="148" t="s">
        <v>33</v>
      </c>
      <c r="AX209" s="148" t="s">
        <v>80</v>
      </c>
      <c r="AY209" s="150" t="s">
        <v>337</v>
      </c>
    </row>
    <row r="210" spans="2:65" s="148" customFormat="1" x14ac:dyDescent="0.2">
      <c r="B210" s="149"/>
      <c r="D210" s="143" t="s">
        <v>346</v>
      </c>
      <c r="E210" s="150"/>
      <c r="F210" s="151" t="s">
        <v>4962</v>
      </c>
      <c r="H210" s="152">
        <v>3706.2779999999998</v>
      </c>
      <c r="L210" s="149"/>
      <c r="M210" s="153"/>
      <c r="T210" s="154"/>
      <c r="AT210" s="150" t="s">
        <v>346</v>
      </c>
      <c r="AU210" s="150" t="s">
        <v>90</v>
      </c>
      <c r="AV210" s="148" t="s">
        <v>90</v>
      </c>
      <c r="AW210" s="148" t="s">
        <v>33</v>
      </c>
      <c r="AX210" s="148" t="s">
        <v>80</v>
      </c>
      <c r="AY210" s="150" t="s">
        <v>337</v>
      </c>
    </row>
    <row r="211" spans="2:65" s="155" customFormat="1" x14ac:dyDescent="0.2">
      <c r="B211" s="156"/>
      <c r="D211" s="143" t="s">
        <v>346</v>
      </c>
      <c r="E211" s="157"/>
      <c r="F211" s="158" t="s">
        <v>351</v>
      </c>
      <c r="H211" s="159">
        <v>3860.9079999999999</v>
      </c>
      <c r="L211" s="156"/>
      <c r="M211" s="160"/>
      <c r="T211" s="161"/>
      <c r="AT211" s="157" t="s">
        <v>346</v>
      </c>
      <c r="AU211" s="157" t="s">
        <v>90</v>
      </c>
      <c r="AV211" s="155" t="s">
        <v>344</v>
      </c>
      <c r="AW211" s="155" t="s">
        <v>33</v>
      </c>
      <c r="AX211" s="155" t="s">
        <v>87</v>
      </c>
      <c r="AY211" s="157" t="s">
        <v>337</v>
      </c>
    </row>
    <row r="212" spans="2:65" s="16" customFormat="1" ht="16.5" customHeight="1" x14ac:dyDescent="0.2">
      <c r="B212" s="17"/>
      <c r="C212" s="128">
        <v>9</v>
      </c>
      <c r="D212" s="128" t="s">
        <v>339</v>
      </c>
      <c r="E212" s="129" t="s">
        <v>5018</v>
      </c>
      <c r="F212" s="130" t="s">
        <v>5019</v>
      </c>
      <c r="G212" s="131" t="s">
        <v>425</v>
      </c>
      <c r="H212" s="132">
        <v>231654.48</v>
      </c>
      <c r="I212" s="133"/>
      <c r="J212" s="134">
        <f>ROUND(I212*H212,2)</f>
        <v>0</v>
      </c>
      <c r="K212" s="130" t="s">
        <v>343</v>
      </c>
      <c r="L212" s="17"/>
      <c r="M212" s="135"/>
      <c r="N212" s="136" t="s">
        <v>45</v>
      </c>
      <c r="P212" s="137">
        <f>O212*H212</f>
        <v>0</v>
      </c>
      <c r="Q212" s="137">
        <v>0</v>
      </c>
      <c r="R212" s="137">
        <f>Q212*H212</f>
        <v>0</v>
      </c>
      <c r="S212" s="137">
        <v>0</v>
      </c>
      <c r="T212" s="138">
        <f>S212*H212</f>
        <v>0</v>
      </c>
      <c r="AR212" s="139" t="s">
        <v>344</v>
      </c>
      <c r="AT212" s="139" t="s">
        <v>339</v>
      </c>
      <c r="AU212" s="139" t="s">
        <v>90</v>
      </c>
      <c r="AY212" s="2" t="s">
        <v>337</v>
      </c>
      <c r="BE212" s="140">
        <f>IF(N212="základní",J212,0)</f>
        <v>0</v>
      </c>
      <c r="BF212" s="140">
        <f>IF(N212="snížená",J212,0)</f>
        <v>0</v>
      </c>
      <c r="BG212" s="140">
        <f>IF(N212="zákl. přenesená",J212,0)</f>
        <v>0</v>
      </c>
      <c r="BH212" s="140">
        <f>IF(N212="sníž. přenesená",J212,0)</f>
        <v>0</v>
      </c>
      <c r="BI212" s="140">
        <f>IF(N212="nulová",J212,0)</f>
        <v>0</v>
      </c>
      <c r="BJ212" s="2" t="s">
        <v>87</v>
      </c>
      <c r="BK212" s="140">
        <f>ROUND(I212*H212,2)</f>
        <v>0</v>
      </c>
      <c r="BL212" s="2" t="s">
        <v>344</v>
      </c>
      <c r="BM212" s="139" t="s">
        <v>5020</v>
      </c>
    </row>
    <row r="213" spans="2:65" s="148" customFormat="1" x14ac:dyDescent="0.2">
      <c r="B213" s="149"/>
      <c r="D213" s="143" t="s">
        <v>346</v>
      </c>
      <c r="E213" s="150"/>
      <c r="F213" s="151" t="s">
        <v>5004</v>
      </c>
      <c r="H213" s="152">
        <v>9277.7999999999993</v>
      </c>
      <c r="L213" s="149"/>
      <c r="M213" s="153"/>
      <c r="T213" s="154"/>
      <c r="AT213" s="150" t="s">
        <v>346</v>
      </c>
      <c r="AU213" s="150" t="s">
        <v>90</v>
      </c>
      <c r="AV213" s="148" t="s">
        <v>90</v>
      </c>
      <c r="AW213" s="148" t="s">
        <v>33</v>
      </c>
      <c r="AX213" s="148" t="s">
        <v>80</v>
      </c>
      <c r="AY213" s="150" t="s">
        <v>337</v>
      </c>
    </row>
    <row r="214" spans="2:65" s="148" customFormat="1" x14ac:dyDescent="0.2">
      <c r="B214" s="149"/>
      <c r="D214" s="143" t="s">
        <v>346</v>
      </c>
      <c r="E214" s="150"/>
      <c r="F214" s="151" t="s">
        <v>5008</v>
      </c>
      <c r="H214" s="152">
        <v>222376.68</v>
      </c>
      <c r="L214" s="149"/>
      <c r="M214" s="153"/>
      <c r="T214" s="154"/>
      <c r="AT214" s="150" t="s">
        <v>346</v>
      </c>
      <c r="AU214" s="150" t="s">
        <v>90</v>
      </c>
      <c r="AV214" s="148" t="s">
        <v>90</v>
      </c>
      <c r="AW214" s="148" t="s">
        <v>33</v>
      </c>
      <c r="AX214" s="148" t="s">
        <v>80</v>
      </c>
      <c r="AY214" s="150" t="s">
        <v>337</v>
      </c>
    </row>
    <row r="215" spans="2:65" s="155" customFormat="1" x14ac:dyDescent="0.2">
      <c r="B215" s="156"/>
      <c r="D215" s="143" t="s">
        <v>346</v>
      </c>
      <c r="E215" s="157"/>
      <c r="F215" s="158" t="s">
        <v>351</v>
      </c>
      <c r="H215" s="159">
        <v>231654.48</v>
      </c>
      <c r="L215" s="156"/>
      <c r="M215" s="160"/>
      <c r="T215" s="161"/>
      <c r="AT215" s="157" t="s">
        <v>346</v>
      </c>
      <c r="AU215" s="157" t="s">
        <v>90</v>
      </c>
      <c r="AV215" s="155" t="s">
        <v>344</v>
      </c>
      <c r="AW215" s="155" t="s">
        <v>33</v>
      </c>
      <c r="AX215" s="155" t="s">
        <v>87</v>
      </c>
      <c r="AY215" s="157" t="s">
        <v>337</v>
      </c>
    </row>
    <row r="216" spans="2:65" s="16" customFormat="1" ht="16.5" customHeight="1" x14ac:dyDescent="0.2">
      <c r="B216" s="17"/>
      <c r="C216" s="128">
        <v>10</v>
      </c>
      <c r="D216" s="128" t="s">
        <v>339</v>
      </c>
      <c r="E216" s="129" t="s">
        <v>5021</v>
      </c>
      <c r="F216" s="130" t="s">
        <v>5022</v>
      </c>
      <c r="G216" s="131" t="s">
        <v>425</v>
      </c>
      <c r="H216" s="132">
        <v>3860.9079999999999</v>
      </c>
      <c r="I216" s="133"/>
      <c r="J216" s="134">
        <f>ROUND(I216*H216,2)</f>
        <v>0</v>
      </c>
      <c r="K216" s="130" t="s">
        <v>343</v>
      </c>
      <c r="L216" s="17"/>
      <c r="M216" s="135"/>
      <c r="N216" s="136" t="s">
        <v>45</v>
      </c>
      <c r="P216" s="137">
        <f>O216*H216</f>
        <v>0</v>
      </c>
      <c r="Q216" s="137">
        <v>0</v>
      </c>
      <c r="R216" s="137">
        <f>Q216*H216</f>
        <v>0</v>
      </c>
      <c r="S216" s="137">
        <v>0</v>
      </c>
      <c r="T216" s="138">
        <f>S216*H216</f>
        <v>0</v>
      </c>
      <c r="AR216" s="139" t="s">
        <v>344</v>
      </c>
      <c r="AT216" s="139" t="s">
        <v>339</v>
      </c>
      <c r="AU216" s="139" t="s">
        <v>90</v>
      </c>
      <c r="AY216" s="2" t="s">
        <v>337</v>
      </c>
      <c r="BE216" s="140">
        <f>IF(N216="základní",J216,0)</f>
        <v>0</v>
      </c>
      <c r="BF216" s="140">
        <f>IF(N216="snížená",J216,0)</f>
        <v>0</v>
      </c>
      <c r="BG216" s="140">
        <f>IF(N216="zákl. přenesená",J216,0)</f>
        <v>0</v>
      </c>
      <c r="BH216" s="140">
        <f>IF(N216="sníž. přenesená",J216,0)</f>
        <v>0</v>
      </c>
      <c r="BI216" s="140">
        <f>IF(N216="nulová",J216,0)</f>
        <v>0</v>
      </c>
      <c r="BJ216" s="2" t="s">
        <v>87</v>
      </c>
      <c r="BK216" s="140">
        <f>ROUND(I216*H216,2)</f>
        <v>0</v>
      </c>
      <c r="BL216" s="2" t="s">
        <v>344</v>
      </c>
      <c r="BM216" s="139" t="s">
        <v>5023</v>
      </c>
    </row>
    <row r="217" spans="2:65" s="16" customFormat="1" ht="16.5" customHeight="1" x14ac:dyDescent="0.2">
      <c r="B217" s="17"/>
      <c r="C217" s="128">
        <v>11</v>
      </c>
      <c r="D217" s="128" t="s">
        <v>339</v>
      </c>
      <c r="E217" s="129" t="s">
        <v>5024</v>
      </c>
      <c r="F217" s="130" t="s">
        <v>5025</v>
      </c>
      <c r="G217" s="131" t="s">
        <v>724</v>
      </c>
      <c r="H217" s="132">
        <v>10</v>
      </c>
      <c r="I217" s="133"/>
      <c r="J217" s="134">
        <f>ROUND(I217*H217,2)</f>
        <v>0</v>
      </c>
      <c r="K217" s="130" t="s">
        <v>343</v>
      </c>
      <c r="L217" s="17"/>
      <c r="M217" s="135"/>
      <c r="N217" s="136" t="s">
        <v>45</v>
      </c>
      <c r="P217" s="137">
        <f>O217*H217</f>
        <v>0</v>
      </c>
      <c r="Q217" s="137">
        <v>0</v>
      </c>
      <c r="R217" s="137">
        <f>Q217*H217</f>
        <v>0</v>
      </c>
      <c r="S217" s="137">
        <v>0</v>
      </c>
      <c r="T217" s="138">
        <f>S217*H217</f>
        <v>0</v>
      </c>
      <c r="AR217" s="139" t="s">
        <v>344</v>
      </c>
      <c r="AT217" s="139" t="s">
        <v>339</v>
      </c>
      <c r="AU217" s="139" t="s">
        <v>90</v>
      </c>
      <c r="AY217" s="2" t="s">
        <v>337</v>
      </c>
      <c r="BE217" s="140">
        <f>IF(N217="základní",J217,0)</f>
        <v>0</v>
      </c>
      <c r="BF217" s="140">
        <f>IF(N217="snížená",J217,0)</f>
        <v>0</v>
      </c>
      <c r="BG217" s="140">
        <f>IF(N217="zákl. přenesená",J217,0)</f>
        <v>0</v>
      </c>
      <c r="BH217" s="140">
        <f>IF(N217="sníž. přenesená",J217,0)</f>
        <v>0</v>
      </c>
      <c r="BI217" s="140">
        <f>IF(N217="nulová",J217,0)</f>
        <v>0</v>
      </c>
      <c r="BJ217" s="2" t="s">
        <v>87</v>
      </c>
      <c r="BK217" s="140">
        <f>ROUND(I217*H217,2)</f>
        <v>0</v>
      </c>
      <c r="BL217" s="2" t="s">
        <v>344</v>
      </c>
      <c r="BM217" s="139" t="s">
        <v>5026</v>
      </c>
    </row>
    <row r="218" spans="2:65" s="16" customFormat="1" ht="16.5" customHeight="1" x14ac:dyDescent="0.2">
      <c r="B218" s="17"/>
      <c r="C218" s="128">
        <v>12</v>
      </c>
      <c r="D218" s="128" t="s">
        <v>339</v>
      </c>
      <c r="E218" s="129" t="s">
        <v>5027</v>
      </c>
      <c r="F218" s="130" t="s">
        <v>5028</v>
      </c>
      <c r="G218" s="131" t="s">
        <v>724</v>
      </c>
      <c r="H218" s="132">
        <v>600</v>
      </c>
      <c r="I218" s="133"/>
      <c r="J218" s="134">
        <f>ROUND(I218*H218,2)</f>
        <v>0</v>
      </c>
      <c r="K218" s="130" t="s">
        <v>343</v>
      </c>
      <c r="L218" s="17"/>
      <c r="M218" s="135"/>
      <c r="N218" s="136" t="s">
        <v>45</v>
      </c>
      <c r="P218" s="137">
        <f>O218*H218</f>
        <v>0</v>
      </c>
      <c r="Q218" s="137">
        <v>0</v>
      </c>
      <c r="R218" s="137">
        <f>Q218*H218</f>
        <v>0</v>
      </c>
      <c r="S218" s="137">
        <v>0</v>
      </c>
      <c r="T218" s="138">
        <f>S218*H218</f>
        <v>0</v>
      </c>
      <c r="AR218" s="139" t="s">
        <v>344</v>
      </c>
      <c r="AT218" s="139" t="s">
        <v>339</v>
      </c>
      <c r="AU218" s="139" t="s">
        <v>90</v>
      </c>
      <c r="AY218" s="2" t="s">
        <v>337</v>
      </c>
      <c r="BE218" s="140">
        <f>IF(N218="základní",J218,0)</f>
        <v>0</v>
      </c>
      <c r="BF218" s="140">
        <f>IF(N218="snížená",J218,0)</f>
        <v>0</v>
      </c>
      <c r="BG218" s="140">
        <f>IF(N218="zákl. přenesená",J218,0)</f>
        <v>0</v>
      </c>
      <c r="BH218" s="140">
        <f>IF(N218="sníž. přenesená",J218,0)</f>
        <v>0</v>
      </c>
      <c r="BI218" s="140">
        <f>IF(N218="nulová",J218,0)</f>
        <v>0</v>
      </c>
      <c r="BJ218" s="2" t="s">
        <v>87</v>
      </c>
      <c r="BK218" s="140">
        <f>ROUND(I218*H218,2)</f>
        <v>0</v>
      </c>
      <c r="BL218" s="2" t="s">
        <v>344</v>
      </c>
      <c r="BM218" s="139" t="s">
        <v>5029</v>
      </c>
    </row>
    <row r="219" spans="2:65" s="148" customFormat="1" x14ac:dyDescent="0.2">
      <c r="B219" s="149"/>
      <c r="D219" s="143" t="s">
        <v>346</v>
      </c>
      <c r="E219" s="150"/>
      <c r="F219" s="151" t="s">
        <v>5030</v>
      </c>
      <c r="H219" s="152">
        <v>600</v>
      </c>
      <c r="L219" s="149"/>
      <c r="M219" s="153"/>
      <c r="T219" s="154"/>
      <c r="AT219" s="150" t="s">
        <v>346</v>
      </c>
      <c r="AU219" s="150" t="s">
        <v>90</v>
      </c>
      <c r="AV219" s="148" t="s">
        <v>90</v>
      </c>
      <c r="AW219" s="148" t="s">
        <v>33</v>
      </c>
      <c r="AX219" s="148" t="s">
        <v>87</v>
      </c>
      <c r="AY219" s="150" t="s">
        <v>337</v>
      </c>
    </row>
    <row r="220" spans="2:65" s="16" customFormat="1" ht="16.5" customHeight="1" x14ac:dyDescent="0.2">
      <c r="B220" s="17"/>
      <c r="C220" s="128">
        <v>13</v>
      </c>
      <c r="D220" s="128" t="s">
        <v>339</v>
      </c>
      <c r="E220" s="129" t="s">
        <v>5031</v>
      </c>
      <c r="F220" s="130" t="s">
        <v>5032</v>
      </c>
      <c r="G220" s="131" t="s">
        <v>724</v>
      </c>
      <c r="H220" s="132">
        <v>10</v>
      </c>
      <c r="I220" s="133"/>
      <c r="J220" s="134">
        <f>ROUND(I220*H220,2)</f>
        <v>0</v>
      </c>
      <c r="K220" s="130" t="s">
        <v>343</v>
      </c>
      <c r="L220" s="17"/>
      <c r="M220" s="135"/>
      <c r="N220" s="136" t="s">
        <v>45</v>
      </c>
      <c r="P220" s="137">
        <f>O220*H220</f>
        <v>0</v>
      </c>
      <c r="Q220" s="137">
        <v>0</v>
      </c>
      <c r="R220" s="137">
        <f>Q220*H220</f>
        <v>0</v>
      </c>
      <c r="S220" s="137">
        <v>0</v>
      </c>
      <c r="T220" s="138">
        <f>S220*H220</f>
        <v>0</v>
      </c>
      <c r="AR220" s="139" t="s">
        <v>344</v>
      </c>
      <c r="AT220" s="139" t="s">
        <v>339</v>
      </c>
      <c r="AU220" s="139" t="s">
        <v>90</v>
      </c>
      <c r="AY220" s="2" t="s">
        <v>337</v>
      </c>
      <c r="BE220" s="140">
        <f>IF(N220="základní",J220,0)</f>
        <v>0</v>
      </c>
      <c r="BF220" s="140">
        <f>IF(N220="snížená",J220,0)</f>
        <v>0</v>
      </c>
      <c r="BG220" s="140">
        <f>IF(N220="zákl. přenesená",J220,0)</f>
        <v>0</v>
      </c>
      <c r="BH220" s="140">
        <f>IF(N220="sníž. přenesená",J220,0)</f>
        <v>0</v>
      </c>
      <c r="BI220" s="140">
        <f>IF(N220="nulová",J220,0)</f>
        <v>0</v>
      </c>
      <c r="BJ220" s="2" t="s">
        <v>87</v>
      </c>
      <c r="BK220" s="140">
        <f>ROUND(I220*H220,2)</f>
        <v>0</v>
      </c>
      <c r="BL220" s="2" t="s">
        <v>344</v>
      </c>
      <c r="BM220" s="139" t="s">
        <v>5033</v>
      </c>
    </row>
    <row r="221" spans="2:65" s="16" customFormat="1" ht="21.75" customHeight="1" x14ac:dyDescent="0.2">
      <c r="B221" s="17"/>
      <c r="C221" s="128">
        <v>14</v>
      </c>
      <c r="D221" s="128" t="s">
        <v>339</v>
      </c>
      <c r="E221" s="129" t="s">
        <v>5034</v>
      </c>
      <c r="F221" s="130" t="s">
        <v>5035</v>
      </c>
      <c r="G221" s="131" t="s">
        <v>425</v>
      </c>
      <c r="H221" s="132">
        <v>4000.9450000000002</v>
      </c>
      <c r="I221" s="133"/>
      <c r="J221" s="134">
        <f>ROUND(I221*H221,2)</f>
        <v>0</v>
      </c>
      <c r="K221" s="130" t="s">
        <v>343</v>
      </c>
      <c r="L221" s="17"/>
      <c r="M221" s="135"/>
      <c r="N221" s="136" t="s">
        <v>45</v>
      </c>
      <c r="P221" s="137">
        <f>O221*H221</f>
        <v>0</v>
      </c>
      <c r="Q221" s="137">
        <v>1.2999999999999999E-4</v>
      </c>
      <c r="R221" s="137">
        <f>Q221*H221</f>
        <v>0.52012285000000003</v>
      </c>
      <c r="S221" s="137">
        <v>0</v>
      </c>
      <c r="T221" s="138">
        <f>S221*H221</f>
        <v>0</v>
      </c>
      <c r="AR221" s="139" t="s">
        <v>344</v>
      </c>
      <c r="AT221" s="139" t="s">
        <v>339</v>
      </c>
      <c r="AU221" s="139" t="s">
        <v>90</v>
      </c>
      <c r="AY221" s="2" t="s">
        <v>337</v>
      </c>
      <c r="BE221" s="140">
        <f>IF(N221="základní",J221,0)</f>
        <v>0</v>
      </c>
      <c r="BF221" s="140">
        <f>IF(N221="snížená",J221,0)</f>
        <v>0</v>
      </c>
      <c r="BG221" s="140">
        <f>IF(N221="zákl. přenesená",J221,0)</f>
        <v>0</v>
      </c>
      <c r="BH221" s="140">
        <f>IF(N221="sníž. přenesená",J221,0)</f>
        <v>0</v>
      </c>
      <c r="BI221" s="140">
        <f>IF(N221="nulová",J221,0)</f>
        <v>0</v>
      </c>
      <c r="BJ221" s="2" t="s">
        <v>87</v>
      </c>
      <c r="BK221" s="140">
        <f>ROUND(I221*H221,2)</f>
        <v>0</v>
      </c>
      <c r="BL221" s="2" t="s">
        <v>344</v>
      </c>
      <c r="BM221" s="139" t="s">
        <v>5036</v>
      </c>
    </row>
    <row r="222" spans="2:65" s="141" customFormat="1" x14ac:dyDescent="0.2">
      <c r="B222" s="142"/>
      <c r="D222" s="143" t="s">
        <v>346</v>
      </c>
      <c r="E222" s="144"/>
      <c r="F222" s="145" t="s">
        <v>5037</v>
      </c>
      <c r="H222" s="144"/>
      <c r="L222" s="142"/>
      <c r="M222" s="146"/>
      <c r="T222" s="147"/>
      <c r="AT222" s="144" t="s">
        <v>346</v>
      </c>
      <c r="AU222" s="144" t="s">
        <v>90</v>
      </c>
      <c r="AV222" s="141" t="s">
        <v>87</v>
      </c>
      <c r="AW222" s="141" t="s">
        <v>33</v>
      </c>
      <c r="AX222" s="141" t="s">
        <v>80</v>
      </c>
      <c r="AY222" s="144" t="s">
        <v>337</v>
      </c>
    </row>
    <row r="223" spans="2:65" s="141" customFormat="1" x14ac:dyDescent="0.2">
      <c r="B223" s="142"/>
      <c r="D223" s="143" t="s">
        <v>346</v>
      </c>
      <c r="E223" s="144"/>
      <c r="F223" s="145" t="s">
        <v>5038</v>
      </c>
      <c r="H223" s="144"/>
      <c r="L223" s="142"/>
      <c r="M223" s="146"/>
      <c r="T223" s="147"/>
      <c r="AT223" s="144" t="s">
        <v>346</v>
      </c>
      <c r="AU223" s="144" t="s">
        <v>90</v>
      </c>
      <c r="AV223" s="141" t="s">
        <v>87</v>
      </c>
      <c r="AW223" s="141" t="s">
        <v>33</v>
      </c>
      <c r="AX223" s="141" t="s">
        <v>80</v>
      </c>
      <c r="AY223" s="144" t="s">
        <v>337</v>
      </c>
    </row>
    <row r="224" spans="2:65" s="141" customFormat="1" x14ac:dyDescent="0.2">
      <c r="B224" s="142"/>
      <c r="D224" s="143" t="s">
        <v>346</v>
      </c>
      <c r="E224" s="144"/>
      <c r="F224" s="145" t="s">
        <v>5039</v>
      </c>
      <c r="H224" s="144"/>
      <c r="L224" s="142"/>
      <c r="M224" s="146"/>
      <c r="T224" s="147"/>
      <c r="AT224" s="144" t="s">
        <v>346</v>
      </c>
      <c r="AU224" s="144" t="s">
        <v>90</v>
      </c>
      <c r="AV224" s="141" t="s">
        <v>87</v>
      </c>
      <c r="AW224" s="141" t="s">
        <v>33</v>
      </c>
      <c r="AX224" s="141" t="s">
        <v>80</v>
      </c>
      <c r="AY224" s="144" t="s">
        <v>337</v>
      </c>
    </row>
    <row r="225" spans="2:51" s="148" customFormat="1" x14ac:dyDescent="0.2">
      <c r="B225" s="149"/>
      <c r="D225" s="143" t="s">
        <v>346</v>
      </c>
      <c r="E225" s="150"/>
      <c r="F225" s="151" t="s">
        <v>2025</v>
      </c>
      <c r="H225" s="152">
        <v>63.37</v>
      </c>
      <c r="L225" s="149"/>
      <c r="M225" s="153"/>
      <c r="T225" s="154"/>
      <c r="AT225" s="150" t="s">
        <v>346</v>
      </c>
      <c r="AU225" s="150" t="s">
        <v>90</v>
      </c>
      <c r="AV225" s="148" t="s">
        <v>90</v>
      </c>
      <c r="AW225" s="148" t="s">
        <v>33</v>
      </c>
      <c r="AX225" s="148" t="s">
        <v>80</v>
      </c>
      <c r="AY225" s="150" t="s">
        <v>337</v>
      </c>
    </row>
    <row r="226" spans="2:51" s="148" customFormat="1" x14ac:dyDescent="0.2">
      <c r="B226" s="149"/>
      <c r="D226" s="143" t="s">
        <v>346</v>
      </c>
      <c r="E226" s="150"/>
      <c r="F226" s="151" t="s">
        <v>5040</v>
      </c>
      <c r="H226" s="152">
        <v>83.75</v>
      </c>
      <c r="L226" s="149"/>
      <c r="M226" s="153"/>
      <c r="T226" s="154"/>
      <c r="AT226" s="150" t="s">
        <v>346</v>
      </c>
      <c r="AU226" s="150" t="s">
        <v>90</v>
      </c>
      <c r="AV226" s="148" t="s">
        <v>90</v>
      </c>
      <c r="AW226" s="148" t="s">
        <v>33</v>
      </c>
      <c r="AX226" s="148" t="s">
        <v>80</v>
      </c>
      <c r="AY226" s="150" t="s">
        <v>337</v>
      </c>
    </row>
    <row r="227" spans="2:51" s="141" customFormat="1" x14ac:dyDescent="0.2">
      <c r="B227" s="142"/>
      <c r="D227" s="143" t="s">
        <v>346</v>
      </c>
      <c r="E227" s="144"/>
      <c r="F227" s="145" t="s">
        <v>357</v>
      </c>
      <c r="H227" s="144"/>
      <c r="L227" s="142"/>
      <c r="M227" s="146"/>
      <c r="T227" s="147"/>
      <c r="AT227" s="144" t="s">
        <v>346</v>
      </c>
      <c r="AU227" s="144" t="s">
        <v>90</v>
      </c>
      <c r="AV227" s="141" t="s">
        <v>87</v>
      </c>
      <c r="AW227" s="141" t="s">
        <v>33</v>
      </c>
      <c r="AX227" s="141" t="s">
        <v>80</v>
      </c>
      <c r="AY227" s="144" t="s">
        <v>337</v>
      </c>
    </row>
    <row r="228" spans="2:51" s="148" customFormat="1" x14ac:dyDescent="0.2">
      <c r="B228" s="149"/>
      <c r="D228" s="143" t="s">
        <v>346</v>
      </c>
      <c r="E228" s="150"/>
      <c r="F228" s="151" t="s">
        <v>5041</v>
      </c>
      <c r="H228" s="152">
        <v>624.15</v>
      </c>
      <c r="L228" s="149"/>
      <c r="M228" s="153"/>
      <c r="T228" s="154"/>
      <c r="AT228" s="150" t="s">
        <v>346</v>
      </c>
      <c r="AU228" s="150" t="s">
        <v>90</v>
      </c>
      <c r="AV228" s="148" t="s">
        <v>90</v>
      </c>
      <c r="AW228" s="148" t="s">
        <v>33</v>
      </c>
      <c r="AX228" s="148" t="s">
        <v>80</v>
      </c>
      <c r="AY228" s="150" t="s">
        <v>337</v>
      </c>
    </row>
    <row r="229" spans="2:51" s="141" customFormat="1" x14ac:dyDescent="0.2">
      <c r="B229" s="142"/>
      <c r="D229" s="143" t="s">
        <v>346</v>
      </c>
      <c r="E229" s="144"/>
      <c r="F229" s="145" t="s">
        <v>362</v>
      </c>
      <c r="H229" s="144"/>
      <c r="L229" s="142"/>
      <c r="M229" s="146"/>
      <c r="T229" s="147"/>
      <c r="AT229" s="144" t="s">
        <v>346</v>
      </c>
      <c r="AU229" s="144" t="s">
        <v>90</v>
      </c>
      <c r="AV229" s="141" t="s">
        <v>87</v>
      </c>
      <c r="AW229" s="141" t="s">
        <v>33</v>
      </c>
      <c r="AX229" s="141" t="s">
        <v>80</v>
      </c>
      <c r="AY229" s="144" t="s">
        <v>337</v>
      </c>
    </row>
    <row r="230" spans="2:51" s="148" customFormat="1" x14ac:dyDescent="0.2">
      <c r="B230" s="149"/>
      <c r="D230" s="143" t="s">
        <v>346</v>
      </c>
      <c r="E230" s="150"/>
      <c r="F230" s="151" t="s">
        <v>5042</v>
      </c>
      <c r="H230" s="152">
        <v>683.86</v>
      </c>
      <c r="L230" s="149"/>
      <c r="M230" s="153"/>
      <c r="T230" s="154"/>
      <c r="AT230" s="150" t="s">
        <v>346</v>
      </c>
      <c r="AU230" s="150" t="s">
        <v>90</v>
      </c>
      <c r="AV230" s="148" t="s">
        <v>90</v>
      </c>
      <c r="AW230" s="148" t="s">
        <v>33</v>
      </c>
      <c r="AX230" s="148" t="s">
        <v>80</v>
      </c>
      <c r="AY230" s="150" t="s">
        <v>337</v>
      </c>
    </row>
    <row r="231" spans="2:51" s="141" customFormat="1" x14ac:dyDescent="0.2">
      <c r="B231" s="142"/>
      <c r="D231" s="143" t="s">
        <v>346</v>
      </c>
      <c r="E231" s="144"/>
      <c r="F231" s="145" t="s">
        <v>367</v>
      </c>
      <c r="H231" s="144"/>
      <c r="L231" s="142"/>
      <c r="M231" s="146"/>
      <c r="T231" s="147"/>
      <c r="AT231" s="144" t="s">
        <v>346</v>
      </c>
      <c r="AU231" s="144" t="s">
        <v>90</v>
      </c>
      <c r="AV231" s="141" t="s">
        <v>87</v>
      </c>
      <c r="AW231" s="141" t="s">
        <v>33</v>
      </c>
      <c r="AX231" s="141" t="s">
        <v>80</v>
      </c>
      <c r="AY231" s="144" t="s">
        <v>337</v>
      </c>
    </row>
    <row r="232" spans="2:51" s="148" customFormat="1" x14ac:dyDescent="0.2">
      <c r="B232" s="149"/>
      <c r="D232" s="143" t="s">
        <v>346</v>
      </c>
      <c r="E232" s="150"/>
      <c r="F232" s="151" t="s">
        <v>5043</v>
      </c>
      <c r="H232" s="152">
        <v>603.42999999999995</v>
      </c>
      <c r="L232" s="149"/>
      <c r="M232" s="153"/>
      <c r="T232" s="154"/>
      <c r="AT232" s="150" t="s">
        <v>346</v>
      </c>
      <c r="AU232" s="150" t="s">
        <v>90</v>
      </c>
      <c r="AV232" s="148" t="s">
        <v>90</v>
      </c>
      <c r="AW232" s="148" t="s">
        <v>33</v>
      </c>
      <c r="AX232" s="148" t="s">
        <v>80</v>
      </c>
      <c r="AY232" s="150" t="s">
        <v>337</v>
      </c>
    </row>
    <row r="233" spans="2:51" s="141" customFormat="1" x14ac:dyDescent="0.2">
      <c r="B233" s="142"/>
      <c r="D233" s="143" t="s">
        <v>346</v>
      </c>
      <c r="E233" s="144"/>
      <c r="F233" s="145" t="s">
        <v>368</v>
      </c>
      <c r="H233" s="144"/>
      <c r="L233" s="142"/>
      <c r="M233" s="146"/>
      <c r="T233" s="147"/>
      <c r="AT233" s="144" t="s">
        <v>346</v>
      </c>
      <c r="AU233" s="144" t="s">
        <v>90</v>
      </c>
      <c r="AV233" s="141" t="s">
        <v>87</v>
      </c>
      <c r="AW233" s="141" t="s">
        <v>33</v>
      </c>
      <c r="AX233" s="141" t="s">
        <v>80</v>
      </c>
      <c r="AY233" s="144" t="s">
        <v>337</v>
      </c>
    </row>
    <row r="234" spans="2:51" s="148" customFormat="1" x14ac:dyDescent="0.2">
      <c r="B234" s="149"/>
      <c r="D234" s="143" t="s">
        <v>346</v>
      </c>
      <c r="E234" s="150"/>
      <c r="F234" s="151" t="s">
        <v>5044</v>
      </c>
      <c r="H234" s="152">
        <v>598.26</v>
      </c>
      <c r="L234" s="149"/>
      <c r="M234" s="153"/>
      <c r="T234" s="154"/>
      <c r="AT234" s="150" t="s">
        <v>346</v>
      </c>
      <c r="AU234" s="150" t="s">
        <v>90</v>
      </c>
      <c r="AV234" s="148" t="s">
        <v>90</v>
      </c>
      <c r="AW234" s="148" t="s">
        <v>33</v>
      </c>
      <c r="AX234" s="148" t="s">
        <v>80</v>
      </c>
      <c r="AY234" s="150" t="s">
        <v>337</v>
      </c>
    </row>
    <row r="235" spans="2:51" s="141" customFormat="1" x14ac:dyDescent="0.2">
      <c r="B235" s="142"/>
      <c r="D235" s="143" t="s">
        <v>346</v>
      </c>
      <c r="E235" s="144"/>
      <c r="F235" s="145" t="s">
        <v>370</v>
      </c>
      <c r="H235" s="144"/>
      <c r="L235" s="142"/>
      <c r="M235" s="146"/>
      <c r="T235" s="147"/>
      <c r="AT235" s="144" t="s">
        <v>346</v>
      </c>
      <c r="AU235" s="144" t="s">
        <v>90</v>
      </c>
      <c r="AV235" s="141" t="s">
        <v>87</v>
      </c>
      <c r="AW235" s="141" t="s">
        <v>33</v>
      </c>
      <c r="AX235" s="141" t="s">
        <v>80</v>
      </c>
      <c r="AY235" s="144" t="s">
        <v>337</v>
      </c>
    </row>
    <row r="236" spans="2:51" s="148" customFormat="1" x14ac:dyDescent="0.2">
      <c r="B236" s="149"/>
      <c r="D236" s="143" t="s">
        <v>346</v>
      </c>
      <c r="E236" s="150"/>
      <c r="F236" s="151" t="s">
        <v>5045</v>
      </c>
      <c r="H236" s="152">
        <v>593.01</v>
      </c>
      <c r="L236" s="149"/>
      <c r="M236" s="153"/>
      <c r="T236" s="154"/>
      <c r="AT236" s="150" t="s">
        <v>346</v>
      </c>
      <c r="AU236" s="150" t="s">
        <v>90</v>
      </c>
      <c r="AV236" s="148" t="s">
        <v>90</v>
      </c>
      <c r="AW236" s="148" t="s">
        <v>33</v>
      </c>
      <c r="AX236" s="148" t="s">
        <v>80</v>
      </c>
      <c r="AY236" s="150" t="s">
        <v>337</v>
      </c>
    </row>
    <row r="237" spans="2:51" s="141" customFormat="1" x14ac:dyDescent="0.2">
      <c r="B237" s="142"/>
      <c r="D237" s="143" t="s">
        <v>346</v>
      </c>
      <c r="E237" s="144"/>
      <c r="F237" s="145" t="s">
        <v>434</v>
      </c>
      <c r="H237" s="144"/>
      <c r="L237" s="142"/>
      <c r="M237" s="146"/>
      <c r="T237" s="147"/>
      <c r="AT237" s="144" t="s">
        <v>346</v>
      </c>
      <c r="AU237" s="144" t="s">
        <v>90</v>
      </c>
      <c r="AV237" s="141" t="s">
        <v>87</v>
      </c>
      <c r="AW237" s="141" t="s">
        <v>33</v>
      </c>
      <c r="AX237" s="141" t="s">
        <v>80</v>
      </c>
      <c r="AY237" s="144" t="s">
        <v>337</v>
      </c>
    </row>
    <row r="238" spans="2:51" s="148" customFormat="1" x14ac:dyDescent="0.2">
      <c r="B238" s="149"/>
      <c r="D238" s="143" t="s">
        <v>346</v>
      </c>
      <c r="E238" s="150"/>
      <c r="F238" s="151" t="s">
        <v>5046</v>
      </c>
      <c r="H238" s="152">
        <v>471.13</v>
      </c>
      <c r="L238" s="149"/>
      <c r="M238" s="153"/>
      <c r="T238" s="154"/>
      <c r="AT238" s="150" t="s">
        <v>346</v>
      </c>
      <c r="AU238" s="150" t="s">
        <v>90</v>
      </c>
      <c r="AV238" s="148" t="s">
        <v>90</v>
      </c>
      <c r="AW238" s="148" t="s">
        <v>33</v>
      </c>
      <c r="AX238" s="148" t="s">
        <v>80</v>
      </c>
      <c r="AY238" s="150" t="s">
        <v>337</v>
      </c>
    </row>
    <row r="239" spans="2:51" s="141" customFormat="1" x14ac:dyDescent="0.2">
      <c r="B239" s="142"/>
      <c r="D239" s="143" t="s">
        <v>346</v>
      </c>
      <c r="E239" s="144"/>
      <c r="F239" s="145" t="s">
        <v>5047</v>
      </c>
      <c r="H239" s="144"/>
      <c r="L239" s="142"/>
      <c r="M239" s="146"/>
      <c r="T239" s="147"/>
      <c r="AT239" s="144" t="s">
        <v>346</v>
      </c>
      <c r="AU239" s="144" t="s">
        <v>90</v>
      </c>
      <c r="AV239" s="141" t="s">
        <v>87</v>
      </c>
      <c r="AW239" s="141" t="s">
        <v>33</v>
      </c>
      <c r="AX239" s="141" t="s">
        <v>80</v>
      </c>
      <c r="AY239" s="144" t="s">
        <v>337</v>
      </c>
    </row>
    <row r="240" spans="2:51" s="148" customFormat="1" x14ac:dyDescent="0.2">
      <c r="B240" s="149"/>
      <c r="D240" s="143" t="s">
        <v>346</v>
      </c>
      <c r="E240" s="150"/>
      <c r="F240" s="151" t="s">
        <v>912</v>
      </c>
      <c r="H240" s="152">
        <v>102.85</v>
      </c>
      <c r="L240" s="149"/>
      <c r="M240" s="153"/>
      <c r="T240" s="154"/>
      <c r="AT240" s="150" t="s">
        <v>346</v>
      </c>
      <c r="AU240" s="150" t="s">
        <v>90</v>
      </c>
      <c r="AV240" s="148" t="s">
        <v>90</v>
      </c>
      <c r="AW240" s="148" t="s">
        <v>33</v>
      </c>
      <c r="AX240" s="148" t="s">
        <v>80</v>
      </c>
      <c r="AY240" s="150" t="s">
        <v>337</v>
      </c>
    </row>
    <row r="241" spans="2:65" s="141" customFormat="1" x14ac:dyDescent="0.2">
      <c r="B241" s="142"/>
      <c r="D241" s="143" t="s">
        <v>346</v>
      </c>
      <c r="E241" s="144"/>
      <c r="F241" s="145" t="s">
        <v>5048</v>
      </c>
      <c r="H241" s="144"/>
      <c r="L241" s="142"/>
      <c r="M241" s="146"/>
      <c r="T241" s="147"/>
      <c r="AT241" s="144" t="s">
        <v>346</v>
      </c>
      <c r="AU241" s="144" t="s">
        <v>90</v>
      </c>
      <c r="AV241" s="141" t="s">
        <v>87</v>
      </c>
      <c r="AW241" s="141" t="s">
        <v>33</v>
      </c>
      <c r="AX241" s="141" t="s">
        <v>80</v>
      </c>
      <c r="AY241" s="144" t="s">
        <v>337</v>
      </c>
    </row>
    <row r="242" spans="2:65" s="148" customFormat="1" x14ac:dyDescent="0.2">
      <c r="B242" s="149"/>
      <c r="D242" s="143" t="s">
        <v>346</v>
      </c>
      <c r="E242" s="150"/>
      <c r="F242" s="151" t="s">
        <v>3323</v>
      </c>
      <c r="H242" s="152">
        <v>15.36</v>
      </c>
      <c r="L242" s="149"/>
      <c r="M242" s="153"/>
      <c r="T242" s="154"/>
      <c r="AT242" s="150" t="s">
        <v>346</v>
      </c>
      <c r="AU242" s="150" t="s">
        <v>90</v>
      </c>
      <c r="AV242" s="148" t="s">
        <v>90</v>
      </c>
      <c r="AW242" s="148" t="s">
        <v>33</v>
      </c>
      <c r="AX242" s="148" t="s">
        <v>80</v>
      </c>
      <c r="AY242" s="150" t="s">
        <v>337</v>
      </c>
    </row>
    <row r="243" spans="2:65" s="148" customFormat="1" x14ac:dyDescent="0.2">
      <c r="B243" s="149"/>
      <c r="D243" s="143" t="s">
        <v>346</v>
      </c>
      <c r="E243" s="150"/>
      <c r="F243" s="151" t="s">
        <v>3324</v>
      </c>
      <c r="H243" s="152">
        <v>40.975000000000001</v>
      </c>
      <c r="L243" s="149"/>
      <c r="M243" s="153"/>
      <c r="T243" s="154"/>
      <c r="AT243" s="150" t="s">
        <v>346</v>
      </c>
      <c r="AU243" s="150" t="s">
        <v>90</v>
      </c>
      <c r="AV243" s="148" t="s">
        <v>90</v>
      </c>
      <c r="AW243" s="148" t="s">
        <v>33</v>
      </c>
      <c r="AX243" s="148" t="s">
        <v>80</v>
      </c>
      <c r="AY243" s="150" t="s">
        <v>337</v>
      </c>
    </row>
    <row r="244" spans="2:65" s="141" customFormat="1" x14ac:dyDescent="0.2">
      <c r="B244" s="142"/>
      <c r="D244" s="143" t="s">
        <v>346</v>
      </c>
      <c r="E244" s="144"/>
      <c r="F244" s="145" t="s">
        <v>5049</v>
      </c>
      <c r="H244" s="144"/>
      <c r="L244" s="142"/>
      <c r="M244" s="146"/>
      <c r="T244" s="147"/>
      <c r="AT244" s="144" t="s">
        <v>346</v>
      </c>
      <c r="AU244" s="144" t="s">
        <v>90</v>
      </c>
      <c r="AV244" s="141" t="s">
        <v>87</v>
      </c>
      <c r="AW244" s="141" t="s">
        <v>33</v>
      </c>
      <c r="AX244" s="141" t="s">
        <v>80</v>
      </c>
      <c r="AY244" s="144" t="s">
        <v>337</v>
      </c>
    </row>
    <row r="245" spans="2:65" s="141" customFormat="1" x14ac:dyDescent="0.2">
      <c r="B245" s="142"/>
      <c r="D245" s="143" t="s">
        <v>346</v>
      </c>
      <c r="E245" s="144"/>
      <c r="F245" s="145" t="s">
        <v>5050</v>
      </c>
      <c r="H245" s="144"/>
      <c r="L245" s="142"/>
      <c r="M245" s="146"/>
      <c r="T245" s="147"/>
      <c r="AT245" s="144" t="s">
        <v>346</v>
      </c>
      <c r="AU245" s="144" t="s">
        <v>90</v>
      </c>
      <c r="AV245" s="141" t="s">
        <v>87</v>
      </c>
      <c r="AW245" s="141" t="s">
        <v>33</v>
      </c>
      <c r="AX245" s="141" t="s">
        <v>80</v>
      </c>
      <c r="AY245" s="144" t="s">
        <v>337</v>
      </c>
    </row>
    <row r="246" spans="2:65" s="148" customFormat="1" x14ac:dyDescent="0.2">
      <c r="B246" s="149"/>
      <c r="D246" s="143" t="s">
        <v>346</v>
      </c>
      <c r="E246" s="150"/>
      <c r="F246" s="151" t="s">
        <v>5051</v>
      </c>
      <c r="H246" s="152">
        <v>5.9</v>
      </c>
      <c r="L246" s="149"/>
      <c r="M246" s="153"/>
      <c r="T246" s="154"/>
      <c r="AT246" s="150" t="s">
        <v>346</v>
      </c>
      <c r="AU246" s="150" t="s">
        <v>90</v>
      </c>
      <c r="AV246" s="148" t="s">
        <v>90</v>
      </c>
      <c r="AW246" s="148" t="s">
        <v>33</v>
      </c>
      <c r="AX246" s="148" t="s">
        <v>80</v>
      </c>
      <c r="AY246" s="150" t="s">
        <v>337</v>
      </c>
    </row>
    <row r="247" spans="2:65" s="141" customFormat="1" x14ac:dyDescent="0.2">
      <c r="B247" s="142"/>
      <c r="D247" s="143" t="s">
        <v>346</v>
      </c>
      <c r="E247" s="144"/>
      <c r="F247" s="145" t="s">
        <v>5052</v>
      </c>
      <c r="H247" s="144"/>
      <c r="L247" s="142"/>
      <c r="M247" s="146"/>
      <c r="T247" s="147"/>
      <c r="AT247" s="144" t="s">
        <v>346</v>
      </c>
      <c r="AU247" s="144" t="s">
        <v>90</v>
      </c>
      <c r="AV247" s="141" t="s">
        <v>87</v>
      </c>
      <c r="AW247" s="141" t="s">
        <v>33</v>
      </c>
      <c r="AX247" s="141" t="s">
        <v>80</v>
      </c>
      <c r="AY247" s="144" t="s">
        <v>337</v>
      </c>
    </row>
    <row r="248" spans="2:65" s="148" customFormat="1" x14ac:dyDescent="0.2">
      <c r="B248" s="149"/>
      <c r="D248" s="143" t="s">
        <v>346</v>
      </c>
      <c r="E248" s="150"/>
      <c r="F248" s="151" t="s">
        <v>5053</v>
      </c>
      <c r="H248" s="152">
        <v>14.9</v>
      </c>
      <c r="L248" s="149"/>
      <c r="M248" s="153"/>
      <c r="T248" s="154"/>
      <c r="AT248" s="150" t="s">
        <v>346</v>
      </c>
      <c r="AU248" s="150" t="s">
        <v>90</v>
      </c>
      <c r="AV248" s="148" t="s">
        <v>90</v>
      </c>
      <c r="AW248" s="148" t="s">
        <v>33</v>
      </c>
      <c r="AX248" s="148" t="s">
        <v>80</v>
      </c>
      <c r="AY248" s="150" t="s">
        <v>337</v>
      </c>
    </row>
    <row r="249" spans="2:65" s="141" customFormat="1" x14ac:dyDescent="0.2">
      <c r="B249" s="142"/>
      <c r="D249" s="143" t="s">
        <v>346</v>
      </c>
      <c r="E249" s="144"/>
      <c r="F249" s="145" t="s">
        <v>5054</v>
      </c>
      <c r="H249" s="144"/>
      <c r="L249" s="142"/>
      <c r="M249" s="146"/>
      <c r="T249" s="147"/>
      <c r="AT249" s="144" t="s">
        <v>346</v>
      </c>
      <c r="AU249" s="144" t="s">
        <v>90</v>
      </c>
      <c r="AV249" s="141" t="s">
        <v>87</v>
      </c>
      <c r="AW249" s="141" t="s">
        <v>33</v>
      </c>
      <c r="AX249" s="141" t="s">
        <v>80</v>
      </c>
      <c r="AY249" s="144" t="s">
        <v>337</v>
      </c>
    </row>
    <row r="250" spans="2:65" s="148" customFormat="1" x14ac:dyDescent="0.2">
      <c r="B250" s="149"/>
      <c r="D250" s="143" t="s">
        <v>346</v>
      </c>
      <c r="E250" s="150"/>
      <c r="F250" s="151" t="s">
        <v>5055</v>
      </c>
      <c r="H250" s="152">
        <v>100</v>
      </c>
      <c r="L250" s="149"/>
      <c r="M250" s="153"/>
      <c r="T250" s="154"/>
      <c r="AT250" s="150" t="s">
        <v>346</v>
      </c>
      <c r="AU250" s="150" t="s">
        <v>90</v>
      </c>
      <c r="AV250" s="148" t="s">
        <v>90</v>
      </c>
      <c r="AW250" s="148" t="s">
        <v>33</v>
      </c>
      <c r="AX250" s="148" t="s">
        <v>80</v>
      </c>
      <c r="AY250" s="150" t="s">
        <v>337</v>
      </c>
    </row>
    <row r="251" spans="2:65" s="155" customFormat="1" x14ac:dyDescent="0.2">
      <c r="B251" s="156"/>
      <c r="D251" s="143" t="s">
        <v>346</v>
      </c>
      <c r="E251" s="157"/>
      <c r="F251" s="158" t="s">
        <v>351</v>
      </c>
      <c r="H251" s="159">
        <v>4000.9450000000002</v>
      </c>
      <c r="L251" s="156"/>
      <c r="M251" s="160"/>
      <c r="T251" s="161"/>
      <c r="AT251" s="157" t="s">
        <v>346</v>
      </c>
      <c r="AU251" s="157" t="s">
        <v>90</v>
      </c>
      <c r="AV251" s="155" t="s">
        <v>344</v>
      </c>
      <c r="AW251" s="155" t="s">
        <v>33</v>
      </c>
      <c r="AX251" s="155" t="s">
        <v>87</v>
      </c>
      <c r="AY251" s="157" t="s">
        <v>337</v>
      </c>
    </row>
    <row r="252" spans="2:65" s="16" customFormat="1" ht="24.2" customHeight="1" x14ac:dyDescent="0.2">
      <c r="B252" s="17"/>
      <c r="C252" s="128">
        <v>15</v>
      </c>
      <c r="D252" s="128" t="s">
        <v>339</v>
      </c>
      <c r="E252" s="129" t="s">
        <v>5056</v>
      </c>
      <c r="F252" s="130" t="s">
        <v>5057</v>
      </c>
      <c r="G252" s="131" t="s">
        <v>425</v>
      </c>
      <c r="H252" s="132">
        <v>78.56</v>
      </c>
      <c r="I252" s="133"/>
      <c r="J252" s="134">
        <f>ROUND(I252*H252,2)</f>
        <v>0</v>
      </c>
      <c r="K252" s="130" t="s">
        <v>343</v>
      </c>
      <c r="L252" s="17"/>
      <c r="M252" s="135"/>
      <c r="N252" s="136" t="s">
        <v>45</v>
      </c>
      <c r="P252" s="137">
        <f>O252*H252</f>
        <v>0</v>
      </c>
      <c r="Q252" s="137">
        <v>2.1000000000000001E-4</v>
      </c>
      <c r="R252" s="137">
        <f>Q252*H252</f>
        <v>1.6497600000000001E-2</v>
      </c>
      <c r="S252" s="137">
        <v>0</v>
      </c>
      <c r="T252" s="138">
        <f>S252*H252</f>
        <v>0</v>
      </c>
      <c r="AR252" s="139" t="s">
        <v>344</v>
      </c>
      <c r="AT252" s="139" t="s">
        <v>339</v>
      </c>
      <c r="AU252" s="139" t="s">
        <v>90</v>
      </c>
      <c r="AY252" s="2" t="s">
        <v>337</v>
      </c>
      <c r="BE252" s="140">
        <f>IF(N252="základní",J252,0)</f>
        <v>0</v>
      </c>
      <c r="BF252" s="140">
        <f>IF(N252="snížená",J252,0)</f>
        <v>0</v>
      </c>
      <c r="BG252" s="140">
        <f>IF(N252="zákl. přenesená",J252,0)</f>
        <v>0</v>
      </c>
      <c r="BH252" s="140">
        <f>IF(N252="sníž. přenesená",J252,0)</f>
        <v>0</v>
      </c>
      <c r="BI252" s="140">
        <f>IF(N252="nulová",J252,0)</f>
        <v>0</v>
      </c>
      <c r="BJ252" s="2" t="s">
        <v>87</v>
      </c>
      <c r="BK252" s="140">
        <f>ROUND(I252*H252,2)</f>
        <v>0</v>
      </c>
      <c r="BL252" s="2" t="s">
        <v>344</v>
      </c>
      <c r="BM252" s="139" t="s">
        <v>5058</v>
      </c>
    </row>
    <row r="253" spans="2:65" s="141" customFormat="1" x14ac:dyDescent="0.2">
      <c r="B253" s="142"/>
      <c r="D253" s="143" t="s">
        <v>346</v>
      </c>
      <c r="E253" s="144"/>
      <c r="F253" s="145" t="s">
        <v>5049</v>
      </c>
      <c r="H253" s="144"/>
      <c r="L253" s="142"/>
      <c r="M253" s="146"/>
      <c r="T253" s="147"/>
      <c r="AT253" s="144" t="s">
        <v>346</v>
      </c>
      <c r="AU253" s="144" t="s">
        <v>90</v>
      </c>
      <c r="AV253" s="141" t="s">
        <v>87</v>
      </c>
      <c r="AW253" s="141" t="s">
        <v>33</v>
      </c>
      <c r="AX253" s="141" t="s">
        <v>80</v>
      </c>
      <c r="AY253" s="144" t="s">
        <v>337</v>
      </c>
    </row>
    <row r="254" spans="2:65" s="141" customFormat="1" x14ac:dyDescent="0.2">
      <c r="B254" s="142"/>
      <c r="D254" s="143" t="s">
        <v>346</v>
      </c>
      <c r="E254" s="144"/>
      <c r="F254" s="145" t="s">
        <v>5059</v>
      </c>
      <c r="H254" s="144"/>
      <c r="L254" s="142"/>
      <c r="M254" s="146"/>
      <c r="T254" s="147"/>
      <c r="AT254" s="144" t="s">
        <v>346</v>
      </c>
      <c r="AU254" s="144" t="s">
        <v>90</v>
      </c>
      <c r="AV254" s="141" t="s">
        <v>87</v>
      </c>
      <c r="AW254" s="141" t="s">
        <v>33</v>
      </c>
      <c r="AX254" s="141" t="s">
        <v>80</v>
      </c>
      <c r="AY254" s="144" t="s">
        <v>337</v>
      </c>
    </row>
    <row r="255" spans="2:65" s="148" customFormat="1" x14ac:dyDescent="0.2">
      <c r="B255" s="149"/>
      <c r="D255" s="143" t="s">
        <v>346</v>
      </c>
      <c r="E255" s="150"/>
      <c r="F255" s="151" t="s">
        <v>5060</v>
      </c>
      <c r="H255" s="152">
        <v>10.11</v>
      </c>
      <c r="L255" s="149"/>
      <c r="M255" s="153"/>
      <c r="T255" s="154"/>
      <c r="AT255" s="150" t="s">
        <v>346</v>
      </c>
      <c r="AU255" s="150" t="s">
        <v>90</v>
      </c>
      <c r="AV255" s="148" t="s">
        <v>90</v>
      </c>
      <c r="AW255" s="148" t="s">
        <v>33</v>
      </c>
      <c r="AX255" s="148" t="s">
        <v>80</v>
      </c>
      <c r="AY255" s="150" t="s">
        <v>337</v>
      </c>
    </row>
    <row r="256" spans="2:65" s="141" customFormat="1" x14ac:dyDescent="0.2">
      <c r="B256" s="142"/>
      <c r="D256" s="143" t="s">
        <v>346</v>
      </c>
      <c r="E256" s="144"/>
      <c r="F256" s="145" t="s">
        <v>5061</v>
      </c>
      <c r="H256" s="144"/>
      <c r="L256" s="142"/>
      <c r="M256" s="146"/>
      <c r="T256" s="147"/>
      <c r="AT256" s="144" t="s">
        <v>346</v>
      </c>
      <c r="AU256" s="144" t="s">
        <v>90</v>
      </c>
      <c r="AV256" s="141" t="s">
        <v>87</v>
      </c>
      <c r="AW256" s="141" t="s">
        <v>33</v>
      </c>
      <c r="AX256" s="141" t="s">
        <v>80</v>
      </c>
      <c r="AY256" s="144" t="s">
        <v>337</v>
      </c>
    </row>
    <row r="257" spans="2:65" s="148" customFormat="1" x14ac:dyDescent="0.2">
      <c r="B257" s="149"/>
      <c r="D257" s="143" t="s">
        <v>346</v>
      </c>
      <c r="E257" s="150"/>
      <c r="F257" s="151" t="s">
        <v>5062</v>
      </c>
      <c r="H257" s="152">
        <v>48.45</v>
      </c>
      <c r="L257" s="149"/>
      <c r="M257" s="153"/>
      <c r="T257" s="154"/>
      <c r="AT257" s="150" t="s">
        <v>346</v>
      </c>
      <c r="AU257" s="150" t="s">
        <v>90</v>
      </c>
      <c r="AV257" s="148" t="s">
        <v>90</v>
      </c>
      <c r="AW257" s="148" t="s">
        <v>33</v>
      </c>
      <c r="AX257" s="148" t="s">
        <v>80</v>
      </c>
      <c r="AY257" s="150" t="s">
        <v>337</v>
      </c>
    </row>
    <row r="258" spans="2:65" s="141" customFormat="1" x14ac:dyDescent="0.2">
      <c r="B258" s="142"/>
      <c r="D258" s="143" t="s">
        <v>346</v>
      </c>
      <c r="E258" s="144"/>
      <c r="F258" s="145" t="s">
        <v>5054</v>
      </c>
      <c r="H258" s="144"/>
      <c r="L258" s="142"/>
      <c r="M258" s="146"/>
      <c r="T258" s="147"/>
      <c r="AT258" s="144" t="s">
        <v>346</v>
      </c>
      <c r="AU258" s="144" t="s">
        <v>90</v>
      </c>
      <c r="AV258" s="141" t="s">
        <v>87</v>
      </c>
      <c r="AW258" s="141" t="s">
        <v>33</v>
      </c>
      <c r="AX258" s="141" t="s">
        <v>80</v>
      </c>
      <c r="AY258" s="144" t="s">
        <v>337</v>
      </c>
    </row>
    <row r="259" spans="2:65" s="148" customFormat="1" x14ac:dyDescent="0.2">
      <c r="B259" s="149"/>
      <c r="D259" s="143" t="s">
        <v>346</v>
      </c>
      <c r="E259" s="150"/>
      <c r="F259" s="151" t="s">
        <v>980</v>
      </c>
      <c r="H259" s="152">
        <v>20</v>
      </c>
      <c r="L259" s="149"/>
      <c r="M259" s="153"/>
      <c r="T259" s="154"/>
      <c r="AT259" s="150" t="s">
        <v>346</v>
      </c>
      <c r="AU259" s="150" t="s">
        <v>90</v>
      </c>
      <c r="AV259" s="148" t="s">
        <v>90</v>
      </c>
      <c r="AW259" s="148" t="s">
        <v>33</v>
      </c>
      <c r="AX259" s="148" t="s">
        <v>80</v>
      </c>
      <c r="AY259" s="150" t="s">
        <v>337</v>
      </c>
    </row>
    <row r="260" spans="2:65" s="155" customFormat="1" x14ac:dyDescent="0.2">
      <c r="B260" s="156"/>
      <c r="D260" s="143" t="s">
        <v>346</v>
      </c>
      <c r="E260" s="157"/>
      <c r="F260" s="158" t="s">
        <v>351</v>
      </c>
      <c r="H260" s="159">
        <v>78.56</v>
      </c>
      <c r="L260" s="156"/>
      <c r="M260" s="160"/>
      <c r="T260" s="161"/>
      <c r="AT260" s="157" t="s">
        <v>346</v>
      </c>
      <c r="AU260" s="157" t="s">
        <v>90</v>
      </c>
      <c r="AV260" s="155" t="s">
        <v>344</v>
      </c>
      <c r="AW260" s="155" t="s">
        <v>33</v>
      </c>
      <c r="AX260" s="155" t="s">
        <v>87</v>
      </c>
      <c r="AY260" s="157" t="s">
        <v>337</v>
      </c>
    </row>
    <row r="261" spans="2:65" s="16" customFormat="1" ht="16.5" customHeight="1" x14ac:dyDescent="0.2">
      <c r="B261" s="17"/>
      <c r="C261" s="128">
        <v>16</v>
      </c>
      <c r="D261" s="128" t="s">
        <v>339</v>
      </c>
      <c r="E261" s="129" t="s">
        <v>5063</v>
      </c>
      <c r="F261" s="130" t="s">
        <v>5064</v>
      </c>
      <c r="G261" s="131" t="s">
        <v>449</v>
      </c>
      <c r="H261" s="132">
        <v>59</v>
      </c>
      <c r="I261" s="133"/>
      <c r="J261" s="134">
        <f>ROUND(I261*H261,2)</f>
        <v>0</v>
      </c>
      <c r="K261" s="130"/>
      <c r="L261" s="17"/>
      <c r="M261" s="135"/>
      <c r="N261" s="136" t="s">
        <v>45</v>
      </c>
      <c r="P261" s="137">
        <f>O261*H261</f>
        <v>0</v>
      </c>
      <c r="Q261" s="137">
        <v>0</v>
      </c>
      <c r="R261" s="137">
        <f>Q261*H261</f>
        <v>0</v>
      </c>
      <c r="S261" s="137">
        <v>0</v>
      </c>
      <c r="T261" s="138">
        <f>S261*H261</f>
        <v>0</v>
      </c>
      <c r="AR261" s="139" t="s">
        <v>344</v>
      </c>
      <c r="AT261" s="139" t="s">
        <v>339</v>
      </c>
      <c r="AU261" s="139" t="s">
        <v>90</v>
      </c>
      <c r="AY261" s="2" t="s">
        <v>337</v>
      </c>
      <c r="BE261" s="140">
        <f>IF(N261="základní",J261,0)</f>
        <v>0</v>
      </c>
      <c r="BF261" s="140">
        <f>IF(N261="snížená",J261,0)</f>
        <v>0</v>
      </c>
      <c r="BG261" s="140">
        <f>IF(N261="zákl. přenesená",J261,0)</f>
        <v>0</v>
      </c>
      <c r="BH261" s="140">
        <f>IF(N261="sníž. přenesená",J261,0)</f>
        <v>0</v>
      </c>
      <c r="BI261" s="140">
        <f>IF(N261="nulová",J261,0)</f>
        <v>0</v>
      </c>
      <c r="BJ261" s="2" t="s">
        <v>87</v>
      </c>
      <c r="BK261" s="140">
        <f>ROUND(I261*H261,2)</f>
        <v>0</v>
      </c>
      <c r="BL261" s="2" t="s">
        <v>344</v>
      </c>
      <c r="BM261" s="139" t="s">
        <v>5065</v>
      </c>
    </row>
    <row r="262" spans="2:65" s="141" customFormat="1" x14ac:dyDescent="0.2">
      <c r="B262" s="142"/>
      <c r="D262" s="143" t="s">
        <v>346</v>
      </c>
      <c r="E262" s="144"/>
      <c r="F262" s="145" t="s">
        <v>5066</v>
      </c>
      <c r="H262" s="144"/>
      <c r="L262" s="142"/>
      <c r="M262" s="146"/>
      <c r="T262" s="147"/>
      <c r="AT262" s="144" t="s">
        <v>346</v>
      </c>
      <c r="AU262" s="144" t="s">
        <v>90</v>
      </c>
      <c r="AV262" s="141" t="s">
        <v>87</v>
      </c>
      <c r="AW262" s="141" t="s">
        <v>33</v>
      </c>
      <c r="AX262" s="141" t="s">
        <v>80</v>
      </c>
      <c r="AY262" s="144" t="s">
        <v>337</v>
      </c>
    </row>
    <row r="263" spans="2:65" s="141" customFormat="1" x14ac:dyDescent="0.2">
      <c r="B263" s="142"/>
      <c r="D263" s="143" t="s">
        <v>346</v>
      </c>
      <c r="E263" s="144"/>
      <c r="F263" s="145" t="s">
        <v>5067</v>
      </c>
      <c r="H263" s="144"/>
      <c r="L263" s="142"/>
      <c r="M263" s="146"/>
      <c r="T263" s="147"/>
      <c r="AT263" s="144" t="s">
        <v>346</v>
      </c>
      <c r="AU263" s="144" t="s">
        <v>90</v>
      </c>
      <c r="AV263" s="141" t="s">
        <v>87</v>
      </c>
      <c r="AW263" s="141" t="s">
        <v>33</v>
      </c>
      <c r="AX263" s="141" t="s">
        <v>80</v>
      </c>
      <c r="AY263" s="144" t="s">
        <v>337</v>
      </c>
    </row>
    <row r="264" spans="2:65" s="148" customFormat="1" x14ac:dyDescent="0.2">
      <c r="B264" s="149"/>
      <c r="D264" s="143" t="s">
        <v>346</v>
      </c>
      <c r="E264" s="150"/>
      <c r="F264" s="151" t="s">
        <v>80</v>
      </c>
      <c r="H264" s="152">
        <v>0</v>
      </c>
      <c r="L264" s="149"/>
      <c r="M264" s="153"/>
      <c r="T264" s="154"/>
      <c r="AT264" s="150" t="s">
        <v>346</v>
      </c>
      <c r="AU264" s="150" t="s">
        <v>90</v>
      </c>
      <c r="AV264" s="148" t="s">
        <v>90</v>
      </c>
      <c r="AW264" s="148" t="s">
        <v>33</v>
      </c>
      <c r="AX264" s="148" t="s">
        <v>80</v>
      </c>
      <c r="AY264" s="150" t="s">
        <v>337</v>
      </c>
    </row>
    <row r="265" spans="2:65" s="141" customFormat="1" x14ac:dyDescent="0.2">
      <c r="B265" s="142"/>
      <c r="D265" s="143" t="s">
        <v>346</v>
      </c>
      <c r="E265" s="144"/>
      <c r="F265" s="145" t="s">
        <v>5068</v>
      </c>
      <c r="H265" s="144"/>
      <c r="L265" s="142"/>
      <c r="M265" s="146"/>
      <c r="T265" s="147"/>
      <c r="AT265" s="144" t="s">
        <v>346</v>
      </c>
      <c r="AU265" s="144" t="s">
        <v>90</v>
      </c>
      <c r="AV265" s="141" t="s">
        <v>87</v>
      </c>
      <c r="AW265" s="141" t="s">
        <v>33</v>
      </c>
      <c r="AX265" s="141" t="s">
        <v>80</v>
      </c>
      <c r="AY265" s="144" t="s">
        <v>337</v>
      </c>
    </row>
    <row r="266" spans="2:65" s="141" customFormat="1" x14ac:dyDescent="0.2">
      <c r="B266" s="142"/>
      <c r="D266" s="143" t="s">
        <v>346</v>
      </c>
      <c r="E266" s="144"/>
      <c r="F266" s="145" t="s">
        <v>5069</v>
      </c>
      <c r="H266" s="144"/>
      <c r="L266" s="142"/>
      <c r="M266" s="146"/>
      <c r="T266" s="147"/>
      <c r="AT266" s="144" t="s">
        <v>346</v>
      </c>
      <c r="AU266" s="144" t="s">
        <v>90</v>
      </c>
      <c r="AV266" s="141" t="s">
        <v>87</v>
      </c>
      <c r="AW266" s="141" t="s">
        <v>33</v>
      </c>
      <c r="AX266" s="141" t="s">
        <v>80</v>
      </c>
      <c r="AY266" s="144" t="s">
        <v>337</v>
      </c>
    </row>
    <row r="267" spans="2:65" s="148" customFormat="1" x14ac:dyDescent="0.2">
      <c r="B267" s="149"/>
      <c r="D267" s="143" t="s">
        <v>346</v>
      </c>
      <c r="E267" s="150"/>
      <c r="F267" s="151" t="s">
        <v>87</v>
      </c>
      <c r="H267" s="152">
        <v>1</v>
      </c>
      <c r="L267" s="149"/>
      <c r="M267" s="153"/>
      <c r="T267" s="154"/>
      <c r="AT267" s="150" t="s">
        <v>346</v>
      </c>
      <c r="AU267" s="150" t="s">
        <v>90</v>
      </c>
      <c r="AV267" s="148" t="s">
        <v>90</v>
      </c>
      <c r="AW267" s="148" t="s">
        <v>33</v>
      </c>
      <c r="AX267" s="148" t="s">
        <v>80</v>
      </c>
      <c r="AY267" s="150" t="s">
        <v>337</v>
      </c>
    </row>
    <row r="268" spans="2:65" s="141" customFormat="1" x14ac:dyDescent="0.2">
      <c r="B268" s="142"/>
      <c r="D268" s="143" t="s">
        <v>346</v>
      </c>
      <c r="E268" s="144"/>
      <c r="F268" s="145" t="s">
        <v>5070</v>
      </c>
      <c r="H268" s="144"/>
      <c r="L268" s="142"/>
      <c r="M268" s="146"/>
      <c r="T268" s="147"/>
      <c r="AT268" s="144" t="s">
        <v>346</v>
      </c>
      <c r="AU268" s="144" t="s">
        <v>90</v>
      </c>
      <c r="AV268" s="141" t="s">
        <v>87</v>
      </c>
      <c r="AW268" s="141" t="s">
        <v>33</v>
      </c>
      <c r="AX268" s="141" t="s">
        <v>80</v>
      </c>
      <c r="AY268" s="144" t="s">
        <v>337</v>
      </c>
    </row>
    <row r="269" spans="2:65" s="148" customFormat="1" x14ac:dyDescent="0.2">
      <c r="B269" s="149"/>
      <c r="D269" s="143" t="s">
        <v>346</v>
      </c>
      <c r="E269" s="150"/>
      <c r="F269" s="151" t="s">
        <v>87</v>
      </c>
      <c r="H269" s="152">
        <v>1</v>
      </c>
      <c r="L269" s="149"/>
      <c r="M269" s="153"/>
      <c r="T269" s="154"/>
      <c r="AT269" s="150" t="s">
        <v>346</v>
      </c>
      <c r="AU269" s="150" t="s">
        <v>90</v>
      </c>
      <c r="AV269" s="148" t="s">
        <v>90</v>
      </c>
      <c r="AW269" s="148" t="s">
        <v>33</v>
      </c>
      <c r="AX269" s="148" t="s">
        <v>80</v>
      </c>
      <c r="AY269" s="150" t="s">
        <v>337</v>
      </c>
    </row>
    <row r="270" spans="2:65" s="141" customFormat="1" x14ac:dyDescent="0.2">
      <c r="B270" s="142"/>
      <c r="D270" s="143" t="s">
        <v>346</v>
      </c>
      <c r="E270" s="144"/>
      <c r="F270" s="145" t="s">
        <v>1105</v>
      </c>
      <c r="H270" s="144"/>
      <c r="L270" s="142"/>
      <c r="M270" s="146"/>
      <c r="T270" s="147"/>
      <c r="AT270" s="144" t="s">
        <v>346</v>
      </c>
      <c r="AU270" s="144" t="s">
        <v>90</v>
      </c>
      <c r="AV270" s="141" t="s">
        <v>87</v>
      </c>
      <c r="AW270" s="141" t="s">
        <v>33</v>
      </c>
      <c r="AX270" s="141" t="s">
        <v>80</v>
      </c>
      <c r="AY270" s="144" t="s">
        <v>337</v>
      </c>
    </row>
    <row r="271" spans="2:65" s="148" customFormat="1" x14ac:dyDescent="0.2">
      <c r="B271" s="149"/>
      <c r="D271" s="143" t="s">
        <v>346</v>
      </c>
      <c r="E271" s="150"/>
      <c r="F271" s="151" t="s">
        <v>113</v>
      </c>
      <c r="H271" s="152">
        <v>3</v>
      </c>
      <c r="L271" s="149"/>
      <c r="M271" s="153"/>
      <c r="T271" s="154"/>
      <c r="AT271" s="150" t="s">
        <v>346</v>
      </c>
      <c r="AU271" s="150" t="s">
        <v>90</v>
      </c>
      <c r="AV271" s="148" t="s">
        <v>90</v>
      </c>
      <c r="AW271" s="148" t="s">
        <v>33</v>
      </c>
      <c r="AX271" s="148" t="s">
        <v>80</v>
      </c>
      <c r="AY271" s="150" t="s">
        <v>337</v>
      </c>
    </row>
    <row r="272" spans="2:65" s="141" customFormat="1" x14ac:dyDescent="0.2">
      <c r="B272" s="142"/>
      <c r="D272" s="143" t="s">
        <v>346</v>
      </c>
      <c r="E272" s="144"/>
      <c r="F272" s="145" t="s">
        <v>2030</v>
      </c>
      <c r="H272" s="144"/>
      <c r="L272" s="142"/>
      <c r="M272" s="146"/>
      <c r="T272" s="147"/>
      <c r="AT272" s="144" t="s">
        <v>346</v>
      </c>
      <c r="AU272" s="144" t="s">
        <v>90</v>
      </c>
      <c r="AV272" s="141" t="s">
        <v>87</v>
      </c>
      <c r="AW272" s="141" t="s">
        <v>33</v>
      </c>
      <c r="AX272" s="141" t="s">
        <v>80</v>
      </c>
      <c r="AY272" s="144" t="s">
        <v>337</v>
      </c>
    </row>
    <row r="273" spans="2:51" s="148" customFormat="1" x14ac:dyDescent="0.2">
      <c r="B273" s="149"/>
      <c r="D273" s="143" t="s">
        <v>346</v>
      </c>
      <c r="E273" s="150"/>
      <c r="F273" s="151" t="s">
        <v>90</v>
      </c>
      <c r="H273" s="152">
        <v>2</v>
      </c>
      <c r="L273" s="149"/>
      <c r="M273" s="153"/>
      <c r="T273" s="154"/>
      <c r="AT273" s="150" t="s">
        <v>346</v>
      </c>
      <c r="AU273" s="150" t="s">
        <v>90</v>
      </c>
      <c r="AV273" s="148" t="s">
        <v>90</v>
      </c>
      <c r="AW273" s="148" t="s">
        <v>33</v>
      </c>
      <c r="AX273" s="148" t="s">
        <v>80</v>
      </c>
      <c r="AY273" s="150" t="s">
        <v>337</v>
      </c>
    </row>
    <row r="274" spans="2:51" s="141" customFormat="1" x14ac:dyDescent="0.2">
      <c r="B274" s="142"/>
      <c r="D274" s="143" t="s">
        <v>346</v>
      </c>
      <c r="E274" s="144"/>
      <c r="F274" s="145" t="s">
        <v>2032</v>
      </c>
      <c r="H274" s="144"/>
      <c r="L274" s="142"/>
      <c r="M274" s="146"/>
      <c r="T274" s="147"/>
      <c r="AT274" s="144" t="s">
        <v>346</v>
      </c>
      <c r="AU274" s="144" t="s">
        <v>90</v>
      </c>
      <c r="AV274" s="141" t="s">
        <v>87</v>
      </c>
      <c r="AW274" s="141" t="s">
        <v>33</v>
      </c>
      <c r="AX274" s="141" t="s">
        <v>80</v>
      </c>
      <c r="AY274" s="144" t="s">
        <v>337</v>
      </c>
    </row>
    <row r="275" spans="2:51" s="148" customFormat="1" x14ac:dyDescent="0.2">
      <c r="B275" s="149"/>
      <c r="D275" s="143" t="s">
        <v>346</v>
      </c>
      <c r="E275" s="150"/>
      <c r="F275" s="151" t="s">
        <v>87</v>
      </c>
      <c r="H275" s="152">
        <v>1</v>
      </c>
      <c r="L275" s="149"/>
      <c r="M275" s="153"/>
      <c r="T275" s="154"/>
      <c r="AT275" s="150" t="s">
        <v>346</v>
      </c>
      <c r="AU275" s="150" t="s">
        <v>90</v>
      </c>
      <c r="AV275" s="148" t="s">
        <v>90</v>
      </c>
      <c r="AW275" s="148" t="s">
        <v>33</v>
      </c>
      <c r="AX275" s="148" t="s">
        <v>80</v>
      </c>
      <c r="AY275" s="150" t="s">
        <v>337</v>
      </c>
    </row>
    <row r="276" spans="2:51" s="141" customFormat="1" x14ac:dyDescent="0.2">
      <c r="B276" s="142"/>
      <c r="D276" s="143" t="s">
        <v>346</v>
      </c>
      <c r="E276" s="144"/>
      <c r="F276" s="145" t="s">
        <v>2034</v>
      </c>
      <c r="H276" s="144"/>
      <c r="L276" s="142"/>
      <c r="M276" s="146"/>
      <c r="T276" s="147"/>
      <c r="AT276" s="144" t="s">
        <v>346</v>
      </c>
      <c r="AU276" s="144" t="s">
        <v>90</v>
      </c>
      <c r="AV276" s="141" t="s">
        <v>87</v>
      </c>
      <c r="AW276" s="141" t="s">
        <v>33</v>
      </c>
      <c r="AX276" s="141" t="s">
        <v>80</v>
      </c>
      <c r="AY276" s="144" t="s">
        <v>337</v>
      </c>
    </row>
    <row r="277" spans="2:51" s="148" customFormat="1" x14ac:dyDescent="0.2">
      <c r="B277" s="149"/>
      <c r="D277" s="143" t="s">
        <v>346</v>
      </c>
      <c r="E277" s="150"/>
      <c r="F277" s="151" t="s">
        <v>87</v>
      </c>
      <c r="H277" s="152">
        <v>1</v>
      </c>
      <c r="L277" s="149"/>
      <c r="M277" s="153"/>
      <c r="T277" s="154"/>
      <c r="AT277" s="150" t="s">
        <v>346</v>
      </c>
      <c r="AU277" s="150" t="s">
        <v>90</v>
      </c>
      <c r="AV277" s="148" t="s">
        <v>90</v>
      </c>
      <c r="AW277" s="148" t="s">
        <v>33</v>
      </c>
      <c r="AX277" s="148" t="s">
        <v>80</v>
      </c>
      <c r="AY277" s="150" t="s">
        <v>337</v>
      </c>
    </row>
    <row r="278" spans="2:51" s="141" customFormat="1" x14ac:dyDescent="0.2">
      <c r="B278" s="142"/>
      <c r="D278" s="143" t="s">
        <v>346</v>
      </c>
      <c r="E278" s="144"/>
      <c r="F278" s="145" t="s">
        <v>5071</v>
      </c>
      <c r="H278" s="144"/>
      <c r="L278" s="142"/>
      <c r="M278" s="146"/>
      <c r="T278" s="147"/>
      <c r="AT278" s="144" t="s">
        <v>346</v>
      </c>
      <c r="AU278" s="144" t="s">
        <v>90</v>
      </c>
      <c r="AV278" s="141" t="s">
        <v>87</v>
      </c>
      <c r="AW278" s="141" t="s">
        <v>33</v>
      </c>
      <c r="AX278" s="141" t="s">
        <v>80</v>
      </c>
      <c r="AY278" s="144" t="s">
        <v>337</v>
      </c>
    </row>
    <row r="279" spans="2:51" s="141" customFormat="1" x14ac:dyDescent="0.2">
      <c r="B279" s="142"/>
      <c r="D279" s="143" t="s">
        <v>346</v>
      </c>
      <c r="E279" s="144"/>
      <c r="F279" s="145" t="s">
        <v>5072</v>
      </c>
      <c r="H279" s="144"/>
      <c r="L279" s="142"/>
      <c r="M279" s="146"/>
      <c r="T279" s="147"/>
      <c r="AT279" s="144" t="s">
        <v>346</v>
      </c>
      <c r="AU279" s="144" t="s">
        <v>90</v>
      </c>
      <c r="AV279" s="141" t="s">
        <v>87</v>
      </c>
      <c r="AW279" s="141" t="s">
        <v>33</v>
      </c>
      <c r="AX279" s="141" t="s">
        <v>80</v>
      </c>
      <c r="AY279" s="144" t="s">
        <v>337</v>
      </c>
    </row>
    <row r="280" spans="2:51" s="148" customFormat="1" x14ac:dyDescent="0.2">
      <c r="B280" s="149"/>
      <c r="D280" s="143" t="s">
        <v>346</v>
      </c>
      <c r="E280" s="150"/>
      <c r="F280" s="151" t="s">
        <v>90</v>
      </c>
      <c r="H280" s="152">
        <v>2</v>
      </c>
      <c r="L280" s="149"/>
      <c r="M280" s="153"/>
      <c r="T280" s="154"/>
      <c r="AT280" s="150" t="s">
        <v>346</v>
      </c>
      <c r="AU280" s="150" t="s">
        <v>90</v>
      </c>
      <c r="AV280" s="148" t="s">
        <v>90</v>
      </c>
      <c r="AW280" s="148" t="s">
        <v>33</v>
      </c>
      <c r="AX280" s="148" t="s">
        <v>80</v>
      </c>
      <c r="AY280" s="150" t="s">
        <v>337</v>
      </c>
    </row>
    <row r="281" spans="2:51" s="141" customFormat="1" x14ac:dyDescent="0.2">
      <c r="B281" s="142"/>
      <c r="D281" s="143" t="s">
        <v>346</v>
      </c>
      <c r="E281" s="144"/>
      <c r="F281" s="145" t="s">
        <v>5073</v>
      </c>
      <c r="H281" s="144"/>
      <c r="L281" s="142"/>
      <c r="M281" s="146"/>
      <c r="T281" s="147"/>
      <c r="AT281" s="144" t="s">
        <v>346</v>
      </c>
      <c r="AU281" s="144" t="s">
        <v>90</v>
      </c>
      <c r="AV281" s="141" t="s">
        <v>87</v>
      </c>
      <c r="AW281" s="141" t="s">
        <v>33</v>
      </c>
      <c r="AX281" s="141" t="s">
        <v>80</v>
      </c>
      <c r="AY281" s="144" t="s">
        <v>337</v>
      </c>
    </row>
    <row r="282" spans="2:51" s="148" customFormat="1" x14ac:dyDescent="0.2">
      <c r="B282" s="149"/>
      <c r="D282" s="143" t="s">
        <v>346</v>
      </c>
      <c r="E282" s="150"/>
      <c r="F282" s="151" t="s">
        <v>87</v>
      </c>
      <c r="H282" s="152">
        <v>1</v>
      </c>
      <c r="L282" s="149"/>
      <c r="M282" s="153"/>
      <c r="T282" s="154"/>
      <c r="AT282" s="150" t="s">
        <v>346</v>
      </c>
      <c r="AU282" s="150" t="s">
        <v>90</v>
      </c>
      <c r="AV282" s="148" t="s">
        <v>90</v>
      </c>
      <c r="AW282" s="148" t="s">
        <v>33</v>
      </c>
      <c r="AX282" s="148" t="s">
        <v>80</v>
      </c>
      <c r="AY282" s="150" t="s">
        <v>337</v>
      </c>
    </row>
    <row r="283" spans="2:51" s="141" customFormat="1" x14ac:dyDescent="0.2">
      <c r="B283" s="142"/>
      <c r="D283" s="143" t="s">
        <v>346</v>
      </c>
      <c r="E283" s="144"/>
      <c r="F283" s="145" t="s">
        <v>5074</v>
      </c>
      <c r="H283" s="144"/>
      <c r="L283" s="142"/>
      <c r="M283" s="146"/>
      <c r="T283" s="147"/>
      <c r="AT283" s="144" t="s">
        <v>346</v>
      </c>
      <c r="AU283" s="144" t="s">
        <v>90</v>
      </c>
      <c r="AV283" s="141" t="s">
        <v>87</v>
      </c>
      <c r="AW283" s="141" t="s">
        <v>33</v>
      </c>
      <c r="AX283" s="141" t="s">
        <v>80</v>
      </c>
      <c r="AY283" s="144" t="s">
        <v>337</v>
      </c>
    </row>
    <row r="284" spans="2:51" s="148" customFormat="1" x14ac:dyDescent="0.2">
      <c r="B284" s="149"/>
      <c r="D284" s="143" t="s">
        <v>346</v>
      </c>
      <c r="E284" s="150"/>
      <c r="F284" s="151" t="s">
        <v>87</v>
      </c>
      <c r="H284" s="152">
        <v>1</v>
      </c>
      <c r="L284" s="149"/>
      <c r="M284" s="153"/>
      <c r="T284" s="154"/>
      <c r="AT284" s="150" t="s">
        <v>346</v>
      </c>
      <c r="AU284" s="150" t="s">
        <v>90</v>
      </c>
      <c r="AV284" s="148" t="s">
        <v>90</v>
      </c>
      <c r="AW284" s="148" t="s">
        <v>33</v>
      </c>
      <c r="AX284" s="148" t="s">
        <v>80</v>
      </c>
      <c r="AY284" s="150" t="s">
        <v>337</v>
      </c>
    </row>
    <row r="285" spans="2:51" s="141" customFormat="1" x14ac:dyDescent="0.2">
      <c r="B285" s="142"/>
      <c r="D285" s="143" t="s">
        <v>346</v>
      </c>
      <c r="E285" s="144"/>
      <c r="F285" s="145" t="s">
        <v>5075</v>
      </c>
      <c r="H285" s="144"/>
      <c r="L285" s="142"/>
      <c r="M285" s="146"/>
      <c r="T285" s="147"/>
      <c r="AT285" s="144" t="s">
        <v>346</v>
      </c>
      <c r="AU285" s="144" t="s">
        <v>90</v>
      </c>
      <c r="AV285" s="141" t="s">
        <v>87</v>
      </c>
      <c r="AW285" s="141" t="s">
        <v>33</v>
      </c>
      <c r="AX285" s="141" t="s">
        <v>80</v>
      </c>
      <c r="AY285" s="144" t="s">
        <v>337</v>
      </c>
    </row>
    <row r="286" spans="2:51" s="148" customFormat="1" x14ac:dyDescent="0.2">
      <c r="B286" s="149"/>
      <c r="D286" s="143" t="s">
        <v>346</v>
      </c>
      <c r="E286" s="150"/>
      <c r="F286" s="151" t="s">
        <v>87</v>
      </c>
      <c r="H286" s="152">
        <v>1</v>
      </c>
      <c r="L286" s="149"/>
      <c r="M286" s="153"/>
      <c r="T286" s="154"/>
      <c r="AT286" s="150" t="s">
        <v>346</v>
      </c>
      <c r="AU286" s="150" t="s">
        <v>90</v>
      </c>
      <c r="AV286" s="148" t="s">
        <v>90</v>
      </c>
      <c r="AW286" s="148" t="s">
        <v>33</v>
      </c>
      <c r="AX286" s="148" t="s">
        <v>80</v>
      </c>
      <c r="AY286" s="150" t="s">
        <v>337</v>
      </c>
    </row>
    <row r="287" spans="2:51" s="141" customFormat="1" x14ac:dyDescent="0.2">
      <c r="B287" s="142"/>
      <c r="D287" s="143" t="s">
        <v>346</v>
      </c>
      <c r="E287" s="144"/>
      <c r="F287" s="145" t="s">
        <v>5076</v>
      </c>
      <c r="H287" s="144"/>
      <c r="L287" s="142"/>
      <c r="M287" s="146"/>
      <c r="T287" s="147"/>
      <c r="AT287" s="144" t="s">
        <v>346</v>
      </c>
      <c r="AU287" s="144" t="s">
        <v>90</v>
      </c>
      <c r="AV287" s="141" t="s">
        <v>87</v>
      </c>
      <c r="AW287" s="141" t="s">
        <v>33</v>
      </c>
      <c r="AX287" s="141" t="s">
        <v>80</v>
      </c>
      <c r="AY287" s="144" t="s">
        <v>337</v>
      </c>
    </row>
    <row r="288" spans="2:51" s="148" customFormat="1" x14ac:dyDescent="0.2">
      <c r="B288" s="149"/>
      <c r="D288" s="143" t="s">
        <v>346</v>
      </c>
      <c r="E288" s="150"/>
      <c r="F288" s="151" t="s">
        <v>87</v>
      </c>
      <c r="H288" s="152">
        <v>1</v>
      </c>
      <c r="L288" s="149"/>
      <c r="M288" s="153"/>
      <c r="T288" s="154"/>
      <c r="AT288" s="150" t="s">
        <v>346</v>
      </c>
      <c r="AU288" s="150" t="s">
        <v>90</v>
      </c>
      <c r="AV288" s="148" t="s">
        <v>90</v>
      </c>
      <c r="AW288" s="148" t="s">
        <v>33</v>
      </c>
      <c r="AX288" s="148" t="s">
        <v>80</v>
      </c>
      <c r="AY288" s="150" t="s">
        <v>337</v>
      </c>
    </row>
    <row r="289" spans="2:51" s="141" customFormat="1" x14ac:dyDescent="0.2">
      <c r="B289" s="142"/>
      <c r="D289" s="143" t="s">
        <v>346</v>
      </c>
      <c r="E289" s="144"/>
      <c r="F289" s="145" t="s">
        <v>5077</v>
      </c>
      <c r="H289" s="144"/>
      <c r="L289" s="142"/>
      <c r="M289" s="146"/>
      <c r="T289" s="147"/>
      <c r="AT289" s="144" t="s">
        <v>346</v>
      </c>
      <c r="AU289" s="144" t="s">
        <v>90</v>
      </c>
      <c r="AV289" s="141" t="s">
        <v>87</v>
      </c>
      <c r="AW289" s="141" t="s">
        <v>33</v>
      </c>
      <c r="AX289" s="141" t="s">
        <v>80</v>
      </c>
      <c r="AY289" s="144" t="s">
        <v>337</v>
      </c>
    </row>
    <row r="290" spans="2:51" s="148" customFormat="1" x14ac:dyDescent="0.2">
      <c r="B290" s="149"/>
      <c r="D290" s="143" t="s">
        <v>346</v>
      </c>
      <c r="E290" s="150"/>
      <c r="F290" s="151" t="s">
        <v>90</v>
      </c>
      <c r="H290" s="152">
        <v>2</v>
      </c>
      <c r="L290" s="149"/>
      <c r="M290" s="153"/>
      <c r="T290" s="154"/>
      <c r="AT290" s="150" t="s">
        <v>346</v>
      </c>
      <c r="AU290" s="150" t="s">
        <v>90</v>
      </c>
      <c r="AV290" s="148" t="s">
        <v>90</v>
      </c>
      <c r="AW290" s="148" t="s">
        <v>33</v>
      </c>
      <c r="AX290" s="148" t="s">
        <v>80</v>
      </c>
      <c r="AY290" s="150" t="s">
        <v>337</v>
      </c>
    </row>
    <row r="291" spans="2:51" s="141" customFormat="1" x14ac:dyDescent="0.2">
      <c r="B291" s="142"/>
      <c r="D291" s="143" t="s">
        <v>346</v>
      </c>
      <c r="E291" s="144"/>
      <c r="F291" s="145" t="s">
        <v>5078</v>
      </c>
      <c r="H291" s="144"/>
      <c r="L291" s="142"/>
      <c r="M291" s="146"/>
      <c r="T291" s="147"/>
      <c r="AT291" s="144" t="s">
        <v>346</v>
      </c>
      <c r="AU291" s="144" t="s">
        <v>90</v>
      </c>
      <c r="AV291" s="141" t="s">
        <v>87</v>
      </c>
      <c r="AW291" s="141" t="s">
        <v>33</v>
      </c>
      <c r="AX291" s="141" t="s">
        <v>80</v>
      </c>
      <c r="AY291" s="144" t="s">
        <v>337</v>
      </c>
    </row>
    <row r="292" spans="2:51" s="148" customFormat="1" x14ac:dyDescent="0.2">
      <c r="B292" s="149"/>
      <c r="D292" s="143" t="s">
        <v>346</v>
      </c>
      <c r="E292" s="150"/>
      <c r="F292" s="151" t="s">
        <v>113</v>
      </c>
      <c r="H292" s="152">
        <v>3</v>
      </c>
      <c r="L292" s="149"/>
      <c r="M292" s="153"/>
      <c r="T292" s="154"/>
      <c r="AT292" s="150" t="s">
        <v>346</v>
      </c>
      <c r="AU292" s="150" t="s">
        <v>90</v>
      </c>
      <c r="AV292" s="148" t="s">
        <v>90</v>
      </c>
      <c r="AW292" s="148" t="s">
        <v>33</v>
      </c>
      <c r="AX292" s="148" t="s">
        <v>80</v>
      </c>
      <c r="AY292" s="150" t="s">
        <v>337</v>
      </c>
    </row>
    <row r="293" spans="2:51" s="141" customFormat="1" x14ac:dyDescent="0.2">
      <c r="B293" s="142"/>
      <c r="D293" s="143" t="s">
        <v>346</v>
      </c>
      <c r="E293" s="144"/>
      <c r="F293" s="145" t="s">
        <v>5079</v>
      </c>
      <c r="H293" s="144"/>
      <c r="L293" s="142"/>
      <c r="M293" s="146"/>
      <c r="T293" s="147"/>
      <c r="AT293" s="144" t="s">
        <v>346</v>
      </c>
      <c r="AU293" s="144" t="s">
        <v>90</v>
      </c>
      <c r="AV293" s="141" t="s">
        <v>87</v>
      </c>
      <c r="AW293" s="141" t="s">
        <v>33</v>
      </c>
      <c r="AX293" s="141" t="s">
        <v>80</v>
      </c>
      <c r="AY293" s="144" t="s">
        <v>337</v>
      </c>
    </row>
    <row r="294" spans="2:51" s="141" customFormat="1" x14ac:dyDescent="0.2">
      <c r="B294" s="142"/>
      <c r="D294" s="143" t="s">
        <v>346</v>
      </c>
      <c r="E294" s="144"/>
      <c r="F294" s="145" t="s">
        <v>5080</v>
      </c>
      <c r="H294" s="144"/>
      <c r="L294" s="142"/>
      <c r="M294" s="146"/>
      <c r="T294" s="147"/>
      <c r="AT294" s="144" t="s">
        <v>346</v>
      </c>
      <c r="AU294" s="144" t="s">
        <v>90</v>
      </c>
      <c r="AV294" s="141" t="s">
        <v>87</v>
      </c>
      <c r="AW294" s="141" t="s">
        <v>33</v>
      </c>
      <c r="AX294" s="141" t="s">
        <v>80</v>
      </c>
      <c r="AY294" s="144" t="s">
        <v>337</v>
      </c>
    </row>
    <row r="295" spans="2:51" s="148" customFormat="1" x14ac:dyDescent="0.2">
      <c r="B295" s="149"/>
      <c r="D295" s="143" t="s">
        <v>346</v>
      </c>
      <c r="E295" s="150"/>
      <c r="F295" s="151" t="s">
        <v>90</v>
      </c>
      <c r="H295" s="152">
        <v>2</v>
      </c>
      <c r="L295" s="149"/>
      <c r="M295" s="153"/>
      <c r="T295" s="154"/>
      <c r="AT295" s="150" t="s">
        <v>346</v>
      </c>
      <c r="AU295" s="150" t="s">
        <v>90</v>
      </c>
      <c r="AV295" s="148" t="s">
        <v>90</v>
      </c>
      <c r="AW295" s="148" t="s">
        <v>33</v>
      </c>
      <c r="AX295" s="148" t="s">
        <v>80</v>
      </c>
      <c r="AY295" s="150" t="s">
        <v>337</v>
      </c>
    </row>
    <row r="296" spans="2:51" s="141" customFormat="1" x14ac:dyDescent="0.2">
      <c r="B296" s="142"/>
      <c r="D296" s="143" t="s">
        <v>346</v>
      </c>
      <c r="E296" s="144"/>
      <c r="F296" s="145" t="s">
        <v>5081</v>
      </c>
      <c r="H296" s="144"/>
      <c r="L296" s="142"/>
      <c r="M296" s="146"/>
      <c r="T296" s="147"/>
      <c r="AT296" s="144" t="s">
        <v>346</v>
      </c>
      <c r="AU296" s="144" t="s">
        <v>90</v>
      </c>
      <c r="AV296" s="141" t="s">
        <v>87</v>
      </c>
      <c r="AW296" s="141" t="s">
        <v>33</v>
      </c>
      <c r="AX296" s="141" t="s">
        <v>80</v>
      </c>
      <c r="AY296" s="144" t="s">
        <v>337</v>
      </c>
    </row>
    <row r="297" spans="2:51" s="148" customFormat="1" x14ac:dyDescent="0.2">
      <c r="B297" s="149"/>
      <c r="D297" s="143" t="s">
        <v>346</v>
      </c>
      <c r="E297" s="150"/>
      <c r="F297" s="151" t="s">
        <v>87</v>
      </c>
      <c r="H297" s="152">
        <v>1</v>
      </c>
      <c r="L297" s="149"/>
      <c r="M297" s="153"/>
      <c r="T297" s="154"/>
      <c r="AT297" s="150" t="s">
        <v>346</v>
      </c>
      <c r="AU297" s="150" t="s">
        <v>90</v>
      </c>
      <c r="AV297" s="148" t="s">
        <v>90</v>
      </c>
      <c r="AW297" s="148" t="s">
        <v>33</v>
      </c>
      <c r="AX297" s="148" t="s">
        <v>80</v>
      </c>
      <c r="AY297" s="150" t="s">
        <v>337</v>
      </c>
    </row>
    <row r="298" spans="2:51" s="141" customFormat="1" x14ac:dyDescent="0.2">
      <c r="B298" s="142"/>
      <c r="D298" s="143" t="s">
        <v>346</v>
      </c>
      <c r="E298" s="144"/>
      <c r="F298" s="145" t="s">
        <v>5082</v>
      </c>
      <c r="H298" s="144"/>
      <c r="L298" s="142"/>
      <c r="M298" s="146"/>
      <c r="T298" s="147"/>
      <c r="AT298" s="144" t="s">
        <v>346</v>
      </c>
      <c r="AU298" s="144" t="s">
        <v>90</v>
      </c>
      <c r="AV298" s="141" t="s">
        <v>87</v>
      </c>
      <c r="AW298" s="141" t="s">
        <v>33</v>
      </c>
      <c r="AX298" s="141" t="s">
        <v>80</v>
      </c>
      <c r="AY298" s="144" t="s">
        <v>337</v>
      </c>
    </row>
    <row r="299" spans="2:51" s="148" customFormat="1" x14ac:dyDescent="0.2">
      <c r="B299" s="149"/>
      <c r="D299" s="143" t="s">
        <v>346</v>
      </c>
      <c r="E299" s="150"/>
      <c r="F299" s="151" t="s">
        <v>87</v>
      </c>
      <c r="H299" s="152">
        <v>1</v>
      </c>
      <c r="L299" s="149"/>
      <c r="M299" s="153"/>
      <c r="T299" s="154"/>
      <c r="AT299" s="150" t="s">
        <v>346</v>
      </c>
      <c r="AU299" s="150" t="s">
        <v>90</v>
      </c>
      <c r="AV299" s="148" t="s">
        <v>90</v>
      </c>
      <c r="AW299" s="148" t="s">
        <v>33</v>
      </c>
      <c r="AX299" s="148" t="s">
        <v>80</v>
      </c>
      <c r="AY299" s="150" t="s">
        <v>337</v>
      </c>
    </row>
    <row r="300" spans="2:51" s="141" customFormat="1" x14ac:dyDescent="0.2">
      <c r="B300" s="142"/>
      <c r="D300" s="143" t="s">
        <v>346</v>
      </c>
      <c r="E300" s="144"/>
      <c r="F300" s="145" t="s">
        <v>1133</v>
      </c>
      <c r="H300" s="144"/>
      <c r="L300" s="142"/>
      <c r="M300" s="146"/>
      <c r="T300" s="147"/>
      <c r="AT300" s="144" t="s">
        <v>346</v>
      </c>
      <c r="AU300" s="144" t="s">
        <v>90</v>
      </c>
      <c r="AV300" s="141" t="s">
        <v>87</v>
      </c>
      <c r="AW300" s="141" t="s">
        <v>33</v>
      </c>
      <c r="AX300" s="141" t="s">
        <v>80</v>
      </c>
      <c r="AY300" s="144" t="s">
        <v>337</v>
      </c>
    </row>
    <row r="301" spans="2:51" s="148" customFormat="1" x14ac:dyDescent="0.2">
      <c r="B301" s="149"/>
      <c r="D301" s="143" t="s">
        <v>346</v>
      </c>
      <c r="E301" s="150"/>
      <c r="F301" s="151" t="s">
        <v>90</v>
      </c>
      <c r="H301" s="152">
        <v>2</v>
      </c>
      <c r="L301" s="149"/>
      <c r="M301" s="153"/>
      <c r="T301" s="154"/>
      <c r="AT301" s="150" t="s">
        <v>346</v>
      </c>
      <c r="AU301" s="150" t="s">
        <v>90</v>
      </c>
      <c r="AV301" s="148" t="s">
        <v>90</v>
      </c>
      <c r="AW301" s="148" t="s">
        <v>33</v>
      </c>
      <c r="AX301" s="148" t="s">
        <v>80</v>
      </c>
      <c r="AY301" s="150" t="s">
        <v>337</v>
      </c>
    </row>
    <row r="302" spans="2:51" s="141" customFormat="1" x14ac:dyDescent="0.2">
      <c r="B302" s="142"/>
      <c r="D302" s="143" t="s">
        <v>346</v>
      </c>
      <c r="E302" s="144"/>
      <c r="F302" s="145" t="s">
        <v>5083</v>
      </c>
      <c r="H302" s="144"/>
      <c r="L302" s="142"/>
      <c r="M302" s="146"/>
      <c r="T302" s="147"/>
      <c r="AT302" s="144" t="s">
        <v>346</v>
      </c>
      <c r="AU302" s="144" t="s">
        <v>90</v>
      </c>
      <c r="AV302" s="141" t="s">
        <v>87</v>
      </c>
      <c r="AW302" s="141" t="s">
        <v>33</v>
      </c>
      <c r="AX302" s="141" t="s">
        <v>80</v>
      </c>
      <c r="AY302" s="144" t="s">
        <v>337</v>
      </c>
    </row>
    <row r="303" spans="2:51" s="148" customFormat="1" x14ac:dyDescent="0.2">
      <c r="B303" s="149"/>
      <c r="D303" s="143" t="s">
        <v>346</v>
      </c>
      <c r="E303" s="150"/>
      <c r="F303" s="151" t="s">
        <v>87</v>
      </c>
      <c r="H303" s="152">
        <v>1</v>
      </c>
      <c r="L303" s="149"/>
      <c r="M303" s="153"/>
      <c r="T303" s="154"/>
      <c r="AT303" s="150" t="s">
        <v>346</v>
      </c>
      <c r="AU303" s="150" t="s">
        <v>90</v>
      </c>
      <c r="AV303" s="148" t="s">
        <v>90</v>
      </c>
      <c r="AW303" s="148" t="s">
        <v>33</v>
      </c>
      <c r="AX303" s="148" t="s">
        <v>80</v>
      </c>
      <c r="AY303" s="150" t="s">
        <v>337</v>
      </c>
    </row>
    <row r="304" spans="2:51" s="141" customFormat="1" x14ac:dyDescent="0.2">
      <c r="B304" s="142"/>
      <c r="D304" s="143" t="s">
        <v>346</v>
      </c>
      <c r="E304" s="144"/>
      <c r="F304" s="145" t="s">
        <v>5078</v>
      </c>
      <c r="H304" s="144"/>
      <c r="L304" s="142"/>
      <c r="M304" s="146"/>
      <c r="T304" s="147"/>
      <c r="AT304" s="144" t="s">
        <v>346</v>
      </c>
      <c r="AU304" s="144" t="s">
        <v>90</v>
      </c>
      <c r="AV304" s="141" t="s">
        <v>87</v>
      </c>
      <c r="AW304" s="141" t="s">
        <v>33</v>
      </c>
      <c r="AX304" s="141" t="s">
        <v>80</v>
      </c>
      <c r="AY304" s="144" t="s">
        <v>337</v>
      </c>
    </row>
    <row r="305" spans="2:51" s="148" customFormat="1" x14ac:dyDescent="0.2">
      <c r="B305" s="149"/>
      <c r="D305" s="143" t="s">
        <v>346</v>
      </c>
      <c r="E305" s="150"/>
      <c r="F305" s="151" t="s">
        <v>113</v>
      </c>
      <c r="H305" s="152">
        <v>3</v>
      </c>
      <c r="L305" s="149"/>
      <c r="M305" s="153"/>
      <c r="T305" s="154"/>
      <c r="AT305" s="150" t="s">
        <v>346</v>
      </c>
      <c r="AU305" s="150" t="s">
        <v>90</v>
      </c>
      <c r="AV305" s="148" t="s">
        <v>90</v>
      </c>
      <c r="AW305" s="148" t="s">
        <v>33</v>
      </c>
      <c r="AX305" s="148" t="s">
        <v>80</v>
      </c>
      <c r="AY305" s="150" t="s">
        <v>337</v>
      </c>
    </row>
    <row r="306" spans="2:51" s="141" customFormat="1" x14ac:dyDescent="0.2">
      <c r="B306" s="142"/>
      <c r="D306" s="143" t="s">
        <v>346</v>
      </c>
      <c r="E306" s="144"/>
      <c r="F306" s="145" t="s">
        <v>5084</v>
      </c>
      <c r="H306" s="144"/>
      <c r="L306" s="142"/>
      <c r="M306" s="146"/>
      <c r="T306" s="147"/>
      <c r="AT306" s="144" t="s">
        <v>346</v>
      </c>
      <c r="AU306" s="144" t="s">
        <v>90</v>
      </c>
      <c r="AV306" s="141" t="s">
        <v>87</v>
      </c>
      <c r="AW306" s="141" t="s">
        <v>33</v>
      </c>
      <c r="AX306" s="141" t="s">
        <v>80</v>
      </c>
      <c r="AY306" s="144" t="s">
        <v>337</v>
      </c>
    </row>
    <row r="307" spans="2:51" s="141" customFormat="1" x14ac:dyDescent="0.2">
      <c r="B307" s="142"/>
      <c r="D307" s="143" t="s">
        <v>346</v>
      </c>
      <c r="E307" s="144"/>
      <c r="F307" s="145" t="s">
        <v>5085</v>
      </c>
      <c r="H307" s="144"/>
      <c r="L307" s="142"/>
      <c r="M307" s="146"/>
      <c r="T307" s="147"/>
      <c r="AT307" s="144" t="s">
        <v>346</v>
      </c>
      <c r="AU307" s="144" t="s">
        <v>90</v>
      </c>
      <c r="AV307" s="141" t="s">
        <v>87</v>
      </c>
      <c r="AW307" s="141" t="s">
        <v>33</v>
      </c>
      <c r="AX307" s="141" t="s">
        <v>80</v>
      </c>
      <c r="AY307" s="144" t="s">
        <v>337</v>
      </c>
    </row>
    <row r="308" spans="2:51" s="148" customFormat="1" x14ac:dyDescent="0.2">
      <c r="B308" s="149"/>
      <c r="D308" s="143" t="s">
        <v>346</v>
      </c>
      <c r="E308" s="150"/>
      <c r="F308" s="151" t="s">
        <v>90</v>
      </c>
      <c r="H308" s="152">
        <v>2</v>
      </c>
      <c r="L308" s="149"/>
      <c r="M308" s="153"/>
      <c r="T308" s="154"/>
      <c r="AT308" s="150" t="s">
        <v>346</v>
      </c>
      <c r="AU308" s="150" t="s">
        <v>90</v>
      </c>
      <c r="AV308" s="148" t="s">
        <v>90</v>
      </c>
      <c r="AW308" s="148" t="s">
        <v>33</v>
      </c>
      <c r="AX308" s="148" t="s">
        <v>80</v>
      </c>
      <c r="AY308" s="150" t="s">
        <v>337</v>
      </c>
    </row>
    <row r="309" spans="2:51" s="141" customFormat="1" x14ac:dyDescent="0.2">
      <c r="B309" s="142"/>
      <c r="D309" s="143" t="s">
        <v>346</v>
      </c>
      <c r="E309" s="144"/>
      <c r="F309" s="145" t="s">
        <v>5086</v>
      </c>
      <c r="H309" s="144"/>
      <c r="L309" s="142"/>
      <c r="M309" s="146"/>
      <c r="T309" s="147"/>
      <c r="AT309" s="144" t="s">
        <v>346</v>
      </c>
      <c r="AU309" s="144" t="s">
        <v>90</v>
      </c>
      <c r="AV309" s="141" t="s">
        <v>87</v>
      </c>
      <c r="AW309" s="141" t="s">
        <v>33</v>
      </c>
      <c r="AX309" s="141" t="s">
        <v>80</v>
      </c>
      <c r="AY309" s="144" t="s">
        <v>337</v>
      </c>
    </row>
    <row r="310" spans="2:51" s="148" customFormat="1" x14ac:dyDescent="0.2">
      <c r="B310" s="149"/>
      <c r="D310" s="143" t="s">
        <v>346</v>
      </c>
      <c r="E310" s="150"/>
      <c r="F310" s="151" t="s">
        <v>87</v>
      </c>
      <c r="H310" s="152">
        <v>1</v>
      </c>
      <c r="L310" s="149"/>
      <c r="M310" s="153"/>
      <c r="T310" s="154"/>
      <c r="AT310" s="150" t="s">
        <v>346</v>
      </c>
      <c r="AU310" s="150" t="s">
        <v>90</v>
      </c>
      <c r="AV310" s="148" t="s">
        <v>90</v>
      </c>
      <c r="AW310" s="148" t="s">
        <v>33</v>
      </c>
      <c r="AX310" s="148" t="s">
        <v>80</v>
      </c>
      <c r="AY310" s="150" t="s">
        <v>337</v>
      </c>
    </row>
    <row r="311" spans="2:51" s="141" customFormat="1" x14ac:dyDescent="0.2">
      <c r="B311" s="142"/>
      <c r="D311" s="143" t="s">
        <v>346</v>
      </c>
      <c r="E311" s="144"/>
      <c r="F311" s="145" t="s">
        <v>5087</v>
      </c>
      <c r="H311" s="144"/>
      <c r="L311" s="142"/>
      <c r="M311" s="146"/>
      <c r="T311" s="147"/>
      <c r="AT311" s="144" t="s">
        <v>346</v>
      </c>
      <c r="AU311" s="144" t="s">
        <v>90</v>
      </c>
      <c r="AV311" s="141" t="s">
        <v>87</v>
      </c>
      <c r="AW311" s="141" t="s">
        <v>33</v>
      </c>
      <c r="AX311" s="141" t="s">
        <v>80</v>
      </c>
      <c r="AY311" s="144" t="s">
        <v>337</v>
      </c>
    </row>
    <row r="312" spans="2:51" s="148" customFormat="1" x14ac:dyDescent="0.2">
      <c r="B312" s="149"/>
      <c r="D312" s="143" t="s">
        <v>346</v>
      </c>
      <c r="E312" s="150"/>
      <c r="F312" s="151" t="s">
        <v>87</v>
      </c>
      <c r="H312" s="152">
        <v>1</v>
      </c>
      <c r="L312" s="149"/>
      <c r="M312" s="153"/>
      <c r="T312" s="154"/>
      <c r="AT312" s="150" t="s">
        <v>346</v>
      </c>
      <c r="AU312" s="150" t="s">
        <v>90</v>
      </c>
      <c r="AV312" s="148" t="s">
        <v>90</v>
      </c>
      <c r="AW312" s="148" t="s">
        <v>33</v>
      </c>
      <c r="AX312" s="148" t="s">
        <v>80</v>
      </c>
      <c r="AY312" s="150" t="s">
        <v>337</v>
      </c>
    </row>
    <row r="313" spans="2:51" s="141" customFormat="1" x14ac:dyDescent="0.2">
      <c r="B313" s="142"/>
      <c r="D313" s="143" t="s">
        <v>346</v>
      </c>
      <c r="E313" s="144"/>
      <c r="F313" s="145" t="s">
        <v>5088</v>
      </c>
      <c r="H313" s="144"/>
      <c r="L313" s="142"/>
      <c r="M313" s="146"/>
      <c r="T313" s="147"/>
      <c r="AT313" s="144" t="s">
        <v>346</v>
      </c>
      <c r="AU313" s="144" t="s">
        <v>90</v>
      </c>
      <c r="AV313" s="141" t="s">
        <v>87</v>
      </c>
      <c r="AW313" s="141" t="s">
        <v>33</v>
      </c>
      <c r="AX313" s="141" t="s">
        <v>80</v>
      </c>
      <c r="AY313" s="144" t="s">
        <v>337</v>
      </c>
    </row>
    <row r="314" spans="2:51" s="148" customFormat="1" x14ac:dyDescent="0.2">
      <c r="B314" s="149"/>
      <c r="D314" s="143" t="s">
        <v>346</v>
      </c>
      <c r="E314" s="150"/>
      <c r="F314" s="151" t="s">
        <v>87</v>
      </c>
      <c r="H314" s="152">
        <v>1</v>
      </c>
      <c r="L314" s="149"/>
      <c r="M314" s="153"/>
      <c r="T314" s="154"/>
      <c r="AT314" s="150" t="s">
        <v>346</v>
      </c>
      <c r="AU314" s="150" t="s">
        <v>90</v>
      </c>
      <c r="AV314" s="148" t="s">
        <v>90</v>
      </c>
      <c r="AW314" s="148" t="s">
        <v>33</v>
      </c>
      <c r="AX314" s="148" t="s">
        <v>80</v>
      </c>
      <c r="AY314" s="150" t="s">
        <v>337</v>
      </c>
    </row>
    <row r="315" spans="2:51" s="141" customFormat="1" x14ac:dyDescent="0.2">
      <c r="B315" s="142"/>
      <c r="D315" s="143" t="s">
        <v>346</v>
      </c>
      <c r="E315" s="144"/>
      <c r="F315" s="145" t="s">
        <v>5089</v>
      </c>
      <c r="H315" s="144"/>
      <c r="L315" s="142"/>
      <c r="M315" s="146"/>
      <c r="T315" s="147"/>
      <c r="AT315" s="144" t="s">
        <v>346</v>
      </c>
      <c r="AU315" s="144" t="s">
        <v>90</v>
      </c>
      <c r="AV315" s="141" t="s">
        <v>87</v>
      </c>
      <c r="AW315" s="141" t="s">
        <v>33</v>
      </c>
      <c r="AX315" s="141" t="s">
        <v>80</v>
      </c>
      <c r="AY315" s="144" t="s">
        <v>337</v>
      </c>
    </row>
    <row r="316" spans="2:51" s="148" customFormat="1" x14ac:dyDescent="0.2">
      <c r="B316" s="149"/>
      <c r="D316" s="143" t="s">
        <v>346</v>
      </c>
      <c r="E316" s="150"/>
      <c r="F316" s="151" t="s">
        <v>87</v>
      </c>
      <c r="H316" s="152">
        <v>1</v>
      </c>
      <c r="L316" s="149"/>
      <c r="M316" s="153"/>
      <c r="T316" s="154"/>
      <c r="AT316" s="150" t="s">
        <v>346</v>
      </c>
      <c r="AU316" s="150" t="s">
        <v>90</v>
      </c>
      <c r="AV316" s="148" t="s">
        <v>90</v>
      </c>
      <c r="AW316" s="148" t="s">
        <v>33</v>
      </c>
      <c r="AX316" s="148" t="s">
        <v>80</v>
      </c>
      <c r="AY316" s="150" t="s">
        <v>337</v>
      </c>
    </row>
    <row r="317" spans="2:51" s="141" customFormat="1" x14ac:dyDescent="0.2">
      <c r="B317" s="142"/>
      <c r="D317" s="143" t="s">
        <v>346</v>
      </c>
      <c r="E317" s="144"/>
      <c r="F317" s="145" t="s">
        <v>5090</v>
      </c>
      <c r="H317" s="144"/>
      <c r="L317" s="142"/>
      <c r="M317" s="146"/>
      <c r="T317" s="147"/>
      <c r="AT317" s="144" t="s">
        <v>346</v>
      </c>
      <c r="AU317" s="144" t="s">
        <v>90</v>
      </c>
      <c r="AV317" s="141" t="s">
        <v>87</v>
      </c>
      <c r="AW317" s="141" t="s">
        <v>33</v>
      </c>
      <c r="AX317" s="141" t="s">
        <v>80</v>
      </c>
      <c r="AY317" s="144" t="s">
        <v>337</v>
      </c>
    </row>
    <row r="318" spans="2:51" s="148" customFormat="1" x14ac:dyDescent="0.2">
      <c r="B318" s="149"/>
      <c r="D318" s="143" t="s">
        <v>346</v>
      </c>
      <c r="E318" s="150"/>
      <c r="F318" s="151" t="s">
        <v>87</v>
      </c>
      <c r="H318" s="152">
        <v>1</v>
      </c>
      <c r="L318" s="149"/>
      <c r="M318" s="153"/>
      <c r="T318" s="154"/>
      <c r="AT318" s="150" t="s">
        <v>346</v>
      </c>
      <c r="AU318" s="150" t="s">
        <v>90</v>
      </c>
      <c r="AV318" s="148" t="s">
        <v>90</v>
      </c>
      <c r="AW318" s="148" t="s">
        <v>33</v>
      </c>
      <c r="AX318" s="148" t="s">
        <v>80</v>
      </c>
      <c r="AY318" s="150" t="s">
        <v>337</v>
      </c>
    </row>
    <row r="319" spans="2:51" s="141" customFormat="1" x14ac:dyDescent="0.2">
      <c r="B319" s="142"/>
      <c r="D319" s="143" t="s">
        <v>346</v>
      </c>
      <c r="E319" s="144"/>
      <c r="F319" s="145" t="s">
        <v>5091</v>
      </c>
      <c r="H319" s="144"/>
      <c r="L319" s="142"/>
      <c r="M319" s="146"/>
      <c r="T319" s="147"/>
      <c r="AT319" s="144" t="s">
        <v>346</v>
      </c>
      <c r="AU319" s="144" t="s">
        <v>90</v>
      </c>
      <c r="AV319" s="141" t="s">
        <v>87</v>
      </c>
      <c r="AW319" s="141" t="s">
        <v>33</v>
      </c>
      <c r="AX319" s="141" t="s">
        <v>80</v>
      </c>
      <c r="AY319" s="144" t="s">
        <v>337</v>
      </c>
    </row>
    <row r="320" spans="2:51" s="148" customFormat="1" x14ac:dyDescent="0.2">
      <c r="B320" s="149"/>
      <c r="D320" s="143" t="s">
        <v>346</v>
      </c>
      <c r="E320" s="150"/>
      <c r="F320" s="151" t="s">
        <v>113</v>
      </c>
      <c r="H320" s="152">
        <v>3</v>
      </c>
      <c r="L320" s="149"/>
      <c r="M320" s="153"/>
      <c r="T320" s="154"/>
      <c r="AT320" s="150" t="s">
        <v>346</v>
      </c>
      <c r="AU320" s="150" t="s">
        <v>90</v>
      </c>
      <c r="AV320" s="148" t="s">
        <v>90</v>
      </c>
      <c r="AW320" s="148" t="s">
        <v>33</v>
      </c>
      <c r="AX320" s="148" t="s">
        <v>80</v>
      </c>
      <c r="AY320" s="150" t="s">
        <v>337</v>
      </c>
    </row>
    <row r="321" spans="2:51" s="141" customFormat="1" ht="22.5" x14ac:dyDescent="0.2">
      <c r="B321" s="142"/>
      <c r="D321" s="143" t="s">
        <v>346</v>
      </c>
      <c r="E321" s="144"/>
      <c r="F321" s="145" t="s">
        <v>5092</v>
      </c>
      <c r="H321" s="144"/>
      <c r="L321" s="142"/>
      <c r="M321" s="146"/>
      <c r="T321" s="147"/>
      <c r="AT321" s="144" t="s">
        <v>346</v>
      </c>
      <c r="AU321" s="144" t="s">
        <v>90</v>
      </c>
      <c r="AV321" s="141" t="s">
        <v>87</v>
      </c>
      <c r="AW321" s="141" t="s">
        <v>33</v>
      </c>
      <c r="AX321" s="141" t="s">
        <v>80</v>
      </c>
      <c r="AY321" s="144" t="s">
        <v>337</v>
      </c>
    </row>
    <row r="322" spans="2:51" s="148" customFormat="1" x14ac:dyDescent="0.2">
      <c r="B322" s="149"/>
      <c r="D322" s="143" t="s">
        <v>346</v>
      </c>
      <c r="E322" s="150"/>
      <c r="F322" s="151" t="s">
        <v>87</v>
      </c>
      <c r="H322" s="152">
        <v>1</v>
      </c>
      <c r="L322" s="149"/>
      <c r="M322" s="153"/>
      <c r="T322" s="154"/>
      <c r="AT322" s="150" t="s">
        <v>346</v>
      </c>
      <c r="AU322" s="150" t="s">
        <v>90</v>
      </c>
      <c r="AV322" s="148" t="s">
        <v>90</v>
      </c>
      <c r="AW322" s="148" t="s">
        <v>33</v>
      </c>
      <c r="AX322" s="148" t="s">
        <v>80</v>
      </c>
      <c r="AY322" s="150" t="s">
        <v>337</v>
      </c>
    </row>
    <row r="323" spans="2:51" s="141" customFormat="1" x14ac:dyDescent="0.2">
      <c r="B323" s="142"/>
      <c r="D323" s="143" t="s">
        <v>346</v>
      </c>
      <c r="E323" s="144"/>
      <c r="F323" s="145" t="s">
        <v>5093</v>
      </c>
      <c r="H323" s="144"/>
      <c r="L323" s="142"/>
      <c r="M323" s="146"/>
      <c r="T323" s="147"/>
      <c r="AT323" s="144" t="s">
        <v>346</v>
      </c>
      <c r="AU323" s="144" t="s">
        <v>90</v>
      </c>
      <c r="AV323" s="141" t="s">
        <v>87</v>
      </c>
      <c r="AW323" s="141" t="s">
        <v>33</v>
      </c>
      <c r="AX323" s="141" t="s">
        <v>80</v>
      </c>
      <c r="AY323" s="144" t="s">
        <v>337</v>
      </c>
    </row>
    <row r="324" spans="2:51" s="141" customFormat="1" x14ac:dyDescent="0.2">
      <c r="B324" s="142"/>
      <c r="D324" s="143" t="s">
        <v>346</v>
      </c>
      <c r="E324" s="144"/>
      <c r="F324" s="145" t="s">
        <v>5094</v>
      </c>
      <c r="H324" s="144"/>
      <c r="L324" s="142"/>
      <c r="M324" s="146"/>
      <c r="T324" s="147"/>
      <c r="AT324" s="144" t="s">
        <v>346</v>
      </c>
      <c r="AU324" s="144" t="s">
        <v>90</v>
      </c>
      <c r="AV324" s="141" t="s">
        <v>87</v>
      </c>
      <c r="AW324" s="141" t="s">
        <v>33</v>
      </c>
      <c r="AX324" s="141" t="s">
        <v>80</v>
      </c>
      <c r="AY324" s="144" t="s">
        <v>337</v>
      </c>
    </row>
    <row r="325" spans="2:51" s="148" customFormat="1" x14ac:dyDescent="0.2">
      <c r="B325" s="149"/>
      <c r="D325" s="143" t="s">
        <v>346</v>
      </c>
      <c r="E325" s="150"/>
      <c r="F325" s="151" t="s">
        <v>90</v>
      </c>
      <c r="H325" s="152">
        <v>2</v>
      </c>
      <c r="L325" s="149"/>
      <c r="M325" s="153"/>
      <c r="T325" s="154"/>
      <c r="AT325" s="150" t="s">
        <v>346</v>
      </c>
      <c r="AU325" s="150" t="s">
        <v>90</v>
      </c>
      <c r="AV325" s="148" t="s">
        <v>90</v>
      </c>
      <c r="AW325" s="148" t="s">
        <v>33</v>
      </c>
      <c r="AX325" s="148" t="s">
        <v>80</v>
      </c>
      <c r="AY325" s="150" t="s">
        <v>337</v>
      </c>
    </row>
    <row r="326" spans="2:51" s="141" customFormat="1" x14ac:dyDescent="0.2">
      <c r="B326" s="142"/>
      <c r="D326" s="143" t="s">
        <v>346</v>
      </c>
      <c r="E326" s="144"/>
      <c r="F326" s="145" t="s">
        <v>5095</v>
      </c>
      <c r="H326" s="144"/>
      <c r="L326" s="142"/>
      <c r="M326" s="146"/>
      <c r="T326" s="147"/>
      <c r="AT326" s="144" t="s">
        <v>346</v>
      </c>
      <c r="AU326" s="144" t="s">
        <v>90</v>
      </c>
      <c r="AV326" s="141" t="s">
        <v>87</v>
      </c>
      <c r="AW326" s="141" t="s">
        <v>33</v>
      </c>
      <c r="AX326" s="141" t="s">
        <v>80</v>
      </c>
      <c r="AY326" s="144" t="s">
        <v>337</v>
      </c>
    </row>
    <row r="327" spans="2:51" s="148" customFormat="1" x14ac:dyDescent="0.2">
      <c r="B327" s="149"/>
      <c r="D327" s="143" t="s">
        <v>346</v>
      </c>
      <c r="E327" s="150"/>
      <c r="F327" s="151" t="s">
        <v>87</v>
      </c>
      <c r="H327" s="152">
        <v>1</v>
      </c>
      <c r="L327" s="149"/>
      <c r="M327" s="153"/>
      <c r="T327" s="154"/>
      <c r="AT327" s="150" t="s">
        <v>346</v>
      </c>
      <c r="AU327" s="150" t="s">
        <v>90</v>
      </c>
      <c r="AV327" s="148" t="s">
        <v>90</v>
      </c>
      <c r="AW327" s="148" t="s">
        <v>33</v>
      </c>
      <c r="AX327" s="148" t="s">
        <v>80</v>
      </c>
      <c r="AY327" s="150" t="s">
        <v>337</v>
      </c>
    </row>
    <row r="328" spans="2:51" s="141" customFormat="1" x14ac:dyDescent="0.2">
      <c r="B328" s="142"/>
      <c r="D328" s="143" t="s">
        <v>346</v>
      </c>
      <c r="E328" s="144"/>
      <c r="F328" s="145" t="s">
        <v>5096</v>
      </c>
      <c r="H328" s="144"/>
      <c r="L328" s="142"/>
      <c r="M328" s="146"/>
      <c r="T328" s="147"/>
      <c r="AT328" s="144" t="s">
        <v>346</v>
      </c>
      <c r="AU328" s="144" t="s">
        <v>90</v>
      </c>
      <c r="AV328" s="141" t="s">
        <v>87</v>
      </c>
      <c r="AW328" s="141" t="s">
        <v>33</v>
      </c>
      <c r="AX328" s="141" t="s">
        <v>80</v>
      </c>
      <c r="AY328" s="144" t="s">
        <v>337</v>
      </c>
    </row>
    <row r="329" spans="2:51" s="148" customFormat="1" x14ac:dyDescent="0.2">
      <c r="B329" s="149"/>
      <c r="D329" s="143" t="s">
        <v>346</v>
      </c>
      <c r="E329" s="150"/>
      <c r="F329" s="151" t="s">
        <v>87</v>
      </c>
      <c r="H329" s="152">
        <v>1</v>
      </c>
      <c r="L329" s="149"/>
      <c r="M329" s="153"/>
      <c r="T329" s="154"/>
      <c r="AT329" s="150" t="s">
        <v>346</v>
      </c>
      <c r="AU329" s="150" t="s">
        <v>90</v>
      </c>
      <c r="AV329" s="148" t="s">
        <v>90</v>
      </c>
      <c r="AW329" s="148" t="s">
        <v>33</v>
      </c>
      <c r="AX329" s="148" t="s">
        <v>80</v>
      </c>
      <c r="AY329" s="150" t="s">
        <v>337</v>
      </c>
    </row>
    <row r="330" spans="2:51" s="141" customFormat="1" x14ac:dyDescent="0.2">
      <c r="B330" s="142"/>
      <c r="D330" s="143" t="s">
        <v>346</v>
      </c>
      <c r="E330" s="144"/>
      <c r="F330" s="145" t="s">
        <v>5097</v>
      </c>
      <c r="H330" s="144"/>
      <c r="L330" s="142"/>
      <c r="M330" s="146"/>
      <c r="T330" s="147"/>
      <c r="AT330" s="144" t="s">
        <v>346</v>
      </c>
      <c r="AU330" s="144" t="s">
        <v>90</v>
      </c>
      <c r="AV330" s="141" t="s">
        <v>87</v>
      </c>
      <c r="AW330" s="141" t="s">
        <v>33</v>
      </c>
      <c r="AX330" s="141" t="s">
        <v>80</v>
      </c>
      <c r="AY330" s="144" t="s">
        <v>337</v>
      </c>
    </row>
    <row r="331" spans="2:51" s="148" customFormat="1" x14ac:dyDescent="0.2">
      <c r="B331" s="149"/>
      <c r="D331" s="143" t="s">
        <v>346</v>
      </c>
      <c r="E331" s="150"/>
      <c r="F331" s="151" t="s">
        <v>87</v>
      </c>
      <c r="H331" s="152">
        <v>1</v>
      </c>
      <c r="L331" s="149"/>
      <c r="M331" s="153"/>
      <c r="T331" s="154"/>
      <c r="AT331" s="150" t="s">
        <v>346</v>
      </c>
      <c r="AU331" s="150" t="s">
        <v>90</v>
      </c>
      <c r="AV331" s="148" t="s">
        <v>90</v>
      </c>
      <c r="AW331" s="148" t="s">
        <v>33</v>
      </c>
      <c r="AX331" s="148" t="s">
        <v>80</v>
      </c>
      <c r="AY331" s="150" t="s">
        <v>337</v>
      </c>
    </row>
    <row r="332" spans="2:51" s="141" customFormat="1" x14ac:dyDescent="0.2">
      <c r="B332" s="142"/>
      <c r="D332" s="143" t="s">
        <v>346</v>
      </c>
      <c r="E332" s="144"/>
      <c r="F332" s="145" t="s">
        <v>5098</v>
      </c>
      <c r="H332" s="144"/>
      <c r="L332" s="142"/>
      <c r="M332" s="146"/>
      <c r="T332" s="147"/>
      <c r="AT332" s="144" t="s">
        <v>346</v>
      </c>
      <c r="AU332" s="144" t="s">
        <v>90</v>
      </c>
      <c r="AV332" s="141" t="s">
        <v>87</v>
      </c>
      <c r="AW332" s="141" t="s">
        <v>33</v>
      </c>
      <c r="AX332" s="141" t="s">
        <v>80</v>
      </c>
      <c r="AY332" s="144" t="s">
        <v>337</v>
      </c>
    </row>
    <row r="333" spans="2:51" s="148" customFormat="1" x14ac:dyDescent="0.2">
      <c r="B333" s="149"/>
      <c r="D333" s="143" t="s">
        <v>346</v>
      </c>
      <c r="E333" s="150"/>
      <c r="F333" s="151" t="s">
        <v>87</v>
      </c>
      <c r="H333" s="152">
        <v>1</v>
      </c>
      <c r="L333" s="149"/>
      <c r="M333" s="153"/>
      <c r="T333" s="154"/>
      <c r="AT333" s="150" t="s">
        <v>346</v>
      </c>
      <c r="AU333" s="150" t="s">
        <v>90</v>
      </c>
      <c r="AV333" s="148" t="s">
        <v>90</v>
      </c>
      <c r="AW333" s="148" t="s">
        <v>33</v>
      </c>
      <c r="AX333" s="148" t="s">
        <v>80</v>
      </c>
      <c r="AY333" s="150" t="s">
        <v>337</v>
      </c>
    </row>
    <row r="334" spans="2:51" s="141" customFormat="1" x14ac:dyDescent="0.2">
      <c r="B334" s="142"/>
      <c r="D334" s="143" t="s">
        <v>346</v>
      </c>
      <c r="E334" s="144"/>
      <c r="F334" s="145" t="s">
        <v>5091</v>
      </c>
      <c r="H334" s="144"/>
      <c r="L334" s="142"/>
      <c r="M334" s="146"/>
      <c r="T334" s="147"/>
      <c r="AT334" s="144" t="s">
        <v>346</v>
      </c>
      <c r="AU334" s="144" t="s">
        <v>90</v>
      </c>
      <c r="AV334" s="141" t="s">
        <v>87</v>
      </c>
      <c r="AW334" s="141" t="s">
        <v>33</v>
      </c>
      <c r="AX334" s="141" t="s">
        <v>80</v>
      </c>
      <c r="AY334" s="144" t="s">
        <v>337</v>
      </c>
    </row>
    <row r="335" spans="2:51" s="148" customFormat="1" x14ac:dyDescent="0.2">
      <c r="B335" s="149"/>
      <c r="D335" s="143" t="s">
        <v>346</v>
      </c>
      <c r="E335" s="150"/>
      <c r="F335" s="151" t="s">
        <v>113</v>
      </c>
      <c r="H335" s="152">
        <v>3</v>
      </c>
      <c r="L335" s="149"/>
      <c r="M335" s="153"/>
      <c r="T335" s="154"/>
      <c r="AT335" s="150" t="s">
        <v>346</v>
      </c>
      <c r="AU335" s="150" t="s">
        <v>90</v>
      </c>
      <c r="AV335" s="148" t="s">
        <v>90</v>
      </c>
      <c r="AW335" s="148" t="s">
        <v>33</v>
      </c>
      <c r="AX335" s="148" t="s">
        <v>80</v>
      </c>
      <c r="AY335" s="150" t="s">
        <v>337</v>
      </c>
    </row>
    <row r="336" spans="2:51" s="141" customFormat="1" ht="22.5" x14ac:dyDescent="0.2">
      <c r="B336" s="142"/>
      <c r="D336" s="143" t="s">
        <v>346</v>
      </c>
      <c r="E336" s="144"/>
      <c r="F336" s="145" t="s">
        <v>5092</v>
      </c>
      <c r="H336" s="144"/>
      <c r="L336" s="142"/>
      <c r="M336" s="146"/>
      <c r="T336" s="147"/>
      <c r="AT336" s="144" t="s">
        <v>346</v>
      </c>
      <c r="AU336" s="144" t="s">
        <v>90</v>
      </c>
      <c r="AV336" s="141" t="s">
        <v>87</v>
      </c>
      <c r="AW336" s="141" t="s">
        <v>33</v>
      </c>
      <c r="AX336" s="141" t="s">
        <v>80</v>
      </c>
      <c r="AY336" s="144" t="s">
        <v>337</v>
      </c>
    </row>
    <row r="337" spans="2:65" s="148" customFormat="1" x14ac:dyDescent="0.2">
      <c r="B337" s="149"/>
      <c r="D337" s="143" t="s">
        <v>346</v>
      </c>
      <c r="E337" s="150"/>
      <c r="F337" s="151" t="s">
        <v>87</v>
      </c>
      <c r="H337" s="152">
        <v>1</v>
      </c>
      <c r="L337" s="149"/>
      <c r="M337" s="153"/>
      <c r="T337" s="154"/>
      <c r="AT337" s="150" t="s">
        <v>346</v>
      </c>
      <c r="AU337" s="150" t="s">
        <v>90</v>
      </c>
      <c r="AV337" s="148" t="s">
        <v>90</v>
      </c>
      <c r="AW337" s="148" t="s">
        <v>33</v>
      </c>
      <c r="AX337" s="148" t="s">
        <v>80</v>
      </c>
      <c r="AY337" s="150" t="s">
        <v>337</v>
      </c>
    </row>
    <row r="338" spans="2:65" s="141" customFormat="1" x14ac:dyDescent="0.2">
      <c r="B338" s="142"/>
      <c r="D338" s="143" t="s">
        <v>346</v>
      </c>
      <c r="E338" s="144"/>
      <c r="F338" s="145" t="s">
        <v>5099</v>
      </c>
      <c r="H338" s="144"/>
      <c r="L338" s="142"/>
      <c r="M338" s="146"/>
      <c r="T338" s="147"/>
      <c r="AT338" s="144" t="s">
        <v>346</v>
      </c>
      <c r="AU338" s="144" t="s">
        <v>90</v>
      </c>
      <c r="AV338" s="141" t="s">
        <v>87</v>
      </c>
      <c r="AW338" s="141" t="s">
        <v>33</v>
      </c>
      <c r="AX338" s="141" t="s">
        <v>80</v>
      </c>
      <c r="AY338" s="144" t="s">
        <v>337</v>
      </c>
    </row>
    <row r="339" spans="2:65" s="141" customFormat="1" x14ac:dyDescent="0.2">
      <c r="B339" s="142"/>
      <c r="D339" s="143" t="s">
        <v>346</v>
      </c>
      <c r="E339" s="144"/>
      <c r="F339" s="145" t="s">
        <v>5100</v>
      </c>
      <c r="H339" s="144"/>
      <c r="L339" s="142"/>
      <c r="M339" s="146"/>
      <c r="T339" s="147"/>
      <c r="AT339" s="144" t="s">
        <v>346</v>
      </c>
      <c r="AU339" s="144" t="s">
        <v>90</v>
      </c>
      <c r="AV339" s="141" t="s">
        <v>87</v>
      </c>
      <c r="AW339" s="141" t="s">
        <v>33</v>
      </c>
      <c r="AX339" s="141" t="s">
        <v>80</v>
      </c>
      <c r="AY339" s="144" t="s">
        <v>337</v>
      </c>
    </row>
    <row r="340" spans="2:65" s="148" customFormat="1" x14ac:dyDescent="0.2">
      <c r="B340" s="149"/>
      <c r="D340" s="143" t="s">
        <v>346</v>
      </c>
      <c r="E340" s="150"/>
      <c r="F340" s="151" t="s">
        <v>87</v>
      </c>
      <c r="H340" s="152">
        <v>1</v>
      </c>
      <c r="L340" s="149"/>
      <c r="M340" s="153"/>
      <c r="T340" s="154"/>
      <c r="AT340" s="150" t="s">
        <v>346</v>
      </c>
      <c r="AU340" s="150" t="s">
        <v>90</v>
      </c>
      <c r="AV340" s="148" t="s">
        <v>90</v>
      </c>
      <c r="AW340" s="148" t="s">
        <v>33</v>
      </c>
      <c r="AX340" s="148" t="s">
        <v>80</v>
      </c>
      <c r="AY340" s="150" t="s">
        <v>337</v>
      </c>
    </row>
    <row r="341" spans="2:65" s="141" customFormat="1" x14ac:dyDescent="0.2">
      <c r="B341" s="142"/>
      <c r="D341" s="143" t="s">
        <v>346</v>
      </c>
      <c r="E341" s="144"/>
      <c r="F341" s="145" t="s">
        <v>5101</v>
      </c>
      <c r="H341" s="144"/>
      <c r="L341" s="142"/>
      <c r="M341" s="146"/>
      <c r="T341" s="147"/>
      <c r="AT341" s="144" t="s">
        <v>346</v>
      </c>
      <c r="AU341" s="144" t="s">
        <v>90</v>
      </c>
      <c r="AV341" s="141" t="s">
        <v>87</v>
      </c>
      <c r="AW341" s="141" t="s">
        <v>33</v>
      </c>
      <c r="AX341" s="141" t="s">
        <v>80</v>
      </c>
      <c r="AY341" s="144" t="s">
        <v>337</v>
      </c>
    </row>
    <row r="342" spans="2:65" s="148" customFormat="1" x14ac:dyDescent="0.2">
      <c r="B342" s="149"/>
      <c r="D342" s="143" t="s">
        <v>346</v>
      </c>
      <c r="E342" s="150"/>
      <c r="F342" s="151" t="s">
        <v>90</v>
      </c>
      <c r="H342" s="152">
        <v>2</v>
      </c>
      <c r="L342" s="149"/>
      <c r="M342" s="153"/>
      <c r="T342" s="154"/>
      <c r="AT342" s="150" t="s">
        <v>346</v>
      </c>
      <c r="AU342" s="150" t="s">
        <v>90</v>
      </c>
      <c r="AV342" s="148" t="s">
        <v>90</v>
      </c>
      <c r="AW342" s="148" t="s">
        <v>33</v>
      </c>
      <c r="AX342" s="148" t="s">
        <v>80</v>
      </c>
      <c r="AY342" s="150" t="s">
        <v>337</v>
      </c>
    </row>
    <row r="343" spans="2:65" s="141" customFormat="1" x14ac:dyDescent="0.2">
      <c r="B343" s="142"/>
      <c r="D343" s="143" t="s">
        <v>346</v>
      </c>
      <c r="E343" s="144"/>
      <c r="F343" s="145" t="s">
        <v>5102</v>
      </c>
      <c r="H343" s="144"/>
      <c r="L343" s="142"/>
      <c r="M343" s="146"/>
      <c r="T343" s="147"/>
      <c r="AT343" s="144" t="s">
        <v>346</v>
      </c>
      <c r="AU343" s="144" t="s">
        <v>90</v>
      </c>
      <c r="AV343" s="141" t="s">
        <v>87</v>
      </c>
      <c r="AW343" s="141" t="s">
        <v>33</v>
      </c>
      <c r="AX343" s="141" t="s">
        <v>80</v>
      </c>
      <c r="AY343" s="144" t="s">
        <v>337</v>
      </c>
    </row>
    <row r="344" spans="2:65" s="148" customFormat="1" x14ac:dyDescent="0.2">
      <c r="B344" s="149"/>
      <c r="D344" s="143" t="s">
        <v>346</v>
      </c>
      <c r="E344" s="150"/>
      <c r="F344" s="151" t="s">
        <v>87</v>
      </c>
      <c r="H344" s="152">
        <v>1</v>
      </c>
      <c r="L344" s="149"/>
      <c r="M344" s="153"/>
      <c r="T344" s="154"/>
      <c r="AT344" s="150" t="s">
        <v>346</v>
      </c>
      <c r="AU344" s="150" t="s">
        <v>90</v>
      </c>
      <c r="AV344" s="148" t="s">
        <v>90</v>
      </c>
      <c r="AW344" s="148" t="s">
        <v>33</v>
      </c>
      <c r="AX344" s="148" t="s">
        <v>80</v>
      </c>
      <c r="AY344" s="150" t="s">
        <v>337</v>
      </c>
    </row>
    <row r="345" spans="2:65" s="141" customFormat="1" x14ac:dyDescent="0.2">
      <c r="B345" s="142"/>
      <c r="D345" s="143" t="s">
        <v>346</v>
      </c>
      <c r="E345" s="144"/>
      <c r="F345" s="145" t="s">
        <v>5103</v>
      </c>
      <c r="H345" s="144"/>
      <c r="L345" s="142"/>
      <c r="M345" s="146"/>
      <c r="T345" s="147"/>
      <c r="AT345" s="144" t="s">
        <v>346</v>
      </c>
      <c r="AU345" s="144" t="s">
        <v>90</v>
      </c>
      <c r="AV345" s="141" t="s">
        <v>87</v>
      </c>
      <c r="AW345" s="141" t="s">
        <v>33</v>
      </c>
      <c r="AX345" s="141" t="s">
        <v>80</v>
      </c>
      <c r="AY345" s="144" t="s">
        <v>337</v>
      </c>
    </row>
    <row r="346" spans="2:65" s="148" customFormat="1" x14ac:dyDescent="0.2">
      <c r="B346" s="149"/>
      <c r="D346" s="143" t="s">
        <v>346</v>
      </c>
      <c r="E346" s="150"/>
      <c r="F346" s="151" t="s">
        <v>87</v>
      </c>
      <c r="H346" s="152">
        <v>1</v>
      </c>
      <c r="L346" s="149"/>
      <c r="M346" s="153"/>
      <c r="T346" s="154"/>
      <c r="AT346" s="150" t="s">
        <v>346</v>
      </c>
      <c r="AU346" s="150" t="s">
        <v>90</v>
      </c>
      <c r="AV346" s="148" t="s">
        <v>90</v>
      </c>
      <c r="AW346" s="148" t="s">
        <v>33</v>
      </c>
      <c r="AX346" s="148" t="s">
        <v>80</v>
      </c>
      <c r="AY346" s="150" t="s">
        <v>337</v>
      </c>
    </row>
    <row r="347" spans="2:65" s="141" customFormat="1" x14ac:dyDescent="0.2">
      <c r="B347" s="142"/>
      <c r="D347" s="143" t="s">
        <v>346</v>
      </c>
      <c r="E347" s="144"/>
      <c r="F347" s="145" t="s">
        <v>5091</v>
      </c>
      <c r="H347" s="144"/>
      <c r="L347" s="142"/>
      <c r="M347" s="146"/>
      <c r="T347" s="147"/>
      <c r="AT347" s="144" t="s">
        <v>346</v>
      </c>
      <c r="AU347" s="144" t="s">
        <v>90</v>
      </c>
      <c r="AV347" s="141" t="s">
        <v>87</v>
      </c>
      <c r="AW347" s="141" t="s">
        <v>33</v>
      </c>
      <c r="AX347" s="141" t="s">
        <v>80</v>
      </c>
      <c r="AY347" s="144" t="s">
        <v>337</v>
      </c>
    </row>
    <row r="348" spans="2:65" s="148" customFormat="1" x14ac:dyDescent="0.2">
      <c r="B348" s="149"/>
      <c r="D348" s="143" t="s">
        <v>346</v>
      </c>
      <c r="E348" s="150"/>
      <c r="F348" s="151" t="s">
        <v>113</v>
      </c>
      <c r="H348" s="152">
        <v>3</v>
      </c>
      <c r="L348" s="149"/>
      <c r="M348" s="153"/>
      <c r="T348" s="154"/>
      <c r="AT348" s="150" t="s">
        <v>346</v>
      </c>
      <c r="AU348" s="150" t="s">
        <v>90</v>
      </c>
      <c r="AV348" s="148" t="s">
        <v>90</v>
      </c>
      <c r="AW348" s="148" t="s">
        <v>33</v>
      </c>
      <c r="AX348" s="148" t="s">
        <v>80</v>
      </c>
      <c r="AY348" s="150" t="s">
        <v>337</v>
      </c>
    </row>
    <row r="349" spans="2:65" s="141" customFormat="1" x14ac:dyDescent="0.2">
      <c r="B349" s="142"/>
      <c r="D349" s="143" t="s">
        <v>346</v>
      </c>
      <c r="E349" s="144"/>
      <c r="F349" s="145" t="s">
        <v>5104</v>
      </c>
      <c r="H349" s="144"/>
      <c r="L349" s="142"/>
      <c r="M349" s="146"/>
      <c r="T349" s="147"/>
      <c r="AT349" s="144" t="s">
        <v>346</v>
      </c>
      <c r="AU349" s="144" t="s">
        <v>90</v>
      </c>
      <c r="AV349" s="141" t="s">
        <v>87</v>
      </c>
      <c r="AW349" s="141" t="s">
        <v>33</v>
      </c>
      <c r="AX349" s="141" t="s">
        <v>80</v>
      </c>
      <c r="AY349" s="144" t="s">
        <v>337</v>
      </c>
    </row>
    <row r="350" spans="2:65" s="148" customFormat="1" x14ac:dyDescent="0.2">
      <c r="B350" s="149"/>
      <c r="D350" s="143" t="s">
        <v>346</v>
      </c>
      <c r="E350" s="150"/>
      <c r="F350" s="151" t="s">
        <v>80</v>
      </c>
      <c r="H350" s="152">
        <v>0</v>
      </c>
      <c r="L350" s="149"/>
      <c r="M350" s="153"/>
      <c r="T350" s="154"/>
      <c r="AT350" s="150" t="s">
        <v>346</v>
      </c>
      <c r="AU350" s="150" t="s">
        <v>90</v>
      </c>
      <c r="AV350" s="148" t="s">
        <v>90</v>
      </c>
      <c r="AW350" s="148" t="s">
        <v>33</v>
      </c>
      <c r="AX350" s="148" t="s">
        <v>80</v>
      </c>
      <c r="AY350" s="150" t="s">
        <v>337</v>
      </c>
    </row>
    <row r="351" spans="2:65" s="155" customFormat="1" x14ac:dyDescent="0.2">
      <c r="B351" s="156"/>
      <c r="D351" s="143" t="s">
        <v>346</v>
      </c>
      <c r="E351" s="157"/>
      <c r="F351" s="158" t="s">
        <v>351</v>
      </c>
      <c r="H351" s="159">
        <v>59</v>
      </c>
      <c r="L351" s="156"/>
      <c r="M351" s="160"/>
      <c r="T351" s="161"/>
      <c r="AT351" s="157" t="s">
        <v>346</v>
      </c>
      <c r="AU351" s="157" t="s">
        <v>90</v>
      </c>
      <c r="AV351" s="155" t="s">
        <v>344</v>
      </c>
      <c r="AW351" s="155" t="s">
        <v>33</v>
      </c>
      <c r="AX351" s="155" t="s">
        <v>87</v>
      </c>
      <c r="AY351" s="157" t="s">
        <v>337</v>
      </c>
    </row>
    <row r="352" spans="2:65" s="16" customFormat="1" ht="16.5" customHeight="1" x14ac:dyDescent="0.2">
      <c r="B352" s="17"/>
      <c r="C352" s="128">
        <v>17</v>
      </c>
      <c r="D352" s="128" t="s">
        <v>339</v>
      </c>
      <c r="E352" s="129" t="s">
        <v>5105</v>
      </c>
      <c r="F352" s="130" t="s">
        <v>5106</v>
      </c>
      <c r="G352" s="131" t="s">
        <v>449</v>
      </c>
      <c r="H352" s="132">
        <v>9</v>
      </c>
      <c r="I352" s="133"/>
      <c r="J352" s="134">
        <f>ROUND(I352*H352,2)</f>
        <v>0</v>
      </c>
      <c r="K352" s="130"/>
      <c r="L352" s="17"/>
      <c r="M352" s="135"/>
      <c r="N352" s="136" t="s">
        <v>45</v>
      </c>
      <c r="P352" s="137">
        <f>O352*H352</f>
        <v>0</v>
      </c>
      <c r="Q352" s="137">
        <v>0</v>
      </c>
      <c r="R352" s="137">
        <f>Q352*H352</f>
        <v>0</v>
      </c>
      <c r="S352" s="137">
        <v>0</v>
      </c>
      <c r="T352" s="138">
        <f>S352*H352</f>
        <v>0</v>
      </c>
      <c r="AR352" s="139" t="s">
        <v>344</v>
      </c>
      <c r="AT352" s="139" t="s">
        <v>339</v>
      </c>
      <c r="AU352" s="139" t="s">
        <v>90</v>
      </c>
      <c r="AY352" s="2" t="s">
        <v>337</v>
      </c>
      <c r="BE352" s="140">
        <f>IF(N352="základní",J352,0)</f>
        <v>0</v>
      </c>
      <c r="BF352" s="140">
        <f>IF(N352="snížená",J352,0)</f>
        <v>0</v>
      </c>
      <c r="BG352" s="140">
        <f>IF(N352="zákl. přenesená",J352,0)</f>
        <v>0</v>
      </c>
      <c r="BH352" s="140">
        <f>IF(N352="sníž. přenesená",J352,0)</f>
        <v>0</v>
      </c>
      <c r="BI352" s="140">
        <f>IF(N352="nulová",J352,0)</f>
        <v>0</v>
      </c>
      <c r="BJ352" s="2" t="s">
        <v>87</v>
      </c>
      <c r="BK352" s="140">
        <f>ROUND(I352*H352,2)</f>
        <v>0</v>
      </c>
      <c r="BL352" s="2" t="s">
        <v>344</v>
      </c>
      <c r="BM352" s="139" t="s">
        <v>5107</v>
      </c>
    </row>
    <row r="353" spans="2:51" s="141" customFormat="1" x14ac:dyDescent="0.2">
      <c r="B353" s="142"/>
      <c r="D353" s="143" t="s">
        <v>346</v>
      </c>
      <c r="E353" s="144"/>
      <c r="F353" s="145" t="s">
        <v>5066</v>
      </c>
      <c r="H353" s="144"/>
      <c r="L353" s="142"/>
      <c r="M353" s="146"/>
      <c r="T353" s="147"/>
      <c r="AT353" s="144" t="s">
        <v>346</v>
      </c>
      <c r="AU353" s="144" t="s">
        <v>90</v>
      </c>
      <c r="AV353" s="141" t="s">
        <v>87</v>
      </c>
      <c r="AW353" s="141" t="s">
        <v>33</v>
      </c>
      <c r="AX353" s="141" t="s">
        <v>80</v>
      </c>
      <c r="AY353" s="144" t="s">
        <v>337</v>
      </c>
    </row>
    <row r="354" spans="2:51" s="141" customFormat="1" x14ac:dyDescent="0.2">
      <c r="B354" s="142"/>
      <c r="D354" s="143" t="s">
        <v>346</v>
      </c>
      <c r="E354" s="144"/>
      <c r="F354" s="145" t="s">
        <v>5067</v>
      </c>
      <c r="H354" s="144"/>
      <c r="L354" s="142"/>
      <c r="M354" s="146"/>
      <c r="T354" s="147"/>
      <c r="AT354" s="144" t="s">
        <v>346</v>
      </c>
      <c r="AU354" s="144" t="s">
        <v>90</v>
      </c>
      <c r="AV354" s="141" t="s">
        <v>87</v>
      </c>
      <c r="AW354" s="141" t="s">
        <v>33</v>
      </c>
      <c r="AX354" s="141" t="s">
        <v>80</v>
      </c>
      <c r="AY354" s="144" t="s">
        <v>337</v>
      </c>
    </row>
    <row r="355" spans="2:51" s="141" customFormat="1" x14ac:dyDescent="0.2">
      <c r="B355" s="142"/>
      <c r="D355" s="143" t="s">
        <v>346</v>
      </c>
      <c r="E355" s="144"/>
      <c r="F355" s="145" t="s">
        <v>2016</v>
      </c>
      <c r="H355" s="144"/>
      <c r="L355" s="142"/>
      <c r="M355" s="146"/>
      <c r="T355" s="147"/>
      <c r="AT355" s="144" t="s">
        <v>346</v>
      </c>
      <c r="AU355" s="144" t="s">
        <v>90</v>
      </c>
      <c r="AV355" s="141" t="s">
        <v>87</v>
      </c>
      <c r="AW355" s="141" t="s">
        <v>33</v>
      </c>
      <c r="AX355" s="141" t="s">
        <v>80</v>
      </c>
      <c r="AY355" s="144" t="s">
        <v>337</v>
      </c>
    </row>
    <row r="356" spans="2:51" s="148" customFormat="1" x14ac:dyDescent="0.2">
      <c r="B356" s="149"/>
      <c r="D356" s="143" t="s">
        <v>346</v>
      </c>
      <c r="E356" s="150"/>
      <c r="F356" s="151" t="s">
        <v>87</v>
      </c>
      <c r="H356" s="152">
        <v>1</v>
      </c>
      <c r="L356" s="149"/>
      <c r="M356" s="153"/>
      <c r="T356" s="154"/>
      <c r="AT356" s="150" t="s">
        <v>346</v>
      </c>
      <c r="AU356" s="150" t="s">
        <v>90</v>
      </c>
      <c r="AV356" s="148" t="s">
        <v>90</v>
      </c>
      <c r="AW356" s="148" t="s">
        <v>33</v>
      </c>
      <c r="AX356" s="148" t="s">
        <v>80</v>
      </c>
      <c r="AY356" s="150" t="s">
        <v>337</v>
      </c>
    </row>
    <row r="357" spans="2:51" s="141" customFormat="1" x14ac:dyDescent="0.2">
      <c r="B357" s="142"/>
      <c r="D357" s="143" t="s">
        <v>346</v>
      </c>
      <c r="E357" s="144"/>
      <c r="F357" s="145" t="s">
        <v>5108</v>
      </c>
      <c r="H357" s="144"/>
      <c r="L357" s="142"/>
      <c r="M357" s="146"/>
      <c r="T357" s="147"/>
      <c r="AT357" s="144" t="s">
        <v>346</v>
      </c>
      <c r="AU357" s="144" t="s">
        <v>90</v>
      </c>
      <c r="AV357" s="141" t="s">
        <v>87</v>
      </c>
      <c r="AW357" s="141" t="s">
        <v>33</v>
      </c>
      <c r="AX357" s="141" t="s">
        <v>80</v>
      </c>
      <c r="AY357" s="144" t="s">
        <v>337</v>
      </c>
    </row>
    <row r="358" spans="2:51" s="148" customFormat="1" x14ac:dyDescent="0.2">
      <c r="B358" s="149"/>
      <c r="D358" s="143" t="s">
        <v>346</v>
      </c>
      <c r="E358" s="150"/>
      <c r="F358" s="151" t="s">
        <v>80</v>
      </c>
      <c r="H358" s="152">
        <v>0</v>
      </c>
      <c r="L358" s="149"/>
      <c r="M358" s="153"/>
      <c r="T358" s="154"/>
      <c r="AT358" s="150" t="s">
        <v>346</v>
      </c>
      <c r="AU358" s="150" t="s">
        <v>90</v>
      </c>
      <c r="AV358" s="148" t="s">
        <v>90</v>
      </c>
      <c r="AW358" s="148" t="s">
        <v>33</v>
      </c>
      <c r="AX358" s="148" t="s">
        <v>80</v>
      </c>
      <c r="AY358" s="150" t="s">
        <v>337</v>
      </c>
    </row>
    <row r="359" spans="2:51" s="141" customFormat="1" x14ac:dyDescent="0.2">
      <c r="B359" s="142"/>
      <c r="D359" s="143" t="s">
        <v>346</v>
      </c>
      <c r="E359" s="144"/>
      <c r="F359" s="145" t="s">
        <v>5068</v>
      </c>
      <c r="H359" s="144"/>
      <c r="L359" s="142"/>
      <c r="M359" s="146"/>
      <c r="T359" s="147"/>
      <c r="AT359" s="144" t="s">
        <v>346</v>
      </c>
      <c r="AU359" s="144" t="s">
        <v>90</v>
      </c>
      <c r="AV359" s="141" t="s">
        <v>87</v>
      </c>
      <c r="AW359" s="141" t="s">
        <v>33</v>
      </c>
      <c r="AX359" s="141" t="s">
        <v>80</v>
      </c>
      <c r="AY359" s="144" t="s">
        <v>337</v>
      </c>
    </row>
    <row r="360" spans="2:51" s="141" customFormat="1" x14ac:dyDescent="0.2">
      <c r="B360" s="142"/>
      <c r="D360" s="143" t="s">
        <v>346</v>
      </c>
      <c r="E360" s="144"/>
      <c r="F360" s="145" t="s">
        <v>5109</v>
      </c>
      <c r="H360" s="144"/>
      <c r="L360" s="142"/>
      <c r="M360" s="146"/>
      <c r="T360" s="147"/>
      <c r="AT360" s="144" t="s">
        <v>346</v>
      </c>
      <c r="AU360" s="144" t="s">
        <v>90</v>
      </c>
      <c r="AV360" s="141" t="s">
        <v>87</v>
      </c>
      <c r="AW360" s="141" t="s">
        <v>33</v>
      </c>
      <c r="AX360" s="141" t="s">
        <v>80</v>
      </c>
      <c r="AY360" s="144" t="s">
        <v>337</v>
      </c>
    </row>
    <row r="361" spans="2:51" s="148" customFormat="1" x14ac:dyDescent="0.2">
      <c r="B361" s="149"/>
      <c r="D361" s="143" t="s">
        <v>346</v>
      </c>
      <c r="E361" s="150"/>
      <c r="F361" s="151" t="s">
        <v>87</v>
      </c>
      <c r="H361" s="152">
        <v>1</v>
      </c>
      <c r="L361" s="149"/>
      <c r="M361" s="153"/>
      <c r="T361" s="154"/>
      <c r="AT361" s="150" t="s">
        <v>346</v>
      </c>
      <c r="AU361" s="150" t="s">
        <v>90</v>
      </c>
      <c r="AV361" s="148" t="s">
        <v>90</v>
      </c>
      <c r="AW361" s="148" t="s">
        <v>33</v>
      </c>
      <c r="AX361" s="148" t="s">
        <v>80</v>
      </c>
      <c r="AY361" s="150" t="s">
        <v>337</v>
      </c>
    </row>
    <row r="362" spans="2:51" s="141" customFormat="1" x14ac:dyDescent="0.2">
      <c r="B362" s="142"/>
      <c r="D362" s="143" t="s">
        <v>346</v>
      </c>
      <c r="E362" s="144"/>
      <c r="F362" s="145" t="s">
        <v>5110</v>
      </c>
      <c r="H362" s="144"/>
      <c r="L362" s="142"/>
      <c r="M362" s="146"/>
      <c r="T362" s="147"/>
      <c r="AT362" s="144" t="s">
        <v>346</v>
      </c>
      <c r="AU362" s="144" t="s">
        <v>90</v>
      </c>
      <c r="AV362" s="141" t="s">
        <v>87</v>
      </c>
      <c r="AW362" s="141" t="s">
        <v>33</v>
      </c>
      <c r="AX362" s="141" t="s">
        <v>80</v>
      </c>
      <c r="AY362" s="144" t="s">
        <v>337</v>
      </c>
    </row>
    <row r="363" spans="2:51" s="148" customFormat="1" x14ac:dyDescent="0.2">
      <c r="B363" s="149"/>
      <c r="D363" s="143" t="s">
        <v>346</v>
      </c>
      <c r="E363" s="150"/>
      <c r="F363" s="151" t="s">
        <v>87</v>
      </c>
      <c r="H363" s="152">
        <v>1</v>
      </c>
      <c r="L363" s="149"/>
      <c r="M363" s="153"/>
      <c r="T363" s="154"/>
      <c r="AT363" s="150" t="s">
        <v>346</v>
      </c>
      <c r="AU363" s="150" t="s">
        <v>90</v>
      </c>
      <c r="AV363" s="148" t="s">
        <v>90</v>
      </c>
      <c r="AW363" s="148" t="s">
        <v>33</v>
      </c>
      <c r="AX363" s="148" t="s">
        <v>80</v>
      </c>
      <c r="AY363" s="150" t="s">
        <v>337</v>
      </c>
    </row>
    <row r="364" spans="2:51" s="141" customFormat="1" x14ac:dyDescent="0.2">
      <c r="B364" s="142"/>
      <c r="D364" s="143" t="s">
        <v>346</v>
      </c>
      <c r="E364" s="144"/>
      <c r="F364" s="145" t="s">
        <v>2024</v>
      </c>
      <c r="H364" s="144"/>
      <c r="L364" s="142"/>
      <c r="M364" s="146"/>
      <c r="T364" s="147"/>
      <c r="AT364" s="144" t="s">
        <v>346</v>
      </c>
      <c r="AU364" s="144" t="s">
        <v>90</v>
      </c>
      <c r="AV364" s="141" t="s">
        <v>87</v>
      </c>
      <c r="AW364" s="141" t="s">
        <v>33</v>
      </c>
      <c r="AX364" s="141" t="s">
        <v>80</v>
      </c>
      <c r="AY364" s="144" t="s">
        <v>337</v>
      </c>
    </row>
    <row r="365" spans="2:51" s="148" customFormat="1" x14ac:dyDescent="0.2">
      <c r="B365" s="149"/>
      <c r="D365" s="143" t="s">
        <v>346</v>
      </c>
      <c r="E365" s="150"/>
      <c r="F365" s="151" t="s">
        <v>90</v>
      </c>
      <c r="H365" s="152">
        <v>2</v>
      </c>
      <c r="L365" s="149"/>
      <c r="M365" s="153"/>
      <c r="T365" s="154"/>
      <c r="AT365" s="150" t="s">
        <v>346</v>
      </c>
      <c r="AU365" s="150" t="s">
        <v>90</v>
      </c>
      <c r="AV365" s="148" t="s">
        <v>90</v>
      </c>
      <c r="AW365" s="148" t="s">
        <v>33</v>
      </c>
      <c r="AX365" s="148" t="s">
        <v>80</v>
      </c>
      <c r="AY365" s="150" t="s">
        <v>337</v>
      </c>
    </row>
    <row r="366" spans="2:51" s="141" customFormat="1" x14ac:dyDescent="0.2">
      <c r="B366" s="142"/>
      <c r="D366" s="143" t="s">
        <v>346</v>
      </c>
      <c r="E366" s="144"/>
      <c r="F366" s="145" t="s">
        <v>5071</v>
      </c>
      <c r="H366" s="144"/>
      <c r="L366" s="142"/>
      <c r="M366" s="146"/>
      <c r="T366" s="147"/>
      <c r="AT366" s="144" t="s">
        <v>346</v>
      </c>
      <c r="AU366" s="144" t="s">
        <v>90</v>
      </c>
      <c r="AV366" s="141" t="s">
        <v>87</v>
      </c>
      <c r="AW366" s="141" t="s">
        <v>33</v>
      </c>
      <c r="AX366" s="141" t="s">
        <v>80</v>
      </c>
      <c r="AY366" s="144" t="s">
        <v>337</v>
      </c>
    </row>
    <row r="367" spans="2:51" s="141" customFormat="1" x14ac:dyDescent="0.2">
      <c r="B367" s="142"/>
      <c r="D367" s="143" t="s">
        <v>346</v>
      </c>
      <c r="E367" s="144"/>
      <c r="F367" s="145" t="s">
        <v>5111</v>
      </c>
      <c r="H367" s="144"/>
      <c r="L367" s="142"/>
      <c r="M367" s="146"/>
      <c r="T367" s="147"/>
      <c r="AT367" s="144" t="s">
        <v>346</v>
      </c>
      <c r="AU367" s="144" t="s">
        <v>90</v>
      </c>
      <c r="AV367" s="141" t="s">
        <v>87</v>
      </c>
      <c r="AW367" s="141" t="s">
        <v>33</v>
      </c>
      <c r="AX367" s="141" t="s">
        <v>80</v>
      </c>
      <c r="AY367" s="144" t="s">
        <v>337</v>
      </c>
    </row>
    <row r="368" spans="2:51" s="148" customFormat="1" x14ac:dyDescent="0.2">
      <c r="B368" s="149"/>
      <c r="D368" s="143" t="s">
        <v>346</v>
      </c>
      <c r="E368" s="150"/>
      <c r="F368" s="151" t="s">
        <v>87</v>
      </c>
      <c r="H368" s="152">
        <v>1</v>
      </c>
      <c r="L368" s="149"/>
      <c r="M368" s="153"/>
      <c r="T368" s="154"/>
      <c r="AT368" s="150" t="s">
        <v>346</v>
      </c>
      <c r="AU368" s="150" t="s">
        <v>90</v>
      </c>
      <c r="AV368" s="148" t="s">
        <v>90</v>
      </c>
      <c r="AW368" s="148" t="s">
        <v>33</v>
      </c>
      <c r="AX368" s="148" t="s">
        <v>80</v>
      </c>
      <c r="AY368" s="150" t="s">
        <v>337</v>
      </c>
    </row>
    <row r="369" spans="2:65" s="141" customFormat="1" x14ac:dyDescent="0.2">
      <c r="B369" s="142"/>
      <c r="D369" s="143" t="s">
        <v>346</v>
      </c>
      <c r="E369" s="144"/>
      <c r="F369" s="145" t="s">
        <v>1511</v>
      </c>
      <c r="H369" s="144"/>
      <c r="L369" s="142"/>
      <c r="M369" s="146"/>
      <c r="T369" s="147"/>
      <c r="AT369" s="144" t="s">
        <v>346</v>
      </c>
      <c r="AU369" s="144" t="s">
        <v>90</v>
      </c>
      <c r="AV369" s="141" t="s">
        <v>87</v>
      </c>
      <c r="AW369" s="141" t="s">
        <v>33</v>
      </c>
      <c r="AX369" s="141" t="s">
        <v>80</v>
      </c>
      <c r="AY369" s="144" t="s">
        <v>337</v>
      </c>
    </row>
    <row r="370" spans="2:65" s="148" customFormat="1" x14ac:dyDescent="0.2">
      <c r="B370" s="149"/>
      <c r="D370" s="143" t="s">
        <v>346</v>
      </c>
      <c r="E370" s="150"/>
      <c r="F370" s="151" t="s">
        <v>87</v>
      </c>
      <c r="H370" s="152">
        <v>1</v>
      </c>
      <c r="L370" s="149"/>
      <c r="M370" s="153"/>
      <c r="T370" s="154"/>
      <c r="AT370" s="150" t="s">
        <v>346</v>
      </c>
      <c r="AU370" s="150" t="s">
        <v>90</v>
      </c>
      <c r="AV370" s="148" t="s">
        <v>90</v>
      </c>
      <c r="AW370" s="148" t="s">
        <v>33</v>
      </c>
      <c r="AX370" s="148" t="s">
        <v>80</v>
      </c>
      <c r="AY370" s="150" t="s">
        <v>337</v>
      </c>
    </row>
    <row r="371" spans="2:65" s="141" customFormat="1" x14ac:dyDescent="0.2">
      <c r="B371" s="142"/>
      <c r="D371" s="143" t="s">
        <v>346</v>
      </c>
      <c r="E371" s="144"/>
      <c r="F371" s="145" t="s">
        <v>5079</v>
      </c>
      <c r="H371" s="144"/>
      <c r="L371" s="142"/>
      <c r="M371" s="146"/>
      <c r="T371" s="147"/>
      <c r="AT371" s="144" t="s">
        <v>346</v>
      </c>
      <c r="AU371" s="144" t="s">
        <v>90</v>
      </c>
      <c r="AV371" s="141" t="s">
        <v>87</v>
      </c>
      <c r="AW371" s="141" t="s">
        <v>33</v>
      </c>
      <c r="AX371" s="141" t="s">
        <v>80</v>
      </c>
      <c r="AY371" s="144" t="s">
        <v>337</v>
      </c>
    </row>
    <row r="372" spans="2:65" s="148" customFormat="1" x14ac:dyDescent="0.2">
      <c r="B372" s="149"/>
      <c r="D372" s="143" t="s">
        <v>346</v>
      </c>
      <c r="E372" s="150"/>
      <c r="F372" s="151" t="s">
        <v>80</v>
      </c>
      <c r="H372" s="152">
        <v>0</v>
      </c>
      <c r="L372" s="149"/>
      <c r="M372" s="153"/>
      <c r="T372" s="154"/>
      <c r="AT372" s="150" t="s">
        <v>346</v>
      </c>
      <c r="AU372" s="150" t="s">
        <v>90</v>
      </c>
      <c r="AV372" s="148" t="s">
        <v>90</v>
      </c>
      <c r="AW372" s="148" t="s">
        <v>33</v>
      </c>
      <c r="AX372" s="148" t="s">
        <v>80</v>
      </c>
      <c r="AY372" s="150" t="s">
        <v>337</v>
      </c>
    </row>
    <row r="373" spans="2:65" s="141" customFormat="1" x14ac:dyDescent="0.2">
      <c r="B373" s="142"/>
      <c r="D373" s="143" t="s">
        <v>346</v>
      </c>
      <c r="E373" s="144"/>
      <c r="F373" s="145" t="s">
        <v>5084</v>
      </c>
      <c r="H373" s="144"/>
      <c r="L373" s="142"/>
      <c r="M373" s="146"/>
      <c r="T373" s="147"/>
      <c r="AT373" s="144" t="s">
        <v>346</v>
      </c>
      <c r="AU373" s="144" t="s">
        <v>90</v>
      </c>
      <c r="AV373" s="141" t="s">
        <v>87</v>
      </c>
      <c r="AW373" s="141" t="s">
        <v>33</v>
      </c>
      <c r="AX373" s="141" t="s">
        <v>80</v>
      </c>
      <c r="AY373" s="144" t="s">
        <v>337</v>
      </c>
    </row>
    <row r="374" spans="2:65" s="141" customFormat="1" x14ac:dyDescent="0.2">
      <c r="B374" s="142"/>
      <c r="D374" s="143" t="s">
        <v>346</v>
      </c>
      <c r="E374" s="144"/>
      <c r="F374" s="145" t="s">
        <v>5112</v>
      </c>
      <c r="H374" s="144"/>
      <c r="L374" s="142"/>
      <c r="M374" s="146"/>
      <c r="T374" s="147"/>
      <c r="AT374" s="144" t="s">
        <v>346</v>
      </c>
      <c r="AU374" s="144" t="s">
        <v>90</v>
      </c>
      <c r="AV374" s="141" t="s">
        <v>87</v>
      </c>
      <c r="AW374" s="141" t="s">
        <v>33</v>
      </c>
      <c r="AX374" s="141" t="s">
        <v>80</v>
      </c>
      <c r="AY374" s="144" t="s">
        <v>337</v>
      </c>
    </row>
    <row r="375" spans="2:65" s="148" customFormat="1" x14ac:dyDescent="0.2">
      <c r="B375" s="149"/>
      <c r="D375" s="143" t="s">
        <v>346</v>
      </c>
      <c r="E375" s="150"/>
      <c r="F375" s="151" t="s">
        <v>87</v>
      </c>
      <c r="H375" s="152">
        <v>1</v>
      </c>
      <c r="L375" s="149"/>
      <c r="M375" s="153"/>
      <c r="T375" s="154"/>
      <c r="AT375" s="150" t="s">
        <v>346</v>
      </c>
      <c r="AU375" s="150" t="s">
        <v>90</v>
      </c>
      <c r="AV375" s="148" t="s">
        <v>90</v>
      </c>
      <c r="AW375" s="148" t="s">
        <v>33</v>
      </c>
      <c r="AX375" s="148" t="s">
        <v>80</v>
      </c>
      <c r="AY375" s="150" t="s">
        <v>337</v>
      </c>
    </row>
    <row r="376" spans="2:65" s="141" customFormat="1" x14ac:dyDescent="0.2">
      <c r="B376" s="142"/>
      <c r="D376" s="143" t="s">
        <v>346</v>
      </c>
      <c r="E376" s="144"/>
      <c r="F376" s="145" t="s">
        <v>5093</v>
      </c>
      <c r="H376" s="144"/>
      <c r="L376" s="142"/>
      <c r="M376" s="146"/>
      <c r="T376" s="147"/>
      <c r="AT376" s="144" t="s">
        <v>346</v>
      </c>
      <c r="AU376" s="144" t="s">
        <v>90</v>
      </c>
      <c r="AV376" s="141" t="s">
        <v>87</v>
      </c>
      <c r="AW376" s="141" t="s">
        <v>33</v>
      </c>
      <c r="AX376" s="141" t="s">
        <v>80</v>
      </c>
      <c r="AY376" s="144" t="s">
        <v>337</v>
      </c>
    </row>
    <row r="377" spans="2:65" s="148" customFormat="1" x14ac:dyDescent="0.2">
      <c r="B377" s="149"/>
      <c r="D377" s="143" t="s">
        <v>346</v>
      </c>
      <c r="E377" s="150"/>
      <c r="F377" s="151" t="s">
        <v>80</v>
      </c>
      <c r="H377" s="152">
        <v>0</v>
      </c>
      <c r="L377" s="149"/>
      <c r="M377" s="153"/>
      <c r="T377" s="154"/>
      <c r="AT377" s="150" t="s">
        <v>346</v>
      </c>
      <c r="AU377" s="150" t="s">
        <v>90</v>
      </c>
      <c r="AV377" s="148" t="s">
        <v>90</v>
      </c>
      <c r="AW377" s="148" t="s">
        <v>33</v>
      </c>
      <c r="AX377" s="148" t="s">
        <v>80</v>
      </c>
      <c r="AY377" s="150" t="s">
        <v>337</v>
      </c>
    </row>
    <row r="378" spans="2:65" s="141" customFormat="1" x14ac:dyDescent="0.2">
      <c r="B378" s="142"/>
      <c r="D378" s="143" t="s">
        <v>346</v>
      </c>
      <c r="E378" s="144"/>
      <c r="F378" s="145" t="s">
        <v>5099</v>
      </c>
      <c r="H378" s="144"/>
      <c r="L378" s="142"/>
      <c r="M378" s="146"/>
      <c r="T378" s="147"/>
      <c r="AT378" s="144" t="s">
        <v>346</v>
      </c>
      <c r="AU378" s="144" t="s">
        <v>90</v>
      </c>
      <c r="AV378" s="141" t="s">
        <v>87</v>
      </c>
      <c r="AW378" s="141" t="s">
        <v>33</v>
      </c>
      <c r="AX378" s="141" t="s">
        <v>80</v>
      </c>
      <c r="AY378" s="144" t="s">
        <v>337</v>
      </c>
    </row>
    <row r="379" spans="2:65" s="141" customFormat="1" x14ac:dyDescent="0.2">
      <c r="B379" s="142"/>
      <c r="D379" s="143" t="s">
        <v>346</v>
      </c>
      <c r="E379" s="144"/>
      <c r="F379" s="145" t="s">
        <v>2036</v>
      </c>
      <c r="H379" s="144"/>
      <c r="L379" s="142"/>
      <c r="M379" s="146"/>
      <c r="T379" s="147"/>
      <c r="AT379" s="144" t="s">
        <v>346</v>
      </c>
      <c r="AU379" s="144" t="s">
        <v>90</v>
      </c>
      <c r="AV379" s="141" t="s">
        <v>87</v>
      </c>
      <c r="AW379" s="141" t="s">
        <v>33</v>
      </c>
      <c r="AX379" s="141" t="s">
        <v>80</v>
      </c>
      <c r="AY379" s="144" t="s">
        <v>337</v>
      </c>
    </row>
    <row r="380" spans="2:65" s="148" customFormat="1" x14ac:dyDescent="0.2">
      <c r="B380" s="149"/>
      <c r="D380" s="143" t="s">
        <v>346</v>
      </c>
      <c r="E380" s="150"/>
      <c r="F380" s="151" t="s">
        <v>87</v>
      </c>
      <c r="H380" s="152">
        <v>1</v>
      </c>
      <c r="L380" s="149"/>
      <c r="M380" s="153"/>
      <c r="T380" s="154"/>
      <c r="AT380" s="150" t="s">
        <v>346</v>
      </c>
      <c r="AU380" s="150" t="s">
        <v>90</v>
      </c>
      <c r="AV380" s="148" t="s">
        <v>90</v>
      </c>
      <c r="AW380" s="148" t="s">
        <v>33</v>
      </c>
      <c r="AX380" s="148" t="s">
        <v>80</v>
      </c>
      <c r="AY380" s="150" t="s">
        <v>337</v>
      </c>
    </row>
    <row r="381" spans="2:65" s="141" customFormat="1" x14ac:dyDescent="0.2">
      <c r="B381" s="142"/>
      <c r="D381" s="143" t="s">
        <v>346</v>
      </c>
      <c r="E381" s="144"/>
      <c r="F381" s="145" t="s">
        <v>5104</v>
      </c>
      <c r="H381" s="144"/>
      <c r="L381" s="142"/>
      <c r="M381" s="146"/>
      <c r="T381" s="147"/>
      <c r="AT381" s="144" t="s">
        <v>346</v>
      </c>
      <c r="AU381" s="144" t="s">
        <v>90</v>
      </c>
      <c r="AV381" s="141" t="s">
        <v>87</v>
      </c>
      <c r="AW381" s="141" t="s">
        <v>33</v>
      </c>
      <c r="AX381" s="141" t="s">
        <v>80</v>
      </c>
      <c r="AY381" s="144" t="s">
        <v>337</v>
      </c>
    </row>
    <row r="382" spans="2:65" s="148" customFormat="1" x14ac:dyDescent="0.2">
      <c r="B382" s="149"/>
      <c r="D382" s="143" t="s">
        <v>346</v>
      </c>
      <c r="E382" s="150"/>
      <c r="F382" s="151" t="s">
        <v>80</v>
      </c>
      <c r="H382" s="152">
        <v>0</v>
      </c>
      <c r="L382" s="149"/>
      <c r="M382" s="153"/>
      <c r="T382" s="154"/>
      <c r="AT382" s="150" t="s">
        <v>346</v>
      </c>
      <c r="AU382" s="150" t="s">
        <v>90</v>
      </c>
      <c r="AV382" s="148" t="s">
        <v>90</v>
      </c>
      <c r="AW382" s="148" t="s">
        <v>33</v>
      </c>
      <c r="AX382" s="148" t="s">
        <v>80</v>
      </c>
      <c r="AY382" s="150" t="s">
        <v>337</v>
      </c>
    </row>
    <row r="383" spans="2:65" s="155" customFormat="1" x14ac:dyDescent="0.2">
      <c r="B383" s="156"/>
      <c r="D383" s="143" t="s">
        <v>346</v>
      </c>
      <c r="E383" s="157"/>
      <c r="F383" s="158" t="s">
        <v>351</v>
      </c>
      <c r="H383" s="159">
        <v>9</v>
      </c>
      <c r="L383" s="156"/>
      <c r="M383" s="160"/>
      <c r="T383" s="161"/>
      <c r="AT383" s="157" t="s">
        <v>346</v>
      </c>
      <c r="AU383" s="157" t="s">
        <v>90</v>
      </c>
      <c r="AV383" s="155" t="s">
        <v>344</v>
      </c>
      <c r="AW383" s="155" t="s">
        <v>33</v>
      </c>
      <c r="AX383" s="155" t="s">
        <v>87</v>
      </c>
      <c r="AY383" s="157" t="s">
        <v>337</v>
      </c>
    </row>
    <row r="384" spans="2:65" s="16" customFormat="1" ht="16.5" customHeight="1" x14ac:dyDescent="0.2">
      <c r="B384" s="17"/>
      <c r="C384" s="128">
        <v>18</v>
      </c>
      <c r="D384" s="128" t="s">
        <v>339</v>
      </c>
      <c r="E384" s="129" t="s">
        <v>5113</v>
      </c>
      <c r="F384" s="130" t="s">
        <v>5114</v>
      </c>
      <c r="G384" s="131" t="s">
        <v>449</v>
      </c>
      <c r="H384" s="132">
        <v>60</v>
      </c>
      <c r="I384" s="133"/>
      <c r="J384" s="134">
        <f>ROUND(I384*H384,2)</f>
        <v>0</v>
      </c>
      <c r="K384" s="130"/>
      <c r="L384" s="17"/>
      <c r="M384" s="135"/>
      <c r="N384" s="136" t="s">
        <v>45</v>
      </c>
      <c r="P384" s="137">
        <f>O384*H384</f>
        <v>0</v>
      </c>
      <c r="Q384" s="137">
        <v>0</v>
      </c>
      <c r="R384" s="137">
        <f>Q384*H384</f>
        <v>0</v>
      </c>
      <c r="S384" s="137">
        <v>0</v>
      </c>
      <c r="T384" s="138">
        <f>S384*H384</f>
        <v>0</v>
      </c>
      <c r="AR384" s="139" t="s">
        <v>344</v>
      </c>
      <c r="AT384" s="139" t="s">
        <v>339</v>
      </c>
      <c r="AU384" s="139" t="s">
        <v>90</v>
      </c>
      <c r="AY384" s="2" t="s">
        <v>337</v>
      </c>
      <c r="BE384" s="140">
        <f>IF(N384="základní",J384,0)</f>
        <v>0</v>
      </c>
      <c r="BF384" s="140">
        <f>IF(N384="snížená",J384,0)</f>
        <v>0</v>
      </c>
      <c r="BG384" s="140">
        <f>IF(N384="zákl. přenesená",J384,0)</f>
        <v>0</v>
      </c>
      <c r="BH384" s="140">
        <f>IF(N384="sníž. přenesená",J384,0)</f>
        <v>0</v>
      </c>
      <c r="BI384" s="140">
        <f>IF(N384="nulová",J384,0)</f>
        <v>0</v>
      </c>
      <c r="BJ384" s="2" t="s">
        <v>87</v>
      </c>
      <c r="BK384" s="140">
        <f>ROUND(I384*H384,2)</f>
        <v>0</v>
      </c>
      <c r="BL384" s="2" t="s">
        <v>344</v>
      </c>
      <c r="BM384" s="139" t="s">
        <v>5115</v>
      </c>
    </row>
    <row r="385" spans="2:65" s="16" customFormat="1" ht="24.2" customHeight="1" x14ac:dyDescent="0.2">
      <c r="B385" s="17"/>
      <c r="C385" s="128">
        <v>19</v>
      </c>
      <c r="D385" s="128" t="s">
        <v>339</v>
      </c>
      <c r="E385" s="129" t="s">
        <v>5116</v>
      </c>
      <c r="F385" s="130" t="s">
        <v>5117</v>
      </c>
      <c r="G385" s="131" t="s">
        <v>449</v>
      </c>
      <c r="H385" s="132">
        <v>159</v>
      </c>
      <c r="I385" s="133"/>
      <c r="J385" s="134">
        <f>ROUND(I385*H385,2)</f>
        <v>0</v>
      </c>
      <c r="K385" s="130"/>
      <c r="L385" s="17"/>
      <c r="M385" s="135"/>
      <c r="N385" s="136" t="s">
        <v>45</v>
      </c>
      <c r="P385" s="137">
        <f>O385*H385</f>
        <v>0</v>
      </c>
      <c r="Q385" s="137">
        <v>0</v>
      </c>
      <c r="R385" s="137">
        <f>Q385*H385</f>
        <v>0</v>
      </c>
      <c r="S385" s="137">
        <v>0</v>
      </c>
      <c r="T385" s="138">
        <f>S385*H385</f>
        <v>0</v>
      </c>
      <c r="AR385" s="139" t="s">
        <v>344</v>
      </c>
      <c r="AT385" s="139" t="s">
        <v>339</v>
      </c>
      <c r="AU385" s="139" t="s">
        <v>90</v>
      </c>
      <c r="AY385" s="2" t="s">
        <v>337</v>
      </c>
      <c r="BE385" s="140">
        <f>IF(N385="základní",J385,0)</f>
        <v>0</v>
      </c>
      <c r="BF385" s="140">
        <f>IF(N385="snížená",J385,0)</f>
        <v>0</v>
      </c>
      <c r="BG385" s="140">
        <f>IF(N385="zákl. přenesená",J385,0)</f>
        <v>0</v>
      </c>
      <c r="BH385" s="140">
        <f>IF(N385="sníž. přenesená",J385,0)</f>
        <v>0</v>
      </c>
      <c r="BI385" s="140">
        <f>IF(N385="nulová",J385,0)</f>
        <v>0</v>
      </c>
      <c r="BJ385" s="2" t="s">
        <v>87</v>
      </c>
      <c r="BK385" s="140">
        <f>ROUND(I385*H385,2)</f>
        <v>0</v>
      </c>
      <c r="BL385" s="2" t="s">
        <v>344</v>
      </c>
      <c r="BM385" s="139" t="s">
        <v>5118</v>
      </c>
    </row>
    <row r="386" spans="2:65" s="141" customFormat="1" x14ac:dyDescent="0.2">
      <c r="B386" s="142"/>
      <c r="D386" s="143" t="s">
        <v>346</v>
      </c>
      <c r="E386" s="144"/>
      <c r="F386" s="145" t="s">
        <v>5119</v>
      </c>
      <c r="H386" s="144"/>
      <c r="L386" s="142"/>
      <c r="M386" s="146"/>
      <c r="T386" s="147"/>
      <c r="AT386" s="144" t="s">
        <v>346</v>
      </c>
      <c r="AU386" s="144" t="s">
        <v>90</v>
      </c>
      <c r="AV386" s="141" t="s">
        <v>87</v>
      </c>
      <c r="AW386" s="141" t="s">
        <v>33</v>
      </c>
      <c r="AX386" s="141" t="s">
        <v>80</v>
      </c>
      <c r="AY386" s="144" t="s">
        <v>337</v>
      </c>
    </row>
    <row r="387" spans="2:65" s="148" customFormat="1" x14ac:dyDescent="0.2">
      <c r="B387" s="149"/>
      <c r="D387" s="143" t="s">
        <v>346</v>
      </c>
      <c r="E387" s="150"/>
      <c r="F387" s="151" t="s">
        <v>5120</v>
      </c>
      <c r="H387" s="152">
        <v>94</v>
      </c>
      <c r="L387" s="149"/>
      <c r="M387" s="153"/>
      <c r="T387" s="154"/>
      <c r="AT387" s="150" t="s">
        <v>346</v>
      </c>
      <c r="AU387" s="150" t="s">
        <v>90</v>
      </c>
      <c r="AV387" s="148" t="s">
        <v>90</v>
      </c>
      <c r="AW387" s="148" t="s">
        <v>33</v>
      </c>
      <c r="AX387" s="148" t="s">
        <v>80</v>
      </c>
      <c r="AY387" s="150" t="s">
        <v>337</v>
      </c>
    </row>
    <row r="388" spans="2:65" s="141" customFormat="1" x14ac:dyDescent="0.2">
      <c r="B388" s="142"/>
      <c r="D388" s="143" t="s">
        <v>346</v>
      </c>
      <c r="E388" s="144"/>
      <c r="F388" s="145" t="s">
        <v>5121</v>
      </c>
      <c r="H388" s="144"/>
      <c r="L388" s="142"/>
      <c r="M388" s="146"/>
      <c r="T388" s="147"/>
      <c r="AT388" s="144" t="s">
        <v>346</v>
      </c>
      <c r="AU388" s="144" t="s">
        <v>90</v>
      </c>
      <c r="AV388" s="141" t="s">
        <v>87</v>
      </c>
      <c r="AW388" s="141" t="s">
        <v>33</v>
      </c>
      <c r="AX388" s="141" t="s">
        <v>80</v>
      </c>
      <c r="AY388" s="144" t="s">
        <v>337</v>
      </c>
    </row>
    <row r="389" spans="2:65" s="141" customFormat="1" x14ac:dyDescent="0.2">
      <c r="B389" s="142"/>
      <c r="D389" s="143" t="s">
        <v>346</v>
      </c>
      <c r="E389" s="144"/>
      <c r="F389" s="145" t="s">
        <v>357</v>
      </c>
      <c r="H389" s="144"/>
      <c r="L389" s="142"/>
      <c r="M389" s="146"/>
      <c r="T389" s="147"/>
      <c r="AT389" s="144" t="s">
        <v>346</v>
      </c>
      <c r="AU389" s="144" t="s">
        <v>90</v>
      </c>
      <c r="AV389" s="141" t="s">
        <v>87</v>
      </c>
      <c r="AW389" s="141" t="s">
        <v>33</v>
      </c>
      <c r="AX389" s="141" t="s">
        <v>80</v>
      </c>
      <c r="AY389" s="144" t="s">
        <v>337</v>
      </c>
    </row>
    <row r="390" spans="2:65" s="148" customFormat="1" x14ac:dyDescent="0.2">
      <c r="B390" s="149"/>
      <c r="D390" s="143" t="s">
        <v>346</v>
      </c>
      <c r="E390" s="150"/>
      <c r="F390" s="151" t="s">
        <v>90</v>
      </c>
      <c r="H390" s="152">
        <v>2</v>
      </c>
      <c r="L390" s="149"/>
      <c r="M390" s="153"/>
      <c r="T390" s="154"/>
      <c r="AT390" s="150" t="s">
        <v>346</v>
      </c>
      <c r="AU390" s="150" t="s">
        <v>90</v>
      </c>
      <c r="AV390" s="148" t="s">
        <v>90</v>
      </c>
      <c r="AW390" s="148" t="s">
        <v>33</v>
      </c>
      <c r="AX390" s="148" t="s">
        <v>80</v>
      </c>
      <c r="AY390" s="150" t="s">
        <v>337</v>
      </c>
    </row>
    <row r="391" spans="2:65" s="141" customFormat="1" x14ac:dyDescent="0.2">
      <c r="B391" s="142"/>
      <c r="D391" s="143" t="s">
        <v>346</v>
      </c>
      <c r="E391" s="144"/>
      <c r="F391" s="145" t="s">
        <v>362</v>
      </c>
      <c r="H391" s="144"/>
      <c r="L391" s="142"/>
      <c r="M391" s="146"/>
      <c r="T391" s="147"/>
      <c r="AT391" s="144" t="s">
        <v>346</v>
      </c>
      <c r="AU391" s="144" t="s">
        <v>90</v>
      </c>
      <c r="AV391" s="141" t="s">
        <v>87</v>
      </c>
      <c r="AW391" s="141" t="s">
        <v>33</v>
      </c>
      <c r="AX391" s="141" t="s">
        <v>80</v>
      </c>
      <c r="AY391" s="144" t="s">
        <v>337</v>
      </c>
    </row>
    <row r="392" spans="2:65" s="148" customFormat="1" x14ac:dyDescent="0.2">
      <c r="B392" s="149"/>
      <c r="D392" s="143" t="s">
        <v>346</v>
      </c>
      <c r="E392" s="150"/>
      <c r="F392" s="151" t="s">
        <v>113</v>
      </c>
      <c r="H392" s="152">
        <v>3</v>
      </c>
      <c r="L392" s="149"/>
      <c r="M392" s="153"/>
      <c r="T392" s="154"/>
      <c r="AT392" s="150" t="s">
        <v>346</v>
      </c>
      <c r="AU392" s="150" t="s">
        <v>90</v>
      </c>
      <c r="AV392" s="148" t="s">
        <v>90</v>
      </c>
      <c r="AW392" s="148" t="s">
        <v>33</v>
      </c>
      <c r="AX392" s="148" t="s">
        <v>80</v>
      </c>
      <c r="AY392" s="150" t="s">
        <v>337</v>
      </c>
    </row>
    <row r="393" spans="2:65" s="141" customFormat="1" x14ac:dyDescent="0.2">
      <c r="B393" s="142"/>
      <c r="D393" s="143" t="s">
        <v>346</v>
      </c>
      <c r="E393" s="144"/>
      <c r="F393" s="145" t="s">
        <v>367</v>
      </c>
      <c r="H393" s="144"/>
      <c r="L393" s="142"/>
      <c r="M393" s="146"/>
      <c r="T393" s="147"/>
      <c r="AT393" s="144" t="s">
        <v>346</v>
      </c>
      <c r="AU393" s="144" t="s">
        <v>90</v>
      </c>
      <c r="AV393" s="141" t="s">
        <v>87</v>
      </c>
      <c r="AW393" s="141" t="s">
        <v>33</v>
      </c>
      <c r="AX393" s="141" t="s">
        <v>80</v>
      </c>
      <c r="AY393" s="144" t="s">
        <v>337</v>
      </c>
    </row>
    <row r="394" spans="2:65" s="148" customFormat="1" x14ac:dyDescent="0.2">
      <c r="B394" s="149"/>
      <c r="D394" s="143" t="s">
        <v>346</v>
      </c>
      <c r="E394" s="150"/>
      <c r="F394" s="151" t="s">
        <v>90</v>
      </c>
      <c r="H394" s="152">
        <v>2</v>
      </c>
      <c r="L394" s="149"/>
      <c r="M394" s="153"/>
      <c r="T394" s="154"/>
      <c r="AT394" s="150" t="s">
        <v>346</v>
      </c>
      <c r="AU394" s="150" t="s">
        <v>90</v>
      </c>
      <c r="AV394" s="148" t="s">
        <v>90</v>
      </c>
      <c r="AW394" s="148" t="s">
        <v>33</v>
      </c>
      <c r="AX394" s="148" t="s">
        <v>80</v>
      </c>
      <c r="AY394" s="150" t="s">
        <v>337</v>
      </c>
    </row>
    <row r="395" spans="2:65" s="141" customFormat="1" x14ac:dyDescent="0.2">
      <c r="B395" s="142"/>
      <c r="D395" s="143" t="s">
        <v>346</v>
      </c>
      <c r="E395" s="144"/>
      <c r="F395" s="145" t="s">
        <v>368</v>
      </c>
      <c r="H395" s="144"/>
      <c r="L395" s="142"/>
      <c r="M395" s="146"/>
      <c r="T395" s="147"/>
      <c r="AT395" s="144" t="s">
        <v>346</v>
      </c>
      <c r="AU395" s="144" t="s">
        <v>90</v>
      </c>
      <c r="AV395" s="141" t="s">
        <v>87</v>
      </c>
      <c r="AW395" s="141" t="s">
        <v>33</v>
      </c>
      <c r="AX395" s="141" t="s">
        <v>80</v>
      </c>
      <c r="AY395" s="144" t="s">
        <v>337</v>
      </c>
    </row>
    <row r="396" spans="2:65" s="148" customFormat="1" x14ac:dyDescent="0.2">
      <c r="B396" s="149"/>
      <c r="D396" s="143" t="s">
        <v>346</v>
      </c>
      <c r="E396" s="150"/>
      <c r="F396" s="151" t="s">
        <v>113</v>
      </c>
      <c r="H396" s="152">
        <v>3</v>
      </c>
      <c r="L396" s="149"/>
      <c r="M396" s="153"/>
      <c r="T396" s="154"/>
      <c r="AT396" s="150" t="s">
        <v>346</v>
      </c>
      <c r="AU396" s="150" t="s">
        <v>90</v>
      </c>
      <c r="AV396" s="148" t="s">
        <v>90</v>
      </c>
      <c r="AW396" s="148" t="s">
        <v>33</v>
      </c>
      <c r="AX396" s="148" t="s">
        <v>80</v>
      </c>
      <c r="AY396" s="150" t="s">
        <v>337</v>
      </c>
    </row>
    <row r="397" spans="2:65" s="141" customFormat="1" x14ac:dyDescent="0.2">
      <c r="B397" s="142"/>
      <c r="D397" s="143" t="s">
        <v>346</v>
      </c>
      <c r="E397" s="144"/>
      <c r="F397" s="145" t="s">
        <v>370</v>
      </c>
      <c r="H397" s="144"/>
      <c r="L397" s="142"/>
      <c r="M397" s="146"/>
      <c r="T397" s="147"/>
      <c r="AT397" s="144" t="s">
        <v>346</v>
      </c>
      <c r="AU397" s="144" t="s">
        <v>90</v>
      </c>
      <c r="AV397" s="141" t="s">
        <v>87</v>
      </c>
      <c r="AW397" s="141" t="s">
        <v>33</v>
      </c>
      <c r="AX397" s="141" t="s">
        <v>80</v>
      </c>
      <c r="AY397" s="144" t="s">
        <v>337</v>
      </c>
    </row>
    <row r="398" spans="2:65" s="148" customFormat="1" x14ac:dyDescent="0.2">
      <c r="B398" s="149"/>
      <c r="D398" s="143" t="s">
        <v>346</v>
      </c>
      <c r="E398" s="150"/>
      <c r="F398" s="151" t="s">
        <v>113</v>
      </c>
      <c r="H398" s="152">
        <v>3</v>
      </c>
      <c r="L398" s="149"/>
      <c r="M398" s="153"/>
      <c r="T398" s="154"/>
      <c r="AT398" s="150" t="s">
        <v>346</v>
      </c>
      <c r="AU398" s="150" t="s">
        <v>90</v>
      </c>
      <c r="AV398" s="148" t="s">
        <v>90</v>
      </c>
      <c r="AW398" s="148" t="s">
        <v>33</v>
      </c>
      <c r="AX398" s="148" t="s">
        <v>80</v>
      </c>
      <c r="AY398" s="150" t="s">
        <v>337</v>
      </c>
    </row>
    <row r="399" spans="2:65" s="141" customFormat="1" x14ac:dyDescent="0.2">
      <c r="B399" s="142"/>
      <c r="D399" s="143" t="s">
        <v>346</v>
      </c>
      <c r="E399" s="144"/>
      <c r="F399" s="145" t="s">
        <v>434</v>
      </c>
      <c r="H399" s="144"/>
      <c r="L399" s="142"/>
      <c r="M399" s="146"/>
      <c r="T399" s="147"/>
      <c r="AT399" s="144" t="s">
        <v>346</v>
      </c>
      <c r="AU399" s="144" t="s">
        <v>90</v>
      </c>
      <c r="AV399" s="141" t="s">
        <v>87</v>
      </c>
      <c r="AW399" s="141" t="s">
        <v>33</v>
      </c>
      <c r="AX399" s="141" t="s">
        <v>80</v>
      </c>
      <c r="AY399" s="144" t="s">
        <v>337</v>
      </c>
    </row>
    <row r="400" spans="2:65" s="148" customFormat="1" x14ac:dyDescent="0.2">
      <c r="B400" s="149"/>
      <c r="D400" s="143" t="s">
        <v>346</v>
      </c>
      <c r="E400" s="150"/>
      <c r="F400" s="151" t="s">
        <v>90</v>
      </c>
      <c r="H400" s="152">
        <v>2</v>
      </c>
      <c r="L400" s="149"/>
      <c r="M400" s="153"/>
      <c r="T400" s="154"/>
      <c r="AT400" s="150" t="s">
        <v>346</v>
      </c>
      <c r="AU400" s="150" t="s">
        <v>90</v>
      </c>
      <c r="AV400" s="148" t="s">
        <v>90</v>
      </c>
      <c r="AW400" s="148" t="s">
        <v>33</v>
      </c>
      <c r="AX400" s="148" t="s">
        <v>80</v>
      </c>
      <c r="AY400" s="150" t="s">
        <v>337</v>
      </c>
    </row>
    <row r="401" spans="2:65" s="141" customFormat="1" x14ac:dyDescent="0.2">
      <c r="B401" s="142"/>
      <c r="D401" s="143" t="s">
        <v>346</v>
      </c>
      <c r="E401" s="144"/>
      <c r="F401" s="145" t="s">
        <v>5122</v>
      </c>
      <c r="H401" s="144"/>
      <c r="L401" s="142"/>
      <c r="M401" s="146"/>
      <c r="T401" s="147"/>
      <c r="AT401" s="144" t="s">
        <v>346</v>
      </c>
      <c r="AU401" s="144" t="s">
        <v>90</v>
      </c>
      <c r="AV401" s="141" t="s">
        <v>87</v>
      </c>
      <c r="AW401" s="141" t="s">
        <v>33</v>
      </c>
      <c r="AX401" s="141" t="s">
        <v>80</v>
      </c>
      <c r="AY401" s="144" t="s">
        <v>337</v>
      </c>
    </row>
    <row r="402" spans="2:65" s="148" customFormat="1" x14ac:dyDescent="0.2">
      <c r="B402" s="149"/>
      <c r="D402" s="143" t="s">
        <v>346</v>
      </c>
      <c r="E402" s="150"/>
      <c r="F402" s="151" t="s">
        <v>762</v>
      </c>
      <c r="H402" s="152">
        <v>50</v>
      </c>
      <c r="L402" s="149"/>
      <c r="M402" s="153"/>
      <c r="T402" s="154"/>
      <c r="AT402" s="150" t="s">
        <v>346</v>
      </c>
      <c r="AU402" s="150" t="s">
        <v>90</v>
      </c>
      <c r="AV402" s="148" t="s">
        <v>90</v>
      </c>
      <c r="AW402" s="148" t="s">
        <v>33</v>
      </c>
      <c r="AX402" s="148" t="s">
        <v>80</v>
      </c>
      <c r="AY402" s="150" t="s">
        <v>337</v>
      </c>
    </row>
    <row r="403" spans="2:65" s="155" customFormat="1" x14ac:dyDescent="0.2">
      <c r="B403" s="156"/>
      <c r="D403" s="143" t="s">
        <v>346</v>
      </c>
      <c r="E403" s="157"/>
      <c r="F403" s="158" t="s">
        <v>351</v>
      </c>
      <c r="H403" s="159">
        <v>159</v>
      </c>
      <c r="L403" s="156"/>
      <c r="M403" s="160"/>
      <c r="T403" s="161"/>
      <c r="AT403" s="157" t="s">
        <v>346</v>
      </c>
      <c r="AU403" s="157" t="s">
        <v>90</v>
      </c>
      <c r="AV403" s="155" t="s">
        <v>344</v>
      </c>
      <c r="AW403" s="155" t="s">
        <v>33</v>
      </c>
      <c r="AX403" s="155" t="s">
        <v>87</v>
      </c>
      <c r="AY403" s="157" t="s">
        <v>337</v>
      </c>
    </row>
    <row r="404" spans="2:65" s="116" customFormat="1" ht="25.9" customHeight="1" x14ac:dyDescent="0.2">
      <c r="B404" s="117"/>
      <c r="D404" s="118" t="s">
        <v>79</v>
      </c>
      <c r="E404" s="119" t="s">
        <v>5123</v>
      </c>
      <c r="F404" s="119" t="s">
        <v>5124</v>
      </c>
      <c r="J404" s="120">
        <f>BK404</f>
        <v>0</v>
      </c>
      <c r="L404" s="117"/>
      <c r="M404" s="121"/>
      <c r="P404" s="122">
        <f>SUM(P405:P417)</f>
        <v>0</v>
      </c>
      <c r="R404" s="122">
        <f>SUM(R405:R417)</f>
        <v>0</v>
      </c>
      <c r="T404" s="123">
        <f>SUM(T405:T417)</f>
        <v>0</v>
      </c>
      <c r="AR404" s="118" t="s">
        <v>344</v>
      </c>
      <c r="AT404" s="124" t="s">
        <v>79</v>
      </c>
      <c r="AU404" s="124" t="s">
        <v>80</v>
      </c>
      <c r="AY404" s="118" t="s">
        <v>337</v>
      </c>
      <c r="BK404" s="125">
        <f>SUM(BK405:BK417)</f>
        <v>0</v>
      </c>
    </row>
    <row r="405" spans="2:65" s="16" customFormat="1" ht="16.5" customHeight="1" x14ac:dyDescent="0.2">
      <c r="B405" s="17"/>
      <c r="C405" s="128">
        <v>20</v>
      </c>
      <c r="D405" s="128" t="s">
        <v>339</v>
      </c>
      <c r="E405" s="129" t="s">
        <v>5125</v>
      </c>
      <c r="F405" s="130" t="s">
        <v>5126</v>
      </c>
      <c r="G405" s="131" t="s">
        <v>3042</v>
      </c>
      <c r="H405" s="132">
        <v>30</v>
      </c>
      <c r="I405" s="133"/>
      <c r="J405" s="134">
        <f>ROUND(I405*H405,2)</f>
        <v>0</v>
      </c>
      <c r="K405" s="130" t="s">
        <v>343</v>
      </c>
      <c r="L405" s="17"/>
      <c r="M405" s="135"/>
      <c r="N405" s="136" t="s">
        <v>45</v>
      </c>
      <c r="P405" s="137">
        <f>O405*H405</f>
        <v>0</v>
      </c>
      <c r="Q405" s="137">
        <v>0</v>
      </c>
      <c r="R405" s="137">
        <f>Q405*H405</f>
        <v>0</v>
      </c>
      <c r="S405" s="137">
        <v>0</v>
      </c>
      <c r="T405" s="138">
        <f>S405*H405</f>
        <v>0</v>
      </c>
      <c r="AR405" s="139" t="s">
        <v>5127</v>
      </c>
      <c r="AT405" s="139" t="s">
        <v>339</v>
      </c>
      <c r="AU405" s="139" t="s">
        <v>87</v>
      </c>
      <c r="AY405" s="2" t="s">
        <v>337</v>
      </c>
      <c r="BE405" s="140">
        <f>IF(N405="základní",J405,0)</f>
        <v>0</v>
      </c>
      <c r="BF405" s="140">
        <f>IF(N405="snížená",J405,0)</f>
        <v>0</v>
      </c>
      <c r="BG405" s="140">
        <f>IF(N405="zákl. přenesená",J405,0)</f>
        <v>0</v>
      </c>
      <c r="BH405" s="140">
        <f>IF(N405="sníž. přenesená",J405,0)</f>
        <v>0</v>
      </c>
      <c r="BI405" s="140">
        <f>IF(N405="nulová",J405,0)</f>
        <v>0</v>
      </c>
      <c r="BJ405" s="2" t="s">
        <v>87</v>
      </c>
      <c r="BK405" s="140">
        <f>ROUND(I405*H405,2)</f>
        <v>0</v>
      </c>
      <c r="BL405" s="2" t="s">
        <v>5127</v>
      </c>
      <c r="BM405" s="139" t="s">
        <v>5128</v>
      </c>
    </row>
    <row r="406" spans="2:65" s="141" customFormat="1" x14ac:dyDescent="0.2">
      <c r="B406" s="142"/>
      <c r="D406" s="143" t="s">
        <v>346</v>
      </c>
      <c r="E406" s="144"/>
      <c r="F406" s="145" t="s">
        <v>5129</v>
      </c>
      <c r="H406" s="144"/>
      <c r="L406" s="142"/>
      <c r="M406" s="146"/>
      <c r="T406" s="147"/>
      <c r="AT406" s="144" t="s">
        <v>346</v>
      </c>
      <c r="AU406" s="144" t="s">
        <v>87</v>
      </c>
      <c r="AV406" s="141" t="s">
        <v>87</v>
      </c>
      <c r="AW406" s="141" t="s">
        <v>33</v>
      </c>
      <c r="AX406" s="141" t="s">
        <v>80</v>
      </c>
      <c r="AY406" s="144" t="s">
        <v>337</v>
      </c>
    </row>
    <row r="407" spans="2:65" s="148" customFormat="1" x14ac:dyDescent="0.2">
      <c r="B407" s="149"/>
      <c r="D407" s="143" t="s">
        <v>346</v>
      </c>
      <c r="E407" s="150"/>
      <c r="F407" s="151" t="s">
        <v>614</v>
      </c>
      <c r="H407" s="152">
        <v>30</v>
      </c>
      <c r="L407" s="149"/>
      <c r="M407" s="153"/>
      <c r="T407" s="154"/>
      <c r="AT407" s="150" t="s">
        <v>346</v>
      </c>
      <c r="AU407" s="150" t="s">
        <v>87</v>
      </c>
      <c r="AV407" s="148" t="s">
        <v>90</v>
      </c>
      <c r="AW407" s="148" t="s">
        <v>33</v>
      </c>
      <c r="AX407" s="148" t="s">
        <v>87</v>
      </c>
      <c r="AY407" s="150" t="s">
        <v>337</v>
      </c>
    </row>
    <row r="408" spans="2:65" s="16" customFormat="1" ht="16.5" customHeight="1" x14ac:dyDescent="0.2">
      <c r="B408" s="17"/>
      <c r="C408" s="128">
        <v>21</v>
      </c>
      <c r="D408" s="128" t="s">
        <v>339</v>
      </c>
      <c r="E408" s="129" t="s">
        <v>5130</v>
      </c>
      <c r="F408" s="130" t="s">
        <v>5131</v>
      </c>
      <c r="G408" s="131" t="s">
        <v>3042</v>
      </c>
      <c r="H408" s="132">
        <v>10</v>
      </c>
      <c r="I408" s="133"/>
      <c r="J408" s="134">
        <f>ROUND(I408*H408,2)</f>
        <v>0</v>
      </c>
      <c r="K408" s="130" t="s">
        <v>343</v>
      </c>
      <c r="L408" s="17"/>
      <c r="M408" s="135"/>
      <c r="N408" s="136" t="s">
        <v>45</v>
      </c>
      <c r="P408" s="137">
        <f>O408*H408</f>
        <v>0</v>
      </c>
      <c r="Q408" s="137">
        <v>0</v>
      </c>
      <c r="R408" s="137">
        <f>Q408*H408</f>
        <v>0</v>
      </c>
      <c r="S408" s="137">
        <v>0</v>
      </c>
      <c r="T408" s="138">
        <f>S408*H408</f>
        <v>0</v>
      </c>
      <c r="AR408" s="139" t="s">
        <v>5127</v>
      </c>
      <c r="AT408" s="139" t="s">
        <v>339</v>
      </c>
      <c r="AU408" s="139" t="s">
        <v>87</v>
      </c>
      <c r="AY408" s="2" t="s">
        <v>337</v>
      </c>
      <c r="BE408" s="140">
        <f>IF(N408="základní",J408,0)</f>
        <v>0</v>
      </c>
      <c r="BF408" s="140">
        <f>IF(N408="snížená",J408,0)</f>
        <v>0</v>
      </c>
      <c r="BG408" s="140">
        <f>IF(N408="zákl. přenesená",J408,0)</f>
        <v>0</v>
      </c>
      <c r="BH408" s="140">
        <f>IF(N408="sníž. přenesená",J408,0)</f>
        <v>0</v>
      </c>
      <c r="BI408" s="140">
        <f>IF(N408="nulová",J408,0)</f>
        <v>0</v>
      </c>
      <c r="BJ408" s="2" t="s">
        <v>87</v>
      </c>
      <c r="BK408" s="140">
        <f>ROUND(I408*H408,2)</f>
        <v>0</v>
      </c>
      <c r="BL408" s="2" t="s">
        <v>5127</v>
      </c>
      <c r="BM408" s="139" t="s">
        <v>5132</v>
      </c>
    </row>
    <row r="409" spans="2:65" s="141" customFormat="1" ht="22.5" x14ac:dyDescent="0.2">
      <c r="B409" s="142"/>
      <c r="D409" s="143" t="s">
        <v>346</v>
      </c>
      <c r="E409" s="144"/>
      <c r="F409" s="145" t="s">
        <v>5133</v>
      </c>
      <c r="H409" s="144"/>
      <c r="L409" s="142"/>
      <c r="M409" s="146"/>
      <c r="T409" s="147"/>
      <c r="AT409" s="144" t="s">
        <v>346</v>
      </c>
      <c r="AU409" s="144" t="s">
        <v>87</v>
      </c>
      <c r="AV409" s="141" t="s">
        <v>87</v>
      </c>
      <c r="AW409" s="141" t="s">
        <v>33</v>
      </c>
      <c r="AX409" s="141" t="s">
        <v>80</v>
      </c>
      <c r="AY409" s="144" t="s">
        <v>337</v>
      </c>
    </row>
    <row r="410" spans="2:65" s="141" customFormat="1" ht="22.5" x14ac:dyDescent="0.2">
      <c r="B410" s="142"/>
      <c r="D410" s="143" t="s">
        <v>346</v>
      </c>
      <c r="E410" s="144"/>
      <c r="F410" s="145" t="s">
        <v>5134</v>
      </c>
      <c r="H410" s="144"/>
      <c r="L410" s="142"/>
      <c r="M410" s="146"/>
      <c r="T410" s="147"/>
      <c r="AT410" s="144" t="s">
        <v>346</v>
      </c>
      <c r="AU410" s="144" t="s">
        <v>87</v>
      </c>
      <c r="AV410" s="141" t="s">
        <v>87</v>
      </c>
      <c r="AW410" s="141" t="s">
        <v>33</v>
      </c>
      <c r="AX410" s="141" t="s">
        <v>80</v>
      </c>
      <c r="AY410" s="144" t="s">
        <v>337</v>
      </c>
    </row>
    <row r="411" spans="2:65" s="148" customFormat="1" x14ac:dyDescent="0.2">
      <c r="B411" s="149"/>
      <c r="D411" s="143" t="s">
        <v>346</v>
      </c>
      <c r="E411" s="150"/>
      <c r="F411" s="151" t="s">
        <v>457</v>
      </c>
      <c r="H411" s="152">
        <v>10</v>
      </c>
      <c r="L411" s="149"/>
      <c r="M411" s="153"/>
      <c r="T411" s="154"/>
      <c r="AT411" s="150" t="s">
        <v>346</v>
      </c>
      <c r="AU411" s="150" t="s">
        <v>87</v>
      </c>
      <c r="AV411" s="148" t="s">
        <v>90</v>
      </c>
      <c r="AW411" s="148" t="s">
        <v>33</v>
      </c>
      <c r="AX411" s="148" t="s">
        <v>87</v>
      </c>
      <c r="AY411" s="150" t="s">
        <v>337</v>
      </c>
    </row>
    <row r="412" spans="2:65" s="16" customFormat="1" ht="16.5" customHeight="1" x14ac:dyDescent="0.2">
      <c r="B412" s="17"/>
      <c r="C412" s="128">
        <v>22</v>
      </c>
      <c r="D412" s="128" t="s">
        <v>339</v>
      </c>
      <c r="E412" s="129" t="s">
        <v>5135</v>
      </c>
      <c r="F412" s="130" t="s">
        <v>5136</v>
      </c>
      <c r="G412" s="131" t="s">
        <v>3042</v>
      </c>
      <c r="H412" s="132">
        <v>10</v>
      </c>
      <c r="I412" s="133"/>
      <c r="J412" s="134">
        <f t="shared" ref="J412:J417" si="0">ROUND(I412*H412,2)</f>
        <v>0</v>
      </c>
      <c r="K412" s="130" t="s">
        <v>343</v>
      </c>
      <c r="L412" s="17"/>
      <c r="M412" s="135"/>
      <c r="N412" s="136" t="s">
        <v>45</v>
      </c>
      <c r="P412" s="137">
        <f t="shared" ref="P412:P417" si="1">O412*H412</f>
        <v>0</v>
      </c>
      <c r="Q412" s="137">
        <v>0</v>
      </c>
      <c r="R412" s="137">
        <f t="shared" ref="R412:R417" si="2">Q412*H412</f>
        <v>0</v>
      </c>
      <c r="S412" s="137">
        <v>0</v>
      </c>
      <c r="T412" s="138">
        <f t="shared" ref="T412:T417" si="3">S412*H412</f>
        <v>0</v>
      </c>
      <c r="AR412" s="139" t="s">
        <v>5127</v>
      </c>
      <c r="AT412" s="139" t="s">
        <v>339</v>
      </c>
      <c r="AU412" s="139" t="s">
        <v>87</v>
      </c>
      <c r="AY412" s="2" t="s">
        <v>337</v>
      </c>
      <c r="BE412" s="140">
        <f t="shared" ref="BE412:BE417" si="4">IF(N412="základní",J412,0)</f>
        <v>0</v>
      </c>
      <c r="BF412" s="140">
        <f t="shared" ref="BF412:BF417" si="5">IF(N412="snížená",J412,0)</f>
        <v>0</v>
      </c>
      <c r="BG412" s="140">
        <f t="shared" ref="BG412:BG417" si="6">IF(N412="zákl. přenesená",J412,0)</f>
        <v>0</v>
      </c>
      <c r="BH412" s="140">
        <f t="shared" ref="BH412:BH417" si="7">IF(N412="sníž. přenesená",J412,0)</f>
        <v>0</v>
      </c>
      <c r="BI412" s="140">
        <f t="shared" ref="BI412:BI417" si="8">IF(N412="nulová",J412,0)</f>
        <v>0</v>
      </c>
      <c r="BJ412" s="2" t="s">
        <v>87</v>
      </c>
      <c r="BK412" s="140">
        <f t="shared" ref="BK412:BK417" si="9">ROUND(I412*H412,2)</f>
        <v>0</v>
      </c>
      <c r="BL412" s="2" t="s">
        <v>5127</v>
      </c>
      <c r="BM412" s="139" t="s">
        <v>5137</v>
      </c>
    </row>
    <row r="413" spans="2:65" s="16" customFormat="1" ht="16.5" customHeight="1" x14ac:dyDescent="0.2">
      <c r="B413" s="17"/>
      <c r="C413" s="128">
        <v>23</v>
      </c>
      <c r="D413" s="128" t="s">
        <v>339</v>
      </c>
      <c r="E413" s="129" t="s">
        <v>5138</v>
      </c>
      <c r="F413" s="130" t="s">
        <v>5139</v>
      </c>
      <c r="G413" s="131" t="s">
        <v>3042</v>
      </c>
      <c r="H413" s="132">
        <v>10</v>
      </c>
      <c r="I413" s="133"/>
      <c r="J413" s="134">
        <f t="shared" si="0"/>
        <v>0</v>
      </c>
      <c r="K413" s="130" t="s">
        <v>343</v>
      </c>
      <c r="L413" s="17"/>
      <c r="M413" s="135"/>
      <c r="N413" s="136" t="s">
        <v>45</v>
      </c>
      <c r="P413" s="137">
        <f t="shared" si="1"/>
        <v>0</v>
      </c>
      <c r="Q413" s="137">
        <v>0</v>
      </c>
      <c r="R413" s="137">
        <f t="shared" si="2"/>
        <v>0</v>
      </c>
      <c r="S413" s="137">
        <v>0</v>
      </c>
      <c r="T413" s="138">
        <f t="shared" si="3"/>
        <v>0</v>
      </c>
      <c r="AR413" s="139" t="s">
        <v>5127</v>
      </c>
      <c r="AT413" s="139" t="s">
        <v>339</v>
      </c>
      <c r="AU413" s="139" t="s">
        <v>87</v>
      </c>
      <c r="AY413" s="2" t="s">
        <v>337</v>
      </c>
      <c r="BE413" s="140">
        <f t="shared" si="4"/>
        <v>0</v>
      </c>
      <c r="BF413" s="140">
        <f t="shared" si="5"/>
        <v>0</v>
      </c>
      <c r="BG413" s="140">
        <f t="shared" si="6"/>
        <v>0</v>
      </c>
      <c r="BH413" s="140">
        <f t="shared" si="7"/>
        <v>0</v>
      </c>
      <c r="BI413" s="140">
        <f t="shared" si="8"/>
        <v>0</v>
      </c>
      <c r="BJ413" s="2" t="s">
        <v>87</v>
      </c>
      <c r="BK413" s="140">
        <f t="shared" si="9"/>
        <v>0</v>
      </c>
      <c r="BL413" s="2" t="s">
        <v>5127</v>
      </c>
      <c r="BM413" s="139" t="s">
        <v>5140</v>
      </c>
    </row>
    <row r="414" spans="2:65" s="16" customFormat="1" ht="16.5" customHeight="1" x14ac:dyDescent="0.2">
      <c r="B414" s="17"/>
      <c r="C414" s="128">
        <v>24</v>
      </c>
      <c r="D414" s="128" t="s">
        <v>339</v>
      </c>
      <c r="E414" s="129" t="s">
        <v>5141</v>
      </c>
      <c r="F414" s="130" t="s">
        <v>5142</v>
      </c>
      <c r="G414" s="131" t="s">
        <v>3042</v>
      </c>
      <c r="H414" s="132">
        <v>10</v>
      </c>
      <c r="I414" s="133"/>
      <c r="J414" s="134">
        <f t="shared" si="0"/>
        <v>0</v>
      </c>
      <c r="K414" s="130" t="s">
        <v>343</v>
      </c>
      <c r="L414" s="17"/>
      <c r="M414" s="135"/>
      <c r="N414" s="136" t="s">
        <v>45</v>
      </c>
      <c r="P414" s="137">
        <f t="shared" si="1"/>
        <v>0</v>
      </c>
      <c r="Q414" s="137">
        <v>0</v>
      </c>
      <c r="R414" s="137">
        <f t="shared" si="2"/>
        <v>0</v>
      </c>
      <c r="S414" s="137">
        <v>0</v>
      </c>
      <c r="T414" s="138">
        <f t="shared" si="3"/>
        <v>0</v>
      </c>
      <c r="AR414" s="139" t="s">
        <v>5127</v>
      </c>
      <c r="AT414" s="139" t="s">
        <v>339</v>
      </c>
      <c r="AU414" s="139" t="s">
        <v>87</v>
      </c>
      <c r="AY414" s="2" t="s">
        <v>337</v>
      </c>
      <c r="BE414" s="140">
        <f t="shared" si="4"/>
        <v>0</v>
      </c>
      <c r="BF414" s="140">
        <f t="shared" si="5"/>
        <v>0</v>
      </c>
      <c r="BG414" s="140">
        <f t="shared" si="6"/>
        <v>0</v>
      </c>
      <c r="BH414" s="140">
        <f t="shared" si="7"/>
        <v>0</v>
      </c>
      <c r="BI414" s="140">
        <f t="shared" si="8"/>
        <v>0</v>
      </c>
      <c r="BJ414" s="2" t="s">
        <v>87</v>
      </c>
      <c r="BK414" s="140">
        <f t="shared" si="9"/>
        <v>0</v>
      </c>
      <c r="BL414" s="2" t="s">
        <v>5127</v>
      </c>
      <c r="BM414" s="139" t="s">
        <v>5143</v>
      </c>
    </row>
    <row r="415" spans="2:65" s="16" customFormat="1" ht="16.5" customHeight="1" x14ac:dyDescent="0.2">
      <c r="B415" s="17"/>
      <c r="C415" s="128">
        <v>25</v>
      </c>
      <c r="D415" s="128" t="s">
        <v>339</v>
      </c>
      <c r="E415" s="129" t="s">
        <v>5144</v>
      </c>
      <c r="F415" s="130" t="s">
        <v>5145</v>
      </c>
      <c r="G415" s="131" t="s">
        <v>3042</v>
      </c>
      <c r="H415" s="132">
        <v>10</v>
      </c>
      <c r="I415" s="133"/>
      <c r="J415" s="134">
        <f t="shared" si="0"/>
        <v>0</v>
      </c>
      <c r="K415" s="130" t="s">
        <v>343</v>
      </c>
      <c r="L415" s="17"/>
      <c r="M415" s="135"/>
      <c r="N415" s="136" t="s">
        <v>45</v>
      </c>
      <c r="P415" s="137">
        <f t="shared" si="1"/>
        <v>0</v>
      </c>
      <c r="Q415" s="137">
        <v>0</v>
      </c>
      <c r="R415" s="137">
        <f t="shared" si="2"/>
        <v>0</v>
      </c>
      <c r="S415" s="137">
        <v>0</v>
      </c>
      <c r="T415" s="138">
        <f t="shared" si="3"/>
        <v>0</v>
      </c>
      <c r="AR415" s="139" t="s">
        <v>5127</v>
      </c>
      <c r="AT415" s="139" t="s">
        <v>339</v>
      </c>
      <c r="AU415" s="139" t="s">
        <v>87</v>
      </c>
      <c r="AY415" s="2" t="s">
        <v>337</v>
      </c>
      <c r="BE415" s="140">
        <f t="shared" si="4"/>
        <v>0</v>
      </c>
      <c r="BF415" s="140">
        <f t="shared" si="5"/>
        <v>0</v>
      </c>
      <c r="BG415" s="140">
        <f t="shared" si="6"/>
        <v>0</v>
      </c>
      <c r="BH415" s="140">
        <f t="shared" si="7"/>
        <v>0</v>
      </c>
      <c r="BI415" s="140">
        <f t="shared" si="8"/>
        <v>0</v>
      </c>
      <c r="BJ415" s="2" t="s">
        <v>87</v>
      </c>
      <c r="BK415" s="140">
        <f t="shared" si="9"/>
        <v>0</v>
      </c>
      <c r="BL415" s="2" t="s">
        <v>5127</v>
      </c>
      <c r="BM415" s="139" t="s">
        <v>5146</v>
      </c>
    </row>
    <row r="416" spans="2:65" s="16" customFormat="1" ht="16.5" customHeight="1" x14ac:dyDescent="0.2">
      <c r="B416" s="17"/>
      <c r="C416" s="128">
        <v>26</v>
      </c>
      <c r="D416" s="128" t="s">
        <v>339</v>
      </c>
      <c r="E416" s="129" t="s">
        <v>5147</v>
      </c>
      <c r="F416" s="130" t="s">
        <v>5148</v>
      </c>
      <c r="G416" s="131" t="s">
        <v>3042</v>
      </c>
      <c r="H416" s="132">
        <v>10</v>
      </c>
      <c r="I416" s="133"/>
      <c r="J416" s="134">
        <f t="shared" si="0"/>
        <v>0</v>
      </c>
      <c r="K416" s="130" t="s">
        <v>343</v>
      </c>
      <c r="L416" s="17"/>
      <c r="M416" s="135"/>
      <c r="N416" s="136" t="s">
        <v>45</v>
      </c>
      <c r="P416" s="137">
        <f t="shared" si="1"/>
        <v>0</v>
      </c>
      <c r="Q416" s="137">
        <v>0</v>
      </c>
      <c r="R416" s="137">
        <f t="shared" si="2"/>
        <v>0</v>
      </c>
      <c r="S416" s="137">
        <v>0</v>
      </c>
      <c r="T416" s="138">
        <f t="shared" si="3"/>
        <v>0</v>
      </c>
      <c r="AR416" s="139" t="s">
        <v>5127</v>
      </c>
      <c r="AT416" s="139" t="s">
        <v>339</v>
      </c>
      <c r="AU416" s="139" t="s">
        <v>87</v>
      </c>
      <c r="AY416" s="2" t="s">
        <v>337</v>
      </c>
      <c r="BE416" s="140">
        <f t="shared" si="4"/>
        <v>0</v>
      </c>
      <c r="BF416" s="140">
        <f t="shared" si="5"/>
        <v>0</v>
      </c>
      <c r="BG416" s="140">
        <f t="shared" si="6"/>
        <v>0</v>
      </c>
      <c r="BH416" s="140">
        <f t="shared" si="7"/>
        <v>0</v>
      </c>
      <c r="BI416" s="140">
        <f t="shared" si="8"/>
        <v>0</v>
      </c>
      <c r="BJ416" s="2" t="s">
        <v>87</v>
      </c>
      <c r="BK416" s="140">
        <f t="shared" si="9"/>
        <v>0</v>
      </c>
      <c r="BL416" s="2" t="s">
        <v>5127</v>
      </c>
      <c r="BM416" s="139" t="s">
        <v>5149</v>
      </c>
    </row>
    <row r="417" spans="2:65" s="16" customFormat="1" ht="16.5" customHeight="1" x14ac:dyDescent="0.2">
      <c r="B417" s="17"/>
      <c r="C417" s="128">
        <v>27</v>
      </c>
      <c r="D417" s="128" t="s">
        <v>339</v>
      </c>
      <c r="E417" s="129" t="s">
        <v>5150</v>
      </c>
      <c r="F417" s="130" t="s">
        <v>5151</v>
      </c>
      <c r="G417" s="131" t="s">
        <v>3042</v>
      </c>
      <c r="H417" s="132">
        <v>10</v>
      </c>
      <c r="I417" s="133"/>
      <c r="J417" s="134">
        <f t="shared" si="0"/>
        <v>0</v>
      </c>
      <c r="K417" s="130" t="s">
        <v>343</v>
      </c>
      <c r="L417" s="17"/>
      <c r="M417" s="187"/>
      <c r="N417" s="188" t="s">
        <v>45</v>
      </c>
      <c r="O417" s="189"/>
      <c r="P417" s="190">
        <f t="shared" si="1"/>
        <v>0</v>
      </c>
      <c r="Q417" s="190">
        <v>0</v>
      </c>
      <c r="R417" s="190">
        <f t="shared" si="2"/>
        <v>0</v>
      </c>
      <c r="S417" s="190">
        <v>0</v>
      </c>
      <c r="T417" s="191">
        <f t="shared" si="3"/>
        <v>0</v>
      </c>
      <c r="AR417" s="139" t="s">
        <v>5127</v>
      </c>
      <c r="AT417" s="139" t="s">
        <v>339</v>
      </c>
      <c r="AU417" s="139" t="s">
        <v>87</v>
      </c>
      <c r="AY417" s="2" t="s">
        <v>337</v>
      </c>
      <c r="BE417" s="140">
        <f t="shared" si="4"/>
        <v>0</v>
      </c>
      <c r="BF417" s="140">
        <f t="shared" si="5"/>
        <v>0</v>
      </c>
      <c r="BG417" s="140">
        <f t="shared" si="6"/>
        <v>0</v>
      </c>
      <c r="BH417" s="140">
        <f t="shared" si="7"/>
        <v>0</v>
      </c>
      <c r="BI417" s="140">
        <f t="shared" si="8"/>
        <v>0</v>
      </c>
      <c r="BJ417" s="2" t="s">
        <v>87</v>
      </c>
      <c r="BK417" s="140">
        <f t="shared" si="9"/>
        <v>0</v>
      </c>
      <c r="BL417" s="2" t="s">
        <v>5127</v>
      </c>
      <c r="BM417" s="139" t="s">
        <v>5152</v>
      </c>
    </row>
    <row r="418" spans="2:65" s="16" customFormat="1" ht="6.95" customHeight="1" x14ac:dyDescent="0.2">
      <c r="B418" s="30"/>
      <c r="C418" s="19"/>
      <c r="D418" s="19"/>
      <c r="E418" s="19"/>
      <c r="F418" s="19"/>
      <c r="G418" s="19"/>
      <c r="H418" s="19"/>
      <c r="I418" s="19"/>
      <c r="J418" s="19"/>
      <c r="K418" s="19"/>
      <c r="L418" s="17"/>
    </row>
  </sheetData>
  <sheetProtection algorithmName="SHA-512" hashValue="qSX3uZTLcApD99lz2hE9MVxBN8xq4vnqJgR6khqEwx+n83rUgbdfXCMoSnbPORqSEMkWDRvDMUaZslQZLiefAA==" saltValue="nqDa3WQFMvnNaT4uRDlHSw==" spinCount="100000" sheet="1" objects="1" scenarios="1" formatCells="0" formatColumns="0" formatRows="0" autoFilter="0"/>
  <autoFilter ref="C137:K417" xr:uid="{00000000-0009-0000-0000-00000B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3"/>
  <dimension ref="B2:BM1335"/>
  <sheetViews>
    <sheetView showGridLines="0" workbookViewId="0">
      <selection activeCell="F98" sqref="F98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16406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5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132</v>
      </c>
      <c r="AZ2" s="2" t="s">
        <v>5153</v>
      </c>
      <c r="BA2" s="2"/>
      <c r="BB2" s="2"/>
      <c r="BC2" s="2" t="s">
        <v>5154</v>
      </c>
      <c r="BD2" s="2" t="s">
        <v>90</v>
      </c>
    </row>
    <row r="3" spans="2:5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  <c r="AZ3" s="2" t="s">
        <v>5155</v>
      </c>
      <c r="BA3" s="2"/>
      <c r="BB3" s="2"/>
      <c r="BC3" s="2" t="s">
        <v>5156</v>
      </c>
      <c r="BD3" s="2" t="s">
        <v>90</v>
      </c>
    </row>
    <row r="4" spans="2:5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  <c r="AZ4" s="2" t="s">
        <v>5157</v>
      </c>
      <c r="BA4" s="2"/>
      <c r="BB4" s="2"/>
      <c r="BC4" s="2" t="s">
        <v>5158</v>
      </c>
      <c r="BD4" s="2" t="s">
        <v>90</v>
      </c>
    </row>
    <row r="5" spans="2:56" ht="6.95" hidden="1" customHeight="1" x14ac:dyDescent="0.2">
      <c r="B5" s="5"/>
      <c r="L5" s="5"/>
      <c r="AZ5" s="2" t="s">
        <v>5159</v>
      </c>
      <c r="BA5" s="2"/>
      <c r="BB5" s="2"/>
      <c r="BC5" s="2" t="s">
        <v>5160</v>
      </c>
      <c r="BD5" s="2" t="s">
        <v>90</v>
      </c>
    </row>
    <row r="6" spans="2:56" ht="12" hidden="1" customHeight="1" x14ac:dyDescent="0.2">
      <c r="B6" s="5"/>
      <c r="D6" s="12" t="s">
        <v>15</v>
      </c>
      <c r="L6" s="5"/>
      <c r="AZ6" s="2" t="s">
        <v>5161</v>
      </c>
      <c r="BA6" s="2"/>
      <c r="BB6" s="2"/>
      <c r="BC6" s="2" t="s">
        <v>5162</v>
      </c>
      <c r="BD6" s="2" t="s">
        <v>90</v>
      </c>
    </row>
    <row r="7" spans="2:5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  <c r="AZ7" s="2" t="s">
        <v>5163</v>
      </c>
      <c r="BA7" s="2"/>
      <c r="BB7" s="2"/>
      <c r="BC7" s="2" t="s">
        <v>5164</v>
      </c>
      <c r="BD7" s="2" t="s">
        <v>90</v>
      </c>
    </row>
    <row r="8" spans="2:56" ht="12" hidden="1" customHeight="1" x14ac:dyDescent="0.2">
      <c r="B8" s="5"/>
      <c r="D8" s="12" t="s">
        <v>190</v>
      </c>
      <c r="L8" s="5"/>
      <c r="AZ8" s="2" t="s">
        <v>5165</v>
      </c>
      <c r="BA8" s="2"/>
      <c r="BB8" s="2"/>
      <c r="BC8" s="2" t="s">
        <v>5166</v>
      </c>
      <c r="BD8" s="2" t="s">
        <v>90</v>
      </c>
    </row>
    <row r="9" spans="2:5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  <c r="AZ9" s="2" t="s">
        <v>5167</v>
      </c>
      <c r="BA9" s="2"/>
      <c r="BB9" s="2"/>
      <c r="BC9" s="2" t="s">
        <v>5168</v>
      </c>
      <c r="BD9" s="2" t="s">
        <v>90</v>
      </c>
    </row>
    <row r="10" spans="2:56" s="16" customFormat="1" ht="12" hidden="1" customHeight="1" x14ac:dyDescent="0.2">
      <c r="B10" s="17"/>
      <c r="D10" s="12" t="s">
        <v>196</v>
      </c>
      <c r="L10" s="17"/>
      <c r="AZ10" s="2" t="s">
        <v>5169</v>
      </c>
      <c r="BA10" s="2"/>
      <c r="BB10" s="2"/>
      <c r="BC10" s="2" t="s">
        <v>5170</v>
      </c>
      <c r="BD10" s="2" t="s">
        <v>90</v>
      </c>
    </row>
    <row r="11" spans="2:56" s="16" customFormat="1" ht="16.5" hidden="1" customHeight="1" x14ac:dyDescent="0.2">
      <c r="B11" s="17"/>
      <c r="E11" s="309" t="s">
        <v>5171</v>
      </c>
      <c r="F11" s="309"/>
      <c r="G11" s="309"/>
      <c r="H11" s="309"/>
      <c r="L11" s="17"/>
      <c r="AZ11" s="2" t="s">
        <v>5172</v>
      </c>
      <c r="BA11" s="2"/>
      <c r="BB11" s="2"/>
      <c r="BC11" s="2" t="s">
        <v>5173</v>
      </c>
      <c r="BD11" s="2" t="s">
        <v>90</v>
      </c>
    </row>
    <row r="12" spans="2:56" s="16" customFormat="1" hidden="1" x14ac:dyDescent="0.2">
      <c r="B12" s="17"/>
      <c r="L12" s="17"/>
      <c r="AZ12" s="2" t="s">
        <v>5174</v>
      </c>
      <c r="BA12" s="2"/>
      <c r="BB12" s="2"/>
      <c r="BC12" s="2" t="s">
        <v>5175</v>
      </c>
      <c r="BD12" s="2" t="s">
        <v>90</v>
      </c>
    </row>
    <row r="13" spans="2:5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  <c r="AZ13" s="2" t="s">
        <v>5176</v>
      </c>
      <c r="BA13" s="2"/>
      <c r="BB13" s="2"/>
      <c r="BC13" s="2" t="s">
        <v>5177</v>
      </c>
      <c r="BD13" s="2" t="s">
        <v>90</v>
      </c>
    </row>
    <row r="14" spans="2:56" s="16" customFormat="1" ht="12" hidden="1" customHeight="1" x14ac:dyDescent="0.2">
      <c r="B14" s="17"/>
      <c r="D14" s="12" t="s">
        <v>19</v>
      </c>
      <c r="F14" s="10" t="s">
        <v>20</v>
      </c>
      <c r="I14" s="12" t="s">
        <v>21</v>
      </c>
      <c r="J14" s="38" t="str">
        <f>IF(Rekapitulace_stavby!AN8&lt;&gt;"",Rekapitulace_stavby!AN8,"")</f>
        <v/>
      </c>
      <c r="L14" s="17"/>
      <c r="AZ14" s="2" t="s">
        <v>5178</v>
      </c>
      <c r="BA14" s="2"/>
      <c r="BB14" s="2"/>
      <c r="BC14" s="2" t="s">
        <v>5179</v>
      </c>
      <c r="BD14" s="2" t="s">
        <v>90</v>
      </c>
    </row>
    <row r="15" spans="2:56" s="16" customFormat="1" ht="10.9" hidden="1" customHeight="1" x14ac:dyDescent="0.2">
      <c r="B15" s="17"/>
      <c r="L15" s="17"/>
      <c r="AZ15" s="2" t="s">
        <v>5180</v>
      </c>
      <c r="BA15" s="2"/>
      <c r="BB15" s="2"/>
      <c r="BC15" s="2" t="s">
        <v>5181</v>
      </c>
      <c r="BD15" s="2" t="s">
        <v>90</v>
      </c>
    </row>
    <row r="16" spans="2:56" s="16" customFormat="1" ht="12" hidden="1" customHeight="1" x14ac:dyDescent="0.2">
      <c r="B16" s="17"/>
      <c r="D16" s="12" t="s">
        <v>22</v>
      </c>
      <c r="I16" s="12" t="s">
        <v>23</v>
      </c>
      <c r="J16" s="10" t="s">
        <v>24</v>
      </c>
      <c r="L16" s="17"/>
      <c r="AZ16" s="2" t="s">
        <v>5182</v>
      </c>
      <c r="BA16" s="2"/>
      <c r="BB16" s="2"/>
      <c r="BC16" s="2" t="s">
        <v>5183</v>
      </c>
      <c r="BD16" s="2" t="s">
        <v>90</v>
      </c>
    </row>
    <row r="17" spans="2:56" s="16" customFormat="1" ht="18" hidden="1" customHeight="1" x14ac:dyDescent="0.2">
      <c r="B17" s="17"/>
      <c r="E17" s="10" t="s">
        <v>25</v>
      </c>
      <c r="I17" s="12" t="s">
        <v>26</v>
      </c>
      <c r="J17" s="10" t="s">
        <v>27</v>
      </c>
      <c r="L17" s="17"/>
      <c r="AZ17" s="2" t="s">
        <v>5184</v>
      </c>
      <c r="BA17" s="2"/>
      <c r="BB17" s="2"/>
      <c r="BC17" s="2" t="s">
        <v>5185</v>
      </c>
      <c r="BD17" s="2" t="s">
        <v>90</v>
      </c>
    </row>
    <row r="18" spans="2:56" s="16" customFormat="1" ht="6.95" hidden="1" customHeight="1" x14ac:dyDescent="0.2">
      <c r="B18" s="17"/>
      <c r="L18" s="17"/>
      <c r="AZ18" s="2" t="s">
        <v>5186</v>
      </c>
      <c r="BA18" s="2"/>
      <c r="BB18" s="2"/>
      <c r="BC18" s="2" t="s">
        <v>5187</v>
      </c>
      <c r="BD18" s="2" t="s">
        <v>90</v>
      </c>
    </row>
    <row r="19" spans="2:56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  <c r="AZ19" s="2" t="s">
        <v>5188</v>
      </c>
      <c r="BA19" s="2"/>
      <c r="BB19" s="2"/>
      <c r="BC19" s="2" t="s">
        <v>5189</v>
      </c>
      <c r="BD19" s="2" t="s">
        <v>90</v>
      </c>
    </row>
    <row r="20" spans="2:56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56" s="16" customFormat="1" ht="6.95" hidden="1" customHeight="1" x14ac:dyDescent="0.2">
      <c r="B21" s="17"/>
      <c r="L21" s="17"/>
    </row>
    <row r="22" spans="2:56" s="16" customFormat="1" ht="12" hidden="1" customHeight="1" x14ac:dyDescent="0.2">
      <c r="B22" s="17"/>
      <c r="D22" s="12" t="s">
        <v>29</v>
      </c>
      <c r="I22" s="12" t="s">
        <v>23</v>
      </c>
      <c r="J22" s="10" t="s">
        <v>30</v>
      </c>
      <c r="L22" s="17"/>
    </row>
    <row r="23" spans="2:56" s="16" customFormat="1" ht="18" hidden="1" customHeight="1" x14ac:dyDescent="0.2">
      <c r="B23" s="17"/>
      <c r="E23" s="10" t="s">
        <v>31</v>
      </c>
      <c r="I23" s="12" t="s">
        <v>26</v>
      </c>
      <c r="J23" s="10" t="s">
        <v>32</v>
      </c>
      <c r="L23" s="17"/>
    </row>
    <row r="24" spans="2:56" s="16" customFormat="1" ht="6.95" hidden="1" customHeight="1" x14ac:dyDescent="0.2">
      <c r="B24" s="17"/>
      <c r="L24" s="17"/>
    </row>
    <row r="25" spans="2:56" s="16" customFormat="1" ht="12" hidden="1" customHeight="1" x14ac:dyDescent="0.2">
      <c r="B25" s="17"/>
      <c r="D25" s="12" t="s">
        <v>34</v>
      </c>
      <c r="I25" s="12" t="s">
        <v>23</v>
      </c>
      <c r="J25" s="10" t="s">
        <v>35</v>
      </c>
      <c r="L25" s="17"/>
    </row>
    <row r="26" spans="2:56" s="16" customFormat="1" ht="18" hidden="1" customHeight="1" x14ac:dyDescent="0.2">
      <c r="B26" s="17"/>
      <c r="E26" s="10" t="s">
        <v>36</v>
      </c>
      <c r="I26" s="12" t="s">
        <v>26</v>
      </c>
      <c r="J26" s="10" t="s">
        <v>37</v>
      </c>
      <c r="L26" s="17"/>
    </row>
    <row r="27" spans="2:56" s="16" customFormat="1" ht="6.95" hidden="1" customHeight="1" x14ac:dyDescent="0.2">
      <c r="B27" s="17"/>
      <c r="L27" s="17"/>
    </row>
    <row r="28" spans="2:56" s="16" customFormat="1" ht="12" hidden="1" customHeight="1" x14ac:dyDescent="0.2">
      <c r="B28" s="17"/>
      <c r="D28" s="12" t="s">
        <v>38</v>
      </c>
      <c r="L28" s="17"/>
    </row>
    <row r="29" spans="2:56" s="81" customFormat="1" ht="16.5" hidden="1" customHeight="1" x14ac:dyDescent="0.2">
      <c r="B29" s="82"/>
      <c r="E29" s="304"/>
      <c r="F29" s="304"/>
      <c r="G29" s="304"/>
      <c r="H29" s="304"/>
      <c r="L29" s="82"/>
    </row>
    <row r="30" spans="2:56" s="16" customFormat="1" ht="6.95" hidden="1" customHeight="1" x14ac:dyDescent="0.2">
      <c r="B30" s="17"/>
      <c r="L30" s="17"/>
    </row>
    <row r="31" spans="2:56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56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ROUND((SUM(BE138:BE1334)),  2)</f>
        <v>0</v>
      </c>
      <c r="I35" s="86">
        <v>0.21</v>
      </c>
      <c r="J35" s="73">
        <f>ROUND(((SUM(BE138:BE1334))*I35),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ROUND((SUM(BF138:BF1334)),  2)</f>
        <v>0</v>
      </c>
      <c r="I36" s="86">
        <v>0.12</v>
      </c>
      <c r="J36" s="73">
        <f>ROUND(((SUM(BF138:BF1334))*I36),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ROUND((SUM(BG138:BG1334)),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ROUND((SUM(BH138:BH1334)),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ROUND((SUM(BI138:BI1334)),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BOU - Bourací a demontážní práce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>Alej Svobody 703 Plzeň 1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304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3037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70" customFormat="1" ht="19.899999999999999" customHeight="1" x14ac:dyDescent="0.2">
      <c r="B101" s="103"/>
      <c r="D101" s="104" t="s">
        <v>308</v>
      </c>
      <c r="E101" s="105"/>
      <c r="F101" s="105"/>
      <c r="G101" s="105"/>
      <c r="H101" s="105"/>
      <c r="I101" s="105"/>
      <c r="J101" s="106">
        <f>J154</f>
        <v>0</v>
      </c>
      <c r="L101" s="103"/>
    </row>
    <row r="102" spans="2:47" s="70" customFormat="1" ht="19.899999999999999" customHeight="1" x14ac:dyDescent="0.2">
      <c r="B102" s="103"/>
      <c r="D102" s="104" t="s">
        <v>5190</v>
      </c>
      <c r="E102" s="105"/>
      <c r="F102" s="105"/>
      <c r="G102" s="105"/>
      <c r="H102" s="105"/>
      <c r="I102" s="105"/>
      <c r="J102" s="106">
        <f>J903</f>
        <v>0</v>
      </c>
      <c r="L102" s="103"/>
    </row>
    <row r="103" spans="2:47" s="98" customFormat="1" ht="24.95" customHeight="1" x14ac:dyDescent="0.2">
      <c r="B103" s="99"/>
      <c r="D103" s="100" t="s">
        <v>310</v>
      </c>
      <c r="E103" s="101"/>
      <c r="F103" s="101"/>
      <c r="G103" s="101"/>
      <c r="H103" s="101"/>
      <c r="I103" s="101"/>
      <c r="J103" s="102">
        <f>J980</f>
        <v>0</v>
      </c>
      <c r="L103" s="99"/>
    </row>
    <row r="104" spans="2:47" s="70" customFormat="1" ht="19.899999999999999" customHeight="1" x14ac:dyDescent="0.2">
      <c r="B104" s="103"/>
      <c r="D104" s="104" t="s">
        <v>311</v>
      </c>
      <c r="E104" s="105"/>
      <c r="F104" s="105"/>
      <c r="G104" s="105"/>
      <c r="H104" s="105"/>
      <c r="I104" s="105"/>
      <c r="J104" s="106">
        <f>J981</f>
        <v>0</v>
      </c>
      <c r="L104" s="103"/>
    </row>
    <row r="105" spans="2:47" s="70" customFormat="1" ht="19.899999999999999" customHeight="1" x14ac:dyDescent="0.2">
      <c r="B105" s="103"/>
      <c r="D105" s="104" t="s">
        <v>4044</v>
      </c>
      <c r="E105" s="105"/>
      <c r="F105" s="105"/>
      <c r="G105" s="105"/>
      <c r="H105" s="105"/>
      <c r="I105" s="105"/>
      <c r="J105" s="106">
        <f>J986</f>
        <v>0</v>
      </c>
      <c r="L105" s="103"/>
    </row>
    <row r="106" spans="2:47" s="70" customFormat="1" ht="19.899999999999999" customHeight="1" x14ac:dyDescent="0.2">
      <c r="B106" s="103"/>
      <c r="D106" s="104" t="s">
        <v>312</v>
      </c>
      <c r="E106" s="105"/>
      <c r="F106" s="105"/>
      <c r="G106" s="105"/>
      <c r="H106" s="105"/>
      <c r="I106" s="105"/>
      <c r="J106" s="106">
        <f>J1010</f>
        <v>0</v>
      </c>
      <c r="L106" s="103"/>
    </row>
    <row r="107" spans="2:47" s="70" customFormat="1" ht="19.899999999999999" customHeight="1" x14ac:dyDescent="0.2">
      <c r="B107" s="103"/>
      <c r="D107" s="104" t="s">
        <v>5191</v>
      </c>
      <c r="E107" s="105"/>
      <c r="F107" s="105"/>
      <c r="G107" s="105"/>
      <c r="H107" s="105"/>
      <c r="I107" s="105"/>
      <c r="J107" s="106">
        <f>J1019</f>
        <v>0</v>
      </c>
      <c r="L107" s="103"/>
    </row>
    <row r="108" spans="2:47" s="70" customFormat="1" ht="19.899999999999999" customHeight="1" x14ac:dyDescent="0.2">
      <c r="B108" s="103"/>
      <c r="D108" s="104" t="s">
        <v>5192</v>
      </c>
      <c r="E108" s="105"/>
      <c r="F108" s="105"/>
      <c r="G108" s="105"/>
      <c r="H108" s="105"/>
      <c r="I108" s="105"/>
      <c r="J108" s="106">
        <f>J1051</f>
        <v>0</v>
      </c>
      <c r="L108" s="103"/>
    </row>
    <row r="109" spans="2:47" s="70" customFormat="1" ht="19.899999999999999" customHeight="1" x14ac:dyDescent="0.2">
      <c r="B109" s="103"/>
      <c r="D109" s="104" t="s">
        <v>2443</v>
      </c>
      <c r="E109" s="105"/>
      <c r="F109" s="105"/>
      <c r="G109" s="105"/>
      <c r="H109" s="105"/>
      <c r="I109" s="105"/>
      <c r="J109" s="106">
        <f>J1137</f>
        <v>0</v>
      </c>
      <c r="L109" s="103"/>
    </row>
    <row r="110" spans="2:47" s="70" customFormat="1" ht="19.899999999999999" customHeight="1" x14ac:dyDescent="0.2">
      <c r="B110" s="103"/>
      <c r="D110" s="104" t="s">
        <v>5193</v>
      </c>
      <c r="E110" s="105"/>
      <c r="F110" s="105"/>
      <c r="G110" s="105"/>
      <c r="H110" s="105"/>
      <c r="I110" s="105"/>
      <c r="J110" s="106">
        <f>J1160</f>
        <v>0</v>
      </c>
      <c r="L110" s="103"/>
    </row>
    <row r="111" spans="2:47" s="70" customFormat="1" ht="19.899999999999999" customHeight="1" x14ac:dyDescent="0.2">
      <c r="B111" s="103"/>
      <c r="D111" s="104" t="s">
        <v>317</v>
      </c>
      <c r="E111" s="105"/>
      <c r="F111" s="105"/>
      <c r="G111" s="105"/>
      <c r="H111" s="105"/>
      <c r="I111" s="105"/>
      <c r="J111" s="106">
        <f>J1171</f>
        <v>0</v>
      </c>
      <c r="L111" s="103"/>
    </row>
    <row r="112" spans="2:47" s="70" customFormat="1" ht="19.899999999999999" customHeight="1" x14ac:dyDescent="0.2">
      <c r="B112" s="103"/>
      <c r="D112" s="104" t="s">
        <v>321</v>
      </c>
      <c r="E112" s="105"/>
      <c r="F112" s="105"/>
      <c r="G112" s="105"/>
      <c r="H112" s="105"/>
      <c r="I112" s="105"/>
      <c r="J112" s="106">
        <f>J1330</f>
        <v>0</v>
      </c>
      <c r="L112" s="103"/>
    </row>
    <row r="113" spans="2:12" s="16" customFormat="1" ht="21.75" customHeight="1" x14ac:dyDescent="0.2">
      <c r="B113" s="17"/>
      <c r="L113" s="17"/>
    </row>
    <row r="114" spans="2:12" s="16" customFormat="1" ht="6.95" customHeight="1" x14ac:dyDescent="0.2">
      <c r="B114" s="30"/>
      <c r="C114" s="19"/>
      <c r="D114" s="19"/>
      <c r="E114" s="19"/>
      <c r="F114" s="19"/>
      <c r="G114" s="19"/>
      <c r="H114" s="19"/>
      <c r="I114" s="19"/>
      <c r="J114" s="19"/>
      <c r="K114" s="19"/>
      <c r="L114" s="17"/>
    </row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ht="2.4500000000000002" customHeight="1" x14ac:dyDescent="0.2"/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BOU - Bourací a demontážní práce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tr">
        <f>F14</f>
        <v>Alej Svobody 703 Plzeň 1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15.2" customHeight="1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P139+P980</f>
        <v>0</v>
      </c>
      <c r="Q138" s="39"/>
      <c r="R138" s="113">
        <f>R139+R980</f>
        <v>0.62289552000000004</v>
      </c>
      <c r="S138" s="39"/>
      <c r="T138" s="114">
        <f>T139+T980</f>
        <v>1946.6750331900002</v>
      </c>
      <c r="AT138" s="2" t="s">
        <v>79</v>
      </c>
      <c r="AU138" s="2" t="s">
        <v>303</v>
      </c>
      <c r="BK138" s="115">
        <f>BK139+BK980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P140+P154+P903</f>
        <v>0</v>
      </c>
      <c r="R139" s="122">
        <f>R140+R154+R903</f>
        <v>7.2895520000000005E-2</v>
      </c>
      <c r="T139" s="123">
        <f>T140+T154+T903</f>
        <v>1565.4476790000001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BK140+BK154+BK903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87</v>
      </c>
      <c r="F140" s="126" t="s">
        <v>3039</v>
      </c>
      <c r="J140" s="127">
        <f>BK140</f>
        <v>0</v>
      </c>
      <c r="L140" s="117"/>
      <c r="M140" s="121"/>
      <c r="P140" s="122">
        <f>SUM(P141:P153)</f>
        <v>0</v>
      </c>
      <c r="R140" s="122">
        <f>SUM(R141:R153)</f>
        <v>0</v>
      </c>
      <c r="T140" s="123">
        <f>SUM(T141:T153)</f>
        <v>50.865449999999996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SUM(BK141:BK153)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5194</v>
      </c>
      <c r="F141" s="130" t="s">
        <v>5195</v>
      </c>
      <c r="G141" s="131" t="s">
        <v>425</v>
      </c>
      <c r="H141" s="132">
        <v>7.75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0.255</v>
      </c>
      <c r="T141" s="138">
        <f>S141*H141</f>
        <v>1.9762500000000001</v>
      </c>
      <c r="AR141" s="139" t="s">
        <v>344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5196</v>
      </c>
    </row>
    <row r="142" spans="2:65" s="141" customFormat="1" x14ac:dyDescent="0.2">
      <c r="B142" s="142"/>
      <c r="D142" s="143" t="s">
        <v>346</v>
      </c>
      <c r="E142" s="144"/>
      <c r="F142" s="145" t="s">
        <v>5197</v>
      </c>
      <c r="H142" s="144"/>
      <c r="L142" s="142"/>
      <c r="M142" s="146"/>
      <c r="T142" s="147"/>
      <c r="AT142" s="144" t="s">
        <v>346</v>
      </c>
      <c r="AU142" s="144" t="s">
        <v>90</v>
      </c>
      <c r="AV142" s="141" t="s">
        <v>87</v>
      </c>
      <c r="AW142" s="141" t="s">
        <v>33</v>
      </c>
      <c r="AX142" s="141" t="s">
        <v>80</v>
      </c>
      <c r="AY142" s="144" t="s">
        <v>337</v>
      </c>
    </row>
    <row r="143" spans="2:65" s="148" customFormat="1" x14ac:dyDescent="0.2">
      <c r="B143" s="149"/>
      <c r="D143" s="143" t="s">
        <v>346</v>
      </c>
      <c r="E143" s="150"/>
      <c r="F143" s="151" t="s">
        <v>3830</v>
      </c>
      <c r="H143" s="152">
        <v>7.75</v>
      </c>
      <c r="L143" s="149"/>
      <c r="M143" s="153"/>
      <c r="T143" s="154"/>
      <c r="AT143" s="150" t="s">
        <v>346</v>
      </c>
      <c r="AU143" s="150" t="s">
        <v>90</v>
      </c>
      <c r="AV143" s="148" t="s">
        <v>90</v>
      </c>
      <c r="AW143" s="148" t="s">
        <v>33</v>
      </c>
      <c r="AX143" s="148" t="s">
        <v>87</v>
      </c>
      <c r="AY143" s="150" t="s">
        <v>337</v>
      </c>
    </row>
    <row r="144" spans="2:65" s="16" customFormat="1" ht="21.75" customHeight="1" x14ac:dyDescent="0.2">
      <c r="B144" s="17"/>
      <c r="C144" s="128">
        <v>2</v>
      </c>
      <c r="D144" s="128" t="s">
        <v>339</v>
      </c>
      <c r="E144" s="129" t="s">
        <v>5198</v>
      </c>
      <c r="F144" s="130" t="s">
        <v>5199</v>
      </c>
      <c r="G144" s="131" t="s">
        <v>425</v>
      </c>
      <c r="H144" s="132">
        <v>52.4</v>
      </c>
      <c r="I144" s="133"/>
      <c r="J144" s="134">
        <f>ROUND(I144*H144,2)</f>
        <v>0</v>
      </c>
      <c r="K144" s="130" t="s">
        <v>343</v>
      </c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0.28999999999999998</v>
      </c>
      <c r="T144" s="138">
        <f>S144*H144</f>
        <v>15.195999999999998</v>
      </c>
      <c r="AR144" s="139" t="s">
        <v>344</v>
      </c>
      <c r="AT144" s="139" t="s">
        <v>339</v>
      </c>
      <c r="AU144" s="139" t="s">
        <v>90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344</v>
      </c>
      <c r="BM144" s="139" t="s">
        <v>5200</v>
      </c>
    </row>
    <row r="145" spans="2:65" s="141" customFormat="1" x14ac:dyDescent="0.2">
      <c r="B145" s="142"/>
      <c r="D145" s="143" t="s">
        <v>346</v>
      </c>
      <c r="E145" s="144"/>
      <c r="F145" s="145" t="s">
        <v>5201</v>
      </c>
      <c r="H145" s="144"/>
      <c r="L145" s="142"/>
      <c r="M145" s="146"/>
      <c r="T145" s="147"/>
      <c r="AT145" s="144" t="s">
        <v>346</v>
      </c>
      <c r="AU145" s="144" t="s">
        <v>90</v>
      </c>
      <c r="AV145" s="141" t="s">
        <v>87</v>
      </c>
      <c r="AW145" s="141" t="s">
        <v>33</v>
      </c>
      <c r="AX145" s="141" t="s">
        <v>80</v>
      </c>
      <c r="AY145" s="144" t="s">
        <v>337</v>
      </c>
    </row>
    <row r="146" spans="2:65" s="148" customFormat="1" x14ac:dyDescent="0.2">
      <c r="B146" s="149"/>
      <c r="D146" s="143" t="s">
        <v>346</v>
      </c>
      <c r="E146" s="150"/>
      <c r="F146" s="151" t="s">
        <v>3290</v>
      </c>
      <c r="H146" s="152">
        <v>47.15</v>
      </c>
      <c r="L146" s="149"/>
      <c r="M146" s="153"/>
      <c r="T146" s="154"/>
      <c r="AT146" s="150" t="s">
        <v>346</v>
      </c>
      <c r="AU146" s="150" t="s">
        <v>90</v>
      </c>
      <c r="AV146" s="148" t="s">
        <v>90</v>
      </c>
      <c r="AW146" s="148" t="s">
        <v>33</v>
      </c>
      <c r="AX146" s="148" t="s">
        <v>80</v>
      </c>
      <c r="AY146" s="150" t="s">
        <v>337</v>
      </c>
    </row>
    <row r="147" spans="2:65" s="141" customFormat="1" x14ac:dyDescent="0.2">
      <c r="B147" s="142"/>
      <c r="D147" s="143" t="s">
        <v>346</v>
      </c>
      <c r="E147" s="144"/>
      <c r="F147" s="145" t="s">
        <v>5202</v>
      </c>
      <c r="H147" s="144"/>
      <c r="L147" s="142"/>
      <c r="M147" s="146"/>
      <c r="T147" s="147"/>
      <c r="AT147" s="144" t="s">
        <v>346</v>
      </c>
      <c r="AU147" s="144" t="s">
        <v>90</v>
      </c>
      <c r="AV147" s="141" t="s">
        <v>87</v>
      </c>
      <c r="AW147" s="141" t="s">
        <v>33</v>
      </c>
      <c r="AX147" s="141" t="s">
        <v>80</v>
      </c>
      <c r="AY147" s="144" t="s">
        <v>337</v>
      </c>
    </row>
    <row r="148" spans="2:65" s="148" customFormat="1" x14ac:dyDescent="0.2">
      <c r="B148" s="149"/>
      <c r="D148" s="143" t="s">
        <v>346</v>
      </c>
      <c r="E148" s="150"/>
      <c r="F148" s="151" t="s">
        <v>3292</v>
      </c>
      <c r="H148" s="152">
        <v>5.25</v>
      </c>
      <c r="L148" s="149"/>
      <c r="M148" s="153"/>
      <c r="T148" s="154"/>
      <c r="AT148" s="150" t="s">
        <v>346</v>
      </c>
      <c r="AU148" s="150" t="s">
        <v>90</v>
      </c>
      <c r="AV148" s="148" t="s">
        <v>90</v>
      </c>
      <c r="AW148" s="148" t="s">
        <v>33</v>
      </c>
      <c r="AX148" s="148" t="s">
        <v>80</v>
      </c>
      <c r="AY148" s="150" t="s">
        <v>337</v>
      </c>
    </row>
    <row r="149" spans="2:65" s="141" customFormat="1" ht="22.5" x14ac:dyDescent="0.2">
      <c r="B149" s="142"/>
      <c r="D149" s="143" t="s">
        <v>346</v>
      </c>
      <c r="E149" s="144"/>
      <c r="F149" s="145" t="s">
        <v>5203</v>
      </c>
      <c r="H149" s="144"/>
      <c r="L149" s="142"/>
      <c r="M149" s="146"/>
      <c r="T149" s="147"/>
      <c r="AT149" s="144" t="s">
        <v>346</v>
      </c>
      <c r="AU149" s="144" t="s">
        <v>90</v>
      </c>
      <c r="AV149" s="141" t="s">
        <v>87</v>
      </c>
      <c r="AW149" s="141" t="s">
        <v>33</v>
      </c>
      <c r="AX149" s="141" t="s">
        <v>80</v>
      </c>
      <c r="AY149" s="144" t="s">
        <v>337</v>
      </c>
    </row>
    <row r="150" spans="2:65" s="155" customFormat="1" x14ac:dyDescent="0.2">
      <c r="B150" s="156"/>
      <c r="D150" s="143" t="s">
        <v>346</v>
      </c>
      <c r="E150" s="157"/>
      <c r="F150" s="158" t="s">
        <v>351</v>
      </c>
      <c r="H150" s="159">
        <v>52.4</v>
      </c>
      <c r="L150" s="156"/>
      <c r="M150" s="160"/>
      <c r="T150" s="161"/>
      <c r="AT150" s="157" t="s">
        <v>346</v>
      </c>
      <c r="AU150" s="157" t="s">
        <v>90</v>
      </c>
      <c r="AV150" s="155" t="s">
        <v>344</v>
      </c>
      <c r="AW150" s="155" t="s">
        <v>33</v>
      </c>
      <c r="AX150" s="155" t="s">
        <v>87</v>
      </c>
      <c r="AY150" s="157" t="s">
        <v>337</v>
      </c>
    </row>
    <row r="151" spans="2:65" s="16" customFormat="1" ht="21.75" customHeight="1" x14ac:dyDescent="0.2">
      <c r="B151" s="17"/>
      <c r="C151" s="128">
        <v>3</v>
      </c>
      <c r="D151" s="128" t="s">
        <v>339</v>
      </c>
      <c r="E151" s="129" t="s">
        <v>5204</v>
      </c>
      <c r="F151" s="130" t="s">
        <v>5205</v>
      </c>
      <c r="G151" s="131" t="s">
        <v>425</v>
      </c>
      <c r="H151" s="132">
        <v>52.4</v>
      </c>
      <c r="I151" s="133"/>
      <c r="J151" s="134">
        <f>ROUND(I151*H151,2)</f>
        <v>0</v>
      </c>
      <c r="K151" s="130" t="s">
        <v>343</v>
      </c>
      <c r="L151" s="17"/>
      <c r="M151" s="135"/>
      <c r="N151" s="136" t="s">
        <v>45</v>
      </c>
      <c r="P151" s="137">
        <f>O151*H151</f>
        <v>0</v>
      </c>
      <c r="Q151" s="137">
        <v>0</v>
      </c>
      <c r="R151" s="137">
        <f>Q151*H151</f>
        <v>0</v>
      </c>
      <c r="S151" s="137">
        <v>0.32500000000000001</v>
      </c>
      <c r="T151" s="138">
        <f>S151*H151</f>
        <v>17.03</v>
      </c>
      <c r="AR151" s="139" t="s">
        <v>344</v>
      </c>
      <c r="AT151" s="139" t="s">
        <v>339</v>
      </c>
      <c r="AU151" s="139" t="s">
        <v>90</v>
      </c>
      <c r="AY151" s="2" t="s">
        <v>337</v>
      </c>
      <c r="BE151" s="140">
        <f>IF(N151="základní",J151,0)</f>
        <v>0</v>
      </c>
      <c r="BF151" s="140">
        <f>IF(N151="snížená",J151,0)</f>
        <v>0</v>
      </c>
      <c r="BG151" s="140">
        <f>IF(N151="zákl. přenesená",J151,0)</f>
        <v>0</v>
      </c>
      <c r="BH151" s="140">
        <f>IF(N151="sníž. přenesená",J151,0)</f>
        <v>0</v>
      </c>
      <c r="BI151" s="140">
        <f>IF(N151="nulová",J151,0)</f>
        <v>0</v>
      </c>
      <c r="BJ151" s="2" t="s">
        <v>87</v>
      </c>
      <c r="BK151" s="140">
        <f>ROUND(I151*H151,2)</f>
        <v>0</v>
      </c>
      <c r="BL151" s="2" t="s">
        <v>344</v>
      </c>
      <c r="BM151" s="139" t="s">
        <v>5206</v>
      </c>
    </row>
    <row r="152" spans="2:65" s="16" customFormat="1" ht="16.5" customHeight="1" x14ac:dyDescent="0.2">
      <c r="B152" s="17"/>
      <c r="C152" s="128">
        <v>4</v>
      </c>
      <c r="D152" s="128" t="s">
        <v>339</v>
      </c>
      <c r="E152" s="129" t="s">
        <v>5207</v>
      </c>
      <c r="F152" s="130" t="s">
        <v>5208</v>
      </c>
      <c r="G152" s="131" t="s">
        <v>425</v>
      </c>
      <c r="H152" s="132">
        <v>52.4</v>
      </c>
      <c r="I152" s="133"/>
      <c r="J152" s="134">
        <f>ROUND(I152*H152,2)</f>
        <v>0</v>
      </c>
      <c r="K152" s="130" t="s">
        <v>343</v>
      </c>
      <c r="L152" s="17"/>
      <c r="M152" s="135"/>
      <c r="N152" s="136" t="s">
        <v>45</v>
      </c>
      <c r="P152" s="137">
        <f>O152*H152</f>
        <v>0</v>
      </c>
      <c r="Q152" s="137">
        <v>0</v>
      </c>
      <c r="R152" s="137">
        <f>Q152*H152</f>
        <v>0</v>
      </c>
      <c r="S152" s="137">
        <v>9.8000000000000004E-2</v>
      </c>
      <c r="T152" s="138">
        <f>S152*H152</f>
        <v>5.1352000000000002</v>
      </c>
      <c r="AR152" s="139" t="s">
        <v>344</v>
      </c>
      <c r="AT152" s="139" t="s">
        <v>339</v>
      </c>
      <c r="AU152" s="139" t="s">
        <v>90</v>
      </c>
      <c r="AY152" s="2" t="s">
        <v>337</v>
      </c>
      <c r="BE152" s="140">
        <f>IF(N152="základní",J152,0)</f>
        <v>0</v>
      </c>
      <c r="BF152" s="140">
        <f>IF(N152="snížená",J152,0)</f>
        <v>0</v>
      </c>
      <c r="BG152" s="140">
        <f>IF(N152="zákl. přenesená",J152,0)</f>
        <v>0</v>
      </c>
      <c r="BH152" s="140">
        <f>IF(N152="sníž. přenesená",J152,0)</f>
        <v>0</v>
      </c>
      <c r="BI152" s="140">
        <f>IF(N152="nulová",J152,0)</f>
        <v>0</v>
      </c>
      <c r="BJ152" s="2" t="s">
        <v>87</v>
      </c>
      <c r="BK152" s="140">
        <f>ROUND(I152*H152,2)</f>
        <v>0</v>
      </c>
      <c r="BL152" s="2" t="s">
        <v>344</v>
      </c>
      <c r="BM152" s="139" t="s">
        <v>5209</v>
      </c>
    </row>
    <row r="153" spans="2:65" s="16" customFormat="1" ht="16.5" customHeight="1" x14ac:dyDescent="0.2">
      <c r="B153" s="17"/>
      <c r="C153" s="128">
        <v>5</v>
      </c>
      <c r="D153" s="128" t="s">
        <v>339</v>
      </c>
      <c r="E153" s="129" t="s">
        <v>5210</v>
      </c>
      <c r="F153" s="130" t="s">
        <v>5211</v>
      </c>
      <c r="G153" s="131" t="s">
        <v>425</v>
      </c>
      <c r="H153" s="132">
        <v>52.4</v>
      </c>
      <c r="I153" s="133"/>
      <c r="J153" s="134">
        <f>ROUND(I153*H153,2)</f>
        <v>0</v>
      </c>
      <c r="K153" s="130" t="s">
        <v>343</v>
      </c>
      <c r="L153" s="17"/>
      <c r="M153" s="135"/>
      <c r="N153" s="136" t="s">
        <v>45</v>
      </c>
      <c r="P153" s="137">
        <f>O153*H153</f>
        <v>0</v>
      </c>
      <c r="Q153" s="137">
        <v>0</v>
      </c>
      <c r="R153" s="137">
        <f>Q153*H153</f>
        <v>0</v>
      </c>
      <c r="S153" s="137">
        <v>0.22</v>
      </c>
      <c r="T153" s="138">
        <f>S153*H153</f>
        <v>11.528</v>
      </c>
      <c r="AR153" s="139" t="s">
        <v>344</v>
      </c>
      <c r="AT153" s="139" t="s">
        <v>339</v>
      </c>
      <c r="AU153" s="139" t="s">
        <v>90</v>
      </c>
      <c r="AY153" s="2" t="s">
        <v>337</v>
      </c>
      <c r="BE153" s="140">
        <f>IF(N153="základní",J153,0)</f>
        <v>0</v>
      </c>
      <c r="BF153" s="140">
        <f>IF(N153="snížená",J153,0)</f>
        <v>0</v>
      </c>
      <c r="BG153" s="140">
        <f>IF(N153="zákl. přenesená",J153,0)</f>
        <v>0</v>
      </c>
      <c r="BH153" s="140">
        <f>IF(N153="sníž. přenesená",J153,0)</f>
        <v>0</v>
      </c>
      <c r="BI153" s="140">
        <f>IF(N153="nulová",J153,0)</f>
        <v>0</v>
      </c>
      <c r="BJ153" s="2" t="s">
        <v>87</v>
      </c>
      <c r="BK153" s="140">
        <f>ROUND(I153*H153,2)</f>
        <v>0</v>
      </c>
      <c r="BL153" s="2" t="s">
        <v>344</v>
      </c>
      <c r="BM153" s="139" t="s">
        <v>5212</v>
      </c>
    </row>
    <row r="154" spans="2:65" s="116" customFormat="1" ht="22.9" customHeight="1" x14ac:dyDescent="0.2">
      <c r="B154" s="117"/>
      <c r="D154" s="118" t="s">
        <v>79</v>
      </c>
      <c r="E154" s="126" t="s">
        <v>452</v>
      </c>
      <c r="F154" s="126" t="s">
        <v>869</v>
      </c>
      <c r="J154" s="127">
        <f>BK154</f>
        <v>0</v>
      </c>
      <c r="L154" s="117"/>
      <c r="M154" s="121"/>
      <c r="P154" s="122">
        <f>SUM(P155:P902)</f>
        <v>0</v>
      </c>
      <c r="R154" s="122">
        <f>SUM(R155:R902)</f>
        <v>3.9895520000000004E-2</v>
      </c>
      <c r="T154" s="123">
        <f>SUM(T155:T902)</f>
        <v>1514.5822290000001</v>
      </c>
      <c r="AR154" s="118" t="s">
        <v>87</v>
      </c>
      <c r="AT154" s="124" t="s">
        <v>79</v>
      </c>
      <c r="AU154" s="124" t="s">
        <v>87</v>
      </c>
      <c r="AY154" s="118" t="s">
        <v>337</v>
      </c>
      <c r="BK154" s="125">
        <f>SUM(BK155:BK902)</f>
        <v>0</v>
      </c>
    </row>
    <row r="155" spans="2:65" s="16" customFormat="1" ht="16.5" customHeight="1" x14ac:dyDescent="0.2">
      <c r="B155" s="17"/>
      <c r="C155" s="128">
        <v>6</v>
      </c>
      <c r="D155" s="128" t="s">
        <v>339</v>
      </c>
      <c r="E155" s="129" t="s">
        <v>5213</v>
      </c>
      <c r="F155" s="130" t="s">
        <v>5214</v>
      </c>
      <c r="G155" s="131" t="s">
        <v>724</v>
      </c>
      <c r="H155" s="132">
        <v>23.2</v>
      </c>
      <c r="I155" s="133"/>
      <c r="J155" s="134">
        <f>ROUND(I155*H155,2)</f>
        <v>0</v>
      </c>
      <c r="K155" s="130" t="s">
        <v>343</v>
      </c>
      <c r="L155" s="17"/>
      <c r="M155" s="135"/>
      <c r="N155" s="136" t="s">
        <v>45</v>
      </c>
      <c r="P155" s="137">
        <f>O155*H155</f>
        <v>0</v>
      </c>
      <c r="Q155" s="137">
        <v>0</v>
      </c>
      <c r="R155" s="137">
        <f>Q155*H155</f>
        <v>0</v>
      </c>
      <c r="S155" s="137">
        <v>0</v>
      </c>
      <c r="T155" s="138">
        <f>S155*H155</f>
        <v>0</v>
      </c>
      <c r="AR155" s="139" t="s">
        <v>344</v>
      </c>
      <c r="AT155" s="139" t="s">
        <v>339</v>
      </c>
      <c r="AU155" s="139" t="s">
        <v>90</v>
      </c>
      <c r="AY155" s="2" t="s">
        <v>337</v>
      </c>
      <c r="BE155" s="140">
        <f>IF(N155="základní",J155,0)</f>
        <v>0</v>
      </c>
      <c r="BF155" s="140">
        <f>IF(N155="snížená",J155,0)</f>
        <v>0</v>
      </c>
      <c r="BG155" s="140">
        <f>IF(N155="zákl. přenesená",J155,0)</f>
        <v>0</v>
      </c>
      <c r="BH155" s="140">
        <f>IF(N155="sníž. přenesená",J155,0)</f>
        <v>0</v>
      </c>
      <c r="BI155" s="140">
        <f>IF(N155="nulová",J155,0)</f>
        <v>0</v>
      </c>
      <c r="BJ155" s="2" t="s">
        <v>87</v>
      </c>
      <c r="BK155" s="140">
        <f>ROUND(I155*H155,2)</f>
        <v>0</v>
      </c>
      <c r="BL155" s="2" t="s">
        <v>344</v>
      </c>
      <c r="BM155" s="139" t="s">
        <v>5215</v>
      </c>
    </row>
    <row r="156" spans="2:65" s="141" customFormat="1" x14ac:dyDescent="0.2">
      <c r="B156" s="142"/>
      <c r="D156" s="143" t="s">
        <v>346</v>
      </c>
      <c r="E156" s="144"/>
      <c r="F156" s="145" t="s">
        <v>5201</v>
      </c>
      <c r="H156" s="144"/>
      <c r="L156" s="142"/>
      <c r="M156" s="146"/>
      <c r="T156" s="147"/>
      <c r="AT156" s="144" t="s">
        <v>346</v>
      </c>
      <c r="AU156" s="144" t="s">
        <v>90</v>
      </c>
      <c r="AV156" s="141" t="s">
        <v>87</v>
      </c>
      <c r="AW156" s="141" t="s">
        <v>33</v>
      </c>
      <c r="AX156" s="141" t="s">
        <v>80</v>
      </c>
      <c r="AY156" s="144" t="s">
        <v>337</v>
      </c>
    </row>
    <row r="157" spans="2:65" s="141" customFormat="1" x14ac:dyDescent="0.2">
      <c r="B157" s="142"/>
      <c r="D157" s="143" t="s">
        <v>346</v>
      </c>
      <c r="E157" s="144"/>
      <c r="F157" s="145" t="s">
        <v>3288</v>
      </c>
      <c r="H157" s="144"/>
      <c r="L157" s="142"/>
      <c r="M157" s="146"/>
      <c r="T157" s="147"/>
      <c r="AT157" s="144" t="s">
        <v>346</v>
      </c>
      <c r="AU157" s="144" t="s">
        <v>90</v>
      </c>
      <c r="AV157" s="141" t="s">
        <v>87</v>
      </c>
      <c r="AW157" s="141" t="s">
        <v>33</v>
      </c>
      <c r="AX157" s="141" t="s">
        <v>80</v>
      </c>
      <c r="AY157" s="144" t="s">
        <v>337</v>
      </c>
    </row>
    <row r="158" spans="2:65" s="148" customFormat="1" x14ac:dyDescent="0.2">
      <c r="B158" s="149"/>
      <c r="D158" s="143" t="s">
        <v>346</v>
      </c>
      <c r="E158" s="150"/>
      <c r="F158" s="151" t="s">
        <v>5216</v>
      </c>
      <c r="H158" s="152">
        <v>19.7</v>
      </c>
      <c r="L158" s="149"/>
      <c r="M158" s="153"/>
      <c r="T158" s="154"/>
      <c r="AT158" s="150" t="s">
        <v>346</v>
      </c>
      <c r="AU158" s="150" t="s">
        <v>90</v>
      </c>
      <c r="AV158" s="148" t="s">
        <v>90</v>
      </c>
      <c r="AW158" s="148" t="s">
        <v>33</v>
      </c>
      <c r="AX158" s="148" t="s">
        <v>80</v>
      </c>
      <c r="AY158" s="150" t="s">
        <v>337</v>
      </c>
    </row>
    <row r="159" spans="2:65" s="141" customFormat="1" x14ac:dyDescent="0.2">
      <c r="B159" s="142"/>
      <c r="D159" s="143" t="s">
        <v>346</v>
      </c>
      <c r="E159" s="144"/>
      <c r="F159" s="145" t="s">
        <v>5217</v>
      </c>
      <c r="H159" s="144"/>
      <c r="L159" s="142"/>
      <c r="M159" s="146"/>
      <c r="T159" s="147"/>
      <c r="AT159" s="144" t="s">
        <v>346</v>
      </c>
      <c r="AU159" s="144" t="s">
        <v>90</v>
      </c>
      <c r="AV159" s="141" t="s">
        <v>87</v>
      </c>
      <c r="AW159" s="141" t="s">
        <v>33</v>
      </c>
      <c r="AX159" s="141" t="s">
        <v>80</v>
      </c>
      <c r="AY159" s="144" t="s">
        <v>337</v>
      </c>
    </row>
    <row r="160" spans="2:65" s="148" customFormat="1" x14ac:dyDescent="0.2">
      <c r="B160" s="149"/>
      <c r="D160" s="143" t="s">
        <v>346</v>
      </c>
      <c r="E160" s="150"/>
      <c r="F160" s="151" t="s">
        <v>3850</v>
      </c>
      <c r="H160" s="152">
        <v>3.5</v>
      </c>
      <c r="L160" s="149"/>
      <c r="M160" s="153"/>
      <c r="T160" s="154"/>
      <c r="AT160" s="150" t="s">
        <v>346</v>
      </c>
      <c r="AU160" s="150" t="s">
        <v>90</v>
      </c>
      <c r="AV160" s="148" t="s">
        <v>90</v>
      </c>
      <c r="AW160" s="148" t="s">
        <v>33</v>
      </c>
      <c r="AX160" s="148" t="s">
        <v>80</v>
      </c>
      <c r="AY160" s="150" t="s">
        <v>337</v>
      </c>
    </row>
    <row r="161" spans="2:65" s="155" customFormat="1" x14ac:dyDescent="0.2">
      <c r="B161" s="156"/>
      <c r="D161" s="143" t="s">
        <v>346</v>
      </c>
      <c r="E161" s="157"/>
      <c r="F161" s="158" t="s">
        <v>351</v>
      </c>
      <c r="H161" s="159">
        <v>23.2</v>
      </c>
      <c r="L161" s="156"/>
      <c r="M161" s="160"/>
      <c r="T161" s="161"/>
      <c r="AT161" s="157" t="s">
        <v>346</v>
      </c>
      <c r="AU161" s="157" t="s">
        <v>90</v>
      </c>
      <c r="AV161" s="155" t="s">
        <v>344</v>
      </c>
      <c r="AW161" s="155" t="s">
        <v>33</v>
      </c>
      <c r="AX161" s="155" t="s">
        <v>87</v>
      </c>
      <c r="AY161" s="157" t="s">
        <v>337</v>
      </c>
    </row>
    <row r="162" spans="2:65" s="16" customFormat="1" ht="16.5" customHeight="1" x14ac:dyDescent="0.2">
      <c r="B162" s="17"/>
      <c r="C162" s="128">
        <v>7</v>
      </c>
      <c r="D162" s="128" t="s">
        <v>339</v>
      </c>
      <c r="E162" s="129" t="s">
        <v>5218</v>
      </c>
      <c r="F162" s="130" t="s">
        <v>5219</v>
      </c>
      <c r="G162" s="131" t="s">
        <v>342</v>
      </c>
      <c r="H162" s="132">
        <v>0.5</v>
      </c>
      <c r="I162" s="133"/>
      <c r="J162" s="134">
        <f>ROUND(I162*H162,2)</f>
        <v>0</v>
      </c>
      <c r="K162" s="130" t="s">
        <v>343</v>
      </c>
      <c r="L162" s="17"/>
      <c r="M162" s="135"/>
      <c r="N162" s="136" t="s">
        <v>45</v>
      </c>
      <c r="P162" s="137">
        <f>O162*H162</f>
        <v>0</v>
      </c>
      <c r="Q162" s="137">
        <v>0</v>
      </c>
      <c r="R162" s="137">
        <f>Q162*H162</f>
        <v>0</v>
      </c>
      <c r="S162" s="137">
        <v>2</v>
      </c>
      <c r="T162" s="138">
        <f>S162*H162</f>
        <v>1</v>
      </c>
      <c r="AR162" s="139" t="s">
        <v>344</v>
      </c>
      <c r="AT162" s="139" t="s">
        <v>339</v>
      </c>
      <c r="AU162" s="139" t="s">
        <v>90</v>
      </c>
      <c r="AY162" s="2" t="s">
        <v>337</v>
      </c>
      <c r="BE162" s="140">
        <f>IF(N162="základní",J162,0)</f>
        <v>0</v>
      </c>
      <c r="BF162" s="140">
        <f>IF(N162="snížená",J162,0)</f>
        <v>0</v>
      </c>
      <c r="BG162" s="140">
        <f>IF(N162="zákl. přenesená",J162,0)</f>
        <v>0</v>
      </c>
      <c r="BH162" s="140">
        <f>IF(N162="sníž. přenesená",J162,0)</f>
        <v>0</v>
      </c>
      <c r="BI162" s="140">
        <f>IF(N162="nulová",J162,0)</f>
        <v>0</v>
      </c>
      <c r="BJ162" s="2" t="s">
        <v>87</v>
      </c>
      <c r="BK162" s="140">
        <f>ROUND(I162*H162,2)</f>
        <v>0</v>
      </c>
      <c r="BL162" s="2" t="s">
        <v>344</v>
      </c>
      <c r="BM162" s="139" t="s">
        <v>5220</v>
      </c>
    </row>
    <row r="163" spans="2:65" s="141" customFormat="1" x14ac:dyDescent="0.2">
      <c r="B163" s="142"/>
      <c r="D163" s="143" t="s">
        <v>346</v>
      </c>
      <c r="E163" s="144"/>
      <c r="F163" s="145" t="s">
        <v>5221</v>
      </c>
      <c r="H163" s="144"/>
      <c r="L163" s="142"/>
      <c r="M163" s="146"/>
      <c r="T163" s="147"/>
      <c r="AT163" s="144" t="s">
        <v>346</v>
      </c>
      <c r="AU163" s="144" t="s">
        <v>90</v>
      </c>
      <c r="AV163" s="141" t="s">
        <v>87</v>
      </c>
      <c r="AW163" s="141" t="s">
        <v>33</v>
      </c>
      <c r="AX163" s="141" t="s">
        <v>80</v>
      </c>
      <c r="AY163" s="144" t="s">
        <v>337</v>
      </c>
    </row>
    <row r="164" spans="2:65" s="148" customFormat="1" x14ac:dyDescent="0.2">
      <c r="B164" s="149"/>
      <c r="D164" s="143" t="s">
        <v>346</v>
      </c>
      <c r="E164" s="150"/>
      <c r="F164" s="151" t="s">
        <v>4904</v>
      </c>
      <c r="H164" s="152">
        <v>0.5</v>
      </c>
      <c r="L164" s="149"/>
      <c r="M164" s="153"/>
      <c r="T164" s="154"/>
      <c r="AT164" s="150" t="s">
        <v>346</v>
      </c>
      <c r="AU164" s="150" t="s">
        <v>90</v>
      </c>
      <c r="AV164" s="148" t="s">
        <v>90</v>
      </c>
      <c r="AW164" s="148" t="s">
        <v>33</v>
      </c>
      <c r="AX164" s="148" t="s">
        <v>87</v>
      </c>
      <c r="AY164" s="150" t="s">
        <v>337</v>
      </c>
    </row>
    <row r="165" spans="2:65" s="16" customFormat="1" ht="16.5" customHeight="1" x14ac:dyDescent="0.2">
      <c r="B165" s="17"/>
      <c r="C165" s="128">
        <v>8</v>
      </c>
      <c r="D165" s="128" t="s">
        <v>339</v>
      </c>
      <c r="E165" s="129" t="s">
        <v>5222</v>
      </c>
      <c r="F165" s="130" t="s">
        <v>5223</v>
      </c>
      <c r="G165" s="131" t="s">
        <v>425</v>
      </c>
      <c r="H165" s="132">
        <v>1032.078</v>
      </c>
      <c r="I165" s="133"/>
      <c r="J165" s="134">
        <f>ROUND(I165*H165,2)</f>
        <v>0</v>
      </c>
      <c r="K165" s="130" t="s">
        <v>343</v>
      </c>
      <c r="L165" s="17"/>
      <c r="M165" s="135"/>
      <c r="N165" s="136" t="s">
        <v>45</v>
      </c>
      <c r="P165" s="137">
        <f>O165*H165</f>
        <v>0</v>
      </c>
      <c r="Q165" s="137">
        <v>0</v>
      </c>
      <c r="R165" s="137">
        <f>Q165*H165</f>
        <v>0</v>
      </c>
      <c r="S165" s="137">
        <v>0.18099999999999999</v>
      </c>
      <c r="T165" s="138">
        <f>S165*H165</f>
        <v>186.806118</v>
      </c>
      <c r="AR165" s="139" t="s">
        <v>344</v>
      </c>
      <c r="AT165" s="139" t="s">
        <v>339</v>
      </c>
      <c r="AU165" s="139" t="s">
        <v>90</v>
      </c>
      <c r="AY165" s="2" t="s">
        <v>337</v>
      </c>
      <c r="BE165" s="140">
        <f>IF(N165="základní",J165,0)</f>
        <v>0</v>
      </c>
      <c r="BF165" s="140">
        <f>IF(N165="snížená",J165,0)</f>
        <v>0</v>
      </c>
      <c r="BG165" s="140">
        <f>IF(N165="zákl. přenesená",J165,0)</f>
        <v>0</v>
      </c>
      <c r="BH165" s="140">
        <f>IF(N165="sníž. přenesená",J165,0)</f>
        <v>0</v>
      </c>
      <c r="BI165" s="140">
        <f>IF(N165="nulová",J165,0)</f>
        <v>0</v>
      </c>
      <c r="BJ165" s="2" t="s">
        <v>87</v>
      </c>
      <c r="BK165" s="140">
        <f>ROUND(I165*H165,2)</f>
        <v>0</v>
      </c>
      <c r="BL165" s="2" t="s">
        <v>344</v>
      </c>
      <c r="BM165" s="139" t="s">
        <v>5224</v>
      </c>
    </row>
    <row r="166" spans="2:65" s="141" customFormat="1" x14ac:dyDescent="0.2">
      <c r="B166" s="142"/>
      <c r="D166" s="143" t="s">
        <v>346</v>
      </c>
      <c r="E166" s="144"/>
      <c r="F166" s="145" t="s">
        <v>357</v>
      </c>
      <c r="H166" s="144"/>
      <c r="L166" s="142"/>
      <c r="M166" s="146"/>
      <c r="T166" s="147"/>
      <c r="AT166" s="144" t="s">
        <v>346</v>
      </c>
      <c r="AU166" s="144" t="s">
        <v>90</v>
      </c>
      <c r="AV166" s="141" t="s">
        <v>87</v>
      </c>
      <c r="AW166" s="141" t="s">
        <v>33</v>
      </c>
      <c r="AX166" s="141" t="s">
        <v>80</v>
      </c>
      <c r="AY166" s="144" t="s">
        <v>337</v>
      </c>
    </row>
    <row r="167" spans="2:65" s="148" customFormat="1" x14ac:dyDescent="0.2">
      <c r="B167" s="149"/>
      <c r="D167" s="143" t="s">
        <v>346</v>
      </c>
      <c r="E167" s="150"/>
      <c r="F167" s="151" t="s">
        <v>5225</v>
      </c>
      <c r="H167" s="152">
        <v>14.448</v>
      </c>
      <c r="L167" s="149"/>
      <c r="M167" s="153"/>
      <c r="T167" s="154"/>
      <c r="AT167" s="150" t="s">
        <v>346</v>
      </c>
      <c r="AU167" s="150" t="s">
        <v>90</v>
      </c>
      <c r="AV167" s="148" t="s">
        <v>90</v>
      </c>
      <c r="AW167" s="148" t="s">
        <v>33</v>
      </c>
      <c r="AX167" s="148" t="s">
        <v>80</v>
      </c>
      <c r="AY167" s="150" t="s">
        <v>337</v>
      </c>
    </row>
    <row r="168" spans="2:65" s="141" customFormat="1" x14ac:dyDescent="0.2">
      <c r="B168" s="142"/>
      <c r="D168" s="143" t="s">
        <v>346</v>
      </c>
      <c r="E168" s="144"/>
      <c r="F168" s="145" t="s">
        <v>362</v>
      </c>
      <c r="H168" s="144"/>
      <c r="L168" s="142"/>
      <c r="M168" s="146"/>
      <c r="T168" s="147"/>
      <c r="AT168" s="144" t="s">
        <v>346</v>
      </c>
      <c r="AU168" s="144" t="s">
        <v>90</v>
      </c>
      <c r="AV168" s="141" t="s">
        <v>87</v>
      </c>
      <c r="AW168" s="141" t="s">
        <v>33</v>
      </c>
      <c r="AX168" s="141" t="s">
        <v>80</v>
      </c>
      <c r="AY168" s="144" t="s">
        <v>337</v>
      </c>
    </row>
    <row r="169" spans="2:65" s="148" customFormat="1" x14ac:dyDescent="0.2">
      <c r="B169" s="149"/>
      <c r="D169" s="143" t="s">
        <v>346</v>
      </c>
      <c r="E169" s="150"/>
      <c r="F169" s="151" t="s">
        <v>5226</v>
      </c>
      <c r="H169" s="152">
        <v>28.67</v>
      </c>
      <c r="L169" s="149"/>
      <c r="M169" s="153"/>
      <c r="T169" s="154"/>
      <c r="AT169" s="150" t="s">
        <v>346</v>
      </c>
      <c r="AU169" s="150" t="s">
        <v>90</v>
      </c>
      <c r="AV169" s="148" t="s">
        <v>90</v>
      </c>
      <c r="AW169" s="148" t="s">
        <v>33</v>
      </c>
      <c r="AX169" s="148" t="s">
        <v>80</v>
      </c>
      <c r="AY169" s="150" t="s">
        <v>337</v>
      </c>
    </row>
    <row r="170" spans="2:65" s="148" customFormat="1" x14ac:dyDescent="0.2">
      <c r="B170" s="149"/>
      <c r="D170" s="143" t="s">
        <v>346</v>
      </c>
      <c r="E170" s="150"/>
      <c r="F170" s="151" t="s">
        <v>5227</v>
      </c>
      <c r="H170" s="152">
        <v>4.423</v>
      </c>
      <c r="L170" s="149"/>
      <c r="M170" s="153"/>
      <c r="T170" s="154"/>
      <c r="AT170" s="150" t="s">
        <v>346</v>
      </c>
      <c r="AU170" s="150" t="s">
        <v>90</v>
      </c>
      <c r="AV170" s="148" t="s">
        <v>90</v>
      </c>
      <c r="AW170" s="148" t="s">
        <v>33</v>
      </c>
      <c r="AX170" s="148" t="s">
        <v>80</v>
      </c>
      <c r="AY170" s="150" t="s">
        <v>337</v>
      </c>
    </row>
    <row r="171" spans="2:65" s="148" customFormat="1" x14ac:dyDescent="0.2">
      <c r="B171" s="149"/>
      <c r="D171" s="143" t="s">
        <v>346</v>
      </c>
      <c r="E171" s="150"/>
      <c r="F171" s="151" t="s">
        <v>5228</v>
      </c>
      <c r="H171" s="152">
        <v>29.204000000000001</v>
      </c>
      <c r="L171" s="149"/>
      <c r="M171" s="153"/>
      <c r="T171" s="154"/>
      <c r="AT171" s="150" t="s">
        <v>346</v>
      </c>
      <c r="AU171" s="150" t="s">
        <v>90</v>
      </c>
      <c r="AV171" s="148" t="s">
        <v>90</v>
      </c>
      <c r="AW171" s="148" t="s">
        <v>33</v>
      </c>
      <c r="AX171" s="148" t="s">
        <v>80</v>
      </c>
      <c r="AY171" s="150" t="s">
        <v>337</v>
      </c>
    </row>
    <row r="172" spans="2:65" s="148" customFormat="1" x14ac:dyDescent="0.2">
      <c r="B172" s="149"/>
      <c r="D172" s="143" t="s">
        <v>346</v>
      </c>
      <c r="E172" s="150"/>
      <c r="F172" s="151" t="s">
        <v>5229</v>
      </c>
      <c r="H172" s="152">
        <v>0.45800000000000002</v>
      </c>
      <c r="L172" s="149"/>
      <c r="M172" s="153"/>
      <c r="T172" s="154"/>
      <c r="AT172" s="150" t="s">
        <v>346</v>
      </c>
      <c r="AU172" s="150" t="s">
        <v>90</v>
      </c>
      <c r="AV172" s="148" t="s">
        <v>90</v>
      </c>
      <c r="AW172" s="148" t="s">
        <v>33</v>
      </c>
      <c r="AX172" s="148" t="s">
        <v>80</v>
      </c>
      <c r="AY172" s="150" t="s">
        <v>337</v>
      </c>
    </row>
    <row r="173" spans="2:65" s="148" customFormat="1" x14ac:dyDescent="0.2">
      <c r="B173" s="149"/>
      <c r="D173" s="143" t="s">
        <v>346</v>
      </c>
      <c r="E173" s="150"/>
      <c r="F173" s="151" t="s">
        <v>5230</v>
      </c>
      <c r="H173" s="152">
        <v>1.83</v>
      </c>
      <c r="L173" s="149"/>
      <c r="M173" s="153"/>
      <c r="T173" s="154"/>
      <c r="AT173" s="150" t="s">
        <v>346</v>
      </c>
      <c r="AU173" s="150" t="s">
        <v>90</v>
      </c>
      <c r="AV173" s="148" t="s">
        <v>90</v>
      </c>
      <c r="AW173" s="148" t="s">
        <v>33</v>
      </c>
      <c r="AX173" s="148" t="s">
        <v>80</v>
      </c>
      <c r="AY173" s="150" t="s">
        <v>337</v>
      </c>
    </row>
    <row r="174" spans="2:65" s="148" customFormat="1" x14ac:dyDescent="0.2">
      <c r="B174" s="149"/>
      <c r="D174" s="143" t="s">
        <v>346</v>
      </c>
      <c r="E174" s="150"/>
      <c r="F174" s="151" t="s">
        <v>5229</v>
      </c>
      <c r="H174" s="152">
        <v>0.45800000000000002</v>
      </c>
      <c r="L174" s="149"/>
      <c r="M174" s="153"/>
      <c r="T174" s="154"/>
      <c r="AT174" s="150" t="s">
        <v>346</v>
      </c>
      <c r="AU174" s="150" t="s">
        <v>90</v>
      </c>
      <c r="AV174" s="148" t="s">
        <v>90</v>
      </c>
      <c r="AW174" s="148" t="s">
        <v>33</v>
      </c>
      <c r="AX174" s="148" t="s">
        <v>80</v>
      </c>
      <c r="AY174" s="150" t="s">
        <v>337</v>
      </c>
    </row>
    <row r="175" spans="2:65" s="148" customFormat="1" x14ac:dyDescent="0.2">
      <c r="B175" s="149"/>
      <c r="D175" s="143" t="s">
        <v>346</v>
      </c>
      <c r="E175" s="150"/>
      <c r="F175" s="151" t="s">
        <v>5231</v>
      </c>
      <c r="H175" s="152">
        <v>1.22</v>
      </c>
      <c r="L175" s="149"/>
      <c r="M175" s="153"/>
      <c r="T175" s="154"/>
      <c r="AT175" s="150" t="s">
        <v>346</v>
      </c>
      <c r="AU175" s="150" t="s">
        <v>90</v>
      </c>
      <c r="AV175" s="148" t="s">
        <v>90</v>
      </c>
      <c r="AW175" s="148" t="s">
        <v>33</v>
      </c>
      <c r="AX175" s="148" t="s">
        <v>80</v>
      </c>
      <c r="AY175" s="150" t="s">
        <v>337</v>
      </c>
    </row>
    <row r="176" spans="2:65" s="148" customFormat="1" x14ac:dyDescent="0.2">
      <c r="B176" s="149"/>
      <c r="D176" s="143" t="s">
        <v>346</v>
      </c>
      <c r="E176" s="150"/>
      <c r="F176" s="151" t="s">
        <v>5231</v>
      </c>
      <c r="H176" s="152">
        <v>1.22</v>
      </c>
      <c r="L176" s="149"/>
      <c r="M176" s="153"/>
      <c r="T176" s="154"/>
      <c r="AT176" s="150" t="s">
        <v>346</v>
      </c>
      <c r="AU176" s="150" t="s">
        <v>90</v>
      </c>
      <c r="AV176" s="148" t="s">
        <v>90</v>
      </c>
      <c r="AW176" s="148" t="s">
        <v>33</v>
      </c>
      <c r="AX176" s="148" t="s">
        <v>80</v>
      </c>
      <c r="AY176" s="150" t="s">
        <v>337</v>
      </c>
    </row>
    <row r="177" spans="2:51" s="148" customFormat="1" x14ac:dyDescent="0.2">
      <c r="B177" s="149"/>
      <c r="D177" s="143" t="s">
        <v>346</v>
      </c>
      <c r="E177" s="150"/>
      <c r="F177" s="151" t="s">
        <v>5231</v>
      </c>
      <c r="H177" s="152">
        <v>1.22</v>
      </c>
      <c r="L177" s="149"/>
      <c r="M177" s="153"/>
      <c r="T177" s="154"/>
      <c r="AT177" s="150" t="s">
        <v>346</v>
      </c>
      <c r="AU177" s="150" t="s">
        <v>90</v>
      </c>
      <c r="AV177" s="148" t="s">
        <v>90</v>
      </c>
      <c r="AW177" s="148" t="s">
        <v>33</v>
      </c>
      <c r="AX177" s="148" t="s">
        <v>80</v>
      </c>
      <c r="AY177" s="150" t="s">
        <v>337</v>
      </c>
    </row>
    <row r="178" spans="2:51" s="148" customFormat="1" x14ac:dyDescent="0.2">
      <c r="B178" s="149"/>
      <c r="D178" s="143" t="s">
        <v>346</v>
      </c>
      <c r="E178" s="150"/>
      <c r="F178" s="151" t="s">
        <v>5229</v>
      </c>
      <c r="H178" s="152">
        <v>0.45800000000000002</v>
      </c>
      <c r="L178" s="149"/>
      <c r="M178" s="153"/>
      <c r="T178" s="154"/>
      <c r="AT178" s="150" t="s">
        <v>346</v>
      </c>
      <c r="AU178" s="150" t="s">
        <v>90</v>
      </c>
      <c r="AV178" s="148" t="s">
        <v>90</v>
      </c>
      <c r="AW178" s="148" t="s">
        <v>33</v>
      </c>
      <c r="AX178" s="148" t="s">
        <v>80</v>
      </c>
      <c r="AY178" s="150" t="s">
        <v>337</v>
      </c>
    </row>
    <row r="179" spans="2:51" s="148" customFormat="1" x14ac:dyDescent="0.2">
      <c r="B179" s="149"/>
      <c r="D179" s="143" t="s">
        <v>346</v>
      </c>
      <c r="E179" s="150"/>
      <c r="F179" s="151" t="s">
        <v>5230</v>
      </c>
      <c r="H179" s="152">
        <v>1.83</v>
      </c>
      <c r="L179" s="149"/>
      <c r="M179" s="153"/>
      <c r="T179" s="154"/>
      <c r="AT179" s="150" t="s">
        <v>346</v>
      </c>
      <c r="AU179" s="150" t="s">
        <v>90</v>
      </c>
      <c r="AV179" s="148" t="s">
        <v>90</v>
      </c>
      <c r="AW179" s="148" t="s">
        <v>33</v>
      </c>
      <c r="AX179" s="148" t="s">
        <v>80</v>
      </c>
      <c r="AY179" s="150" t="s">
        <v>337</v>
      </c>
    </row>
    <row r="180" spans="2:51" s="148" customFormat="1" x14ac:dyDescent="0.2">
      <c r="B180" s="149"/>
      <c r="D180" s="143" t="s">
        <v>346</v>
      </c>
      <c r="E180" s="150"/>
      <c r="F180" s="151" t="s">
        <v>5227</v>
      </c>
      <c r="H180" s="152">
        <v>4.423</v>
      </c>
      <c r="L180" s="149"/>
      <c r="M180" s="153"/>
      <c r="T180" s="154"/>
      <c r="AT180" s="150" t="s">
        <v>346</v>
      </c>
      <c r="AU180" s="150" t="s">
        <v>90</v>
      </c>
      <c r="AV180" s="148" t="s">
        <v>90</v>
      </c>
      <c r="AW180" s="148" t="s">
        <v>33</v>
      </c>
      <c r="AX180" s="148" t="s">
        <v>80</v>
      </c>
      <c r="AY180" s="150" t="s">
        <v>337</v>
      </c>
    </row>
    <row r="181" spans="2:51" s="148" customFormat="1" x14ac:dyDescent="0.2">
      <c r="B181" s="149"/>
      <c r="D181" s="143" t="s">
        <v>346</v>
      </c>
      <c r="E181" s="150"/>
      <c r="F181" s="151" t="s">
        <v>5232</v>
      </c>
      <c r="H181" s="152">
        <v>0.91500000000000004</v>
      </c>
      <c r="L181" s="149"/>
      <c r="M181" s="153"/>
      <c r="T181" s="154"/>
      <c r="AT181" s="150" t="s">
        <v>346</v>
      </c>
      <c r="AU181" s="150" t="s">
        <v>90</v>
      </c>
      <c r="AV181" s="148" t="s">
        <v>90</v>
      </c>
      <c r="AW181" s="148" t="s">
        <v>33</v>
      </c>
      <c r="AX181" s="148" t="s">
        <v>80</v>
      </c>
      <c r="AY181" s="150" t="s">
        <v>337</v>
      </c>
    </row>
    <row r="182" spans="2:51" s="148" customFormat="1" x14ac:dyDescent="0.2">
      <c r="B182" s="149"/>
      <c r="D182" s="143" t="s">
        <v>346</v>
      </c>
      <c r="E182" s="150"/>
      <c r="F182" s="151" t="s">
        <v>5233</v>
      </c>
      <c r="H182" s="152">
        <v>65.117999999999995</v>
      </c>
      <c r="L182" s="149"/>
      <c r="M182" s="153"/>
      <c r="T182" s="154"/>
      <c r="AT182" s="150" t="s">
        <v>346</v>
      </c>
      <c r="AU182" s="150" t="s">
        <v>90</v>
      </c>
      <c r="AV182" s="148" t="s">
        <v>90</v>
      </c>
      <c r="AW182" s="148" t="s">
        <v>33</v>
      </c>
      <c r="AX182" s="148" t="s">
        <v>80</v>
      </c>
      <c r="AY182" s="150" t="s">
        <v>337</v>
      </c>
    </row>
    <row r="183" spans="2:51" s="148" customFormat="1" x14ac:dyDescent="0.2">
      <c r="B183" s="149"/>
      <c r="D183" s="143" t="s">
        <v>346</v>
      </c>
      <c r="E183" s="150"/>
      <c r="F183" s="151" t="s">
        <v>5234</v>
      </c>
      <c r="H183" s="152">
        <v>15.86</v>
      </c>
      <c r="L183" s="149"/>
      <c r="M183" s="153"/>
      <c r="T183" s="154"/>
      <c r="AT183" s="150" t="s">
        <v>346</v>
      </c>
      <c r="AU183" s="150" t="s">
        <v>90</v>
      </c>
      <c r="AV183" s="148" t="s">
        <v>90</v>
      </c>
      <c r="AW183" s="148" t="s">
        <v>33</v>
      </c>
      <c r="AX183" s="148" t="s">
        <v>80</v>
      </c>
      <c r="AY183" s="150" t="s">
        <v>337</v>
      </c>
    </row>
    <row r="184" spans="2:51" s="148" customFormat="1" x14ac:dyDescent="0.2">
      <c r="B184" s="149"/>
      <c r="D184" s="143" t="s">
        <v>346</v>
      </c>
      <c r="E184" s="150"/>
      <c r="F184" s="151" t="s">
        <v>5235</v>
      </c>
      <c r="H184" s="152">
        <v>0.82399999999999995</v>
      </c>
      <c r="L184" s="149"/>
      <c r="M184" s="153"/>
      <c r="T184" s="154"/>
      <c r="AT184" s="150" t="s">
        <v>346</v>
      </c>
      <c r="AU184" s="150" t="s">
        <v>90</v>
      </c>
      <c r="AV184" s="148" t="s">
        <v>90</v>
      </c>
      <c r="AW184" s="148" t="s">
        <v>33</v>
      </c>
      <c r="AX184" s="148" t="s">
        <v>80</v>
      </c>
      <c r="AY184" s="150" t="s">
        <v>337</v>
      </c>
    </row>
    <row r="185" spans="2:51" s="148" customFormat="1" x14ac:dyDescent="0.2">
      <c r="B185" s="149"/>
      <c r="D185" s="143" t="s">
        <v>346</v>
      </c>
      <c r="E185" s="150"/>
      <c r="F185" s="151" t="s">
        <v>5231</v>
      </c>
      <c r="H185" s="152">
        <v>1.22</v>
      </c>
      <c r="L185" s="149"/>
      <c r="M185" s="153"/>
      <c r="T185" s="154"/>
      <c r="AT185" s="150" t="s">
        <v>346</v>
      </c>
      <c r="AU185" s="150" t="s">
        <v>90</v>
      </c>
      <c r="AV185" s="148" t="s">
        <v>90</v>
      </c>
      <c r="AW185" s="148" t="s">
        <v>33</v>
      </c>
      <c r="AX185" s="148" t="s">
        <v>80</v>
      </c>
      <c r="AY185" s="150" t="s">
        <v>337</v>
      </c>
    </row>
    <row r="186" spans="2:51" s="148" customFormat="1" x14ac:dyDescent="0.2">
      <c r="B186" s="149"/>
      <c r="D186" s="143" t="s">
        <v>346</v>
      </c>
      <c r="E186" s="150"/>
      <c r="F186" s="151" t="s">
        <v>5236</v>
      </c>
      <c r="H186" s="152">
        <v>4.2699999999999996</v>
      </c>
      <c r="L186" s="149"/>
      <c r="M186" s="153"/>
      <c r="T186" s="154"/>
      <c r="AT186" s="150" t="s">
        <v>346</v>
      </c>
      <c r="AU186" s="150" t="s">
        <v>90</v>
      </c>
      <c r="AV186" s="148" t="s">
        <v>90</v>
      </c>
      <c r="AW186" s="148" t="s">
        <v>33</v>
      </c>
      <c r="AX186" s="148" t="s">
        <v>80</v>
      </c>
      <c r="AY186" s="150" t="s">
        <v>337</v>
      </c>
    </row>
    <row r="187" spans="2:51" s="148" customFormat="1" x14ac:dyDescent="0.2">
      <c r="B187" s="149"/>
      <c r="D187" s="143" t="s">
        <v>346</v>
      </c>
      <c r="E187" s="150"/>
      <c r="F187" s="151" t="s">
        <v>5237</v>
      </c>
      <c r="H187" s="152">
        <v>7.32</v>
      </c>
      <c r="L187" s="149"/>
      <c r="M187" s="153"/>
      <c r="T187" s="154"/>
      <c r="AT187" s="150" t="s">
        <v>346</v>
      </c>
      <c r="AU187" s="150" t="s">
        <v>90</v>
      </c>
      <c r="AV187" s="148" t="s">
        <v>90</v>
      </c>
      <c r="AW187" s="148" t="s">
        <v>33</v>
      </c>
      <c r="AX187" s="148" t="s">
        <v>80</v>
      </c>
      <c r="AY187" s="150" t="s">
        <v>337</v>
      </c>
    </row>
    <row r="188" spans="2:51" s="148" customFormat="1" x14ac:dyDescent="0.2">
      <c r="B188" s="149"/>
      <c r="D188" s="143" t="s">
        <v>346</v>
      </c>
      <c r="E188" s="150"/>
      <c r="F188" s="151" t="s">
        <v>5238</v>
      </c>
      <c r="H188" s="152">
        <v>10.37</v>
      </c>
      <c r="L188" s="149"/>
      <c r="M188" s="153"/>
      <c r="T188" s="154"/>
      <c r="AT188" s="150" t="s">
        <v>346</v>
      </c>
      <c r="AU188" s="150" t="s">
        <v>90</v>
      </c>
      <c r="AV188" s="148" t="s">
        <v>90</v>
      </c>
      <c r="AW188" s="148" t="s">
        <v>33</v>
      </c>
      <c r="AX188" s="148" t="s">
        <v>80</v>
      </c>
      <c r="AY188" s="150" t="s">
        <v>337</v>
      </c>
    </row>
    <row r="189" spans="2:51" s="148" customFormat="1" x14ac:dyDescent="0.2">
      <c r="B189" s="149"/>
      <c r="D189" s="143" t="s">
        <v>346</v>
      </c>
      <c r="E189" s="150"/>
      <c r="F189" s="151" t="s">
        <v>5239</v>
      </c>
      <c r="H189" s="152">
        <v>13.42</v>
      </c>
      <c r="L189" s="149"/>
      <c r="M189" s="153"/>
      <c r="T189" s="154"/>
      <c r="AT189" s="150" t="s">
        <v>346</v>
      </c>
      <c r="AU189" s="150" t="s">
        <v>90</v>
      </c>
      <c r="AV189" s="148" t="s">
        <v>90</v>
      </c>
      <c r="AW189" s="148" t="s">
        <v>33</v>
      </c>
      <c r="AX189" s="148" t="s">
        <v>80</v>
      </c>
      <c r="AY189" s="150" t="s">
        <v>337</v>
      </c>
    </row>
    <row r="190" spans="2:51" s="148" customFormat="1" x14ac:dyDescent="0.2">
      <c r="B190" s="149"/>
      <c r="D190" s="143" t="s">
        <v>346</v>
      </c>
      <c r="E190" s="150"/>
      <c r="F190" s="151" t="s">
        <v>5240</v>
      </c>
      <c r="H190" s="152">
        <v>16.47</v>
      </c>
      <c r="L190" s="149"/>
      <c r="M190" s="153"/>
      <c r="T190" s="154"/>
      <c r="AT190" s="150" t="s">
        <v>346</v>
      </c>
      <c r="AU190" s="150" t="s">
        <v>90</v>
      </c>
      <c r="AV190" s="148" t="s">
        <v>90</v>
      </c>
      <c r="AW190" s="148" t="s">
        <v>33</v>
      </c>
      <c r="AX190" s="148" t="s">
        <v>80</v>
      </c>
      <c r="AY190" s="150" t="s">
        <v>337</v>
      </c>
    </row>
    <row r="191" spans="2:51" s="148" customFormat="1" x14ac:dyDescent="0.2">
      <c r="B191" s="149"/>
      <c r="D191" s="143" t="s">
        <v>346</v>
      </c>
      <c r="E191" s="150"/>
      <c r="F191" s="151" t="s">
        <v>5241</v>
      </c>
      <c r="H191" s="152">
        <v>19.52</v>
      </c>
      <c r="L191" s="149"/>
      <c r="M191" s="153"/>
      <c r="T191" s="154"/>
      <c r="AT191" s="150" t="s">
        <v>346</v>
      </c>
      <c r="AU191" s="150" t="s">
        <v>90</v>
      </c>
      <c r="AV191" s="148" t="s">
        <v>90</v>
      </c>
      <c r="AW191" s="148" t="s">
        <v>33</v>
      </c>
      <c r="AX191" s="148" t="s">
        <v>80</v>
      </c>
      <c r="AY191" s="150" t="s">
        <v>337</v>
      </c>
    </row>
    <row r="192" spans="2:51" s="148" customFormat="1" x14ac:dyDescent="0.2">
      <c r="B192" s="149"/>
      <c r="D192" s="143" t="s">
        <v>346</v>
      </c>
      <c r="E192" s="150"/>
      <c r="F192" s="151" t="s">
        <v>5242</v>
      </c>
      <c r="H192" s="152">
        <v>22.57</v>
      </c>
      <c r="L192" s="149"/>
      <c r="M192" s="153"/>
      <c r="T192" s="154"/>
      <c r="AT192" s="150" t="s">
        <v>346</v>
      </c>
      <c r="AU192" s="150" t="s">
        <v>90</v>
      </c>
      <c r="AV192" s="148" t="s">
        <v>90</v>
      </c>
      <c r="AW192" s="148" t="s">
        <v>33</v>
      </c>
      <c r="AX192" s="148" t="s">
        <v>80</v>
      </c>
      <c r="AY192" s="150" t="s">
        <v>337</v>
      </c>
    </row>
    <row r="193" spans="2:51" s="148" customFormat="1" x14ac:dyDescent="0.2">
      <c r="B193" s="149"/>
      <c r="D193" s="143" t="s">
        <v>346</v>
      </c>
      <c r="E193" s="150"/>
      <c r="F193" s="151" t="s">
        <v>5243</v>
      </c>
      <c r="H193" s="152">
        <v>25.62</v>
      </c>
      <c r="L193" s="149"/>
      <c r="M193" s="153"/>
      <c r="T193" s="154"/>
      <c r="AT193" s="150" t="s">
        <v>346</v>
      </c>
      <c r="AU193" s="150" t="s">
        <v>90</v>
      </c>
      <c r="AV193" s="148" t="s">
        <v>90</v>
      </c>
      <c r="AW193" s="148" t="s">
        <v>33</v>
      </c>
      <c r="AX193" s="148" t="s">
        <v>80</v>
      </c>
      <c r="AY193" s="150" t="s">
        <v>337</v>
      </c>
    </row>
    <row r="194" spans="2:51" s="148" customFormat="1" x14ac:dyDescent="0.2">
      <c r="B194" s="149"/>
      <c r="D194" s="143" t="s">
        <v>346</v>
      </c>
      <c r="E194" s="150"/>
      <c r="F194" s="151" t="s">
        <v>5226</v>
      </c>
      <c r="H194" s="152">
        <v>28.67</v>
      </c>
      <c r="L194" s="149"/>
      <c r="M194" s="153"/>
      <c r="T194" s="154"/>
      <c r="AT194" s="150" t="s">
        <v>346</v>
      </c>
      <c r="AU194" s="150" t="s">
        <v>90</v>
      </c>
      <c r="AV194" s="148" t="s">
        <v>90</v>
      </c>
      <c r="AW194" s="148" t="s">
        <v>33</v>
      </c>
      <c r="AX194" s="148" t="s">
        <v>80</v>
      </c>
      <c r="AY194" s="150" t="s">
        <v>337</v>
      </c>
    </row>
    <row r="195" spans="2:51" s="148" customFormat="1" x14ac:dyDescent="0.2">
      <c r="B195" s="149"/>
      <c r="D195" s="143" t="s">
        <v>346</v>
      </c>
      <c r="E195" s="150"/>
      <c r="F195" s="151" t="s">
        <v>5244</v>
      </c>
      <c r="H195" s="152">
        <v>31.72</v>
      </c>
      <c r="L195" s="149"/>
      <c r="M195" s="153"/>
      <c r="T195" s="154"/>
      <c r="AT195" s="150" t="s">
        <v>346</v>
      </c>
      <c r="AU195" s="150" t="s">
        <v>90</v>
      </c>
      <c r="AV195" s="148" t="s">
        <v>90</v>
      </c>
      <c r="AW195" s="148" t="s">
        <v>33</v>
      </c>
      <c r="AX195" s="148" t="s">
        <v>80</v>
      </c>
      <c r="AY195" s="150" t="s">
        <v>337</v>
      </c>
    </row>
    <row r="196" spans="2:51" s="148" customFormat="1" x14ac:dyDescent="0.2">
      <c r="B196" s="149"/>
      <c r="D196" s="143" t="s">
        <v>346</v>
      </c>
      <c r="E196" s="150"/>
      <c r="F196" s="151" t="s">
        <v>5245</v>
      </c>
      <c r="H196" s="152">
        <v>34.770000000000003</v>
      </c>
      <c r="L196" s="149"/>
      <c r="M196" s="153"/>
      <c r="T196" s="154"/>
      <c r="AT196" s="150" t="s">
        <v>346</v>
      </c>
      <c r="AU196" s="150" t="s">
        <v>90</v>
      </c>
      <c r="AV196" s="148" t="s">
        <v>90</v>
      </c>
      <c r="AW196" s="148" t="s">
        <v>33</v>
      </c>
      <c r="AX196" s="148" t="s">
        <v>80</v>
      </c>
      <c r="AY196" s="150" t="s">
        <v>337</v>
      </c>
    </row>
    <row r="197" spans="2:51" s="148" customFormat="1" x14ac:dyDescent="0.2">
      <c r="B197" s="149"/>
      <c r="D197" s="143" t="s">
        <v>346</v>
      </c>
      <c r="E197" s="150"/>
      <c r="F197" s="151" t="s">
        <v>5246</v>
      </c>
      <c r="H197" s="152">
        <v>37.82</v>
      </c>
      <c r="L197" s="149"/>
      <c r="M197" s="153"/>
      <c r="T197" s="154"/>
      <c r="AT197" s="150" t="s">
        <v>346</v>
      </c>
      <c r="AU197" s="150" t="s">
        <v>90</v>
      </c>
      <c r="AV197" s="148" t="s">
        <v>90</v>
      </c>
      <c r="AW197" s="148" t="s">
        <v>33</v>
      </c>
      <c r="AX197" s="148" t="s">
        <v>80</v>
      </c>
      <c r="AY197" s="150" t="s">
        <v>337</v>
      </c>
    </row>
    <row r="198" spans="2:51" s="141" customFormat="1" x14ac:dyDescent="0.2">
      <c r="B198" s="142"/>
      <c r="D198" s="143" t="s">
        <v>346</v>
      </c>
      <c r="E198" s="144"/>
      <c r="F198" s="145" t="s">
        <v>367</v>
      </c>
      <c r="H198" s="144"/>
      <c r="L198" s="142"/>
      <c r="M198" s="146"/>
      <c r="T198" s="147"/>
      <c r="AT198" s="144" t="s">
        <v>346</v>
      </c>
      <c r="AU198" s="144" t="s">
        <v>90</v>
      </c>
      <c r="AV198" s="141" t="s">
        <v>87</v>
      </c>
      <c r="AW198" s="141" t="s">
        <v>33</v>
      </c>
      <c r="AX198" s="141" t="s">
        <v>80</v>
      </c>
      <c r="AY198" s="144" t="s">
        <v>337</v>
      </c>
    </row>
    <row r="199" spans="2:51" s="148" customFormat="1" x14ac:dyDescent="0.2">
      <c r="B199" s="149"/>
      <c r="D199" s="143" t="s">
        <v>346</v>
      </c>
      <c r="E199" s="150"/>
      <c r="F199" s="151" t="s">
        <v>5226</v>
      </c>
      <c r="H199" s="152">
        <v>28.67</v>
      </c>
      <c r="L199" s="149"/>
      <c r="M199" s="153"/>
      <c r="T199" s="154"/>
      <c r="AT199" s="150" t="s">
        <v>346</v>
      </c>
      <c r="AU199" s="150" t="s">
        <v>90</v>
      </c>
      <c r="AV199" s="148" t="s">
        <v>90</v>
      </c>
      <c r="AW199" s="148" t="s">
        <v>33</v>
      </c>
      <c r="AX199" s="148" t="s">
        <v>80</v>
      </c>
      <c r="AY199" s="150" t="s">
        <v>337</v>
      </c>
    </row>
    <row r="200" spans="2:51" s="148" customFormat="1" x14ac:dyDescent="0.2">
      <c r="B200" s="149"/>
      <c r="D200" s="143" t="s">
        <v>346</v>
      </c>
      <c r="E200" s="150"/>
      <c r="F200" s="151" t="s">
        <v>5247</v>
      </c>
      <c r="H200" s="152">
        <v>28.823</v>
      </c>
      <c r="L200" s="149"/>
      <c r="M200" s="153"/>
      <c r="T200" s="154"/>
      <c r="AT200" s="150" t="s">
        <v>346</v>
      </c>
      <c r="AU200" s="150" t="s">
        <v>90</v>
      </c>
      <c r="AV200" s="148" t="s">
        <v>90</v>
      </c>
      <c r="AW200" s="148" t="s">
        <v>33</v>
      </c>
      <c r="AX200" s="148" t="s">
        <v>80</v>
      </c>
      <c r="AY200" s="150" t="s">
        <v>337</v>
      </c>
    </row>
    <row r="201" spans="2:51" s="148" customFormat="1" x14ac:dyDescent="0.2">
      <c r="B201" s="149"/>
      <c r="D201" s="143" t="s">
        <v>346</v>
      </c>
      <c r="E201" s="150"/>
      <c r="F201" s="151" t="s">
        <v>5248</v>
      </c>
      <c r="H201" s="152">
        <v>5.7949999999999999</v>
      </c>
      <c r="L201" s="149"/>
      <c r="M201" s="153"/>
      <c r="T201" s="154"/>
      <c r="AT201" s="150" t="s">
        <v>346</v>
      </c>
      <c r="AU201" s="150" t="s">
        <v>90</v>
      </c>
      <c r="AV201" s="148" t="s">
        <v>90</v>
      </c>
      <c r="AW201" s="148" t="s">
        <v>33</v>
      </c>
      <c r="AX201" s="148" t="s">
        <v>80</v>
      </c>
      <c r="AY201" s="150" t="s">
        <v>337</v>
      </c>
    </row>
    <row r="202" spans="2:51" s="148" customFormat="1" x14ac:dyDescent="0.2">
      <c r="B202" s="149"/>
      <c r="D202" s="143" t="s">
        <v>346</v>
      </c>
      <c r="E202" s="150"/>
      <c r="F202" s="151" t="s">
        <v>5248</v>
      </c>
      <c r="H202" s="152">
        <v>5.7949999999999999</v>
      </c>
      <c r="L202" s="149"/>
      <c r="M202" s="153"/>
      <c r="T202" s="154"/>
      <c r="AT202" s="150" t="s">
        <v>346</v>
      </c>
      <c r="AU202" s="150" t="s">
        <v>90</v>
      </c>
      <c r="AV202" s="148" t="s">
        <v>90</v>
      </c>
      <c r="AW202" s="148" t="s">
        <v>33</v>
      </c>
      <c r="AX202" s="148" t="s">
        <v>80</v>
      </c>
      <c r="AY202" s="150" t="s">
        <v>337</v>
      </c>
    </row>
    <row r="203" spans="2:51" s="148" customFormat="1" x14ac:dyDescent="0.2">
      <c r="B203" s="149"/>
      <c r="D203" s="143" t="s">
        <v>346</v>
      </c>
      <c r="E203" s="150"/>
      <c r="F203" s="151" t="s">
        <v>5249</v>
      </c>
      <c r="H203" s="152">
        <v>82.539000000000001</v>
      </c>
      <c r="L203" s="149"/>
      <c r="M203" s="153"/>
      <c r="T203" s="154"/>
      <c r="AT203" s="150" t="s">
        <v>346</v>
      </c>
      <c r="AU203" s="150" t="s">
        <v>90</v>
      </c>
      <c r="AV203" s="148" t="s">
        <v>90</v>
      </c>
      <c r="AW203" s="148" t="s">
        <v>33</v>
      </c>
      <c r="AX203" s="148" t="s">
        <v>80</v>
      </c>
      <c r="AY203" s="150" t="s">
        <v>337</v>
      </c>
    </row>
    <row r="204" spans="2:51" s="148" customFormat="1" x14ac:dyDescent="0.2">
      <c r="B204" s="149"/>
      <c r="D204" s="143" t="s">
        <v>346</v>
      </c>
      <c r="E204" s="150"/>
      <c r="F204" s="151" t="s">
        <v>1420</v>
      </c>
      <c r="H204" s="152">
        <v>8.1590000000000007</v>
      </c>
      <c r="L204" s="149"/>
      <c r="M204" s="153"/>
      <c r="T204" s="154"/>
      <c r="AT204" s="150" t="s">
        <v>346</v>
      </c>
      <c r="AU204" s="150" t="s">
        <v>90</v>
      </c>
      <c r="AV204" s="148" t="s">
        <v>90</v>
      </c>
      <c r="AW204" s="148" t="s">
        <v>33</v>
      </c>
      <c r="AX204" s="148" t="s">
        <v>80</v>
      </c>
      <c r="AY204" s="150" t="s">
        <v>337</v>
      </c>
    </row>
    <row r="205" spans="2:51" s="148" customFormat="1" x14ac:dyDescent="0.2">
      <c r="B205" s="149"/>
      <c r="D205" s="143" t="s">
        <v>346</v>
      </c>
      <c r="E205" s="150"/>
      <c r="F205" s="151" t="s">
        <v>5250</v>
      </c>
      <c r="H205" s="152">
        <v>10.294</v>
      </c>
      <c r="L205" s="149"/>
      <c r="M205" s="153"/>
      <c r="T205" s="154"/>
      <c r="AT205" s="150" t="s">
        <v>346</v>
      </c>
      <c r="AU205" s="150" t="s">
        <v>90</v>
      </c>
      <c r="AV205" s="148" t="s">
        <v>90</v>
      </c>
      <c r="AW205" s="148" t="s">
        <v>33</v>
      </c>
      <c r="AX205" s="148" t="s">
        <v>80</v>
      </c>
      <c r="AY205" s="150" t="s">
        <v>337</v>
      </c>
    </row>
    <row r="206" spans="2:51" s="148" customFormat="1" x14ac:dyDescent="0.2">
      <c r="B206" s="149"/>
      <c r="D206" s="143" t="s">
        <v>346</v>
      </c>
      <c r="E206" s="150"/>
      <c r="F206" s="151" t="s">
        <v>5251</v>
      </c>
      <c r="H206" s="152">
        <v>10.675000000000001</v>
      </c>
      <c r="L206" s="149"/>
      <c r="M206" s="153"/>
      <c r="T206" s="154"/>
      <c r="AT206" s="150" t="s">
        <v>346</v>
      </c>
      <c r="AU206" s="150" t="s">
        <v>90</v>
      </c>
      <c r="AV206" s="148" t="s">
        <v>90</v>
      </c>
      <c r="AW206" s="148" t="s">
        <v>33</v>
      </c>
      <c r="AX206" s="148" t="s">
        <v>80</v>
      </c>
      <c r="AY206" s="150" t="s">
        <v>337</v>
      </c>
    </row>
    <row r="207" spans="2:51" s="148" customFormat="1" x14ac:dyDescent="0.2">
      <c r="B207" s="149"/>
      <c r="D207" s="143" t="s">
        <v>346</v>
      </c>
      <c r="E207" s="150"/>
      <c r="F207" s="151" t="s">
        <v>5252</v>
      </c>
      <c r="H207" s="152">
        <v>3.9649999999999999</v>
      </c>
      <c r="L207" s="149"/>
      <c r="M207" s="153"/>
      <c r="T207" s="154"/>
      <c r="AT207" s="150" t="s">
        <v>346</v>
      </c>
      <c r="AU207" s="150" t="s">
        <v>90</v>
      </c>
      <c r="AV207" s="148" t="s">
        <v>90</v>
      </c>
      <c r="AW207" s="148" t="s">
        <v>33</v>
      </c>
      <c r="AX207" s="148" t="s">
        <v>80</v>
      </c>
      <c r="AY207" s="150" t="s">
        <v>337</v>
      </c>
    </row>
    <row r="208" spans="2:51" s="148" customFormat="1" x14ac:dyDescent="0.2">
      <c r="B208" s="149"/>
      <c r="D208" s="143" t="s">
        <v>346</v>
      </c>
      <c r="E208" s="150"/>
      <c r="F208" s="151" t="s">
        <v>5252</v>
      </c>
      <c r="H208" s="152">
        <v>3.9649999999999999</v>
      </c>
      <c r="L208" s="149"/>
      <c r="M208" s="153"/>
      <c r="T208" s="154"/>
      <c r="AT208" s="150" t="s">
        <v>346</v>
      </c>
      <c r="AU208" s="150" t="s">
        <v>90</v>
      </c>
      <c r="AV208" s="148" t="s">
        <v>90</v>
      </c>
      <c r="AW208" s="148" t="s">
        <v>33</v>
      </c>
      <c r="AX208" s="148" t="s">
        <v>80</v>
      </c>
      <c r="AY208" s="150" t="s">
        <v>337</v>
      </c>
    </row>
    <row r="209" spans="2:51" s="141" customFormat="1" x14ac:dyDescent="0.2">
      <c r="B209" s="142"/>
      <c r="D209" s="143" t="s">
        <v>346</v>
      </c>
      <c r="E209" s="144"/>
      <c r="F209" s="145" t="s">
        <v>368</v>
      </c>
      <c r="H209" s="144"/>
      <c r="L209" s="142"/>
      <c r="M209" s="146"/>
      <c r="T209" s="147"/>
      <c r="AT209" s="144" t="s">
        <v>346</v>
      </c>
      <c r="AU209" s="144" t="s">
        <v>90</v>
      </c>
      <c r="AV209" s="141" t="s">
        <v>87</v>
      </c>
      <c r="AW209" s="141" t="s">
        <v>33</v>
      </c>
      <c r="AX209" s="141" t="s">
        <v>80</v>
      </c>
      <c r="AY209" s="144" t="s">
        <v>337</v>
      </c>
    </row>
    <row r="210" spans="2:51" s="148" customFormat="1" x14ac:dyDescent="0.2">
      <c r="B210" s="149"/>
      <c r="D210" s="143" t="s">
        <v>346</v>
      </c>
      <c r="E210" s="150"/>
      <c r="F210" s="151" t="s">
        <v>5226</v>
      </c>
      <c r="H210" s="152">
        <v>28.67</v>
      </c>
      <c r="L210" s="149"/>
      <c r="M210" s="153"/>
      <c r="T210" s="154"/>
      <c r="AT210" s="150" t="s">
        <v>346</v>
      </c>
      <c r="AU210" s="150" t="s">
        <v>90</v>
      </c>
      <c r="AV210" s="148" t="s">
        <v>90</v>
      </c>
      <c r="AW210" s="148" t="s">
        <v>33</v>
      </c>
      <c r="AX210" s="148" t="s">
        <v>80</v>
      </c>
      <c r="AY210" s="150" t="s">
        <v>337</v>
      </c>
    </row>
    <row r="211" spans="2:51" s="148" customFormat="1" x14ac:dyDescent="0.2">
      <c r="B211" s="149"/>
      <c r="D211" s="143" t="s">
        <v>346</v>
      </c>
      <c r="E211" s="150"/>
      <c r="F211" s="151" t="s">
        <v>5247</v>
      </c>
      <c r="H211" s="152">
        <v>28.823</v>
      </c>
      <c r="L211" s="149"/>
      <c r="M211" s="153"/>
      <c r="T211" s="154"/>
      <c r="AT211" s="150" t="s">
        <v>346</v>
      </c>
      <c r="AU211" s="150" t="s">
        <v>90</v>
      </c>
      <c r="AV211" s="148" t="s">
        <v>90</v>
      </c>
      <c r="AW211" s="148" t="s">
        <v>33</v>
      </c>
      <c r="AX211" s="148" t="s">
        <v>80</v>
      </c>
      <c r="AY211" s="150" t="s">
        <v>337</v>
      </c>
    </row>
    <row r="212" spans="2:51" s="148" customFormat="1" x14ac:dyDescent="0.2">
      <c r="B212" s="149"/>
      <c r="D212" s="143" t="s">
        <v>346</v>
      </c>
      <c r="E212" s="150"/>
      <c r="F212" s="151" t="s">
        <v>5248</v>
      </c>
      <c r="H212" s="152">
        <v>5.7949999999999999</v>
      </c>
      <c r="L212" s="149"/>
      <c r="M212" s="153"/>
      <c r="T212" s="154"/>
      <c r="AT212" s="150" t="s">
        <v>346</v>
      </c>
      <c r="AU212" s="150" t="s">
        <v>90</v>
      </c>
      <c r="AV212" s="148" t="s">
        <v>90</v>
      </c>
      <c r="AW212" s="148" t="s">
        <v>33</v>
      </c>
      <c r="AX212" s="148" t="s">
        <v>80</v>
      </c>
      <c r="AY212" s="150" t="s">
        <v>337</v>
      </c>
    </row>
    <row r="213" spans="2:51" s="148" customFormat="1" x14ac:dyDescent="0.2">
      <c r="B213" s="149"/>
      <c r="D213" s="143" t="s">
        <v>346</v>
      </c>
      <c r="E213" s="150"/>
      <c r="F213" s="151" t="s">
        <v>5248</v>
      </c>
      <c r="H213" s="152">
        <v>5.7949999999999999</v>
      </c>
      <c r="L213" s="149"/>
      <c r="M213" s="153"/>
      <c r="T213" s="154"/>
      <c r="AT213" s="150" t="s">
        <v>346</v>
      </c>
      <c r="AU213" s="150" t="s">
        <v>90</v>
      </c>
      <c r="AV213" s="148" t="s">
        <v>90</v>
      </c>
      <c r="AW213" s="148" t="s">
        <v>33</v>
      </c>
      <c r="AX213" s="148" t="s">
        <v>80</v>
      </c>
      <c r="AY213" s="150" t="s">
        <v>337</v>
      </c>
    </row>
    <row r="214" spans="2:51" s="148" customFormat="1" x14ac:dyDescent="0.2">
      <c r="B214" s="149"/>
      <c r="D214" s="143" t="s">
        <v>346</v>
      </c>
      <c r="E214" s="150"/>
      <c r="F214" s="151" t="s">
        <v>5249</v>
      </c>
      <c r="H214" s="152">
        <v>82.539000000000001</v>
      </c>
      <c r="L214" s="149"/>
      <c r="M214" s="153"/>
      <c r="T214" s="154"/>
      <c r="AT214" s="150" t="s">
        <v>346</v>
      </c>
      <c r="AU214" s="150" t="s">
        <v>90</v>
      </c>
      <c r="AV214" s="148" t="s">
        <v>90</v>
      </c>
      <c r="AW214" s="148" t="s">
        <v>33</v>
      </c>
      <c r="AX214" s="148" t="s">
        <v>80</v>
      </c>
      <c r="AY214" s="150" t="s">
        <v>337</v>
      </c>
    </row>
    <row r="215" spans="2:51" s="148" customFormat="1" x14ac:dyDescent="0.2">
      <c r="B215" s="149"/>
      <c r="D215" s="143" t="s">
        <v>346</v>
      </c>
      <c r="E215" s="150"/>
      <c r="F215" s="151" t="s">
        <v>1420</v>
      </c>
      <c r="H215" s="152">
        <v>8.1590000000000007</v>
      </c>
      <c r="L215" s="149"/>
      <c r="M215" s="153"/>
      <c r="T215" s="154"/>
      <c r="AT215" s="150" t="s">
        <v>346</v>
      </c>
      <c r="AU215" s="150" t="s">
        <v>90</v>
      </c>
      <c r="AV215" s="148" t="s">
        <v>90</v>
      </c>
      <c r="AW215" s="148" t="s">
        <v>33</v>
      </c>
      <c r="AX215" s="148" t="s">
        <v>80</v>
      </c>
      <c r="AY215" s="150" t="s">
        <v>337</v>
      </c>
    </row>
    <row r="216" spans="2:51" s="148" customFormat="1" x14ac:dyDescent="0.2">
      <c r="B216" s="149"/>
      <c r="D216" s="143" t="s">
        <v>346</v>
      </c>
      <c r="E216" s="150"/>
      <c r="F216" s="151" t="s">
        <v>5250</v>
      </c>
      <c r="H216" s="152">
        <v>10.294</v>
      </c>
      <c r="L216" s="149"/>
      <c r="M216" s="153"/>
      <c r="T216" s="154"/>
      <c r="AT216" s="150" t="s">
        <v>346</v>
      </c>
      <c r="AU216" s="150" t="s">
        <v>90</v>
      </c>
      <c r="AV216" s="148" t="s">
        <v>90</v>
      </c>
      <c r="AW216" s="148" t="s">
        <v>33</v>
      </c>
      <c r="AX216" s="148" t="s">
        <v>80</v>
      </c>
      <c r="AY216" s="150" t="s">
        <v>337</v>
      </c>
    </row>
    <row r="217" spans="2:51" s="148" customFormat="1" x14ac:dyDescent="0.2">
      <c r="B217" s="149"/>
      <c r="D217" s="143" t="s">
        <v>346</v>
      </c>
      <c r="E217" s="150"/>
      <c r="F217" s="151" t="s">
        <v>5251</v>
      </c>
      <c r="H217" s="152">
        <v>10.675000000000001</v>
      </c>
      <c r="L217" s="149"/>
      <c r="M217" s="153"/>
      <c r="T217" s="154"/>
      <c r="AT217" s="150" t="s">
        <v>346</v>
      </c>
      <c r="AU217" s="150" t="s">
        <v>90</v>
      </c>
      <c r="AV217" s="148" t="s">
        <v>90</v>
      </c>
      <c r="AW217" s="148" t="s">
        <v>33</v>
      </c>
      <c r="AX217" s="148" t="s">
        <v>80</v>
      </c>
      <c r="AY217" s="150" t="s">
        <v>337</v>
      </c>
    </row>
    <row r="218" spans="2:51" s="148" customFormat="1" x14ac:dyDescent="0.2">
      <c r="B218" s="149"/>
      <c r="D218" s="143" t="s">
        <v>346</v>
      </c>
      <c r="E218" s="150"/>
      <c r="F218" s="151" t="s">
        <v>5252</v>
      </c>
      <c r="H218" s="152">
        <v>3.9649999999999999</v>
      </c>
      <c r="L218" s="149"/>
      <c r="M218" s="153"/>
      <c r="T218" s="154"/>
      <c r="AT218" s="150" t="s">
        <v>346</v>
      </c>
      <c r="AU218" s="150" t="s">
        <v>90</v>
      </c>
      <c r="AV218" s="148" t="s">
        <v>90</v>
      </c>
      <c r="AW218" s="148" t="s">
        <v>33</v>
      </c>
      <c r="AX218" s="148" t="s">
        <v>80</v>
      </c>
      <c r="AY218" s="150" t="s">
        <v>337</v>
      </c>
    </row>
    <row r="219" spans="2:51" s="148" customFormat="1" x14ac:dyDescent="0.2">
      <c r="B219" s="149"/>
      <c r="D219" s="143" t="s">
        <v>346</v>
      </c>
      <c r="E219" s="150"/>
      <c r="F219" s="151" t="s">
        <v>5252</v>
      </c>
      <c r="H219" s="152">
        <v>3.9649999999999999</v>
      </c>
      <c r="L219" s="149"/>
      <c r="M219" s="153"/>
      <c r="T219" s="154"/>
      <c r="AT219" s="150" t="s">
        <v>346</v>
      </c>
      <c r="AU219" s="150" t="s">
        <v>90</v>
      </c>
      <c r="AV219" s="148" t="s">
        <v>90</v>
      </c>
      <c r="AW219" s="148" t="s">
        <v>33</v>
      </c>
      <c r="AX219" s="148" t="s">
        <v>80</v>
      </c>
      <c r="AY219" s="150" t="s">
        <v>337</v>
      </c>
    </row>
    <row r="220" spans="2:51" s="148" customFormat="1" x14ac:dyDescent="0.2">
      <c r="B220" s="149"/>
      <c r="D220" s="143" t="s">
        <v>346</v>
      </c>
      <c r="E220" s="150"/>
      <c r="F220" s="151" t="s">
        <v>5253</v>
      </c>
      <c r="H220" s="152">
        <v>13.695</v>
      </c>
      <c r="L220" s="149"/>
      <c r="M220" s="153"/>
      <c r="T220" s="154"/>
      <c r="AT220" s="150" t="s">
        <v>346</v>
      </c>
      <c r="AU220" s="150" t="s">
        <v>90</v>
      </c>
      <c r="AV220" s="148" t="s">
        <v>90</v>
      </c>
      <c r="AW220" s="148" t="s">
        <v>33</v>
      </c>
      <c r="AX220" s="148" t="s">
        <v>80</v>
      </c>
      <c r="AY220" s="150" t="s">
        <v>337</v>
      </c>
    </row>
    <row r="221" spans="2:51" s="148" customFormat="1" x14ac:dyDescent="0.2">
      <c r="B221" s="149"/>
      <c r="D221" s="143" t="s">
        <v>346</v>
      </c>
      <c r="E221" s="150"/>
      <c r="F221" s="151" t="s">
        <v>5254</v>
      </c>
      <c r="H221" s="152">
        <v>16.623000000000001</v>
      </c>
      <c r="L221" s="149"/>
      <c r="M221" s="153"/>
      <c r="T221" s="154"/>
      <c r="AT221" s="150" t="s">
        <v>346</v>
      </c>
      <c r="AU221" s="150" t="s">
        <v>90</v>
      </c>
      <c r="AV221" s="148" t="s">
        <v>90</v>
      </c>
      <c r="AW221" s="148" t="s">
        <v>33</v>
      </c>
      <c r="AX221" s="148" t="s">
        <v>80</v>
      </c>
      <c r="AY221" s="150" t="s">
        <v>337</v>
      </c>
    </row>
    <row r="222" spans="2:51" s="148" customFormat="1" x14ac:dyDescent="0.2">
      <c r="B222" s="149"/>
      <c r="D222" s="143" t="s">
        <v>346</v>
      </c>
      <c r="E222" s="150"/>
      <c r="F222" s="151" t="s">
        <v>5255</v>
      </c>
      <c r="H222" s="152">
        <v>5.1849999999999996</v>
      </c>
      <c r="L222" s="149"/>
      <c r="M222" s="153"/>
      <c r="T222" s="154"/>
      <c r="AT222" s="150" t="s">
        <v>346</v>
      </c>
      <c r="AU222" s="150" t="s">
        <v>90</v>
      </c>
      <c r="AV222" s="148" t="s">
        <v>90</v>
      </c>
      <c r="AW222" s="148" t="s">
        <v>33</v>
      </c>
      <c r="AX222" s="148" t="s">
        <v>80</v>
      </c>
      <c r="AY222" s="150" t="s">
        <v>337</v>
      </c>
    </row>
    <row r="223" spans="2:51" s="148" customFormat="1" x14ac:dyDescent="0.2">
      <c r="B223" s="149"/>
      <c r="D223" s="143" t="s">
        <v>346</v>
      </c>
      <c r="E223" s="150"/>
      <c r="F223" s="151" t="s">
        <v>5255</v>
      </c>
      <c r="H223" s="152">
        <v>5.1849999999999996</v>
      </c>
      <c r="L223" s="149"/>
      <c r="M223" s="153"/>
      <c r="T223" s="154"/>
      <c r="AT223" s="150" t="s">
        <v>346</v>
      </c>
      <c r="AU223" s="150" t="s">
        <v>90</v>
      </c>
      <c r="AV223" s="148" t="s">
        <v>90</v>
      </c>
      <c r="AW223" s="148" t="s">
        <v>33</v>
      </c>
      <c r="AX223" s="148" t="s">
        <v>80</v>
      </c>
      <c r="AY223" s="150" t="s">
        <v>337</v>
      </c>
    </row>
    <row r="224" spans="2:51" s="148" customFormat="1" x14ac:dyDescent="0.2">
      <c r="B224" s="149"/>
      <c r="D224" s="143" t="s">
        <v>346</v>
      </c>
      <c r="E224" s="150"/>
      <c r="F224" s="151" t="s">
        <v>5256</v>
      </c>
      <c r="H224" s="152">
        <v>4.5750000000000002</v>
      </c>
      <c r="L224" s="149"/>
      <c r="M224" s="153"/>
      <c r="T224" s="154"/>
      <c r="AT224" s="150" t="s">
        <v>346</v>
      </c>
      <c r="AU224" s="150" t="s">
        <v>90</v>
      </c>
      <c r="AV224" s="148" t="s">
        <v>90</v>
      </c>
      <c r="AW224" s="148" t="s">
        <v>33</v>
      </c>
      <c r="AX224" s="148" t="s">
        <v>80</v>
      </c>
      <c r="AY224" s="150" t="s">
        <v>337</v>
      </c>
    </row>
    <row r="225" spans="2:51" s="141" customFormat="1" x14ac:dyDescent="0.2">
      <c r="B225" s="142"/>
      <c r="D225" s="143" t="s">
        <v>346</v>
      </c>
      <c r="E225" s="144"/>
      <c r="F225" s="145" t="s">
        <v>370</v>
      </c>
      <c r="H225" s="144"/>
      <c r="L225" s="142"/>
      <c r="M225" s="146"/>
      <c r="T225" s="147"/>
      <c r="AT225" s="144" t="s">
        <v>346</v>
      </c>
      <c r="AU225" s="144" t="s">
        <v>90</v>
      </c>
      <c r="AV225" s="141" t="s">
        <v>87</v>
      </c>
      <c r="AW225" s="141" t="s">
        <v>33</v>
      </c>
      <c r="AX225" s="141" t="s">
        <v>80</v>
      </c>
      <c r="AY225" s="144" t="s">
        <v>337</v>
      </c>
    </row>
    <row r="226" spans="2:51" s="148" customFormat="1" x14ac:dyDescent="0.2">
      <c r="B226" s="149"/>
      <c r="D226" s="143" t="s">
        <v>346</v>
      </c>
      <c r="E226" s="150"/>
      <c r="F226" s="151" t="s">
        <v>5226</v>
      </c>
      <c r="H226" s="152">
        <v>28.67</v>
      </c>
      <c r="L226" s="149"/>
      <c r="M226" s="153"/>
      <c r="T226" s="154"/>
      <c r="AT226" s="150" t="s">
        <v>346</v>
      </c>
      <c r="AU226" s="150" t="s">
        <v>90</v>
      </c>
      <c r="AV226" s="148" t="s">
        <v>90</v>
      </c>
      <c r="AW226" s="148" t="s">
        <v>33</v>
      </c>
      <c r="AX226" s="148" t="s">
        <v>80</v>
      </c>
      <c r="AY226" s="150" t="s">
        <v>337</v>
      </c>
    </row>
    <row r="227" spans="2:51" s="148" customFormat="1" x14ac:dyDescent="0.2">
      <c r="B227" s="149"/>
      <c r="D227" s="143" t="s">
        <v>346</v>
      </c>
      <c r="E227" s="150"/>
      <c r="F227" s="151" t="s">
        <v>5247</v>
      </c>
      <c r="H227" s="152">
        <v>28.823</v>
      </c>
      <c r="L227" s="149"/>
      <c r="M227" s="153"/>
      <c r="T227" s="154"/>
      <c r="AT227" s="150" t="s">
        <v>346</v>
      </c>
      <c r="AU227" s="150" t="s">
        <v>90</v>
      </c>
      <c r="AV227" s="148" t="s">
        <v>90</v>
      </c>
      <c r="AW227" s="148" t="s">
        <v>33</v>
      </c>
      <c r="AX227" s="148" t="s">
        <v>80</v>
      </c>
      <c r="AY227" s="150" t="s">
        <v>337</v>
      </c>
    </row>
    <row r="228" spans="2:51" s="148" customFormat="1" x14ac:dyDescent="0.2">
      <c r="B228" s="149"/>
      <c r="D228" s="143" t="s">
        <v>346</v>
      </c>
      <c r="E228" s="150"/>
      <c r="F228" s="151" t="s">
        <v>5248</v>
      </c>
      <c r="H228" s="152">
        <v>5.7949999999999999</v>
      </c>
      <c r="L228" s="149"/>
      <c r="M228" s="153"/>
      <c r="T228" s="154"/>
      <c r="AT228" s="150" t="s">
        <v>346</v>
      </c>
      <c r="AU228" s="150" t="s">
        <v>90</v>
      </c>
      <c r="AV228" s="148" t="s">
        <v>90</v>
      </c>
      <c r="AW228" s="148" t="s">
        <v>33</v>
      </c>
      <c r="AX228" s="148" t="s">
        <v>80</v>
      </c>
      <c r="AY228" s="150" t="s">
        <v>337</v>
      </c>
    </row>
    <row r="229" spans="2:51" s="148" customFormat="1" x14ac:dyDescent="0.2">
      <c r="B229" s="149"/>
      <c r="D229" s="143" t="s">
        <v>346</v>
      </c>
      <c r="E229" s="150"/>
      <c r="F229" s="151" t="s">
        <v>5248</v>
      </c>
      <c r="H229" s="152">
        <v>5.7949999999999999</v>
      </c>
      <c r="L229" s="149"/>
      <c r="M229" s="153"/>
      <c r="T229" s="154"/>
      <c r="AT229" s="150" t="s">
        <v>346</v>
      </c>
      <c r="AU229" s="150" t="s">
        <v>90</v>
      </c>
      <c r="AV229" s="148" t="s">
        <v>90</v>
      </c>
      <c r="AW229" s="148" t="s">
        <v>33</v>
      </c>
      <c r="AX229" s="148" t="s">
        <v>80</v>
      </c>
      <c r="AY229" s="150" t="s">
        <v>337</v>
      </c>
    </row>
    <row r="230" spans="2:51" s="148" customFormat="1" x14ac:dyDescent="0.2">
      <c r="B230" s="149"/>
      <c r="D230" s="143" t="s">
        <v>346</v>
      </c>
      <c r="E230" s="150"/>
      <c r="F230" s="151" t="s">
        <v>5249</v>
      </c>
      <c r="H230" s="152">
        <v>82.539000000000001</v>
      </c>
      <c r="L230" s="149"/>
      <c r="M230" s="153"/>
      <c r="T230" s="154"/>
      <c r="AT230" s="150" t="s">
        <v>346</v>
      </c>
      <c r="AU230" s="150" t="s">
        <v>90</v>
      </c>
      <c r="AV230" s="148" t="s">
        <v>90</v>
      </c>
      <c r="AW230" s="148" t="s">
        <v>33</v>
      </c>
      <c r="AX230" s="148" t="s">
        <v>80</v>
      </c>
      <c r="AY230" s="150" t="s">
        <v>337</v>
      </c>
    </row>
    <row r="231" spans="2:51" s="148" customFormat="1" x14ac:dyDescent="0.2">
      <c r="B231" s="149"/>
      <c r="D231" s="143" t="s">
        <v>346</v>
      </c>
      <c r="E231" s="150"/>
      <c r="F231" s="151" t="s">
        <v>1420</v>
      </c>
      <c r="H231" s="152">
        <v>8.1590000000000007</v>
      </c>
      <c r="L231" s="149"/>
      <c r="M231" s="153"/>
      <c r="T231" s="154"/>
      <c r="AT231" s="150" t="s">
        <v>346</v>
      </c>
      <c r="AU231" s="150" t="s">
        <v>90</v>
      </c>
      <c r="AV231" s="148" t="s">
        <v>90</v>
      </c>
      <c r="AW231" s="148" t="s">
        <v>33</v>
      </c>
      <c r="AX231" s="148" t="s">
        <v>80</v>
      </c>
      <c r="AY231" s="150" t="s">
        <v>337</v>
      </c>
    </row>
    <row r="232" spans="2:51" s="148" customFormat="1" x14ac:dyDescent="0.2">
      <c r="B232" s="149"/>
      <c r="D232" s="143" t="s">
        <v>346</v>
      </c>
      <c r="E232" s="150"/>
      <c r="F232" s="151" t="s">
        <v>5250</v>
      </c>
      <c r="H232" s="152">
        <v>10.294</v>
      </c>
      <c r="L232" s="149"/>
      <c r="M232" s="153"/>
      <c r="T232" s="154"/>
      <c r="AT232" s="150" t="s">
        <v>346</v>
      </c>
      <c r="AU232" s="150" t="s">
        <v>90</v>
      </c>
      <c r="AV232" s="148" t="s">
        <v>90</v>
      </c>
      <c r="AW232" s="148" t="s">
        <v>33</v>
      </c>
      <c r="AX232" s="148" t="s">
        <v>80</v>
      </c>
      <c r="AY232" s="150" t="s">
        <v>337</v>
      </c>
    </row>
    <row r="233" spans="2:51" s="148" customFormat="1" x14ac:dyDescent="0.2">
      <c r="B233" s="149"/>
      <c r="D233" s="143" t="s">
        <v>346</v>
      </c>
      <c r="E233" s="150"/>
      <c r="F233" s="151" t="s">
        <v>5251</v>
      </c>
      <c r="H233" s="152">
        <v>10.675000000000001</v>
      </c>
      <c r="L233" s="149"/>
      <c r="M233" s="153"/>
      <c r="T233" s="154"/>
      <c r="AT233" s="150" t="s">
        <v>346</v>
      </c>
      <c r="AU233" s="150" t="s">
        <v>90</v>
      </c>
      <c r="AV233" s="148" t="s">
        <v>90</v>
      </c>
      <c r="AW233" s="148" t="s">
        <v>33</v>
      </c>
      <c r="AX233" s="148" t="s">
        <v>80</v>
      </c>
      <c r="AY233" s="150" t="s">
        <v>337</v>
      </c>
    </row>
    <row r="234" spans="2:51" s="148" customFormat="1" x14ac:dyDescent="0.2">
      <c r="B234" s="149"/>
      <c r="D234" s="143" t="s">
        <v>346</v>
      </c>
      <c r="E234" s="150"/>
      <c r="F234" s="151" t="s">
        <v>5252</v>
      </c>
      <c r="H234" s="152">
        <v>3.9649999999999999</v>
      </c>
      <c r="L234" s="149"/>
      <c r="M234" s="153"/>
      <c r="T234" s="154"/>
      <c r="AT234" s="150" t="s">
        <v>346</v>
      </c>
      <c r="AU234" s="150" t="s">
        <v>90</v>
      </c>
      <c r="AV234" s="148" t="s">
        <v>90</v>
      </c>
      <c r="AW234" s="148" t="s">
        <v>33</v>
      </c>
      <c r="AX234" s="148" t="s">
        <v>80</v>
      </c>
      <c r="AY234" s="150" t="s">
        <v>337</v>
      </c>
    </row>
    <row r="235" spans="2:51" s="148" customFormat="1" x14ac:dyDescent="0.2">
      <c r="B235" s="149"/>
      <c r="D235" s="143" t="s">
        <v>346</v>
      </c>
      <c r="E235" s="150"/>
      <c r="F235" s="151" t="s">
        <v>5252</v>
      </c>
      <c r="H235" s="152">
        <v>3.9649999999999999</v>
      </c>
      <c r="L235" s="149"/>
      <c r="M235" s="153"/>
      <c r="T235" s="154"/>
      <c r="AT235" s="150" t="s">
        <v>346</v>
      </c>
      <c r="AU235" s="150" t="s">
        <v>90</v>
      </c>
      <c r="AV235" s="148" t="s">
        <v>90</v>
      </c>
      <c r="AW235" s="148" t="s">
        <v>33</v>
      </c>
      <c r="AX235" s="148" t="s">
        <v>80</v>
      </c>
      <c r="AY235" s="150" t="s">
        <v>337</v>
      </c>
    </row>
    <row r="236" spans="2:51" s="148" customFormat="1" x14ac:dyDescent="0.2">
      <c r="B236" s="149"/>
      <c r="D236" s="143" t="s">
        <v>346</v>
      </c>
      <c r="E236" s="150"/>
      <c r="F236" s="151" t="s">
        <v>5253</v>
      </c>
      <c r="H236" s="152">
        <v>13.695</v>
      </c>
      <c r="L236" s="149"/>
      <c r="M236" s="153"/>
      <c r="T236" s="154"/>
      <c r="AT236" s="150" t="s">
        <v>346</v>
      </c>
      <c r="AU236" s="150" t="s">
        <v>90</v>
      </c>
      <c r="AV236" s="148" t="s">
        <v>90</v>
      </c>
      <c r="AW236" s="148" t="s">
        <v>33</v>
      </c>
      <c r="AX236" s="148" t="s">
        <v>80</v>
      </c>
      <c r="AY236" s="150" t="s">
        <v>337</v>
      </c>
    </row>
    <row r="237" spans="2:51" s="148" customFormat="1" x14ac:dyDescent="0.2">
      <c r="B237" s="149"/>
      <c r="D237" s="143" t="s">
        <v>346</v>
      </c>
      <c r="E237" s="150"/>
      <c r="F237" s="151" t="s">
        <v>5254</v>
      </c>
      <c r="H237" s="152">
        <v>16.623000000000001</v>
      </c>
      <c r="L237" s="149"/>
      <c r="M237" s="153"/>
      <c r="T237" s="154"/>
      <c r="AT237" s="150" t="s">
        <v>346</v>
      </c>
      <c r="AU237" s="150" t="s">
        <v>90</v>
      </c>
      <c r="AV237" s="148" t="s">
        <v>90</v>
      </c>
      <c r="AW237" s="148" t="s">
        <v>33</v>
      </c>
      <c r="AX237" s="148" t="s">
        <v>80</v>
      </c>
      <c r="AY237" s="150" t="s">
        <v>337</v>
      </c>
    </row>
    <row r="238" spans="2:51" s="148" customFormat="1" x14ac:dyDescent="0.2">
      <c r="B238" s="149"/>
      <c r="D238" s="143" t="s">
        <v>346</v>
      </c>
      <c r="E238" s="150"/>
      <c r="F238" s="151" t="s">
        <v>5255</v>
      </c>
      <c r="H238" s="152">
        <v>5.1849999999999996</v>
      </c>
      <c r="L238" s="149"/>
      <c r="M238" s="153"/>
      <c r="T238" s="154"/>
      <c r="AT238" s="150" t="s">
        <v>346</v>
      </c>
      <c r="AU238" s="150" t="s">
        <v>90</v>
      </c>
      <c r="AV238" s="148" t="s">
        <v>90</v>
      </c>
      <c r="AW238" s="148" t="s">
        <v>33</v>
      </c>
      <c r="AX238" s="148" t="s">
        <v>80</v>
      </c>
      <c r="AY238" s="150" t="s">
        <v>337</v>
      </c>
    </row>
    <row r="239" spans="2:51" s="148" customFormat="1" x14ac:dyDescent="0.2">
      <c r="B239" s="149"/>
      <c r="D239" s="143" t="s">
        <v>346</v>
      </c>
      <c r="E239" s="150"/>
      <c r="F239" s="151" t="s">
        <v>5255</v>
      </c>
      <c r="H239" s="152">
        <v>5.1849999999999996</v>
      </c>
      <c r="L239" s="149"/>
      <c r="M239" s="153"/>
      <c r="T239" s="154"/>
      <c r="AT239" s="150" t="s">
        <v>346</v>
      </c>
      <c r="AU239" s="150" t="s">
        <v>90</v>
      </c>
      <c r="AV239" s="148" t="s">
        <v>90</v>
      </c>
      <c r="AW239" s="148" t="s">
        <v>33</v>
      </c>
      <c r="AX239" s="148" t="s">
        <v>80</v>
      </c>
      <c r="AY239" s="150" t="s">
        <v>337</v>
      </c>
    </row>
    <row r="240" spans="2:51" s="148" customFormat="1" x14ac:dyDescent="0.2">
      <c r="B240" s="149"/>
      <c r="D240" s="143" t="s">
        <v>346</v>
      </c>
      <c r="E240" s="150"/>
      <c r="F240" s="151" t="s">
        <v>5256</v>
      </c>
      <c r="H240" s="152">
        <v>4.5750000000000002</v>
      </c>
      <c r="L240" s="149"/>
      <c r="M240" s="153"/>
      <c r="T240" s="154"/>
      <c r="AT240" s="150" t="s">
        <v>346</v>
      </c>
      <c r="AU240" s="150" t="s">
        <v>90</v>
      </c>
      <c r="AV240" s="148" t="s">
        <v>90</v>
      </c>
      <c r="AW240" s="148" t="s">
        <v>33</v>
      </c>
      <c r="AX240" s="148" t="s">
        <v>80</v>
      </c>
      <c r="AY240" s="150" t="s">
        <v>337</v>
      </c>
    </row>
    <row r="241" spans="2:51" s="172" customFormat="1" x14ac:dyDescent="0.2">
      <c r="B241" s="173"/>
      <c r="D241" s="143" t="s">
        <v>346</v>
      </c>
      <c r="E241" s="174"/>
      <c r="F241" s="175" t="s">
        <v>609</v>
      </c>
      <c r="H241" s="176">
        <v>1082.905</v>
      </c>
      <c r="L241" s="173"/>
      <c r="M241" s="177"/>
      <c r="T241" s="178"/>
      <c r="AT241" s="174" t="s">
        <v>346</v>
      </c>
      <c r="AU241" s="174" t="s">
        <v>90</v>
      </c>
      <c r="AV241" s="172" t="s">
        <v>113</v>
      </c>
      <c r="AW241" s="172" t="s">
        <v>33</v>
      </c>
      <c r="AX241" s="172" t="s">
        <v>80</v>
      </c>
      <c r="AY241" s="174" t="s">
        <v>337</v>
      </c>
    </row>
    <row r="242" spans="2:51" s="141" customFormat="1" x14ac:dyDescent="0.2">
      <c r="B242" s="142"/>
      <c r="D242" s="143" t="s">
        <v>346</v>
      </c>
      <c r="E242" s="144"/>
      <c r="F242" s="145" t="s">
        <v>5257</v>
      </c>
      <c r="H242" s="144"/>
      <c r="L242" s="142"/>
      <c r="M242" s="146"/>
      <c r="T242" s="147"/>
      <c r="AT242" s="144" t="s">
        <v>346</v>
      </c>
      <c r="AU242" s="144" t="s">
        <v>90</v>
      </c>
      <c r="AV242" s="141" t="s">
        <v>87</v>
      </c>
      <c r="AW242" s="141" t="s">
        <v>33</v>
      </c>
      <c r="AX242" s="141" t="s">
        <v>80</v>
      </c>
      <c r="AY242" s="144" t="s">
        <v>337</v>
      </c>
    </row>
    <row r="243" spans="2:51" s="141" customFormat="1" x14ac:dyDescent="0.2">
      <c r="B243" s="142"/>
      <c r="D243" s="143" t="s">
        <v>346</v>
      </c>
      <c r="E243" s="144"/>
      <c r="F243" s="145" t="s">
        <v>362</v>
      </c>
      <c r="H243" s="144"/>
      <c r="L243" s="142"/>
      <c r="M243" s="146"/>
      <c r="T243" s="147"/>
      <c r="AT243" s="144" t="s">
        <v>346</v>
      </c>
      <c r="AU243" s="144" t="s">
        <v>90</v>
      </c>
      <c r="AV243" s="141" t="s">
        <v>87</v>
      </c>
      <c r="AW243" s="141" t="s">
        <v>33</v>
      </c>
      <c r="AX243" s="141" t="s">
        <v>80</v>
      </c>
      <c r="AY243" s="144" t="s">
        <v>337</v>
      </c>
    </row>
    <row r="244" spans="2:51" s="148" customFormat="1" x14ac:dyDescent="0.2">
      <c r="B244" s="149"/>
      <c r="D244" s="143" t="s">
        <v>346</v>
      </c>
      <c r="E244" s="150"/>
      <c r="F244" s="151" t="s">
        <v>5258</v>
      </c>
      <c r="H244" s="152">
        <v>-1.5760000000000001</v>
      </c>
      <c r="L244" s="149"/>
      <c r="M244" s="153"/>
      <c r="T244" s="154"/>
      <c r="AT244" s="150" t="s">
        <v>346</v>
      </c>
      <c r="AU244" s="150" t="s">
        <v>90</v>
      </c>
      <c r="AV244" s="148" t="s">
        <v>90</v>
      </c>
      <c r="AW244" s="148" t="s">
        <v>33</v>
      </c>
      <c r="AX244" s="148" t="s">
        <v>80</v>
      </c>
      <c r="AY244" s="150" t="s">
        <v>337</v>
      </c>
    </row>
    <row r="245" spans="2:51" s="148" customFormat="1" x14ac:dyDescent="0.2">
      <c r="B245" s="149"/>
      <c r="D245" s="143" t="s">
        <v>346</v>
      </c>
      <c r="E245" s="150"/>
      <c r="F245" s="151" t="s">
        <v>5259</v>
      </c>
      <c r="H245" s="152">
        <v>-3.5459999999999998</v>
      </c>
      <c r="L245" s="149"/>
      <c r="M245" s="153"/>
      <c r="T245" s="154"/>
      <c r="AT245" s="150" t="s">
        <v>346</v>
      </c>
      <c r="AU245" s="150" t="s">
        <v>90</v>
      </c>
      <c r="AV245" s="148" t="s">
        <v>90</v>
      </c>
      <c r="AW245" s="148" t="s">
        <v>33</v>
      </c>
      <c r="AX245" s="148" t="s">
        <v>80</v>
      </c>
      <c r="AY245" s="150" t="s">
        <v>337</v>
      </c>
    </row>
    <row r="246" spans="2:51" s="148" customFormat="1" x14ac:dyDescent="0.2">
      <c r="B246" s="149"/>
      <c r="D246" s="143" t="s">
        <v>346</v>
      </c>
      <c r="E246" s="150"/>
      <c r="F246" s="151" t="s">
        <v>5260</v>
      </c>
      <c r="H246" s="152">
        <v>-1.7729999999999999</v>
      </c>
      <c r="L246" s="149"/>
      <c r="M246" s="153"/>
      <c r="T246" s="154"/>
      <c r="AT246" s="150" t="s">
        <v>346</v>
      </c>
      <c r="AU246" s="150" t="s">
        <v>90</v>
      </c>
      <c r="AV246" s="148" t="s">
        <v>90</v>
      </c>
      <c r="AW246" s="148" t="s">
        <v>33</v>
      </c>
      <c r="AX246" s="148" t="s">
        <v>80</v>
      </c>
      <c r="AY246" s="150" t="s">
        <v>337</v>
      </c>
    </row>
    <row r="247" spans="2:51" s="148" customFormat="1" x14ac:dyDescent="0.2">
      <c r="B247" s="149"/>
      <c r="D247" s="143" t="s">
        <v>346</v>
      </c>
      <c r="E247" s="150"/>
      <c r="F247" s="151" t="s">
        <v>5261</v>
      </c>
      <c r="H247" s="152">
        <v>-4.7279999999999998</v>
      </c>
      <c r="L247" s="149"/>
      <c r="M247" s="153"/>
      <c r="T247" s="154"/>
      <c r="AT247" s="150" t="s">
        <v>346</v>
      </c>
      <c r="AU247" s="150" t="s">
        <v>90</v>
      </c>
      <c r="AV247" s="148" t="s">
        <v>90</v>
      </c>
      <c r="AW247" s="148" t="s">
        <v>33</v>
      </c>
      <c r="AX247" s="148" t="s">
        <v>80</v>
      </c>
      <c r="AY247" s="150" t="s">
        <v>337</v>
      </c>
    </row>
    <row r="248" spans="2:51" s="141" customFormat="1" x14ac:dyDescent="0.2">
      <c r="B248" s="142"/>
      <c r="D248" s="143" t="s">
        <v>346</v>
      </c>
      <c r="E248" s="144"/>
      <c r="F248" s="145" t="s">
        <v>367</v>
      </c>
      <c r="H248" s="144"/>
      <c r="L248" s="142"/>
      <c r="M248" s="146"/>
      <c r="T248" s="147"/>
      <c r="AT248" s="144" t="s">
        <v>346</v>
      </c>
      <c r="AU248" s="144" t="s">
        <v>90</v>
      </c>
      <c r="AV248" s="141" t="s">
        <v>87</v>
      </c>
      <c r="AW248" s="141" t="s">
        <v>33</v>
      </c>
      <c r="AX248" s="141" t="s">
        <v>80</v>
      </c>
      <c r="AY248" s="144" t="s">
        <v>337</v>
      </c>
    </row>
    <row r="249" spans="2:51" s="148" customFormat="1" x14ac:dyDescent="0.2">
      <c r="B249" s="149"/>
      <c r="D249" s="143" t="s">
        <v>346</v>
      </c>
      <c r="E249" s="150"/>
      <c r="F249" s="151" t="s">
        <v>5262</v>
      </c>
      <c r="H249" s="152">
        <v>-5.91</v>
      </c>
      <c r="L249" s="149"/>
      <c r="M249" s="153"/>
      <c r="T249" s="154"/>
      <c r="AT249" s="150" t="s">
        <v>346</v>
      </c>
      <c r="AU249" s="150" t="s">
        <v>90</v>
      </c>
      <c r="AV249" s="148" t="s">
        <v>90</v>
      </c>
      <c r="AW249" s="148" t="s">
        <v>33</v>
      </c>
      <c r="AX249" s="148" t="s">
        <v>80</v>
      </c>
      <c r="AY249" s="150" t="s">
        <v>337</v>
      </c>
    </row>
    <row r="250" spans="2:51" s="148" customFormat="1" x14ac:dyDescent="0.2">
      <c r="B250" s="149"/>
      <c r="D250" s="143" t="s">
        <v>346</v>
      </c>
      <c r="E250" s="150"/>
      <c r="F250" s="151" t="s">
        <v>5258</v>
      </c>
      <c r="H250" s="152">
        <v>-1.5760000000000001</v>
      </c>
      <c r="L250" s="149"/>
      <c r="M250" s="153"/>
      <c r="T250" s="154"/>
      <c r="AT250" s="150" t="s">
        <v>346</v>
      </c>
      <c r="AU250" s="150" t="s">
        <v>90</v>
      </c>
      <c r="AV250" s="148" t="s">
        <v>90</v>
      </c>
      <c r="AW250" s="148" t="s">
        <v>33</v>
      </c>
      <c r="AX250" s="148" t="s">
        <v>80</v>
      </c>
      <c r="AY250" s="150" t="s">
        <v>337</v>
      </c>
    </row>
    <row r="251" spans="2:51" s="141" customFormat="1" x14ac:dyDescent="0.2">
      <c r="B251" s="142"/>
      <c r="D251" s="143" t="s">
        <v>346</v>
      </c>
      <c r="E251" s="144"/>
      <c r="F251" s="145" t="s">
        <v>368</v>
      </c>
      <c r="H251" s="144"/>
      <c r="L251" s="142"/>
      <c r="M251" s="146"/>
      <c r="T251" s="147"/>
      <c r="AT251" s="144" t="s">
        <v>346</v>
      </c>
      <c r="AU251" s="144" t="s">
        <v>90</v>
      </c>
      <c r="AV251" s="141" t="s">
        <v>87</v>
      </c>
      <c r="AW251" s="141" t="s">
        <v>33</v>
      </c>
      <c r="AX251" s="141" t="s">
        <v>80</v>
      </c>
      <c r="AY251" s="144" t="s">
        <v>337</v>
      </c>
    </row>
    <row r="252" spans="2:51" s="148" customFormat="1" x14ac:dyDescent="0.2">
      <c r="B252" s="149"/>
      <c r="D252" s="143" t="s">
        <v>346</v>
      </c>
      <c r="E252" s="150"/>
      <c r="F252" s="151" t="s">
        <v>5263</v>
      </c>
      <c r="H252" s="152">
        <v>-7.0919999999999996</v>
      </c>
      <c r="L252" s="149"/>
      <c r="M252" s="153"/>
      <c r="T252" s="154"/>
      <c r="AT252" s="150" t="s">
        <v>346</v>
      </c>
      <c r="AU252" s="150" t="s">
        <v>90</v>
      </c>
      <c r="AV252" s="148" t="s">
        <v>90</v>
      </c>
      <c r="AW252" s="148" t="s">
        <v>33</v>
      </c>
      <c r="AX252" s="148" t="s">
        <v>80</v>
      </c>
      <c r="AY252" s="150" t="s">
        <v>337</v>
      </c>
    </row>
    <row r="253" spans="2:51" s="148" customFormat="1" x14ac:dyDescent="0.2">
      <c r="B253" s="149"/>
      <c r="D253" s="143" t="s">
        <v>346</v>
      </c>
      <c r="E253" s="150"/>
      <c r="F253" s="151" t="s">
        <v>5264</v>
      </c>
      <c r="H253" s="152">
        <v>-3.1520000000000001</v>
      </c>
      <c r="L253" s="149"/>
      <c r="M253" s="153"/>
      <c r="T253" s="154"/>
      <c r="AT253" s="150" t="s">
        <v>346</v>
      </c>
      <c r="AU253" s="150" t="s">
        <v>90</v>
      </c>
      <c r="AV253" s="148" t="s">
        <v>90</v>
      </c>
      <c r="AW253" s="148" t="s">
        <v>33</v>
      </c>
      <c r="AX253" s="148" t="s">
        <v>80</v>
      </c>
      <c r="AY253" s="150" t="s">
        <v>337</v>
      </c>
    </row>
    <row r="254" spans="2:51" s="148" customFormat="1" x14ac:dyDescent="0.2">
      <c r="B254" s="149"/>
      <c r="D254" s="143" t="s">
        <v>346</v>
      </c>
      <c r="E254" s="150"/>
      <c r="F254" s="151" t="s">
        <v>5265</v>
      </c>
      <c r="H254" s="152">
        <v>-2.758</v>
      </c>
      <c r="L254" s="149"/>
      <c r="M254" s="153"/>
      <c r="T254" s="154"/>
      <c r="AT254" s="150" t="s">
        <v>346</v>
      </c>
      <c r="AU254" s="150" t="s">
        <v>90</v>
      </c>
      <c r="AV254" s="148" t="s">
        <v>90</v>
      </c>
      <c r="AW254" s="148" t="s">
        <v>33</v>
      </c>
      <c r="AX254" s="148" t="s">
        <v>80</v>
      </c>
      <c r="AY254" s="150" t="s">
        <v>337</v>
      </c>
    </row>
    <row r="255" spans="2:51" s="148" customFormat="1" x14ac:dyDescent="0.2">
      <c r="B255" s="149"/>
      <c r="D255" s="143" t="s">
        <v>346</v>
      </c>
      <c r="E255" s="150"/>
      <c r="F255" s="151" t="s">
        <v>5266</v>
      </c>
      <c r="H255" s="152">
        <v>-2.8570000000000002</v>
      </c>
      <c r="L255" s="149"/>
      <c r="M255" s="153"/>
      <c r="T255" s="154"/>
      <c r="AT255" s="150" t="s">
        <v>346</v>
      </c>
      <c r="AU255" s="150" t="s">
        <v>90</v>
      </c>
      <c r="AV255" s="148" t="s">
        <v>90</v>
      </c>
      <c r="AW255" s="148" t="s">
        <v>33</v>
      </c>
      <c r="AX255" s="148" t="s">
        <v>80</v>
      </c>
      <c r="AY255" s="150" t="s">
        <v>337</v>
      </c>
    </row>
    <row r="256" spans="2:51" s="141" customFormat="1" x14ac:dyDescent="0.2">
      <c r="B256" s="142"/>
      <c r="D256" s="143" t="s">
        <v>346</v>
      </c>
      <c r="E256" s="144"/>
      <c r="F256" s="145" t="s">
        <v>370</v>
      </c>
      <c r="H256" s="144"/>
      <c r="L256" s="142"/>
      <c r="M256" s="146"/>
      <c r="T256" s="147"/>
      <c r="AT256" s="144" t="s">
        <v>346</v>
      </c>
      <c r="AU256" s="144" t="s">
        <v>90</v>
      </c>
      <c r="AV256" s="141" t="s">
        <v>87</v>
      </c>
      <c r="AW256" s="141" t="s">
        <v>33</v>
      </c>
      <c r="AX256" s="141" t="s">
        <v>80</v>
      </c>
      <c r="AY256" s="144" t="s">
        <v>337</v>
      </c>
    </row>
    <row r="257" spans="2:65" s="148" customFormat="1" x14ac:dyDescent="0.2">
      <c r="B257" s="149"/>
      <c r="D257" s="143" t="s">
        <v>346</v>
      </c>
      <c r="E257" s="150"/>
      <c r="F257" s="151" t="s">
        <v>5263</v>
      </c>
      <c r="H257" s="152">
        <v>-7.0919999999999996</v>
      </c>
      <c r="L257" s="149"/>
      <c r="M257" s="153"/>
      <c r="T257" s="154"/>
      <c r="AT257" s="150" t="s">
        <v>346</v>
      </c>
      <c r="AU257" s="150" t="s">
        <v>90</v>
      </c>
      <c r="AV257" s="148" t="s">
        <v>90</v>
      </c>
      <c r="AW257" s="148" t="s">
        <v>33</v>
      </c>
      <c r="AX257" s="148" t="s">
        <v>80</v>
      </c>
      <c r="AY257" s="150" t="s">
        <v>337</v>
      </c>
    </row>
    <row r="258" spans="2:65" s="148" customFormat="1" x14ac:dyDescent="0.2">
      <c r="B258" s="149"/>
      <c r="D258" s="143" t="s">
        <v>346</v>
      </c>
      <c r="E258" s="150"/>
      <c r="F258" s="151" t="s">
        <v>5264</v>
      </c>
      <c r="H258" s="152">
        <v>-3.1520000000000001</v>
      </c>
      <c r="L258" s="149"/>
      <c r="M258" s="153"/>
      <c r="T258" s="154"/>
      <c r="AT258" s="150" t="s">
        <v>346</v>
      </c>
      <c r="AU258" s="150" t="s">
        <v>90</v>
      </c>
      <c r="AV258" s="148" t="s">
        <v>90</v>
      </c>
      <c r="AW258" s="148" t="s">
        <v>33</v>
      </c>
      <c r="AX258" s="148" t="s">
        <v>80</v>
      </c>
      <c r="AY258" s="150" t="s">
        <v>337</v>
      </c>
    </row>
    <row r="259" spans="2:65" s="148" customFormat="1" x14ac:dyDescent="0.2">
      <c r="B259" s="149"/>
      <c r="D259" s="143" t="s">
        <v>346</v>
      </c>
      <c r="E259" s="150"/>
      <c r="F259" s="151" t="s">
        <v>5265</v>
      </c>
      <c r="H259" s="152">
        <v>-2.758</v>
      </c>
      <c r="L259" s="149"/>
      <c r="M259" s="153"/>
      <c r="T259" s="154"/>
      <c r="AT259" s="150" t="s">
        <v>346</v>
      </c>
      <c r="AU259" s="150" t="s">
        <v>90</v>
      </c>
      <c r="AV259" s="148" t="s">
        <v>90</v>
      </c>
      <c r="AW259" s="148" t="s">
        <v>33</v>
      </c>
      <c r="AX259" s="148" t="s">
        <v>80</v>
      </c>
      <c r="AY259" s="150" t="s">
        <v>337</v>
      </c>
    </row>
    <row r="260" spans="2:65" s="148" customFormat="1" x14ac:dyDescent="0.2">
      <c r="B260" s="149"/>
      <c r="D260" s="143" t="s">
        <v>346</v>
      </c>
      <c r="E260" s="150"/>
      <c r="F260" s="151" t="s">
        <v>5266</v>
      </c>
      <c r="H260" s="152">
        <v>-2.8570000000000002</v>
      </c>
      <c r="L260" s="149"/>
      <c r="M260" s="153"/>
      <c r="T260" s="154"/>
      <c r="AT260" s="150" t="s">
        <v>346</v>
      </c>
      <c r="AU260" s="150" t="s">
        <v>90</v>
      </c>
      <c r="AV260" s="148" t="s">
        <v>90</v>
      </c>
      <c r="AW260" s="148" t="s">
        <v>33</v>
      </c>
      <c r="AX260" s="148" t="s">
        <v>80</v>
      </c>
      <c r="AY260" s="150" t="s">
        <v>337</v>
      </c>
    </row>
    <row r="261" spans="2:65" s="172" customFormat="1" x14ac:dyDescent="0.2">
      <c r="B261" s="173"/>
      <c r="D261" s="143" t="s">
        <v>346</v>
      </c>
      <c r="E261" s="174"/>
      <c r="F261" s="175" t="s">
        <v>609</v>
      </c>
      <c r="H261" s="176">
        <v>-50.826999999999998</v>
      </c>
      <c r="L261" s="173"/>
      <c r="M261" s="177"/>
      <c r="T261" s="178"/>
      <c r="AT261" s="174" t="s">
        <v>346</v>
      </c>
      <c r="AU261" s="174" t="s">
        <v>90</v>
      </c>
      <c r="AV261" s="172" t="s">
        <v>113</v>
      </c>
      <c r="AW261" s="172" t="s">
        <v>33</v>
      </c>
      <c r="AX261" s="172" t="s">
        <v>80</v>
      </c>
      <c r="AY261" s="174" t="s">
        <v>337</v>
      </c>
    </row>
    <row r="262" spans="2:65" s="155" customFormat="1" x14ac:dyDescent="0.2">
      <c r="B262" s="156"/>
      <c r="D262" s="143" t="s">
        <v>346</v>
      </c>
      <c r="E262" s="157"/>
      <c r="F262" s="158" t="s">
        <v>351</v>
      </c>
      <c r="H262" s="159">
        <v>1032.078</v>
      </c>
      <c r="L262" s="156"/>
      <c r="M262" s="160"/>
      <c r="T262" s="161"/>
      <c r="AT262" s="157" t="s">
        <v>346</v>
      </c>
      <c r="AU262" s="157" t="s">
        <v>90</v>
      </c>
      <c r="AV262" s="155" t="s">
        <v>344</v>
      </c>
      <c r="AW262" s="155" t="s">
        <v>33</v>
      </c>
      <c r="AX262" s="155" t="s">
        <v>87</v>
      </c>
      <c r="AY262" s="157" t="s">
        <v>337</v>
      </c>
    </row>
    <row r="263" spans="2:65" s="16" customFormat="1" ht="16.5" customHeight="1" x14ac:dyDescent="0.2">
      <c r="B263" s="17"/>
      <c r="C263" s="128">
        <v>9</v>
      </c>
      <c r="D263" s="128" t="s">
        <v>339</v>
      </c>
      <c r="E263" s="129" t="s">
        <v>5267</v>
      </c>
      <c r="F263" s="130" t="s">
        <v>5268</v>
      </c>
      <c r="G263" s="131" t="s">
        <v>425</v>
      </c>
      <c r="H263" s="132">
        <v>1016.457</v>
      </c>
      <c r="I263" s="133"/>
      <c r="J263" s="134">
        <f>ROUND(I263*H263,2)</f>
        <v>0</v>
      </c>
      <c r="K263" s="130" t="s">
        <v>343</v>
      </c>
      <c r="L263" s="17"/>
      <c r="M263" s="135"/>
      <c r="N263" s="136" t="s">
        <v>45</v>
      </c>
      <c r="P263" s="137">
        <f>O263*H263</f>
        <v>0</v>
      </c>
      <c r="Q263" s="137">
        <v>0</v>
      </c>
      <c r="R263" s="137">
        <f>Q263*H263</f>
        <v>0</v>
      </c>
      <c r="S263" s="137">
        <v>0.26100000000000001</v>
      </c>
      <c r="T263" s="138">
        <f>S263*H263</f>
        <v>265.295277</v>
      </c>
      <c r="AR263" s="139" t="s">
        <v>344</v>
      </c>
      <c r="AT263" s="139" t="s">
        <v>339</v>
      </c>
      <c r="AU263" s="139" t="s">
        <v>90</v>
      </c>
      <c r="AY263" s="2" t="s">
        <v>337</v>
      </c>
      <c r="BE263" s="140">
        <f>IF(N263="základní",J263,0)</f>
        <v>0</v>
      </c>
      <c r="BF263" s="140">
        <f>IF(N263="snížená",J263,0)</f>
        <v>0</v>
      </c>
      <c r="BG263" s="140">
        <f>IF(N263="zákl. přenesená",J263,0)</f>
        <v>0</v>
      </c>
      <c r="BH263" s="140">
        <f>IF(N263="sníž. přenesená",J263,0)</f>
        <v>0</v>
      </c>
      <c r="BI263" s="140">
        <f>IF(N263="nulová",J263,0)</f>
        <v>0</v>
      </c>
      <c r="BJ263" s="2" t="s">
        <v>87</v>
      </c>
      <c r="BK263" s="140">
        <f>ROUND(I263*H263,2)</f>
        <v>0</v>
      </c>
      <c r="BL263" s="2" t="s">
        <v>344</v>
      </c>
      <c r="BM263" s="139" t="s">
        <v>5269</v>
      </c>
    </row>
    <row r="264" spans="2:65" s="141" customFormat="1" x14ac:dyDescent="0.2">
      <c r="B264" s="142"/>
      <c r="D264" s="143" t="s">
        <v>346</v>
      </c>
      <c r="E264" s="144"/>
      <c r="F264" s="145" t="s">
        <v>5270</v>
      </c>
      <c r="H264" s="144"/>
      <c r="L264" s="142"/>
      <c r="M264" s="146"/>
      <c r="T264" s="147"/>
      <c r="AT264" s="144" t="s">
        <v>346</v>
      </c>
      <c r="AU264" s="144" t="s">
        <v>90</v>
      </c>
      <c r="AV264" s="141" t="s">
        <v>87</v>
      </c>
      <c r="AW264" s="141" t="s">
        <v>33</v>
      </c>
      <c r="AX264" s="141" t="s">
        <v>80</v>
      </c>
      <c r="AY264" s="144" t="s">
        <v>337</v>
      </c>
    </row>
    <row r="265" spans="2:65" s="141" customFormat="1" x14ac:dyDescent="0.2">
      <c r="B265" s="142"/>
      <c r="D265" s="143" t="s">
        <v>346</v>
      </c>
      <c r="E265" s="144"/>
      <c r="F265" s="145" t="s">
        <v>357</v>
      </c>
      <c r="H265" s="144"/>
      <c r="L265" s="142"/>
      <c r="M265" s="146"/>
      <c r="T265" s="147"/>
      <c r="AT265" s="144" t="s">
        <v>346</v>
      </c>
      <c r="AU265" s="144" t="s">
        <v>90</v>
      </c>
      <c r="AV265" s="141" t="s">
        <v>87</v>
      </c>
      <c r="AW265" s="141" t="s">
        <v>33</v>
      </c>
      <c r="AX265" s="141" t="s">
        <v>80</v>
      </c>
      <c r="AY265" s="144" t="s">
        <v>337</v>
      </c>
    </row>
    <row r="266" spans="2:65" s="148" customFormat="1" x14ac:dyDescent="0.2">
      <c r="B266" s="149"/>
      <c r="D266" s="143" t="s">
        <v>346</v>
      </c>
      <c r="E266" s="150"/>
      <c r="F266" s="151" t="s">
        <v>5271</v>
      </c>
      <c r="H266" s="152">
        <v>9.2880000000000003</v>
      </c>
      <c r="L266" s="149"/>
      <c r="M266" s="153"/>
      <c r="T266" s="154"/>
      <c r="AT266" s="150" t="s">
        <v>346</v>
      </c>
      <c r="AU266" s="150" t="s">
        <v>90</v>
      </c>
      <c r="AV266" s="148" t="s">
        <v>90</v>
      </c>
      <c r="AW266" s="148" t="s">
        <v>33</v>
      </c>
      <c r="AX266" s="148" t="s">
        <v>80</v>
      </c>
      <c r="AY266" s="150" t="s">
        <v>337</v>
      </c>
    </row>
    <row r="267" spans="2:65" s="148" customFormat="1" x14ac:dyDescent="0.2">
      <c r="B267" s="149"/>
      <c r="D267" s="143" t="s">
        <v>346</v>
      </c>
      <c r="E267" s="150"/>
      <c r="F267" s="151" t="s">
        <v>5272</v>
      </c>
      <c r="H267" s="152">
        <v>5.5469999999999997</v>
      </c>
      <c r="L267" s="149"/>
      <c r="M267" s="153"/>
      <c r="T267" s="154"/>
      <c r="AT267" s="150" t="s">
        <v>346</v>
      </c>
      <c r="AU267" s="150" t="s">
        <v>90</v>
      </c>
      <c r="AV267" s="148" t="s">
        <v>90</v>
      </c>
      <c r="AW267" s="148" t="s">
        <v>33</v>
      </c>
      <c r="AX267" s="148" t="s">
        <v>80</v>
      </c>
      <c r="AY267" s="150" t="s">
        <v>337</v>
      </c>
    </row>
    <row r="268" spans="2:65" s="148" customFormat="1" x14ac:dyDescent="0.2">
      <c r="B268" s="149"/>
      <c r="D268" s="143" t="s">
        <v>346</v>
      </c>
      <c r="E268" s="150"/>
      <c r="F268" s="151" t="s">
        <v>5272</v>
      </c>
      <c r="H268" s="152">
        <v>5.5469999999999997</v>
      </c>
      <c r="L268" s="149"/>
      <c r="M268" s="153"/>
      <c r="T268" s="154"/>
      <c r="AT268" s="150" t="s">
        <v>346</v>
      </c>
      <c r="AU268" s="150" t="s">
        <v>90</v>
      </c>
      <c r="AV268" s="148" t="s">
        <v>90</v>
      </c>
      <c r="AW268" s="148" t="s">
        <v>33</v>
      </c>
      <c r="AX268" s="148" t="s">
        <v>80</v>
      </c>
      <c r="AY268" s="150" t="s">
        <v>337</v>
      </c>
    </row>
    <row r="269" spans="2:65" s="148" customFormat="1" x14ac:dyDescent="0.2">
      <c r="B269" s="149"/>
      <c r="D269" s="143" t="s">
        <v>346</v>
      </c>
      <c r="E269" s="150"/>
      <c r="F269" s="151" t="s">
        <v>5273</v>
      </c>
      <c r="H269" s="152">
        <v>1.9350000000000001</v>
      </c>
      <c r="L269" s="149"/>
      <c r="M269" s="153"/>
      <c r="T269" s="154"/>
      <c r="AT269" s="150" t="s">
        <v>346</v>
      </c>
      <c r="AU269" s="150" t="s">
        <v>90</v>
      </c>
      <c r="AV269" s="148" t="s">
        <v>90</v>
      </c>
      <c r="AW269" s="148" t="s">
        <v>33</v>
      </c>
      <c r="AX269" s="148" t="s">
        <v>80</v>
      </c>
      <c r="AY269" s="150" t="s">
        <v>337</v>
      </c>
    </row>
    <row r="270" spans="2:65" s="148" customFormat="1" x14ac:dyDescent="0.2">
      <c r="B270" s="149"/>
      <c r="D270" s="143" t="s">
        <v>346</v>
      </c>
      <c r="E270" s="150"/>
      <c r="F270" s="151" t="s">
        <v>5274</v>
      </c>
      <c r="H270" s="152">
        <v>11.352</v>
      </c>
      <c r="L270" s="149"/>
      <c r="M270" s="153"/>
      <c r="T270" s="154"/>
      <c r="AT270" s="150" t="s">
        <v>346</v>
      </c>
      <c r="AU270" s="150" t="s">
        <v>90</v>
      </c>
      <c r="AV270" s="148" t="s">
        <v>90</v>
      </c>
      <c r="AW270" s="148" t="s">
        <v>33</v>
      </c>
      <c r="AX270" s="148" t="s">
        <v>80</v>
      </c>
      <c r="AY270" s="150" t="s">
        <v>337</v>
      </c>
    </row>
    <row r="271" spans="2:65" s="148" customFormat="1" x14ac:dyDescent="0.2">
      <c r="B271" s="149"/>
      <c r="D271" s="143" t="s">
        <v>346</v>
      </c>
      <c r="E271" s="150"/>
      <c r="F271" s="151" t="s">
        <v>5275</v>
      </c>
      <c r="H271" s="152">
        <v>0.38700000000000001</v>
      </c>
      <c r="L271" s="149"/>
      <c r="M271" s="153"/>
      <c r="T271" s="154"/>
      <c r="AT271" s="150" t="s">
        <v>346</v>
      </c>
      <c r="AU271" s="150" t="s">
        <v>90</v>
      </c>
      <c r="AV271" s="148" t="s">
        <v>90</v>
      </c>
      <c r="AW271" s="148" t="s">
        <v>33</v>
      </c>
      <c r="AX271" s="148" t="s">
        <v>80</v>
      </c>
      <c r="AY271" s="150" t="s">
        <v>337</v>
      </c>
    </row>
    <row r="272" spans="2:65" s="148" customFormat="1" x14ac:dyDescent="0.2">
      <c r="B272" s="149"/>
      <c r="D272" s="143" t="s">
        <v>346</v>
      </c>
      <c r="E272" s="150"/>
      <c r="F272" s="151" t="s">
        <v>5276</v>
      </c>
      <c r="H272" s="152">
        <v>0.77400000000000002</v>
      </c>
      <c r="L272" s="149"/>
      <c r="M272" s="153"/>
      <c r="T272" s="154"/>
      <c r="AT272" s="150" t="s">
        <v>346</v>
      </c>
      <c r="AU272" s="150" t="s">
        <v>90</v>
      </c>
      <c r="AV272" s="148" t="s">
        <v>90</v>
      </c>
      <c r="AW272" s="148" t="s">
        <v>33</v>
      </c>
      <c r="AX272" s="148" t="s">
        <v>80</v>
      </c>
      <c r="AY272" s="150" t="s">
        <v>337</v>
      </c>
    </row>
    <row r="273" spans="2:51" s="148" customFormat="1" x14ac:dyDescent="0.2">
      <c r="B273" s="149"/>
      <c r="D273" s="143" t="s">
        <v>346</v>
      </c>
      <c r="E273" s="150"/>
      <c r="F273" s="151" t="s">
        <v>5277</v>
      </c>
      <c r="H273" s="152">
        <v>6.45</v>
      </c>
      <c r="L273" s="149"/>
      <c r="M273" s="153"/>
      <c r="T273" s="154"/>
      <c r="AT273" s="150" t="s">
        <v>346</v>
      </c>
      <c r="AU273" s="150" t="s">
        <v>90</v>
      </c>
      <c r="AV273" s="148" t="s">
        <v>90</v>
      </c>
      <c r="AW273" s="148" t="s">
        <v>33</v>
      </c>
      <c r="AX273" s="148" t="s">
        <v>80</v>
      </c>
      <c r="AY273" s="150" t="s">
        <v>337</v>
      </c>
    </row>
    <row r="274" spans="2:51" s="148" customFormat="1" x14ac:dyDescent="0.2">
      <c r="B274" s="149"/>
      <c r="D274" s="143" t="s">
        <v>346</v>
      </c>
      <c r="E274" s="150"/>
      <c r="F274" s="151" t="s">
        <v>5278</v>
      </c>
      <c r="H274" s="152">
        <v>16.77</v>
      </c>
      <c r="L274" s="149"/>
      <c r="M274" s="153"/>
      <c r="T274" s="154"/>
      <c r="AT274" s="150" t="s">
        <v>346</v>
      </c>
      <c r="AU274" s="150" t="s">
        <v>90</v>
      </c>
      <c r="AV274" s="148" t="s">
        <v>90</v>
      </c>
      <c r="AW274" s="148" t="s">
        <v>33</v>
      </c>
      <c r="AX274" s="148" t="s">
        <v>80</v>
      </c>
      <c r="AY274" s="150" t="s">
        <v>337</v>
      </c>
    </row>
    <row r="275" spans="2:51" s="148" customFormat="1" x14ac:dyDescent="0.2">
      <c r="B275" s="149"/>
      <c r="D275" s="143" t="s">
        <v>346</v>
      </c>
      <c r="E275" s="150"/>
      <c r="F275" s="151" t="s">
        <v>5279</v>
      </c>
      <c r="H275" s="152">
        <v>7.0949999999999998</v>
      </c>
      <c r="L275" s="149"/>
      <c r="M275" s="153"/>
      <c r="T275" s="154"/>
      <c r="AT275" s="150" t="s">
        <v>346</v>
      </c>
      <c r="AU275" s="150" t="s">
        <v>90</v>
      </c>
      <c r="AV275" s="148" t="s">
        <v>90</v>
      </c>
      <c r="AW275" s="148" t="s">
        <v>33</v>
      </c>
      <c r="AX275" s="148" t="s">
        <v>80</v>
      </c>
      <c r="AY275" s="150" t="s">
        <v>337</v>
      </c>
    </row>
    <row r="276" spans="2:51" s="148" customFormat="1" x14ac:dyDescent="0.2">
      <c r="B276" s="149"/>
      <c r="D276" s="143" t="s">
        <v>346</v>
      </c>
      <c r="E276" s="150"/>
      <c r="F276" s="151" t="s">
        <v>5274</v>
      </c>
      <c r="H276" s="152">
        <v>11.352</v>
      </c>
      <c r="L276" s="149"/>
      <c r="M276" s="153"/>
      <c r="T276" s="154"/>
      <c r="AT276" s="150" t="s">
        <v>346</v>
      </c>
      <c r="AU276" s="150" t="s">
        <v>90</v>
      </c>
      <c r="AV276" s="148" t="s">
        <v>90</v>
      </c>
      <c r="AW276" s="148" t="s">
        <v>33</v>
      </c>
      <c r="AX276" s="148" t="s">
        <v>80</v>
      </c>
      <c r="AY276" s="150" t="s">
        <v>337</v>
      </c>
    </row>
    <row r="277" spans="2:51" s="148" customFormat="1" x14ac:dyDescent="0.2">
      <c r="B277" s="149"/>
      <c r="D277" s="143" t="s">
        <v>346</v>
      </c>
      <c r="E277" s="150"/>
      <c r="F277" s="151" t="s">
        <v>5280</v>
      </c>
      <c r="H277" s="152">
        <v>3.3540000000000001</v>
      </c>
      <c r="L277" s="149"/>
      <c r="M277" s="153"/>
      <c r="T277" s="154"/>
      <c r="AT277" s="150" t="s">
        <v>346</v>
      </c>
      <c r="AU277" s="150" t="s">
        <v>90</v>
      </c>
      <c r="AV277" s="148" t="s">
        <v>90</v>
      </c>
      <c r="AW277" s="148" t="s">
        <v>33</v>
      </c>
      <c r="AX277" s="148" t="s">
        <v>80</v>
      </c>
      <c r="AY277" s="150" t="s">
        <v>337</v>
      </c>
    </row>
    <row r="278" spans="2:51" s="148" customFormat="1" x14ac:dyDescent="0.2">
      <c r="B278" s="149"/>
      <c r="D278" s="143" t="s">
        <v>346</v>
      </c>
      <c r="E278" s="150"/>
      <c r="F278" s="151" t="s">
        <v>5281</v>
      </c>
      <c r="H278" s="152">
        <v>6.1920000000000002</v>
      </c>
      <c r="L278" s="149"/>
      <c r="M278" s="153"/>
      <c r="T278" s="154"/>
      <c r="AT278" s="150" t="s">
        <v>346</v>
      </c>
      <c r="AU278" s="150" t="s">
        <v>90</v>
      </c>
      <c r="AV278" s="148" t="s">
        <v>90</v>
      </c>
      <c r="AW278" s="148" t="s">
        <v>33</v>
      </c>
      <c r="AX278" s="148" t="s">
        <v>80</v>
      </c>
      <c r="AY278" s="150" t="s">
        <v>337</v>
      </c>
    </row>
    <row r="279" spans="2:51" s="148" customFormat="1" x14ac:dyDescent="0.2">
      <c r="B279" s="149"/>
      <c r="D279" s="143" t="s">
        <v>346</v>
      </c>
      <c r="E279" s="150"/>
      <c r="F279" s="151" t="s">
        <v>5282</v>
      </c>
      <c r="H279" s="152">
        <v>2.3220000000000001</v>
      </c>
      <c r="L279" s="149"/>
      <c r="M279" s="153"/>
      <c r="T279" s="154"/>
      <c r="AT279" s="150" t="s">
        <v>346</v>
      </c>
      <c r="AU279" s="150" t="s">
        <v>90</v>
      </c>
      <c r="AV279" s="148" t="s">
        <v>90</v>
      </c>
      <c r="AW279" s="148" t="s">
        <v>33</v>
      </c>
      <c r="AX279" s="148" t="s">
        <v>80</v>
      </c>
      <c r="AY279" s="150" t="s">
        <v>337</v>
      </c>
    </row>
    <row r="280" spans="2:51" s="148" customFormat="1" x14ac:dyDescent="0.2">
      <c r="B280" s="149"/>
      <c r="D280" s="143" t="s">
        <v>346</v>
      </c>
      <c r="E280" s="150"/>
      <c r="F280" s="151" t="s">
        <v>5283</v>
      </c>
      <c r="H280" s="152">
        <v>4.9539999999999997</v>
      </c>
      <c r="L280" s="149"/>
      <c r="M280" s="153"/>
      <c r="T280" s="154"/>
      <c r="AT280" s="150" t="s">
        <v>346</v>
      </c>
      <c r="AU280" s="150" t="s">
        <v>90</v>
      </c>
      <c r="AV280" s="148" t="s">
        <v>90</v>
      </c>
      <c r="AW280" s="148" t="s">
        <v>33</v>
      </c>
      <c r="AX280" s="148" t="s">
        <v>80</v>
      </c>
      <c r="AY280" s="150" t="s">
        <v>337</v>
      </c>
    </row>
    <row r="281" spans="2:51" s="148" customFormat="1" x14ac:dyDescent="0.2">
      <c r="B281" s="149"/>
      <c r="D281" s="143" t="s">
        <v>346</v>
      </c>
      <c r="E281" s="150"/>
      <c r="F281" s="151" t="s">
        <v>5284</v>
      </c>
      <c r="H281" s="152">
        <v>11.61</v>
      </c>
      <c r="L281" s="149"/>
      <c r="M281" s="153"/>
      <c r="T281" s="154"/>
      <c r="AT281" s="150" t="s">
        <v>346</v>
      </c>
      <c r="AU281" s="150" t="s">
        <v>90</v>
      </c>
      <c r="AV281" s="148" t="s">
        <v>90</v>
      </c>
      <c r="AW281" s="148" t="s">
        <v>33</v>
      </c>
      <c r="AX281" s="148" t="s">
        <v>80</v>
      </c>
      <c r="AY281" s="150" t="s">
        <v>337</v>
      </c>
    </row>
    <row r="282" spans="2:51" s="148" customFormat="1" x14ac:dyDescent="0.2">
      <c r="B282" s="149"/>
      <c r="D282" s="143" t="s">
        <v>346</v>
      </c>
      <c r="E282" s="150"/>
      <c r="F282" s="151" t="s">
        <v>5281</v>
      </c>
      <c r="H282" s="152">
        <v>6.1920000000000002</v>
      </c>
      <c r="L282" s="149"/>
      <c r="M282" s="153"/>
      <c r="T282" s="154"/>
      <c r="AT282" s="150" t="s">
        <v>346</v>
      </c>
      <c r="AU282" s="150" t="s">
        <v>90</v>
      </c>
      <c r="AV282" s="148" t="s">
        <v>90</v>
      </c>
      <c r="AW282" s="148" t="s">
        <v>33</v>
      </c>
      <c r="AX282" s="148" t="s">
        <v>80</v>
      </c>
      <c r="AY282" s="150" t="s">
        <v>337</v>
      </c>
    </row>
    <row r="283" spans="2:51" s="148" customFormat="1" x14ac:dyDescent="0.2">
      <c r="B283" s="149"/>
      <c r="D283" s="143" t="s">
        <v>346</v>
      </c>
      <c r="E283" s="150"/>
      <c r="F283" s="151" t="s">
        <v>5281</v>
      </c>
      <c r="H283" s="152">
        <v>6.1920000000000002</v>
      </c>
      <c r="L283" s="149"/>
      <c r="M283" s="153"/>
      <c r="T283" s="154"/>
      <c r="AT283" s="150" t="s">
        <v>346</v>
      </c>
      <c r="AU283" s="150" t="s">
        <v>90</v>
      </c>
      <c r="AV283" s="148" t="s">
        <v>90</v>
      </c>
      <c r="AW283" s="148" t="s">
        <v>33</v>
      </c>
      <c r="AX283" s="148" t="s">
        <v>80</v>
      </c>
      <c r="AY283" s="150" t="s">
        <v>337</v>
      </c>
    </row>
    <row r="284" spans="2:51" s="141" customFormat="1" x14ac:dyDescent="0.2">
      <c r="B284" s="142"/>
      <c r="D284" s="143" t="s">
        <v>346</v>
      </c>
      <c r="E284" s="144"/>
      <c r="F284" s="145" t="s">
        <v>362</v>
      </c>
      <c r="H284" s="144"/>
      <c r="L284" s="142"/>
      <c r="M284" s="146"/>
      <c r="T284" s="147"/>
      <c r="AT284" s="144" t="s">
        <v>346</v>
      </c>
      <c r="AU284" s="144" t="s">
        <v>90</v>
      </c>
      <c r="AV284" s="141" t="s">
        <v>87</v>
      </c>
      <c r="AW284" s="141" t="s">
        <v>33</v>
      </c>
      <c r="AX284" s="141" t="s">
        <v>80</v>
      </c>
      <c r="AY284" s="144" t="s">
        <v>337</v>
      </c>
    </row>
    <row r="285" spans="2:51" s="148" customFormat="1" x14ac:dyDescent="0.2">
      <c r="B285" s="149"/>
      <c r="D285" s="143" t="s">
        <v>346</v>
      </c>
      <c r="E285" s="150"/>
      <c r="F285" s="151" t="s">
        <v>5285</v>
      </c>
      <c r="H285" s="152">
        <v>3.8130000000000002</v>
      </c>
      <c r="L285" s="149"/>
      <c r="M285" s="153"/>
      <c r="T285" s="154"/>
      <c r="AT285" s="150" t="s">
        <v>346</v>
      </c>
      <c r="AU285" s="150" t="s">
        <v>90</v>
      </c>
      <c r="AV285" s="148" t="s">
        <v>90</v>
      </c>
      <c r="AW285" s="148" t="s">
        <v>33</v>
      </c>
      <c r="AX285" s="148" t="s">
        <v>80</v>
      </c>
      <c r="AY285" s="150" t="s">
        <v>337</v>
      </c>
    </row>
    <row r="286" spans="2:51" s="148" customFormat="1" x14ac:dyDescent="0.2">
      <c r="B286" s="149"/>
      <c r="D286" s="143" t="s">
        <v>346</v>
      </c>
      <c r="E286" s="150"/>
      <c r="F286" s="151" t="s">
        <v>5285</v>
      </c>
      <c r="H286" s="152">
        <v>3.8130000000000002</v>
      </c>
      <c r="L286" s="149"/>
      <c r="M286" s="153"/>
      <c r="T286" s="154"/>
      <c r="AT286" s="150" t="s">
        <v>346</v>
      </c>
      <c r="AU286" s="150" t="s">
        <v>90</v>
      </c>
      <c r="AV286" s="148" t="s">
        <v>90</v>
      </c>
      <c r="AW286" s="148" t="s">
        <v>33</v>
      </c>
      <c r="AX286" s="148" t="s">
        <v>80</v>
      </c>
      <c r="AY286" s="150" t="s">
        <v>337</v>
      </c>
    </row>
    <row r="287" spans="2:51" s="148" customFormat="1" x14ac:dyDescent="0.2">
      <c r="B287" s="149"/>
      <c r="D287" s="143" t="s">
        <v>346</v>
      </c>
      <c r="E287" s="150"/>
      <c r="F287" s="151" t="s">
        <v>5286</v>
      </c>
      <c r="H287" s="152">
        <v>1.0680000000000001</v>
      </c>
      <c r="L287" s="149"/>
      <c r="M287" s="153"/>
      <c r="T287" s="154"/>
      <c r="AT287" s="150" t="s">
        <v>346</v>
      </c>
      <c r="AU287" s="150" t="s">
        <v>90</v>
      </c>
      <c r="AV287" s="148" t="s">
        <v>90</v>
      </c>
      <c r="AW287" s="148" t="s">
        <v>33</v>
      </c>
      <c r="AX287" s="148" t="s">
        <v>80</v>
      </c>
      <c r="AY287" s="150" t="s">
        <v>337</v>
      </c>
    </row>
    <row r="288" spans="2:51" s="148" customFormat="1" x14ac:dyDescent="0.2">
      <c r="B288" s="149"/>
      <c r="D288" s="143" t="s">
        <v>346</v>
      </c>
      <c r="E288" s="150"/>
      <c r="F288" s="151" t="s">
        <v>5287</v>
      </c>
      <c r="H288" s="152">
        <v>2.806</v>
      </c>
      <c r="L288" s="149"/>
      <c r="M288" s="153"/>
      <c r="T288" s="154"/>
      <c r="AT288" s="150" t="s">
        <v>346</v>
      </c>
      <c r="AU288" s="150" t="s">
        <v>90</v>
      </c>
      <c r="AV288" s="148" t="s">
        <v>90</v>
      </c>
      <c r="AW288" s="148" t="s">
        <v>33</v>
      </c>
      <c r="AX288" s="148" t="s">
        <v>80</v>
      </c>
      <c r="AY288" s="150" t="s">
        <v>337</v>
      </c>
    </row>
    <row r="289" spans="2:51" s="148" customFormat="1" x14ac:dyDescent="0.2">
      <c r="B289" s="149"/>
      <c r="D289" s="143" t="s">
        <v>346</v>
      </c>
      <c r="E289" s="150"/>
      <c r="F289" s="151" t="s">
        <v>5286</v>
      </c>
      <c r="H289" s="152">
        <v>1.0680000000000001</v>
      </c>
      <c r="L289" s="149"/>
      <c r="M289" s="153"/>
      <c r="T289" s="154"/>
      <c r="AT289" s="150" t="s">
        <v>346</v>
      </c>
      <c r="AU289" s="150" t="s">
        <v>90</v>
      </c>
      <c r="AV289" s="148" t="s">
        <v>90</v>
      </c>
      <c r="AW289" s="148" t="s">
        <v>33</v>
      </c>
      <c r="AX289" s="148" t="s">
        <v>80</v>
      </c>
      <c r="AY289" s="150" t="s">
        <v>337</v>
      </c>
    </row>
    <row r="290" spans="2:51" s="148" customFormat="1" x14ac:dyDescent="0.2">
      <c r="B290" s="149"/>
      <c r="D290" s="143" t="s">
        <v>346</v>
      </c>
      <c r="E290" s="150"/>
      <c r="F290" s="151" t="s">
        <v>5285</v>
      </c>
      <c r="H290" s="152">
        <v>3.8130000000000002</v>
      </c>
      <c r="L290" s="149"/>
      <c r="M290" s="153"/>
      <c r="T290" s="154"/>
      <c r="AT290" s="150" t="s">
        <v>346</v>
      </c>
      <c r="AU290" s="150" t="s">
        <v>90</v>
      </c>
      <c r="AV290" s="148" t="s">
        <v>90</v>
      </c>
      <c r="AW290" s="148" t="s">
        <v>33</v>
      </c>
      <c r="AX290" s="148" t="s">
        <v>80</v>
      </c>
      <c r="AY290" s="150" t="s">
        <v>337</v>
      </c>
    </row>
    <row r="291" spans="2:51" s="148" customFormat="1" x14ac:dyDescent="0.2">
      <c r="B291" s="149"/>
      <c r="D291" s="143" t="s">
        <v>346</v>
      </c>
      <c r="E291" s="150"/>
      <c r="F291" s="151" t="s">
        <v>5285</v>
      </c>
      <c r="H291" s="152">
        <v>3.8130000000000002</v>
      </c>
      <c r="L291" s="149"/>
      <c r="M291" s="153"/>
      <c r="T291" s="154"/>
      <c r="AT291" s="150" t="s">
        <v>346</v>
      </c>
      <c r="AU291" s="150" t="s">
        <v>90</v>
      </c>
      <c r="AV291" s="148" t="s">
        <v>90</v>
      </c>
      <c r="AW291" s="148" t="s">
        <v>33</v>
      </c>
      <c r="AX291" s="148" t="s">
        <v>80</v>
      </c>
      <c r="AY291" s="150" t="s">
        <v>337</v>
      </c>
    </row>
    <row r="292" spans="2:51" s="148" customFormat="1" x14ac:dyDescent="0.2">
      <c r="B292" s="149"/>
      <c r="D292" s="143" t="s">
        <v>346</v>
      </c>
      <c r="E292" s="150"/>
      <c r="F292" s="151" t="s">
        <v>5288</v>
      </c>
      <c r="H292" s="152">
        <v>0.76300000000000001</v>
      </c>
      <c r="L292" s="149"/>
      <c r="M292" s="153"/>
      <c r="T292" s="154"/>
      <c r="AT292" s="150" t="s">
        <v>346</v>
      </c>
      <c r="AU292" s="150" t="s">
        <v>90</v>
      </c>
      <c r="AV292" s="148" t="s">
        <v>90</v>
      </c>
      <c r="AW292" s="148" t="s">
        <v>33</v>
      </c>
      <c r="AX292" s="148" t="s">
        <v>80</v>
      </c>
      <c r="AY292" s="150" t="s">
        <v>337</v>
      </c>
    </row>
    <row r="293" spans="2:51" s="148" customFormat="1" x14ac:dyDescent="0.2">
      <c r="B293" s="149"/>
      <c r="D293" s="143" t="s">
        <v>346</v>
      </c>
      <c r="E293" s="150"/>
      <c r="F293" s="151" t="s">
        <v>5232</v>
      </c>
      <c r="H293" s="152">
        <v>0.91500000000000004</v>
      </c>
      <c r="L293" s="149"/>
      <c r="M293" s="153"/>
      <c r="T293" s="154"/>
      <c r="AT293" s="150" t="s">
        <v>346</v>
      </c>
      <c r="AU293" s="150" t="s">
        <v>90</v>
      </c>
      <c r="AV293" s="148" t="s">
        <v>90</v>
      </c>
      <c r="AW293" s="148" t="s">
        <v>33</v>
      </c>
      <c r="AX293" s="148" t="s">
        <v>80</v>
      </c>
      <c r="AY293" s="150" t="s">
        <v>337</v>
      </c>
    </row>
    <row r="294" spans="2:51" s="148" customFormat="1" x14ac:dyDescent="0.2">
      <c r="B294" s="149"/>
      <c r="D294" s="143" t="s">
        <v>346</v>
      </c>
      <c r="E294" s="150"/>
      <c r="F294" s="151" t="s">
        <v>5288</v>
      </c>
      <c r="H294" s="152">
        <v>0.76300000000000001</v>
      </c>
      <c r="L294" s="149"/>
      <c r="M294" s="153"/>
      <c r="T294" s="154"/>
      <c r="AT294" s="150" t="s">
        <v>346</v>
      </c>
      <c r="AU294" s="150" t="s">
        <v>90</v>
      </c>
      <c r="AV294" s="148" t="s">
        <v>90</v>
      </c>
      <c r="AW294" s="148" t="s">
        <v>33</v>
      </c>
      <c r="AX294" s="148" t="s">
        <v>80</v>
      </c>
      <c r="AY294" s="150" t="s">
        <v>337</v>
      </c>
    </row>
    <row r="295" spans="2:51" s="148" customFormat="1" x14ac:dyDescent="0.2">
      <c r="B295" s="149"/>
      <c r="D295" s="143" t="s">
        <v>346</v>
      </c>
      <c r="E295" s="150"/>
      <c r="F295" s="151" t="s">
        <v>5232</v>
      </c>
      <c r="H295" s="152">
        <v>0.91500000000000004</v>
      </c>
      <c r="L295" s="149"/>
      <c r="M295" s="153"/>
      <c r="T295" s="154"/>
      <c r="AT295" s="150" t="s">
        <v>346</v>
      </c>
      <c r="AU295" s="150" t="s">
        <v>90</v>
      </c>
      <c r="AV295" s="148" t="s">
        <v>90</v>
      </c>
      <c r="AW295" s="148" t="s">
        <v>33</v>
      </c>
      <c r="AX295" s="148" t="s">
        <v>80</v>
      </c>
      <c r="AY295" s="150" t="s">
        <v>337</v>
      </c>
    </row>
    <row r="296" spans="2:51" s="148" customFormat="1" x14ac:dyDescent="0.2">
      <c r="B296" s="149"/>
      <c r="D296" s="143" t="s">
        <v>346</v>
      </c>
      <c r="E296" s="150"/>
      <c r="F296" s="151" t="s">
        <v>5285</v>
      </c>
      <c r="H296" s="152">
        <v>3.8130000000000002</v>
      </c>
      <c r="L296" s="149"/>
      <c r="M296" s="153"/>
      <c r="T296" s="154"/>
      <c r="AT296" s="150" t="s">
        <v>346</v>
      </c>
      <c r="AU296" s="150" t="s">
        <v>90</v>
      </c>
      <c r="AV296" s="148" t="s">
        <v>90</v>
      </c>
      <c r="AW296" s="148" t="s">
        <v>33</v>
      </c>
      <c r="AX296" s="148" t="s">
        <v>80</v>
      </c>
      <c r="AY296" s="150" t="s">
        <v>337</v>
      </c>
    </row>
    <row r="297" spans="2:51" s="148" customFormat="1" x14ac:dyDescent="0.2">
      <c r="B297" s="149"/>
      <c r="D297" s="143" t="s">
        <v>346</v>
      </c>
      <c r="E297" s="150"/>
      <c r="F297" s="151" t="s">
        <v>5285</v>
      </c>
      <c r="H297" s="152">
        <v>3.8130000000000002</v>
      </c>
      <c r="L297" s="149"/>
      <c r="M297" s="153"/>
      <c r="T297" s="154"/>
      <c r="AT297" s="150" t="s">
        <v>346</v>
      </c>
      <c r="AU297" s="150" t="s">
        <v>90</v>
      </c>
      <c r="AV297" s="148" t="s">
        <v>90</v>
      </c>
      <c r="AW297" s="148" t="s">
        <v>33</v>
      </c>
      <c r="AX297" s="148" t="s">
        <v>80</v>
      </c>
      <c r="AY297" s="150" t="s">
        <v>337</v>
      </c>
    </row>
    <row r="298" spans="2:51" s="148" customFormat="1" x14ac:dyDescent="0.2">
      <c r="B298" s="149"/>
      <c r="D298" s="143" t="s">
        <v>346</v>
      </c>
      <c r="E298" s="150"/>
      <c r="F298" s="151" t="s">
        <v>5285</v>
      </c>
      <c r="H298" s="152">
        <v>3.8130000000000002</v>
      </c>
      <c r="L298" s="149"/>
      <c r="M298" s="153"/>
      <c r="T298" s="154"/>
      <c r="AT298" s="150" t="s">
        <v>346</v>
      </c>
      <c r="AU298" s="150" t="s">
        <v>90</v>
      </c>
      <c r="AV298" s="148" t="s">
        <v>90</v>
      </c>
      <c r="AW298" s="148" t="s">
        <v>33</v>
      </c>
      <c r="AX298" s="148" t="s">
        <v>80</v>
      </c>
      <c r="AY298" s="150" t="s">
        <v>337</v>
      </c>
    </row>
    <row r="299" spans="2:51" s="148" customFormat="1" x14ac:dyDescent="0.2">
      <c r="B299" s="149"/>
      <c r="D299" s="143" t="s">
        <v>346</v>
      </c>
      <c r="E299" s="150"/>
      <c r="F299" s="151" t="s">
        <v>5285</v>
      </c>
      <c r="H299" s="152">
        <v>3.8130000000000002</v>
      </c>
      <c r="L299" s="149"/>
      <c r="M299" s="153"/>
      <c r="T299" s="154"/>
      <c r="AT299" s="150" t="s">
        <v>346</v>
      </c>
      <c r="AU299" s="150" t="s">
        <v>90</v>
      </c>
      <c r="AV299" s="148" t="s">
        <v>90</v>
      </c>
      <c r="AW299" s="148" t="s">
        <v>33</v>
      </c>
      <c r="AX299" s="148" t="s">
        <v>80</v>
      </c>
      <c r="AY299" s="150" t="s">
        <v>337</v>
      </c>
    </row>
    <row r="300" spans="2:51" s="148" customFormat="1" x14ac:dyDescent="0.2">
      <c r="B300" s="149"/>
      <c r="D300" s="143" t="s">
        <v>346</v>
      </c>
      <c r="E300" s="150"/>
      <c r="F300" s="151" t="s">
        <v>5285</v>
      </c>
      <c r="H300" s="152">
        <v>3.8130000000000002</v>
      </c>
      <c r="L300" s="149"/>
      <c r="M300" s="153"/>
      <c r="T300" s="154"/>
      <c r="AT300" s="150" t="s">
        <v>346</v>
      </c>
      <c r="AU300" s="150" t="s">
        <v>90</v>
      </c>
      <c r="AV300" s="148" t="s">
        <v>90</v>
      </c>
      <c r="AW300" s="148" t="s">
        <v>33</v>
      </c>
      <c r="AX300" s="148" t="s">
        <v>80</v>
      </c>
      <c r="AY300" s="150" t="s">
        <v>337</v>
      </c>
    </row>
    <row r="301" spans="2:51" s="148" customFormat="1" x14ac:dyDescent="0.2">
      <c r="B301" s="149"/>
      <c r="D301" s="143" t="s">
        <v>346</v>
      </c>
      <c r="E301" s="150"/>
      <c r="F301" s="151" t="s">
        <v>5285</v>
      </c>
      <c r="H301" s="152">
        <v>3.8130000000000002</v>
      </c>
      <c r="L301" s="149"/>
      <c r="M301" s="153"/>
      <c r="T301" s="154"/>
      <c r="AT301" s="150" t="s">
        <v>346</v>
      </c>
      <c r="AU301" s="150" t="s">
        <v>90</v>
      </c>
      <c r="AV301" s="148" t="s">
        <v>90</v>
      </c>
      <c r="AW301" s="148" t="s">
        <v>33</v>
      </c>
      <c r="AX301" s="148" t="s">
        <v>80</v>
      </c>
      <c r="AY301" s="150" t="s">
        <v>337</v>
      </c>
    </row>
    <row r="302" spans="2:51" s="148" customFormat="1" x14ac:dyDescent="0.2">
      <c r="B302" s="149"/>
      <c r="D302" s="143" t="s">
        <v>346</v>
      </c>
      <c r="E302" s="150"/>
      <c r="F302" s="151" t="s">
        <v>5285</v>
      </c>
      <c r="H302" s="152">
        <v>3.8130000000000002</v>
      </c>
      <c r="L302" s="149"/>
      <c r="M302" s="153"/>
      <c r="T302" s="154"/>
      <c r="AT302" s="150" t="s">
        <v>346</v>
      </c>
      <c r="AU302" s="150" t="s">
        <v>90</v>
      </c>
      <c r="AV302" s="148" t="s">
        <v>90</v>
      </c>
      <c r="AW302" s="148" t="s">
        <v>33</v>
      </c>
      <c r="AX302" s="148" t="s">
        <v>80</v>
      </c>
      <c r="AY302" s="150" t="s">
        <v>337</v>
      </c>
    </row>
    <row r="303" spans="2:51" s="148" customFormat="1" x14ac:dyDescent="0.2">
      <c r="B303" s="149"/>
      <c r="D303" s="143" t="s">
        <v>346</v>
      </c>
      <c r="E303" s="150"/>
      <c r="F303" s="151" t="s">
        <v>5289</v>
      </c>
      <c r="H303" s="152">
        <v>17.843</v>
      </c>
      <c r="L303" s="149"/>
      <c r="M303" s="153"/>
      <c r="T303" s="154"/>
      <c r="AT303" s="150" t="s">
        <v>346</v>
      </c>
      <c r="AU303" s="150" t="s">
        <v>90</v>
      </c>
      <c r="AV303" s="148" t="s">
        <v>90</v>
      </c>
      <c r="AW303" s="148" t="s">
        <v>33</v>
      </c>
      <c r="AX303" s="148" t="s">
        <v>80</v>
      </c>
      <c r="AY303" s="150" t="s">
        <v>337</v>
      </c>
    </row>
    <row r="304" spans="2:51" s="141" customFormat="1" x14ac:dyDescent="0.2">
      <c r="B304" s="142"/>
      <c r="D304" s="143" t="s">
        <v>346</v>
      </c>
      <c r="E304" s="144"/>
      <c r="F304" s="145" t="s">
        <v>367</v>
      </c>
      <c r="H304" s="144"/>
      <c r="L304" s="142"/>
      <c r="M304" s="146"/>
      <c r="T304" s="147"/>
      <c r="AT304" s="144" t="s">
        <v>346</v>
      </c>
      <c r="AU304" s="144" t="s">
        <v>90</v>
      </c>
      <c r="AV304" s="141" t="s">
        <v>87</v>
      </c>
      <c r="AW304" s="141" t="s">
        <v>33</v>
      </c>
      <c r="AX304" s="141" t="s">
        <v>80</v>
      </c>
      <c r="AY304" s="144" t="s">
        <v>337</v>
      </c>
    </row>
    <row r="305" spans="2:51" s="148" customFormat="1" x14ac:dyDescent="0.2">
      <c r="B305" s="149"/>
      <c r="D305" s="143" t="s">
        <v>346</v>
      </c>
      <c r="E305" s="150"/>
      <c r="F305" s="151" t="s">
        <v>5285</v>
      </c>
      <c r="H305" s="152">
        <v>3.8130000000000002</v>
      </c>
      <c r="L305" s="149"/>
      <c r="M305" s="153"/>
      <c r="T305" s="154"/>
      <c r="AT305" s="150" t="s">
        <v>346</v>
      </c>
      <c r="AU305" s="150" t="s">
        <v>90</v>
      </c>
      <c r="AV305" s="148" t="s">
        <v>90</v>
      </c>
      <c r="AW305" s="148" t="s">
        <v>33</v>
      </c>
      <c r="AX305" s="148" t="s">
        <v>80</v>
      </c>
      <c r="AY305" s="150" t="s">
        <v>337</v>
      </c>
    </row>
    <row r="306" spans="2:51" s="148" customFormat="1" x14ac:dyDescent="0.2">
      <c r="B306" s="149"/>
      <c r="D306" s="143" t="s">
        <v>346</v>
      </c>
      <c r="E306" s="150"/>
      <c r="F306" s="151" t="s">
        <v>5285</v>
      </c>
      <c r="H306" s="152">
        <v>3.8130000000000002</v>
      </c>
      <c r="L306" s="149"/>
      <c r="M306" s="153"/>
      <c r="T306" s="154"/>
      <c r="AT306" s="150" t="s">
        <v>346</v>
      </c>
      <c r="AU306" s="150" t="s">
        <v>90</v>
      </c>
      <c r="AV306" s="148" t="s">
        <v>90</v>
      </c>
      <c r="AW306" s="148" t="s">
        <v>33</v>
      </c>
      <c r="AX306" s="148" t="s">
        <v>80</v>
      </c>
      <c r="AY306" s="150" t="s">
        <v>337</v>
      </c>
    </row>
    <row r="307" spans="2:51" s="148" customFormat="1" x14ac:dyDescent="0.2">
      <c r="B307" s="149"/>
      <c r="D307" s="143" t="s">
        <v>346</v>
      </c>
      <c r="E307" s="150"/>
      <c r="F307" s="151" t="s">
        <v>5288</v>
      </c>
      <c r="H307" s="152">
        <v>0.76300000000000001</v>
      </c>
      <c r="L307" s="149"/>
      <c r="M307" s="153"/>
      <c r="T307" s="154"/>
      <c r="AT307" s="150" t="s">
        <v>346</v>
      </c>
      <c r="AU307" s="150" t="s">
        <v>90</v>
      </c>
      <c r="AV307" s="148" t="s">
        <v>90</v>
      </c>
      <c r="AW307" s="148" t="s">
        <v>33</v>
      </c>
      <c r="AX307" s="148" t="s">
        <v>80</v>
      </c>
      <c r="AY307" s="150" t="s">
        <v>337</v>
      </c>
    </row>
    <row r="308" spans="2:51" s="148" customFormat="1" x14ac:dyDescent="0.2">
      <c r="B308" s="149"/>
      <c r="D308" s="143" t="s">
        <v>346</v>
      </c>
      <c r="E308" s="150"/>
      <c r="F308" s="151" t="s">
        <v>5290</v>
      </c>
      <c r="H308" s="152">
        <v>3.569</v>
      </c>
      <c r="L308" s="149"/>
      <c r="M308" s="153"/>
      <c r="T308" s="154"/>
      <c r="AT308" s="150" t="s">
        <v>346</v>
      </c>
      <c r="AU308" s="150" t="s">
        <v>90</v>
      </c>
      <c r="AV308" s="148" t="s">
        <v>90</v>
      </c>
      <c r="AW308" s="148" t="s">
        <v>33</v>
      </c>
      <c r="AX308" s="148" t="s">
        <v>80</v>
      </c>
      <c r="AY308" s="150" t="s">
        <v>337</v>
      </c>
    </row>
    <row r="309" spans="2:51" s="148" customFormat="1" x14ac:dyDescent="0.2">
      <c r="B309" s="149"/>
      <c r="D309" s="143" t="s">
        <v>346</v>
      </c>
      <c r="E309" s="150"/>
      <c r="F309" s="151" t="s">
        <v>5288</v>
      </c>
      <c r="H309" s="152">
        <v>0.76300000000000001</v>
      </c>
      <c r="L309" s="149"/>
      <c r="M309" s="153"/>
      <c r="T309" s="154"/>
      <c r="AT309" s="150" t="s">
        <v>346</v>
      </c>
      <c r="AU309" s="150" t="s">
        <v>90</v>
      </c>
      <c r="AV309" s="148" t="s">
        <v>90</v>
      </c>
      <c r="AW309" s="148" t="s">
        <v>33</v>
      </c>
      <c r="AX309" s="148" t="s">
        <v>80</v>
      </c>
      <c r="AY309" s="150" t="s">
        <v>337</v>
      </c>
    </row>
    <row r="310" spans="2:51" s="148" customFormat="1" x14ac:dyDescent="0.2">
      <c r="B310" s="149"/>
      <c r="D310" s="143" t="s">
        <v>346</v>
      </c>
      <c r="E310" s="150"/>
      <c r="F310" s="151" t="s">
        <v>5288</v>
      </c>
      <c r="H310" s="152">
        <v>0.76300000000000001</v>
      </c>
      <c r="L310" s="149"/>
      <c r="M310" s="153"/>
      <c r="T310" s="154"/>
      <c r="AT310" s="150" t="s">
        <v>346</v>
      </c>
      <c r="AU310" s="150" t="s">
        <v>90</v>
      </c>
      <c r="AV310" s="148" t="s">
        <v>90</v>
      </c>
      <c r="AW310" s="148" t="s">
        <v>33</v>
      </c>
      <c r="AX310" s="148" t="s">
        <v>80</v>
      </c>
      <c r="AY310" s="150" t="s">
        <v>337</v>
      </c>
    </row>
    <row r="311" spans="2:51" s="148" customFormat="1" x14ac:dyDescent="0.2">
      <c r="B311" s="149"/>
      <c r="D311" s="143" t="s">
        <v>346</v>
      </c>
      <c r="E311" s="150"/>
      <c r="F311" s="151" t="s">
        <v>5288</v>
      </c>
      <c r="H311" s="152">
        <v>0.76300000000000001</v>
      </c>
      <c r="L311" s="149"/>
      <c r="M311" s="153"/>
      <c r="T311" s="154"/>
      <c r="AT311" s="150" t="s">
        <v>346</v>
      </c>
      <c r="AU311" s="150" t="s">
        <v>90</v>
      </c>
      <c r="AV311" s="148" t="s">
        <v>90</v>
      </c>
      <c r="AW311" s="148" t="s">
        <v>33</v>
      </c>
      <c r="AX311" s="148" t="s">
        <v>80</v>
      </c>
      <c r="AY311" s="150" t="s">
        <v>337</v>
      </c>
    </row>
    <row r="312" spans="2:51" s="148" customFormat="1" x14ac:dyDescent="0.2">
      <c r="B312" s="149"/>
      <c r="D312" s="143" t="s">
        <v>346</v>
      </c>
      <c r="E312" s="150"/>
      <c r="F312" s="151" t="s">
        <v>5288</v>
      </c>
      <c r="H312" s="152">
        <v>0.76300000000000001</v>
      </c>
      <c r="L312" s="149"/>
      <c r="M312" s="153"/>
      <c r="T312" s="154"/>
      <c r="AT312" s="150" t="s">
        <v>346</v>
      </c>
      <c r="AU312" s="150" t="s">
        <v>90</v>
      </c>
      <c r="AV312" s="148" t="s">
        <v>90</v>
      </c>
      <c r="AW312" s="148" t="s">
        <v>33</v>
      </c>
      <c r="AX312" s="148" t="s">
        <v>80</v>
      </c>
      <c r="AY312" s="150" t="s">
        <v>337</v>
      </c>
    </row>
    <row r="313" spans="2:51" s="148" customFormat="1" x14ac:dyDescent="0.2">
      <c r="B313" s="149"/>
      <c r="D313" s="143" t="s">
        <v>346</v>
      </c>
      <c r="E313" s="150"/>
      <c r="F313" s="151" t="s">
        <v>5288</v>
      </c>
      <c r="H313" s="152">
        <v>0.76300000000000001</v>
      </c>
      <c r="L313" s="149"/>
      <c r="M313" s="153"/>
      <c r="T313" s="154"/>
      <c r="AT313" s="150" t="s">
        <v>346</v>
      </c>
      <c r="AU313" s="150" t="s">
        <v>90</v>
      </c>
      <c r="AV313" s="148" t="s">
        <v>90</v>
      </c>
      <c r="AW313" s="148" t="s">
        <v>33</v>
      </c>
      <c r="AX313" s="148" t="s">
        <v>80</v>
      </c>
      <c r="AY313" s="150" t="s">
        <v>337</v>
      </c>
    </row>
    <row r="314" spans="2:51" s="148" customFormat="1" x14ac:dyDescent="0.2">
      <c r="B314" s="149"/>
      <c r="D314" s="143" t="s">
        <v>346</v>
      </c>
      <c r="E314" s="150"/>
      <c r="F314" s="151" t="s">
        <v>5285</v>
      </c>
      <c r="H314" s="152">
        <v>3.8130000000000002</v>
      </c>
      <c r="L314" s="149"/>
      <c r="M314" s="153"/>
      <c r="T314" s="154"/>
      <c r="AT314" s="150" t="s">
        <v>346</v>
      </c>
      <c r="AU314" s="150" t="s">
        <v>90</v>
      </c>
      <c r="AV314" s="148" t="s">
        <v>90</v>
      </c>
      <c r="AW314" s="148" t="s">
        <v>33</v>
      </c>
      <c r="AX314" s="148" t="s">
        <v>80</v>
      </c>
      <c r="AY314" s="150" t="s">
        <v>337</v>
      </c>
    </row>
    <row r="315" spans="2:51" s="148" customFormat="1" x14ac:dyDescent="0.2">
      <c r="B315" s="149"/>
      <c r="D315" s="143" t="s">
        <v>346</v>
      </c>
      <c r="E315" s="150"/>
      <c r="F315" s="151" t="s">
        <v>5291</v>
      </c>
      <c r="H315" s="152">
        <v>3.05</v>
      </c>
      <c r="L315" s="149"/>
      <c r="M315" s="153"/>
      <c r="T315" s="154"/>
      <c r="AT315" s="150" t="s">
        <v>346</v>
      </c>
      <c r="AU315" s="150" t="s">
        <v>90</v>
      </c>
      <c r="AV315" s="148" t="s">
        <v>90</v>
      </c>
      <c r="AW315" s="148" t="s">
        <v>33</v>
      </c>
      <c r="AX315" s="148" t="s">
        <v>80</v>
      </c>
      <c r="AY315" s="150" t="s">
        <v>337</v>
      </c>
    </row>
    <row r="316" spans="2:51" s="148" customFormat="1" x14ac:dyDescent="0.2">
      <c r="B316" s="149"/>
      <c r="D316" s="143" t="s">
        <v>346</v>
      </c>
      <c r="E316" s="150"/>
      <c r="F316" s="151" t="s">
        <v>5285</v>
      </c>
      <c r="H316" s="152">
        <v>3.8130000000000002</v>
      </c>
      <c r="L316" s="149"/>
      <c r="M316" s="153"/>
      <c r="T316" s="154"/>
      <c r="AT316" s="150" t="s">
        <v>346</v>
      </c>
      <c r="AU316" s="150" t="s">
        <v>90</v>
      </c>
      <c r="AV316" s="148" t="s">
        <v>90</v>
      </c>
      <c r="AW316" s="148" t="s">
        <v>33</v>
      </c>
      <c r="AX316" s="148" t="s">
        <v>80</v>
      </c>
      <c r="AY316" s="150" t="s">
        <v>337</v>
      </c>
    </row>
    <row r="317" spans="2:51" s="148" customFormat="1" x14ac:dyDescent="0.2">
      <c r="B317" s="149"/>
      <c r="D317" s="143" t="s">
        <v>346</v>
      </c>
      <c r="E317" s="150"/>
      <c r="F317" s="151" t="s">
        <v>5289</v>
      </c>
      <c r="H317" s="152">
        <v>17.843</v>
      </c>
      <c r="L317" s="149"/>
      <c r="M317" s="153"/>
      <c r="T317" s="154"/>
      <c r="AT317" s="150" t="s">
        <v>346</v>
      </c>
      <c r="AU317" s="150" t="s">
        <v>90</v>
      </c>
      <c r="AV317" s="148" t="s">
        <v>90</v>
      </c>
      <c r="AW317" s="148" t="s">
        <v>33</v>
      </c>
      <c r="AX317" s="148" t="s">
        <v>80</v>
      </c>
      <c r="AY317" s="150" t="s">
        <v>337</v>
      </c>
    </row>
    <row r="318" spans="2:51" s="148" customFormat="1" x14ac:dyDescent="0.2">
      <c r="B318" s="149"/>
      <c r="D318" s="143" t="s">
        <v>346</v>
      </c>
      <c r="E318" s="150"/>
      <c r="F318" s="151" t="s">
        <v>5227</v>
      </c>
      <c r="H318" s="152">
        <v>4.423</v>
      </c>
      <c r="L318" s="149"/>
      <c r="M318" s="153"/>
      <c r="T318" s="154"/>
      <c r="AT318" s="150" t="s">
        <v>346</v>
      </c>
      <c r="AU318" s="150" t="s">
        <v>90</v>
      </c>
      <c r="AV318" s="148" t="s">
        <v>90</v>
      </c>
      <c r="AW318" s="148" t="s">
        <v>33</v>
      </c>
      <c r="AX318" s="148" t="s">
        <v>80</v>
      </c>
      <c r="AY318" s="150" t="s">
        <v>337</v>
      </c>
    </row>
    <row r="319" spans="2:51" s="148" customFormat="1" x14ac:dyDescent="0.2">
      <c r="B319" s="149"/>
      <c r="D319" s="143" t="s">
        <v>346</v>
      </c>
      <c r="E319" s="150"/>
      <c r="F319" s="151" t="s">
        <v>5285</v>
      </c>
      <c r="H319" s="152">
        <v>3.8130000000000002</v>
      </c>
      <c r="L319" s="149"/>
      <c r="M319" s="153"/>
      <c r="T319" s="154"/>
      <c r="AT319" s="150" t="s">
        <v>346</v>
      </c>
      <c r="AU319" s="150" t="s">
        <v>90</v>
      </c>
      <c r="AV319" s="148" t="s">
        <v>90</v>
      </c>
      <c r="AW319" s="148" t="s">
        <v>33</v>
      </c>
      <c r="AX319" s="148" t="s">
        <v>80</v>
      </c>
      <c r="AY319" s="150" t="s">
        <v>337</v>
      </c>
    </row>
    <row r="320" spans="2:51" s="148" customFormat="1" x14ac:dyDescent="0.2">
      <c r="B320" s="149"/>
      <c r="D320" s="143" t="s">
        <v>346</v>
      </c>
      <c r="E320" s="150"/>
      <c r="F320" s="151" t="s">
        <v>5285</v>
      </c>
      <c r="H320" s="152">
        <v>3.8130000000000002</v>
      </c>
      <c r="L320" s="149"/>
      <c r="M320" s="153"/>
      <c r="T320" s="154"/>
      <c r="AT320" s="150" t="s">
        <v>346</v>
      </c>
      <c r="AU320" s="150" t="s">
        <v>90</v>
      </c>
      <c r="AV320" s="148" t="s">
        <v>90</v>
      </c>
      <c r="AW320" s="148" t="s">
        <v>33</v>
      </c>
      <c r="AX320" s="148" t="s">
        <v>80</v>
      </c>
      <c r="AY320" s="150" t="s">
        <v>337</v>
      </c>
    </row>
    <row r="321" spans="2:51" s="148" customFormat="1" x14ac:dyDescent="0.2">
      <c r="B321" s="149"/>
      <c r="D321" s="143" t="s">
        <v>346</v>
      </c>
      <c r="E321" s="150"/>
      <c r="F321" s="151" t="s">
        <v>5285</v>
      </c>
      <c r="H321" s="152">
        <v>3.8130000000000002</v>
      </c>
      <c r="L321" s="149"/>
      <c r="M321" s="153"/>
      <c r="T321" s="154"/>
      <c r="AT321" s="150" t="s">
        <v>346</v>
      </c>
      <c r="AU321" s="150" t="s">
        <v>90</v>
      </c>
      <c r="AV321" s="148" t="s">
        <v>90</v>
      </c>
      <c r="AW321" s="148" t="s">
        <v>33</v>
      </c>
      <c r="AX321" s="148" t="s">
        <v>80</v>
      </c>
      <c r="AY321" s="150" t="s">
        <v>337</v>
      </c>
    </row>
    <row r="322" spans="2:51" s="148" customFormat="1" x14ac:dyDescent="0.2">
      <c r="B322" s="149"/>
      <c r="D322" s="143" t="s">
        <v>346</v>
      </c>
      <c r="E322" s="150"/>
      <c r="F322" s="151" t="s">
        <v>5285</v>
      </c>
      <c r="H322" s="152">
        <v>3.8130000000000002</v>
      </c>
      <c r="L322" s="149"/>
      <c r="M322" s="153"/>
      <c r="T322" s="154"/>
      <c r="AT322" s="150" t="s">
        <v>346</v>
      </c>
      <c r="AU322" s="150" t="s">
        <v>90</v>
      </c>
      <c r="AV322" s="148" t="s">
        <v>90</v>
      </c>
      <c r="AW322" s="148" t="s">
        <v>33</v>
      </c>
      <c r="AX322" s="148" t="s">
        <v>80</v>
      </c>
      <c r="AY322" s="150" t="s">
        <v>337</v>
      </c>
    </row>
    <row r="323" spans="2:51" s="148" customFormat="1" x14ac:dyDescent="0.2">
      <c r="B323" s="149"/>
      <c r="D323" s="143" t="s">
        <v>346</v>
      </c>
      <c r="E323" s="150"/>
      <c r="F323" s="151" t="s">
        <v>5285</v>
      </c>
      <c r="H323" s="152">
        <v>3.8130000000000002</v>
      </c>
      <c r="L323" s="149"/>
      <c r="M323" s="153"/>
      <c r="T323" s="154"/>
      <c r="AT323" s="150" t="s">
        <v>346</v>
      </c>
      <c r="AU323" s="150" t="s">
        <v>90</v>
      </c>
      <c r="AV323" s="148" t="s">
        <v>90</v>
      </c>
      <c r="AW323" s="148" t="s">
        <v>33</v>
      </c>
      <c r="AX323" s="148" t="s">
        <v>80</v>
      </c>
      <c r="AY323" s="150" t="s">
        <v>337</v>
      </c>
    </row>
    <row r="324" spans="2:51" s="148" customFormat="1" x14ac:dyDescent="0.2">
      <c r="B324" s="149"/>
      <c r="D324" s="143" t="s">
        <v>346</v>
      </c>
      <c r="E324" s="150"/>
      <c r="F324" s="151" t="s">
        <v>5285</v>
      </c>
      <c r="H324" s="152">
        <v>3.8130000000000002</v>
      </c>
      <c r="L324" s="149"/>
      <c r="M324" s="153"/>
      <c r="T324" s="154"/>
      <c r="AT324" s="150" t="s">
        <v>346</v>
      </c>
      <c r="AU324" s="150" t="s">
        <v>90</v>
      </c>
      <c r="AV324" s="148" t="s">
        <v>90</v>
      </c>
      <c r="AW324" s="148" t="s">
        <v>33</v>
      </c>
      <c r="AX324" s="148" t="s">
        <v>80</v>
      </c>
      <c r="AY324" s="150" t="s">
        <v>337</v>
      </c>
    </row>
    <row r="325" spans="2:51" s="148" customFormat="1" x14ac:dyDescent="0.2">
      <c r="B325" s="149"/>
      <c r="D325" s="143" t="s">
        <v>346</v>
      </c>
      <c r="E325" s="150"/>
      <c r="F325" s="151" t="s">
        <v>5285</v>
      </c>
      <c r="H325" s="152">
        <v>3.8130000000000002</v>
      </c>
      <c r="L325" s="149"/>
      <c r="M325" s="153"/>
      <c r="T325" s="154"/>
      <c r="AT325" s="150" t="s">
        <v>346</v>
      </c>
      <c r="AU325" s="150" t="s">
        <v>90</v>
      </c>
      <c r="AV325" s="148" t="s">
        <v>90</v>
      </c>
      <c r="AW325" s="148" t="s">
        <v>33</v>
      </c>
      <c r="AX325" s="148" t="s">
        <v>80</v>
      </c>
      <c r="AY325" s="150" t="s">
        <v>337</v>
      </c>
    </row>
    <row r="326" spans="2:51" s="148" customFormat="1" x14ac:dyDescent="0.2">
      <c r="B326" s="149"/>
      <c r="D326" s="143" t="s">
        <v>346</v>
      </c>
      <c r="E326" s="150"/>
      <c r="F326" s="151" t="s">
        <v>5285</v>
      </c>
      <c r="H326" s="152">
        <v>3.8130000000000002</v>
      </c>
      <c r="L326" s="149"/>
      <c r="M326" s="153"/>
      <c r="T326" s="154"/>
      <c r="AT326" s="150" t="s">
        <v>346</v>
      </c>
      <c r="AU326" s="150" t="s">
        <v>90</v>
      </c>
      <c r="AV326" s="148" t="s">
        <v>90</v>
      </c>
      <c r="AW326" s="148" t="s">
        <v>33</v>
      </c>
      <c r="AX326" s="148" t="s">
        <v>80</v>
      </c>
      <c r="AY326" s="150" t="s">
        <v>337</v>
      </c>
    </row>
    <row r="327" spans="2:51" s="148" customFormat="1" x14ac:dyDescent="0.2">
      <c r="B327" s="149"/>
      <c r="D327" s="143" t="s">
        <v>346</v>
      </c>
      <c r="E327" s="150"/>
      <c r="F327" s="151" t="s">
        <v>5285</v>
      </c>
      <c r="H327" s="152">
        <v>3.8130000000000002</v>
      </c>
      <c r="L327" s="149"/>
      <c r="M327" s="153"/>
      <c r="T327" s="154"/>
      <c r="AT327" s="150" t="s">
        <v>346</v>
      </c>
      <c r="AU327" s="150" t="s">
        <v>90</v>
      </c>
      <c r="AV327" s="148" t="s">
        <v>90</v>
      </c>
      <c r="AW327" s="148" t="s">
        <v>33</v>
      </c>
      <c r="AX327" s="148" t="s">
        <v>80</v>
      </c>
      <c r="AY327" s="150" t="s">
        <v>337</v>
      </c>
    </row>
    <row r="328" spans="2:51" s="141" customFormat="1" x14ac:dyDescent="0.2">
      <c r="B328" s="142"/>
      <c r="D328" s="143" t="s">
        <v>346</v>
      </c>
      <c r="E328" s="144"/>
      <c r="F328" s="145" t="s">
        <v>368</v>
      </c>
      <c r="H328" s="144"/>
      <c r="L328" s="142"/>
      <c r="M328" s="146"/>
      <c r="T328" s="147"/>
      <c r="AT328" s="144" t="s">
        <v>346</v>
      </c>
      <c r="AU328" s="144" t="s">
        <v>90</v>
      </c>
      <c r="AV328" s="141" t="s">
        <v>87</v>
      </c>
      <c r="AW328" s="141" t="s">
        <v>33</v>
      </c>
      <c r="AX328" s="141" t="s">
        <v>80</v>
      </c>
      <c r="AY328" s="144" t="s">
        <v>337</v>
      </c>
    </row>
    <row r="329" spans="2:51" s="148" customFormat="1" x14ac:dyDescent="0.2">
      <c r="B329" s="149"/>
      <c r="D329" s="143" t="s">
        <v>346</v>
      </c>
      <c r="E329" s="150"/>
      <c r="F329" s="151" t="s">
        <v>5285</v>
      </c>
      <c r="H329" s="152">
        <v>3.8130000000000002</v>
      </c>
      <c r="L329" s="149"/>
      <c r="M329" s="153"/>
      <c r="T329" s="154"/>
      <c r="AT329" s="150" t="s">
        <v>346</v>
      </c>
      <c r="AU329" s="150" t="s">
        <v>90</v>
      </c>
      <c r="AV329" s="148" t="s">
        <v>90</v>
      </c>
      <c r="AW329" s="148" t="s">
        <v>33</v>
      </c>
      <c r="AX329" s="148" t="s">
        <v>80</v>
      </c>
      <c r="AY329" s="150" t="s">
        <v>337</v>
      </c>
    </row>
    <row r="330" spans="2:51" s="148" customFormat="1" x14ac:dyDescent="0.2">
      <c r="B330" s="149"/>
      <c r="D330" s="143" t="s">
        <v>346</v>
      </c>
      <c r="E330" s="150"/>
      <c r="F330" s="151" t="s">
        <v>5285</v>
      </c>
      <c r="H330" s="152">
        <v>3.8130000000000002</v>
      </c>
      <c r="L330" s="149"/>
      <c r="M330" s="153"/>
      <c r="T330" s="154"/>
      <c r="AT330" s="150" t="s">
        <v>346</v>
      </c>
      <c r="AU330" s="150" t="s">
        <v>90</v>
      </c>
      <c r="AV330" s="148" t="s">
        <v>90</v>
      </c>
      <c r="AW330" s="148" t="s">
        <v>33</v>
      </c>
      <c r="AX330" s="148" t="s">
        <v>80</v>
      </c>
      <c r="AY330" s="150" t="s">
        <v>337</v>
      </c>
    </row>
    <row r="331" spans="2:51" s="148" customFormat="1" x14ac:dyDescent="0.2">
      <c r="B331" s="149"/>
      <c r="D331" s="143" t="s">
        <v>346</v>
      </c>
      <c r="E331" s="150"/>
      <c r="F331" s="151" t="s">
        <v>5288</v>
      </c>
      <c r="H331" s="152">
        <v>0.76300000000000001</v>
      </c>
      <c r="L331" s="149"/>
      <c r="M331" s="153"/>
      <c r="T331" s="154"/>
      <c r="AT331" s="150" t="s">
        <v>346</v>
      </c>
      <c r="AU331" s="150" t="s">
        <v>90</v>
      </c>
      <c r="AV331" s="148" t="s">
        <v>90</v>
      </c>
      <c r="AW331" s="148" t="s">
        <v>33</v>
      </c>
      <c r="AX331" s="148" t="s">
        <v>80</v>
      </c>
      <c r="AY331" s="150" t="s">
        <v>337</v>
      </c>
    </row>
    <row r="332" spans="2:51" s="148" customFormat="1" x14ac:dyDescent="0.2">
      <c r="B332" s="149"/>
      <c r="D332" s="143" t="s">
        <v>346</v>
      </c>
      <c r="E332" s="150"/>
      <c r="F332" s="151" t="s">
        <v>5290</v>
      </c>
      <c r="H332" s="152">
        <v>3.569</v>
      </c>
      <c r="L332" s="149"/>
      <c r="M332" s="153"/>
      <c r="T332" s="154"/>
      <c r="AT332" s="150" t="s">
        <v>346</v>
      </c>
      <c r="AU332" s="150" t="s">
        <v>90</v>
      </c>
      <c r="AV332" s="148" t="s">
        <v>90</v>
      </c>
      <c r="AW332" s="148" t="s">
        <v>33</v>
      </c>
      <c r="AX332" s="148" t="s">
        <v>80</v>
      </c>
      <c r="AY332" s="150" t="s">
        <v>337</v>
      </c>
    </row>
    <row r="333" spans="2:51" s="148" customFormat="1" x14ac:dyDescent="0.2">
      <c r="B333" s="149"/>
      <c r="D333" s="143" t="s">
        <v>346</v>
      </c>
      <c r="E333" s="150"/>
      <c r="F333" s="151" t="s">
        <v>5288</v>
      </c>
      <c r="H333" s="152">
        <v>0.76300000000000001</v>
      </c>
      <c r="L333" s="149"/>
      <c r="M333" s="153"/>
      <c r="T333" s="154"/>
      <c r="AT333" s="150" t="s">
        <v>346</v>
      </c>
      <c r="AU333" s="150" t="s">
        <v>90</v>
      </c>
      <c r="AV333" s="148" t="s">
        <v>90</v>
      </c>
      <c r="AW333" s="148" t="s">
        <v>33</v>
      </c>
      <c r="AX333" s="148" t="s">
        <v>80</v>
      </c>
      <c r="AY333" s="150" t="s">
        <v>337</v>
      </c>
    </row>
    <row r="334" spans="2:51" s="148" customFormat="1" x14ac:dyDescent="0.2">
      <c r="B334" s="149"/>
      <c r="D334" s="143" t="s">
        <v>346</v>
      </c>
      <c r="E334" s="150"/>
      <c r="F334" s="151" t="s">
        <v>5288</v>
      </c>
      <c r="H334" s="152">
        <v>0.76300000000000001</v>
      </c>
      <c r="L334" s="149"/>
      <c r="M334" s="153"/>
      <c r="T334" s="154"/>
      <c r="AT334" s="150" t="s">
        <v>346</v>
      </c>
      <c r="AU334" s="150" t="s">
        <v>90</v>
      </c>
      <c r="AV334" s="148" t="s">
        <v>90</v>
      </c>
      <c r="AW334" s="148" t="s">
        <v>33</v>
      </c>
      <c r="AX334" s="148" t="s">
        <v>80</v>
      </c>
      <c r="AY334" s="150" t="s">
        <v>337</v>
      </c>
    </row>
    <row r="335" spans="2:51" s="148" customFormat="1" x14ac:dyDescent="0.2">
      <c r="B335" s="149"/>
      <c r="D335" s="143" t="s">
        <v>346</v>
      </c>
      <c r="E335" s="150"/>
      <c r="F335" s="151" t="s">
        <v>5288</v>
      </c>
      <c r="H335" s="152">
        <v>0.76300000000000001</v>
      </c>
      <c r="L335" s="149"/>
      <c r="M335" s="153"/>
      <c r="T335" s="154"/>
      <c r="AT335" s="150" t="s">
        <v>346</v>
      </c>
      <c r="AU335" s="150" t="s">
        <v>90</v>
      </c>
      <c r="AV335" s="148" t="s">
        <v>90</v>
      </c>
      <c r="AW335" s="148" t="s">
        <v>33</v>
      </c>
      <c r="AX335" s="148" t="s">
        <v>80</v>
      </c>
      <c r="AY335" s="150" t="s">
        <v>337</v>
      </c>
    </row>
    <row r="336" spans="2:51" s="148" customFormat="1" x14ac:dyDescent="0.2">
      <c r="B336" s="149"/>
      <c r="D336" s="143" t="s">
        <v>346</v>
      </c>
      <c r="E336" s="150"/>
      <c r="F336" s="151" t="s">
        <v>5288</v>
      </c>
      <c r="H336" s="152">
        <v>0.76300000000000001</v>
      </c>
      <c r="L336" s="149"/>
      <c r="M336" s="153"/>
      <c r="T336" s="154"/>
      <c r="AT336" s="150" t="s">
        <v>346</v>
      </c>
      <c r="AU336" s="150" t="s">
        <v>90</v>
      </c>
      <c r="AV336" s="148" t="s">
        <v>90</v>
      </c>
      <c r="AW336" s="148" t="s">
        <v>33</v>
      </c>
      <c r="AX336" s="148" t="s">
        <v>80</v>
      </c>
      <c r="AY336" s="150" t="s">
        <v>337</v>
      </c>
    </row>
    <row r="337" spans="2:51" s="148" customFormat="1" x14ac:dyDescent="0.2">
      <c r="B337" s="149"/>
      <c r="D337" s="143" t="s">
        <v>346</v>
      </c>
      <c r="E337" s="150"/>
      <c r="F337" s="151" t="s">
        <v>5288</v>
      </c>
      <c r="H337" s="152">
        <v>0.76300000000000001</v>
      </c>
      <c r="L337" s="149"/>
      <c r="M337" s="153"/>
      <c r="T337" s="154"/>
      <c r="AT337" s="150" t="s">
        <v>346</v>
      </c>
      <c r="AU337" s="150" t="s">
        <v>90</v>
      </c>
      <c r="AV337" s="148" t="s">
        <v>90</v>
      </c>
      <c r="AW337" s="148" t="s">
        <v>33</v>
      </c>
      <c r="AX337" s="148" t="s">
        <v>80</v>
      </c>
      <c r="AY337" s="150" t="s">
        <v>337</v>
      </c>
    </row>
    <row r="338" spans="2:51" s="148" customFormat="1" x14ac:dyDescent="0.2">
      <c r="B338" s="149"/>
      <c r="D338" s="143" t="s">
        <v>346</v>
      </c>
      <c r="E338" s="150"/>
      <c r="F338" s="151" t="s">
        <v>5285</v>
      </c>
      <c r="H338" s="152">
        <v>3.8130000000000002</v>
      </c>
      <c r="L338" s="149"/>
      <c r="M338" s="153"/>
      <c r="T338" s="154"/>
      <c r="AT338" s="150" t="s">
        <v>346</v>
      </c>
      <c r="AU338" s="150" t="s">
        <v>90</v>
      </c>
      <c r="AV338" s="148" t="s">
        <v>90</v>
      </c>
      <c r="AW338" s="148" t="s">
        <v>33</v>
      </c>
      <c r="AX338" s="148" t="s">
        <v>80</v>
      </c>
      <c r="AY338" s="150" t="s">
        <v>337</v>
      </c>
    </row>
    <row r="339" spans="2:51" s="148" customFormat="1" x14ac:dyDescent="0.2">
      <c r="B339" s="149"/>
      <c r="D339" s="143" t="s">
        <v>346</v>
      </c>
      <c r="E339" s="150"/>
      <c r="F339" s="151" t="s">
        <v>5291</v>
      </c>
      <c r="H339" s="152">
        <v>3.05</v>
      </c>
      <c r="L339" s="149"/>
      <c r="M339" s="153"/>
      <c r="T339" s="154"/>
      <c r="AT339" s="150" t="s">
        <v>346</v>
      </c>
      <c r="AU339" s="150" t="s">
        <v>90</v>
      </c>
      <c r="AV339" s="148" t="s">
        <v>90</v>
      </c>
      <c r="AW339" s="148" t="s">
        <v>33</v>
      </c>
      <c r="AX339" s="148" t="s">
        <v>80</v>
      </c>
      <c r="AY339" s="150" t="s">
        <v>337</v>
      </c>
    </row>
    <row r="340" spans="2:51" s="148" customFormat="1" x14ac:dyDescent="0.2">
      <c r="B340" s="149"/>
      <c r="D340" s="143" t="s">
        <v>346</v>
      </c>
      <c r="E340" s="150"/>
      <c r="F340" s="151" t="s">
        <v>5285</v>
      </c>
      <c r="H340" s="152">
        <v>3.8130000000000002</v>
      </c>
      <c r="L340" s="149"/>
      <c r="M340" s="153"/>
      <c r="T340" s="154"/>
      <c r="AT340" s="150" t="s">
        <v>346</v>
      </c>
      <c r="AU340" s="150" t="s">
        <v>90</v>
      </c>
      <c r="AV340" s="148" t="s">
        <v>90</v>
      </c>
      <c r="AW340" s="148" t="s">
        <v>33</v>
      </c>
      <c r="AX340" s="148" t="s">
        <v>80</v>
      </c>
      <c r="AY340" s="150" t="s">
        <v>337</v>
      </c>
    </row>
    <row r="341" spans="2:51" s="148" customFormat="1" x14ac:dyDescent="0.2">
      <c r="B341" s="149"/>
      <c r="D341" s="143" t="s">
        <v>346</v>
      </c>
      <c r="E341" s="150"/>
      <c r="F341" s="151" t="s">
        <v>5289</v>
      </c>
      <c r="H341" s="152">
        <v>17.843</v>
      </c>
      <c r="L341" s="149"/>
      <c r="M341" s="153"/>
      <c r="T341" s="154"/>
      <c r="AT341" s="150" t="s">
        <v>346</v>
      </c>
      <c r="AU341" s="150" t="s">
        <v>90</v>
      </c>
      <c r="AV341" s="148" t="s">
        <v>90</v>
      </c>
      <c r="AW341" s="148" t="s">
        <v>33</v>
      </c>
      <c r="AX341" s="148" t="s">
        <v>80</v>
      </c>
      <c r="AY341" s="150" t="s">
        <v>337</v>
      </c>
    </row>
    <row r="342" spans="2:51" s="148" customFormat="1" x14ac:dyDescent="0.2">
      <c r="B342" s="149"/>
      <c r="D342" s="143" t="s">
        <v>346</v>
      </c>
      <c r="E342" s="150"/>
      <c r="F342" s="151" t="s">
        <v>5227</v>
      </c>
      <c r="H342" s="152">
        <v>4.423</v>
      </c>
      <c r="L342" s="149"/>
      <c r="M342" s="153"/>
      <c r="T342" s="154"/>
      <c r="AT342" s="150" t="s">
        <v>346</v>
      </c>
      <c r="AU342" s="150" t="s">
        <v>90</v>
      </c>
      <c r="AV342" s="148" t="s">
        <v>90</v>
      </c>
      <c r="AW342" s="148" t="s">
        <v>33</v>
      </c>
      <c r="AX342" s="148" t="s">
        <v>80</v>
      </c>
      <c r="AY342" s="150" t="s">
        <v>337</v>
      </c>
    </row>
    <row r="343" spans="2:51" s="148" customFormat="1" x14ac:dyDescent="0.2">
      <c r="B343" s="149"/>
      <c r="D343" s="143" t="s">
        <v>346</v>
      </c>
      <c r="E343" s="150"/>
      <c r="F343" s="151" t="s">
        <v>5285</v>
      </c>
      <c r="H343" s="152">
        <v>3.8130000000000002</v>
      </c>
      <c r="L343" s="149"/>
      <c r="M343" s="153"/>
      <c r="T343" s="154"/>
      <c r="AT343" s="150" t="s">
        <v>346</v>
      </c>
      <c r="AU343" s="150" t="s">
        <v>90</v>
      </c>
      <c r="AV343" s="148" t="s">
        <v>90</v>
      </c>
      <c r="AW343" s="148" t="s">
        <v>33</v>
      </c>
      <c r="AX343" s="148" t="s">
        <v>80</v>
      </c>
      <c r="AY343" s="150" t="s">
        <v>337</v>
      </c>
    </row>
    <row r="344" spans="2:51" s="148" customFormat="1" x14ac:dyDescent="0.2">
      <c r="B344" s="149"/>
      <c r="D344" s="143" t="s">
        <v>346</v>
      </c>
      <c r="E344" s="150"/>
      <c r="F344" s="151" t="s">
        <v>5285</v>
      </c>
      <c r="H344" s="152">
        <v>3.8130000000000002</v>
      </c>
      <c r="L344" s="149"/>
      <c r="M344" s="153"/>
      <c r="T344" s="154"/>
      <c r="AT344" s="150" t="s">
        <v>346</v>
      </c>
      <c r="AU344" s="150" t="s">
        <v>90</v>
      </c>
      <c r="AV344" s="148" t="s">
        <v>90</v>
      </c>
      <c r="AW344" s="148" t="s">
        <v>33</v>
      </c>
      <c r="AX344" s="148" t="s">
        <v>80</v>
      </c>
      <c r="AY344" s="150" t="s">
        <v>337</v>
      </c>
    </row>
    <row r="345" spans="2:51" s="148" customFormat="1" x14ac:dyDescent="0.2">
      <c r="B345" s="149"/>
      <c r="D345" s="143" t="s">
        <v>346</v>
      </c>
      <c r="E345" s="150"/>
      <c r="F345" s="151" t="s">
        <v>5285</v>
      </c>
      <c r="H345" s="152">
        <v>3.8130000000000002</v>
      </c>
      <c r="L345" s="149"/>
      <c r="M345" s="153"/>
      <c r="T345" s="154"/>
      <c r="AT345" s="150" t="s">
        <v>346</v>
      </c>
      <c r="AU345" s="150" t="s">
        <v>90</v>
      </c>
      <c r="AV345" s="148" t="s">
        <v>90</v>
      </c>
      <c r="AW345" s="148" t="s">
        <v>33</v>
      </c>
      <c r="AX345" s="148" t="s">
        <v>80</v>
      </c>
      <c r="AY345" s="150" t="s">
        <v>337</v>
      </c>
    </row>
    <row r="346" spans="2:51" s="148" customFormat="1" x14ac:dyDescent="0.2">
      <c r="B346" s="149"/>
      <c r="D346" s="143" t="s">
        <v>346</v>
      </c>
      <c r="E346" s="150"/>
      <c r="F346" s="151" t="s">
        <v>5285</v>
      </c>
      <c r="H346" s="152">
        <v>3.8130000000000002</v>
      </c>
      <c r="L346" s="149"/>
      <c r="M346" s="153"/>
      <c r="T346" s="154"/>
      <c r="AT346" s="150" t="s">
        <v>346</v>
      </c>
      <c r="AU346" s="150" t="s">
        <v>90</v>
      </c>
      <c r="AV346" s="148" t="s">
        <v>90</v>
      </c>
      <c r="AW346" s="148" t="s">
        <v>33</v>
      </c>
      <c r="AX346" s="148" t="s">
        <v>80</v>
      </c>
      <c r="AY346" s="150" t="s">
        <v>337</v>
      </c>
    </row>
    <row r="347" spans="2:51" s="148" customFormat="1" x14ac:dyDescent="0.2">
      <c r="B347" s="149"/>
      <c r="D347" s="143" t="s">
        <v>346</v>
      </c>
      <c r="E347" s="150"/>
      <c r="F347" s="151" t="s">
        <v>5285</v>
      </c>
      <c r="H347" s="152">
        <v>3.8130000000000002</v>
      </c>
      <c r="L347" s="149"/>
      <c r="M347" s="153"/>
      <c r="T347" s="154"/>
      <c r="AT347" s="150" t="s">
        <v>346</v>
      </c>
      <c r="AU347" s="150" t="s">
        <v>90</v>
      </c>
      <c r="AV347" s="148" t="s">
        <v>90</v>
      </c>
      <c r="AW347" s="148" t="s">
        <v>33</v>
      </c>
      <c r="AX347" s="148" t="s">
        <v>80</v>
      </c>
      <c r="AY347" s="150" t="s">
        <v>337</v>
      </c>
    </row>
    <row r="348" spans="2:51" s="148" customFormat="1" x14ac:dyDescent="0.2">
      <c r="B348" s="149"/>
      <c r="D348" s="143" t="s">
        <v>346</v>
      </c>
      <c r="E348" s="150"/>
      <c r="F348" s="151" t="s">
        <v>5285</v>
      </c>
      <c r="H348" s="152">
        <v>3.8130000000000002</v>
      </c>
      <c r="L348" s="149"/>
      <c r="M348" s="153"/>
      <c r="T348" s="154"/>
      <c r="AT348" s="150" t="s">
        <v>346</v>
      </c>
      <c r="AU348" s="150" t="s">
        <v>90</v>
      </c>
      <c r="AV348" s="148" t="s">
        <v>90</v>
      </c>
      <c r="AW348" s="148" t="s">
        <v>33</v>
      </c>
      <c r="AX348" s="148" t="s">
        <v>80</v>
      </c>
      <c r="AY348" s="150" t="s">
        <v>337</v>
      </c>
    </row>
    <row r="349" spans="2:51" s="148" customFormat="1" x14ac:dyDescent="0.2">
      <c r="B349" s="149"/>
      <c r="D349" s="143" t="s">
        <v>346</v>
      </c>
      <c r="E349" s="150"/>
      <c r="F349" s="151" t="s">
        <v>5285</v>
      </c>
      <c r="H349" s="152">
        <v>3.8130000000000002</v>
      </c>
      <c r="L349" s="149"/>
      <c r="M349" s="153"/>
      <c r="T349" s="154"/>
      <c r="AT349" s="150" t="s">
        <v>346</v>
      </c>
      <c r="AU349" s="150" t="s">
        <v>90</v>
      </c>
      <c r="AV349" s="148" t="s">
        <v>90</v>
      </c>
      <c r="AW349" s="148" t="s">
        <v>33</v>
      </c>
      <c r="AX349" s="148" t="s">
        <v>80</v>
      </c>
      <c r="AY349" s="150" t="s">
        <v>337</v>
      </c>
    </row>
    <row r="350" spans="2:51" s="148" customFormat="1" x14ac:dyDescent="0.2">
      <c r="B350" s="149"/>
      <c r="D350" s="143" t="s">
        <v>346</v>
      </c>
      <c r="E350" s="150"/>
      <c r="F350" s="151" t="s">
        <v>5285</v>
      </c>
      <c r="H350" s="152">
        <v>3.8130000000000002</v>
      </c>
      <c r="L350" s="149"/>
      <c r="M350" s="153"/>
      <c r="T350" s="154"/>
      <c r="AT350" s="150" t="s">
        <v>346</v>
      </c>
      <c r="AU350" s="150" t="s">
        <v>90</v>
      </c>
      <c r="AV350" s="148" t="s">
        <v>90</v>
      </c>
      <c r="AW350" s="148" t="s">
        <v>33</v>
      </c>
      <c r="AX350" s="148" t="s">
        <v>80</v>
      </c>
      <c r="AY350" s="150" t="s">
        <v>337</v>
      </c>
    </row>
    <row r="351" spans="2:51" s="148" customFormat="1" x14ac:dyDescent="0.2">
      <c r="B351" s="149"/>
      <c r="D351" s="143" t="s">
        <v>346</v>
      </c>
      <c r="E351" s="150"/>
      <c r="F351" s="151" t="s">
        <v>5285</v>
      </c>
      <c r="H351" s="152">
        <v>3.8130000000000002</v>
      </c>
      <c r="L351" s="149"/>
      <c r="M351" s="153"/>
      <c r="T351" s="154"/>
      <c r="AT351" s="150" t="s">
        <v>346</v>
      </c>
      <c r="AU351" s="150" t="s">
        <v>90</v>
      </c>
      <c r="AV351" s="148" t="s">
        <v>90</v>
      </c>
      <c r="AW351" s="148" t="s">
        <v>33</v>
      </c>
      <c r="AX351" s="148" t="s">
        <v>80</v>
      </c>
      <c r="AY351" s="150" t="s">
        <v>337</v>
      </c>
    </row>
    <row r="352" spans="2:51" s="141" customFormat="1" x14ac:dyDescent="0.2">
      <c r="B352" s="142"/>
      <c r="D352" s="143" t="s">
        <v>346</v>
      </c>
      <c r="E352" s="144"/>
      <c r="F352" s="145" t="s">
        <v>370</v>
      </c>
      <c r="H352" s="144"/>
      <c r="L352" s="142"/>
      <c r="M352" s="146"/>
      <c r="T352" s="147"/>
      <c r="AT352" s="144" t="s">
        <v>346</v>
      </c>
      <c r="AU352" s="144" t="s">
        <v>90</v>
      </c>
      <c r="AV352" s="141" t="s">
        <v>87</v>
      </c>
      <c r="AW352" s="141" t="s">
        <v>33</v>
      </c>
      <c r="AX352" s="141" t="s">
        <v>80</v>
      </c>
      <c r="AY352" s="144" t="s">
        <v>337</v>
      </c>
    </row>
    <row r="353" spans="2:51" s="148" customFormat="1" x14ac:dyDescent="0.2">
      <c r="B353" s="149"/>
      <c r="D353" s="143" t="s">
        <v>346</v>
      </c>
      <c r="E353" s="150"/>
      <c r="F353" s="151" t="s">
        <v>5285</v>
      </c>
      <c r="H353" s="152">
        <v>3.8130000000000002</v>
      </c>
      <c r="L353" s="149"/>
      <c r="M353" s="153"/>
      <c r="T353" s="154"/>
      <c r="AT353" s="150" t="s">
        <v>346</v>
      </c>
      <c r="AU353" s="150" t="s">
        <v>90</v>
      </c>
      <c r="AV353" s="148" t="s">
        <v>90</v>
      </c>
      <c r="AW353" s="148" t="s">
        <v>33</v>
      </c>
      <c r="AX353" s="148" t="s">
        <v>80</v>
      </c>
      <c r="AY353" s="150" t="s">
        <v>337</v>
      </c>
    </row>
    <row r="354" spans="2:51" s="148" customFormat="1" x14ac:dyDescent="0.2">
      <c r="B354" s="149"/>
      <c r="D354" s="143" t="s">
        <v>346</v>
      </c>
      <c r="E354" s="150"/>
      <c r="F354" s="151" t="s">
        <v>5285</v>
      </c>
      <c r="H354" s="152">
        <v>3.8130000000000002</v>
      </c>
      <c r="L354" s="149"/>
      <c r="M354" s="153"/>
      <c r="T354" s="154"/>
      <c r="AT354" s="150" t="s">
        <v>346</v>
      </c>
      <c r="AU354" s="150" t="s">
        <v>90</v>
      </c>
      <c r="AV354" s="148" t="s">
        <v>90</v>
      </c>
      <c r="AW354" s="148" t="s">
        <v>33</v>
      </c>
      <c r="AX354" s="148" t="s">
        <v>80</v>
      </c>
      <c r="AY354" s="150" t="s">
        <v>337</v>
      </c>
    </row>
    <row r="355" spans="2:51" s="148" customFormat="1" x14ac:dyDescent="0.2">
      <c r="B355" s="149"/>
      <c r="D355" s="143" t="s">
        <v>346</v>
      </c>
      <c r="E355" s="150"/>
      <c r="F355" s="151" t="s">
        <v>5288</v>
      </c>
      <c r="H355" s="152">
        <v>0.76300000000000001</v>
      </c>
      <c r="L355" s="149"/>
      <c r="M355" s="153"/>
      <c r="T355" s="154"/>
      <c r="AT355" s="150" t="s">
        <v>346</v>
      </c>
      <c r="AU355" s="150" t="s">
        <v>90</v>
      </c>
      <c r="AV355" s="148" t="s">
        <v>90</v>
      </c>
      <c r="AW355" s="148" t="s">
        <v>33</v>
      </c>
      <c r="AX355" s="148" t="s">
        <v>80</v>
      </c>
      <c r="AY355" s="150" t="s">
        <v>337</v>
      </c>
    </row>
    <row r="356" spans="2:51" s="148" customFormat="1" x14ac:dyDescent="0.2">
      <c r="B356" s="149"/>
      <c r="D356" s="143" t="s">
        <v>346</v>
      </c>
      <c r="E356" s="150"/>
      <c r="F356" s="151" t="s">
        <v>5290</v>
      </c>
      <c r="H356" s="152">
        <v>3.569</v>
      </c>
      <c r="L356" s="149"/>
      <c r="M356" s="153"/>
      <c r="T356" s="154"/>
      <c r="AT356" s="150" t="s">
        <v>346</v>
      </c>
      <c r="AU356" s="150" t="s">
        <v>90</v>
      </c>
      <c r="AV356" s="148" t="s">
        <v>90</v>
      </c>
      <c r="AW356" s="148" t="s">
        <v>33</v>
      </c>
      <c r="AX356" s="148" t="s">
        <v>80</v>
      </c>
      <c r="AY356" s="150" t="s">
        <v>337</v>
      </c>
    </row>
    <row r="357" spans="2:51" s="148" customFormat="1" x14ac:dyDescent="0.2">
      <c r="B357" s="149"/>
      <c r="D357" s="143" t="s">
        <v>346</v>
      </c>
      <c r="E357" s="150"/>
      <c r="F357" s="151" t="s">
        <v>5288</v>
      </c>
      <c r="H357" s="152">
        <v>0.76300000000000001</v>
      </c>
      <c r="L357" s="149"/>
      <c r="M357" s="153"/>
      <c r="T357" s="154"/>
      <c r="AT357" s="150" t="s">
        <v>346</v>
      </c>
      <c r="AU357" s="150" t="s">
        <v>90</v>
      </c>
      <c r="AV357" s="148" t="s">
        <v>90</v>
      </c>
      <c r="AW357" s="148" t="s">
        <v>33</v>
      </c>
      <c r="AX357" s="148" t="s">
        <v>80</v>
      </c>
      <c r="AY357" s="150" t="s">
        <v>337</v>
      </c>
    </row>
    <row r="358" spans="2:51" s="148" customFormat="1" x14ac:dyDescent="0.2">
      <c r="B358" s="149"/>
      <c r="D358" s="143" t="s">
        <v>346</v>
      </c>
      <c r="E358" s="150"/>
      <c r="F358" s="151" t="s">
        <v>5288</v>
      </c>
      <c r="H358" s="152">
        <v>0.76300000000000001</v>
      </c>
      <c r="L358" s="149"/>
      <c r="M358" s="153"/>
      <c r="T358" s="154"/>
      <c r="AT358" s="150" t="s">
        <v>346</v>
      </c>
      <c r="AU358" s="150" t="s">
        <v>90</v>
      </c>
      <c r="AV358" s="148" t="s">
        <v>90</v>
      </c>
      <c r="AW358" s="148" t="s">
        <v>33</v>
      </c>
      <c r="AX358" s="148" t="s">
        <v>80</v>
      </c>
      <c r="AY358" s="150" t="s">
        <v>337</v>
      </c>
    </row>
    <row r="359" spans="2:51" s="148" customFormat="1" x14ac:dyDescent="0.2">
      <c r="B359" s="149"/>
      <c r="D359" s="143" t="s">
        <v>346</v>
      </c>
      <c r="E359" s="150"/>
      <c r="F359" s="151" t="s">
        <v>5288</v>
      </c>
      <c r="H359" s="152">
        <v>0.76300000000000001</v>
      </c>
      <c r="L359" s="149"/>
      <c r="M359" s="153"/>
      <c r="T359" s="154"/>
      <c r="AT359" s="150" t="s">
        <v>346</v>
      </c>
      <c r="AU359" s="150" t="s">
        <v>90</v>
      </c>
      <c r="AV359" s="148" t="s">
        <v>90</v>
      </c>
      <c r="AW359" s="148" t="s">
        <v>33</v>
      </c>
      <c r="AX359" s="148" t="s">
        <v>80</v>
      </c>
      <c r="AY359" s="150" t="s">
        <v>337</v>
      </c>
    </row>
    <row r="360" spans="2:51" s="148" customFormat="1" x14ac:dyDescent="0.2">
      <c r="B360" s="149"/>
      <c r="D360" s="143" t="s">
        <v>346</v>
      </c>
      <c r="E360" s="150"/>
      <c r="F360" s="151" t="s">
        <v>5288</v>
      </c>
      <c r="H360" s="152">
        <v>0.76300000000000001</v>
      </c>
      <c r="L360" s="149"/>
      <c r="M360" s="153"/>
      <c r="T360" s="154"/>
      <c r="AT360" s="150" t="s">
        <v>346</v>
      </c>
      <c r="AU360" s="150" t="s">
        <v>90</v>
      </c>
      <c r="AV360" s="148" t="s">
        <v>90</v>
      </c>
      <c r="AW360" s="148" t="s">
        <v>33</v>
      </c>
      <c r="AX360" s="148" t="s">
        <v>80</v>
      </c>
      <c r="AY360" s="150" t="s">
        <v>337</v>
      </c>
    </row>
    <row r="361" spans="2:51" s="148" customFormat="1" x14ac:dyDescent="0.2">
      <c r="B361" s="149"/>
      <c r="D361" s="143" t="s">
        <v>346</v>
      </c>
      <c r="E361" s="150"/>
      <c r="F361" s="151" t="s">
        <v>5288</v>
      </c>
      <c r="H361" s="152">
        <v>0.76300000000000001</v>
      </c>
      <c r="L361" s="149"/>
      <c r="M361" s="153"/>
      <c r="T361" s="154"/>
      <c r="AT361" s="150" t="s">
        <v>346</v>
      </c>
      <c r="AU361" s="150" t="s">
        <v>90</v>
      </c>
      <c r="AV361" s="148" t="s">
        <v>90</v>
      </c>
      <c r="AW361" s="148" t="s">
        <v>33</v>
      </c>
      <c r="AX361" s="148" t="s">
        <v>80</v>
      </c>
      <c r="AY361" s="150" t="s">
        <v>337</v>
      </c>
    </row>
    <row r="362" spans="2:51" s="148" customFormat="1" x14ac:dyDescent="0.2">
      <c r="B362" s="149"/>
      <c r="D362" s="143" t="s">
        <v>346</v>
      </c>
      <c r="E362" s="150"/>
      <c r="F362" s="151" t="s">
        <v>5285</v>
      </c>
      <c r="H362" s="152">
        <v>3.8130000000000002</v>
      </c>
      <c r="L362" s="149"/>
      <c r="M362" s="153"/>
      <c r="T362" s="154"/>
      <c r="AT362" s="150" t="s">
        <v>346</v>
      </c>
      <c r="AU362" s="150" t="s">
        <v>90</v>
      </c>
      <c r="AV362" s="148" t="s">
        <v>90</v>
      </c>
      <c r="AW362" s="148" t="s">
        <v>33</v>
      </c>
      <c r="AX362" s="148" t="s">
        <v>80</v>
      </c>
      <c r="AY362" s="150" t="s">
        <v>337</v>
      </c>
    </row>
    <row r="363" spans="2:51" s="148" customFormat="1" x14ac:dyDescent="0.2">
      <c r="B363" s="149"/>
      <c r="D363" s="143" t="s">
        <v>346</v>
      </c>
      <c r="E363" s="150"/>
      <c r="F363" s="151" t="s">
        <v>5291</v>
      </c>
      <c r="H363" s="152">
        <v>3.05</v>
      </c>
      <c r="L363" s="149"/>
      <c r="M363" s="153"/>
      <c r="T363" s="154"/>
      <c r="AT363" s="150" t="s">
        <v>346</v>
      </c>
      <c r="AU363" s="150" t="s">
        <v>90</v>
      </c>
      <c r="AV363" s="148" t="s">
        <v>90</v>
      </c>
      <c r="AW363" s="148" t="s">
        <v>33</v>
      </c>
      <c r="AX363" s="148" t="s">
        <v>80</v>
      </c>
      <c r="AY363" s="150" t="s">
        <v>337</v>
      </c>
    </row>
    <row r="364" spans="2:51" s="148" customFormat="1" x14ac:dyDescent="0.2">
      <c r="B364" s="149"/>
      <c r="D364" s="143" t="s">
        <v>346</v>
      </c>
      <c r="E364" s="150"/>
      <c r="F364" s="151" t="s">
        <v>5285</v>
      </c>
      <c r="H364" s="152">
        <v>3.8130000000000002</v>
      </c>
      <c r="L364" s="149"/>
      <c r="M364" s="153"/>
      <c r="T364" s="154"/>
      <c r="AT364" s="150" t="s">
        <v>346</v>
      </c>
      <c r="AU364" s="150" t="s">
        <v>90</v>
      </c>
      <c r="AV364" s="148" t="s">
        <v>90</v>
      </c>
      <c r="AW364" s="148" t="s">
        <v>33</v>
      </c>
      <c r="AX364" s="148" t="s">
        <v>80</v>
      </c>
      <c r="AY364" s="150" t="s">
        <v>337</v>
      </c>
    </row>
    <row r="365" spans="2:51" s="148" customFormat="1" x14ac:dyDescent="0.2">
      <c r="B365" s="149"/>
      <c r="D365" s="143" t="s">
        <v>346</v>
      </c>
      <c r="E365" s="150"/>
      <c r="F365" s="151" t="s">
        <v>5289</v>
      </c>
      <c r="H365" s="152">
        <v>17.843</v>
      </c>
      <c r="L365" s="149"/>
      <c r="M365" s="153"/>
      <c r="T365" s="154"/>
      <c r="AT365" s="150" t="s">
        <v>346</v>
      </c>
      <c r="AU365" s="150" t="s">
        <v>90</v>
      </c>
      <c r="AV365" s="148" t="s">
        <v>90</v>
      </c>
      <c r="AW365" s="148" t="s">
        <v>33</v>
      </c>
      <c r="AX365" s="148" t="s">
        <v>80</v>
      </c>
      <c r="AY365" s="150" t="s">
        <v>337</v>
      </c>
    </row>
    <row r="366" spans="2:51" s="148" customFormat="1" x14ac:dyDescent="0.2">
      <c r="B366" s="149"/>
      <c r="D366" s="143" t="s">
        <v>346</v>
      </c>
      <c r="E366" s="150"/>
      <c r="F366" s="151" t="s">
        <v>5227</v>
      </c>
      <c r="H366" s="152">
        <v>4.423</v>
      </c>
      <c r="L366" s="149"/>
      <c r="M366" s="153"/>
      <c r="T366" s="154"/>
      <c r="AT366" s="150" t="s">
        <v>346</v>
      </c>
      <c r="AU366" s="150" t="s">
        <v>90</v>
      </c>
      <c r="AV366" s="148" t="s">
        <v>90</v>
      </c>
      <c r="AW366" s="148" t="s">
        <v>33</v>
      </c>
      <c r="AX366" s="148" t="s">
        <v>80</v>
      </c>
      <c r="AY366" s="150" t="s">
        <v>337</v>
      </c>
    </row>
    <row r="367" spans="2:51" s="148" customFormat="1" x14ac:dyDescent="0.2">
      <c r="B367" s="149"/>
      <c r="D367" s="143" t="s">
        <v>346</v>
      </c>
      <c r="E367" s="150"/>
      <c r="F367" s="151" t="s">
        <v>5285</v>
      </c>
      <c r="H367" s="152">
        <v>3.8130000000000002</v>
      </c>
      <c r="L367" s="149"/>
      <c r="M367" s="153"/>
      <c r="T367" s="154"/>
      <c r="AT367" s="150" t="s">
        <v>346</v>
      </c>
      <c r="AU367" s="150" t="s">
        <v>90</v>
      </c>
      <c r="AV367" s="148" t="s">
        <v>90</v>
      </c>
      <c r="AW367" s="148" t="s">
        <v>33</v>
      </c>
      <c r="AX367" s="148" t="s">
        <v>80</v>
      </c>
      <c r="AY367" s="150" t="s">
        <v>337</v>
      </c>
    </row>
    <row r="368" spans="2:51" s="148" customFormat="1" x14ac:dyDescent="0.2">
      <c r="B368" s="149"/>
      <c r="D368" s="143" t="s">
        <v>346</v>
      </c>
      <c r="E368" s="150"/>
      <c r="F368" s="151" t="s">
        <v>5285</v>
      </c>
      <c r="H368" s="152">
        <v>3.8130000000000002</v>
      </c>
      <c r="L368" s="149"/>
      <c r="M368" s="153"/>
      <c r="T368" s="154"/>
      <c r="AT368" s="150" t="s">
        <v>346</v>
      </c>
      <c r="AU368" s="150" t="s">
        <v>90</v>
      </c>
      <c r="AV368" s="148" t="s">
        <v>90</v>
      </c>
      <c r="AW368" s="148" t="s">
        <v>33</v>
      </c>
      <c r="AX368" s="148" t="s">
        <v>80</v>
      </c>
      <c r="AY368" s="150" t="s">
        <v>337</v>
      </c>
    </row>
    <row r="369" spans="2:51" s="148" customFormat="1" x14ac:dyDescent="0.2">
      <c r="B369" s="149"/>
      <c r="D369" s="143" t="s">
        <v>346</v>
      </c>
      <c r="E369" s="150"/>
      <c r="F369" s="151" t="s">
        <v>5285</v>
      </c>
      <c r="H369" s="152">
        <v>3.8130000000000002</v>
      </c>
      <c r="L369" s="149"/>
      <c r="M369" s="153"/>
      <c r="T369" s="154"/>
      <c r="AT369" s="150" t="s">
        <v>346</v>
      </c>
      <c r="AU369" s="150" t="s">
        <v>90</v>
      </c>
      <c r="AV369" s="148" t="s">
        <v>90</v>
      </c>
      <c r="AW369" s="148" t="s">
        <v>33</v>
      </c>
      <c r="AX369" s="148" t="s">
        <v>80</v>
      </c>
      <c r="AY369" s="150" t="s">
        <v>337</v>
      </c>
    </row>
    <row r="370" spans="2:51" s="148" customFormat="1" x14ac:dyDescent="0.2">
      <c r="B370" s="149"/>
      <c r="D370" s="143" t="s">
        <v>346</v>
      </c>
      <c r="E370" s="150"/>
      <c r="F370" s="151" t="s">
        <v>5285</v>
      </c>
      <c r="H370" s="152">
        <v>3.8130000000000002</v>
      </c>
      <c r="L370" s="149"/>
      <c r="M370" s="153"/>
      <c r="T370" s="154"/>
      <c r="AT370" s="150" t="s">
        <v>346</v>
      </c>
      <c r="AU370" s="150" t="s">
        <v>90</v>
      </c>
      <c r="AV370" s="148" t="s">
        <v>90</v>
      </c>
      <c r="AW370" s="148" t="s">
        <v>33</v>
      </c>
      <c r="AX370" s="148" t="s">
        <v>80</v>
      </c>
      <c r="AY370" s="150" t="s">
        <v>337</v>
      </c>
    </row>
    <row r="371" spans="2:51" s="148" customFormat="1" x14ac:dyDescent="0.2">
      <c r="B371" s="149"/>
      <c r="D371" s="143" t="s">
        <v>346</v>
      </c>
      <c r="E371" s="150"/>
      <c r="F371" s="151" t="s">
        <v>5285</v>
      </c>
      <c r="H371" s="152">
        <v>3.8130000000000002</v>
      </c>
      <c r="L371" s="149"/>
      <c r="M371" s="153"/>
      <c r="T371" s="154"/>
      <c r="AT371" s="150" t="s">
        <v>346</v>
      </c>
      <c r="AU371" s="150" t="s">
        <v>90</v>
      </c>
      <c r="AV371" s="148" t="s">
        <v>90</v>
      </c>
      <c r="AW371" s="148" t="s">
        <v>33</v>
      </c>
      <c r="AX371" s="148" t="s">
        <v>80</v>
      </c>
      <c r="AY371" s="150" t="s">
        <v>337</v>
      </c>
    </row>
    <row r="372" spans="2:51" s="148" customFormat="1" x14ac:dyDescent="0.2">
      <c r="B372" s="149"/>
      <c r="D372" s="143" t="s">
        <v>346</v>
      </c>
      <c r="E372" s="150"/>
      <c r="F372" s="151" t="s">
        <v>5285</v>
      </c>
      <c r="H372" s="152">
        <v>3.8130000000000002</v>
      </c>
      <c r="L372" s="149"/>
      <c r="M372" s="153"/>
      <c r="T372" s="154"/>
      <c r="AT372" s="150" t="s">
        <v>346</v>
      </c>
      <c r="AU372" s="150" t="s">
        <v>90</v>
      </c>
      <c r="AV372" s="148" t="s">
        <v>90</v>
      </c>
      <c r="AW372" s="148" t="s">
        <v>33</v>
      </c>
      <c r="AX372" s="148" t="s">
        <v>80</v>
      </c>
      <c r="AY372" s="150" t="s">
        <v>337</v>
      </c>
    </row>
    <row r="373" spans="2:51" s="148" customFormat="1" x14ac:dyDescent="0.2">
      <c r="B373" s="149"/>
      <c r="D373" s="143" t="s">
        <v>346</v>
      </c>
      <c r="E373" s="150"/>
      <c r="F373" s="151" t="s">
        <v>5285</v>
      </c>
      <c r="H373" s="152">
        <v>3.8130000000000002</v>
      </c>
      <c r="L373" s="149"/>
      <c r="M373" s="153"/>
      <c r="T373" s="154"/>
      <c r="AT373" s="150" t="s">
        <v>346</v>
      </c>
      <c r="AU373" s="150" t="s">
        <v>90</v>
      </c>
      <c r="AV373" s="148" t="s">
        <v>90</v>
      </c>
      <c r="AW373" s="148" t="s">
        <v>33</v>
      </c>
      <c r="AX373" s="148" t="s">
        <v>80</v>
      </c>
      <c r="AY373" s="150" t="s">
        <v>337</v>
      </c>
    </row>
    <row r="374" spans="2:51" s="148" customFormat="1" x14ac:dyDescent="0.2">
      <c r="B374" s="149"/>
      <c r="D374" s="143" t="s">
        <v>346</v>
      </c>
      <c r="E374" s="150"/>
      <c r="F374" s="151" t="s">
        <v>5285</v>
      </c>
      <c r="H374" s="152">
        <v>3.8130000000000002</v>
      </c>
      <c r="L374" s="149"/>
      <c r="M374" s="153"/>
      <c r="T374" s="154"/>
      <c r="AT374" s="150" t="s">
        <v>346</v>
      </c>
      <c r="AU374" s="150" t="s">
        <v>90</v>
      </c>
      <c r="AV374" s="148" t="s">
        <v>90</v>
      </c>
      <c r="AW374" s="148" t="s">
        <v>33</v>
      </c>
      <c r="AX374" s="148" t="s">
        <v>80</v>
      </c>
      <c r="AY374" s="150" t="s">
        <v>337</v>
      </c>
    </row>
    <row r="375" spans="2:51" s="148" customFormat="1" x14ac:dyDescent="0.2">
      <c r="B375" s="149"/>
      <c r="D375" s="143" t="s">
        <v>346</v>
      </c>
      <c r="E375" s="150"/>
      <c r="F375" s="151" t="s">
        <v>5285</v>
      </c>
      <c r="H375" s="152">
        <v>3.8130000000000002</v>
      </c>
      <c r="L375" s="149"/>
      <c r="M375" s="153"/>
      <c r="T375" s="154"/>
      <c r="AT375" s="150" t="s">
        <v>346</v>
      </c>
      <c r="AU375" s="150" t="s">
        <v>90</v>
      </c>
      <c r="AV375" s="148" t="s">
        <v>90</v>
      </c>
      <c r="AW375" s="148" t="s">
        <v>33</v>
      </c>
      <c r="AX375" s="148" t="s">
        <v>80</v>
      </c>
      <c r="AY375" s="150" t="s">
        <v>337</v>
      </c>
    </row>
    <row r="376" spans="2:51" s="172" customFormat="1" x14ac:dyDescent="0.2">
      <c r="B376" s="173"/>
      <c r="D376" s="143" t="s">
        <v>346</v>
      </c>
      <c r="E376" s="174"/>
      <c r="F376" s="175" t="s">
        <v>609</v>
      </c>
      <c r="H376" s="176">
        <v>434.49299999999897</v>
      </c>
      <c r="L376" s="173"/>
      <c r="M376" s="177"/>
      <c r="T376" s="178"/>
      <c r="AT376" s="174" t="s">
        <v>346</v>
      </c>
      <c r="AU376" s="174" t="s">
        <v>90</v>
      </c>
      <c r="AV376" s="172" t="s">
        <v>113</v>
      </c>
      <c r="AW376" s="172" t="s">
        <v>33</v>
      </c>
      <c r="AX376" s="172" t="s">
        <v>80</v>
      </c>
      <c r="AY376" s="174" t="s">
        <v>337</v>
      </c>
    </row>
    <row r="377" spans="2:51" s="141" customFormat="1" x14ac:dyDescent="0.2">
      <c r="B377" s="142"/>
      <c r="D377" s="143" t="s">
        <v>346</v>
      </c>
      <c r="E377" s="144"/>
      <c r="F377" s="145" t="s">
        <v>5292</v>
      </c>
      <c r="H377" s="144"/>
      <c r="L377" s="142"/>
      <c r="M377" s="146"/>
      <c r="T377" s="147"/>
      <c r="AT377" s="144" t="s">
        <v>346</v>
      </c>
      <c r="AU377" s="144" t="s">
        <v>90</v>
      </c>
      <c r="AV377" s="141" t="s">
        <v>87</v>
      </c>
      <c r="AW377" s="141" t="s">
        <v>33</v>
      </c>
      <c r="AX377" s="141" t="s">
        <v>80</v>
      </c>
      <c r="AY377" s="144" t="s">
        <v>337</v>
      </c>
    </row>
    <row r="378" spans="2:51" s="141" customFormat="1" x14ac:dyDescent="0.2">
      <c r="B378" s="142"/>
      <c r="D378" s="143" t="s">
        <v>346</v>
      </c>
      <c r="E378" s="144"/>
      <c r="F378" s="145" t="s">
        <v>357</v>
      </c>
      <c r="H378" s="144"/>
      <c r="L378" s="142"/>
      <c r="M378" s="146"/>
      <c r="T378" s="147"/>
      <c r="AT378" s="144" t="s">
        <v>346</v>
      </c>
      <c r="AU378" s="144" t="s">
        <v>90</v>
      </c>
      <c r="AV378" s="141" t="s">
        <v>87</v>
      </c>
      <c r="AW378" s="141" t="s">
        <v>33</v>
      </c>
      <c r="AX378" s="141" t="s">
        <v>80</v>
      </c>
      <c r="AY378" s="144" t="s">
        <v>337</v>
      </c>
    </row>
    <row r="379" spans="2:51" s="148" customFormat="1" x14ac:dyDescent="0.2">
      <c r="B379" s="149"/>
      <c r="D379" s="143" t="s">
        <v>346</v>
      </c>
      <c r="E379" s="150"/>
      <c r="F379" s="151" t="s">
        <v>5293</v>
      </c>
      <c r="H379" s="152">
        <v>32.701999999999998</v>
      </c>
      <c r="L379" s="149"/>
      <c r="M379" s="153"/>
      <c r="T379" s="154"/>
      <c r="AT379" s="150" t="s">
        <v>346</v>
      </c>
      <c r="AU379" s="150" t="s">
        <v>90</v>
      </c>
      <c r="AV379" s="148" t="s">
        <v>90</v>
      </c>
      <c r="AW379" s="148" t="s">
        <v>33</v>
      </c>
      <c r="AX379" s="148" t="s">
        <v>80</v>
      </c>
      <c r="AY379" s="150" t="s">
        <v>337</v>
      </c>
    </row>
    <row r="380" spans="2:51" s="141" customFormat="1" x14ac:dyDescent="0.2">
      <c r="B380" s="142"/>
      <c r="D380" s="143" t="s">
        <v>346</v>
      </c>
      <c r="E380" s="144"/>
      <c r="F380" s="145" t="s">
        <v>362</v>
      </c>
      <c r="H380" s="144"/>
      <c r="L380" s="142"/>
      <c r="M380" s="146"/>
      <c r="T380" s="147"/>
      <c r="AT380" s="144" t="s">
        <v>346</v>
      </c>
      <c r="AU380" s="144" t="s">
        <v>90</v>
      </c>
      <c r="AV380" s="141" t="s">
        <v>87</v>
      </c>
      <c r="AW380" s="141" t="s">
        <v>33</v>
      </c>
      <c r="AX380" s="141" t="s">
        <v>80</v>
      </c>
      <c r="AY380" s="144" t="s">
        <v>337</v>
      </c>
    </row>
    <row r="381" spans="2:51" s="148" customFormat="1" x14ac:dyDescent="0.2">
      <c r="B381" s="149"/>
      <c r="D381" s="143" t="s">
        <v>346</v>
      </c>
      <c r="E381" s="150"/>
      <c r="F381" s="151" t="s">
        <v>5242</v>
      </c>
      <c r="H381" s="152">
        <v>22.57</v>
      </c>
      <c r="L381" s="149"/>
      <c r="M381" s="153"/>
      <c r="T381" s="154"/>
      <c r="AT381" s="150" t="s">
        <v>346</v>
      </c>
      <c r="AU381" s="150" t="s">
        <v>90</v>
      </c>
      <c r="AV381" s="148" t="s">
        <v>90</v>
      </c>
      <c r="AW381" s="148" t="s">
        <v>33</v>
      </c>
      <c r="AX381" s="148" t="s">
        <v>80</v>
      </c>
      <c r="AY381" s="150" t="s">
        <v>337</v>
      </c>
    </row>
    <row r="382" spans="2:51" s="148" customFormat="1" x14ac:dyDescent="0.2">
      <c r="B382" s="149"/>
      <c r="D382" s="143" t="s">
        <v>346</v>
      </c>
      <c r="E382" s="150"/>
      <c r="F382" s="151" t="s">
        <v>5290</v>
      </c>
      <c r="H382" s="152">
        <v>3.569</v>
      </c>
      <c r="L382" s="149"/>
      <c r="M382" s="153"/>
      <c r="T382" s="154"/>
      <c r="AT382" s="150" t="s">
        <v>346</v>
      </c>
      <c r="AU382" s="150" t="s">
        <v>90</v>
      </c>
      <c r="AV382" s="148" t="s">
        <v>90</v>
      </c>
      <c r="AW382" s="148" t="s">
        <v>33</v>
      </c>
      <c r="AX382" s="148" t="s">
        <v>80</v>
      </c>
      <c r="AY382" s="150" t="s">
        <v>337</v>
      </c>
    </row>
    <row r="383" spans="2:51" s="148" customFormat="1" x14ac:dyDescent="0.2">
      <c r="B383" s="149"/>
      <c r="D383" s="143" t="s">
        <v>346</v>
      </c>
      <c r="E383" s="150"/>
      <c r="F383" s="151" t="s">
        <v>5294</v>
      </c>
      <c r="H383" s="152">
        <v>4.7279999999999998</v>
      </c>
      <c r="L383" s="149"/>
      <c r="M383" s="153"/>
      <c r="T383" s="154"/>
      <c r="AT383" s="150" t="s">
        <v>346</v>
      </c>
      <c r="AU383" s="150" t="s">
        <v>90</v>
      </c>
      <c r="AV383" s="148" t="s">
        <v>90</v>
      </c>
      <c r="AW383" s="148" t="s">
        <v>33</v>
      </c>
      <c r="AX383" s="148" t="s">
        <v>80</v>
      </c>
      <c r="AY383" s="150" t="s">
        <v>337</v>
      </c>
    </row>
    <row r="384" spans="2:51" s="148" customFormat="1" x14ac:dyDescent="0.2">
      <c r="B384" s="149"/>
      <c r="D384" s="143" t="s">
        <v>346</v>
      </c>
      <c r="E384" s="150"/>
      <c r="F384" s="151" t="s">
        <v>5295</v>
      </c>
      <c r="H384" s="152">
        <v>15.952</v>
      </c>
      <c r="L384" s="149"/>
      <c r="M384" s="153"/>
      <c r="T384" s="154"/>
      <c r="AT384" s="150" t="s">
        <v>346</v>
      </c>
      <c r="AU384" s="150" t="s">
        <v>90</v>
      </c>
      <c r="AV384" s="148" t="s">
        <v>90</v>
      </c>
      <c r="AW384" s="148" t="s">
        <v>33</v>
      </c>
      <c r="AX384" s="148" t="s">
        <v>80</v>
      </c>
      <c r="AY384" s="150" t="s">
        <v>337</v>
      </c>
    </row>
    <row r="385" spans="2:51" s="148" customFormat="1" x14ac:dyDescent="0.2">
      <c r="B385" s="149"/>
      <c r="D385" s="143" t="s">
        <v>346</v>
      </c>
      <c r="E385" s="150"/>
      <c r="F385" s="151" t="s">
        <v>5296</v>
      </c>
      <c r="H385" s="152">
        <v>12.81</v>
      </c>
      <c r="L385" s="149"/>
      <c r="M385" s="153"/>
      <c r="T385" s="154"/>
      <c r="AT385" s="150" t="s">
        <v>346</v>
      </c>
      <c r="AU385" s="150" t="s">
        <v>90</v>
      </c>
      <c r="AV385" s="148" t="s">
        <v>90</v>
      </c>
      <c r="AW385" s="148" t="s">
        <v>33</v>
      </c>
      <c r="AX385" s="148" t="s">
        <v>80</v>
      </c>
      <c r="AY385" s="150" t="s">
        <v>337</v>
      </c>
    </row>
    <row r="386" spans="2:51" s="148" customFormat="1" x14ac:dyDescent="0.2">
      <c r="B386" s="149"/>
      <c r="D386" s="143" t="s">
        <v>346</v>
      </c>
      <c r="E386" s="150"/>
      <c r="F386" s="151" t="s">
        <v>5297</v>
      </c>
      <c r="H386" s="152">
        <v>4.1180000000000003</v>
      </c>
      <c r="L386" s="149"/>
      <c r="M386" s="153"/>
      <c r="T386" s="154"/>
      <c r="AT386" s="150" t="s">
        <v>346</v>
      </c>
      <c r="AU386" s="150" t="s">
        <v>90</v>
      </c>
      <c r="AV386" s="148" t="s">
        <v>90</v>
      </c>
      <c r="AW386" s="148" t="s">
        <v>33</v>
      </c>
      <c r="AX386" s="148" t="s">
        <v>80</v>
      </c>
      <c r="AY386" s="150" t="s">
        <v>337</v>
      </c>
    </row>
    <row r="387" spans="2:51" s="148" customFormat="1" x14ac:dyDescent="0.2">
      <c r="B387" s="149"/>
      <c r="D387" s="143" t="s">
        <v>346</v>
      </c>
      <c r="E387" s="150"/>
      <c r="F387" s="151" t="s">
        <v>5291</v>
      </c>
      <c r="H387" s="152">
        <v>3.05</v>
      </c>
      <c r="L387" s="149"/>
      <c r="M387" s="153"/>
      <c r="T387" s="154"/>
      <c r="AT387" s="150" t="s">
        <v>346</v>
      </c>
      <c r="AU387" s="150" t="s">
        <v>90</v>
      </c>
      <c r="AV387" s="148" t="s">
        <v>90</v>
      </c>
      <c r="AW387" s="148" t="s">
        <v>33</v>
      </c>
      <c r="AX387" s="148" t="s">
        <v>80</v>
      </c>
      <c r="AY387" s="150" t="s">
        <v>337</v>
      </c>
    </row>
    <row r="388" spans="2:51" s="148" customFormat="1" x14ac:dyDescent="0.2">
      <c r="B388" s="149"/>
      <c r="D388" s="143" t="s">
        <v>346</v>
      </c>
      <c r="E388" s="150"/>
      <c r="F388" s="151" t="s">
        <v>5298</v>
      </c>
      <c r="H388" s="152">
        <v>19.215</v>
      </c>
      <c r="L388" s="149"/>
      <c r="M388" s="153"/>
      <c r="T388" s="154"/>
      <c r="AT388" s="150" t="s">
        <v>346</v>
      </c>
      <c r="AU388" s="150" t="s">
        <v>90</v>
      </c>
      <c r="AV388" s="148" t="s">
        <v>90</v>
      </c>
      <c r="AW388" s="148" t="s">
        <v>33</v>
      </c>
      <c r="AX388" s="148" t="s">
        <v>80</v>
      </c>
      <c r="AY388" s="150" t="s">
        <v>337</v>
      </c>
    </row>
    <row r="389" spans="2:51" s="148" customFormat="1" x14ac:dyDescent="0.2">
      <c r="B389" s="149"/>
      <c r="D389" s="143" t="s">
        <v>346</v>
      </c>
      <c r="E389" s="150"/>
      <c r="F389" s="151" t="s">
        <v>5233</v>
      </c>
      <c r="H389" s="152">
        <v>65.117999999999995</v>
      </c>
      <c r="L389" s="149"/>
      <c r="M389" s="153"/>
      <c r="T389" s="154"/>
      <c r="AT389" s="150" t="s">
        <v>346</v>
      </c>
      <c r="AU389" s="150" t="s">
        <v>90</v>
      </c>
      <c r="AV389" s="148" t="s">
        <v>90</v>
      </c>
      <c r="AW389" s="148" t="s">
        <v>33</v>
      </c>
      <c r="AX389" s="148" t="s">
        <v>80</v>
      </c>
      <c r="AY389" s="150" t="s">
        <v>337</v>
      </c>
    </row>
    <row r="390" spans="2:51" s="148" customFormat="1" x14ac:dyDescent="0.2">
      <c r="B390" s="149"/>
      <c r="D390" s="143" t="s">
        <v>346</v>
      </c>
      <c r="E390" s="150"/>
      <c r="F390" s="151" t="s">
        <v>5285</v>
      </c>
      <c r="H390" s="152">
        <v>3.8130000000000002</v>
      </c>
      <c r="L390" s="149"/>
      <c r="M390" s="153"/>
      <c r="T390" s="154"/>
      <c r="AT390" s="150" t="s">
        <v>346</v>
      </c>
      <c r="AU390" s="150" t="s">
        <v>90</v>
      </c>
      <c r="AV390" s="148" t="s">
        <v>90</v>
      </c>
      <c r="AW390" s="148" t="s">
        <v>33</v>
      </c>
      <c r="AX390" s="148" t="s">
        <v>80</v>
      </c>
      <c r="AY390" s="150" t="s">
        <v>337</v>
      </c>
    </row>
    <row r="391" spans="2:51" s="148" customFormat="1" x14ac:dyDescent="0.2">
      <c r="B391" s="149"/>
      <c r="D391" s="143" t="s">
        <v>346</v>
      </c>
      <c r="E391" s="150"/>
      <c r="F391" s="151" t="s">
        <v>5248</v>
      </c>
      <c r="H391" s="152">
        <v>5.7949999999999999</v>
      </c>
      <c r="L391" s="149"/>
      <c r="M391" s="153"/>
      <c r="T391" s="154"/>
      <c r="AT391" s="150" t="s">
        <v>346</v>
      </c>
      <c r="AU391" s="150" t="s">
        <v>90</v>
      </c>
      <c r="AV391" s="148" t="s">
        <v>90</v>
      </c>
      <c r="AW391" s="148" t="s">
        <v>33</v>
      </c>
      <c r="AX391" s="148" t="s">
        <v>80</v>
      </c>
      <c r="AY391" s="150" t="s">
        <v>337</v>
      </c>
    </row>
    <row r="392" spans="2:51" s="148" customFormat="1" x14ac:dyDescent="0.2">
      <c r="B392" s="149"/>
      <c r="D392" s="143" t="s">
        <v>346</v>
      </c>
      <c r="E392" s="150"/>
      <c r="F392" s="151" t="s">
        <v>5248</v>
      </c>
      <c r="H392" s="152">
        <v>5.7949999999999999</v>
      </c>
      <c r="L392" s="149"/>
      <c r="M392" s="153"/>
      <c r="T392" s="154"/>
      <c r="AT392" s="150" t="s">
        <v>346</v>
      </c>
      <c r="AU392" s="150" t="s">
        <v>90</v>
      </c>
      <c r="AV392" s="148" t="s">
        <v>90</v>
      </c>
      <c r="AW392" s="148" t="s">
        <v>33</v>
      </c>
      <c r="AX392" s="148" t="s">
        <v>80</v>
      </c>
      <c r="AY392" s="150" t="s">
        <v>337</v>
      </c>
    </row>
    <row r="393" spans="2:51" s="148" customFormat="1" x14ac:dyDescent="0.2">
      <c r="B393" s="149"/>
      <c r="D393" s="143" t="s">
        <v>346</v>
      </c>
      <c r="E393" s="150"/>
      <c r="F393" s="151" t="s">
        <v>5299</v>
      </c>
      <c r="H393" s="152">
        <v>2.7450000000000001</v>
      </c>
      <c r="L393" s="149"/>
      <c r="M393" s="153"/>
      <c r="T393" s="154"/>
      <c r="AT393" s="150" t="s">
        <v>346</v>
      </c>
      <c r="AU393" s="150" t="s">
        <v>90</v>
      </c>
      <c r="AV393" s="148" t="s">
        <v>90</v>
      </c>
      <c r="AW393" s="148" t="s">
        <v>33</v>
      </c>
      <c r="AX393" s="148" t="s">
        <v>80</v>
      </c>
      <c r="AY393" s="150" t="s">
        <v>337</v>
      </c>
    </row>
    <row r="394" spans="2:51" s="141" customFormat="1" x14ac:dyDescent="0.2">
      <c r="B394" s="142"/>
      <c r="D394" s="143" t="s">
        <v>346</v>
      </c>
      <c r="E394" s="144"/>
      <c r="F394" s="145" t="s">
        <v>367</v>
      </c>
      <c r="H394" s="144"/>
      <c r="L394" s="142"/>
      <c r="M394" s="146"/>
      <c r="T394" s="147"/>
      <c r="AT394" s="144" t="s">
        <v>346</v>
      </c>
      <c r="AU394" s="144" t="s">
        <v>90</v>
      </c>
      <c r="AV394" s="141" t="s">
        <v>87</v>
      </c>
      <c r="AW394" s="141" t="s">
        <v>33</v>
      </c>
      <c r="AX394" s="141" t="s">
        <v>80</v>
      </c>
      <c r="AY394" s="144" t="s">
        <v>337</v>
      </c>
    </row>
    <row r="395" spans="2:51" s="148" customFormat="1" x14ac:dyDescent="0.2">
      <c r="B395" s="149"/>
      <c r="D395" s="143" t="s">
        <v>346</v>
      </c>
      <c r="E395" s="150"/>
      <c r="F395" s="151" t="s">
        <v>5300</v>
      </c>
      <c r="H395" s="152">
        <v>26.535</v>
      </c>
      <c r="L395" s="149"/>
      <c r="M395" s="153"/>
      <c r="T395" s="154"/>
      <c r="AT395" s="150" t="s">
        <v>346</v>
      </c>
      <c r="AU395" s="150" t="s">
        <v>90</v>
      </c>
      <c r="AV395" s="148" t="s">
        <v>90</v>
      </c>
      <c r="AW395" s="148" t="s">
        <v>33</v>
      </c>
      <c r="AX395" s="148" t="s">
        <v>80</v>
      </c>
      <c r="AY395" s="150" t="s">
        <v>337</v>
      </c>
    </row>
    <row r="396" spans="2:51" s="148" customFormat="1" x14ac:dyDescent="0.2">
      <c r="B396" s="149"/>
      <c r="D396" s="143" t="s">
        <v>346</v>
      </c>
      <c r="E396" s="150"/>
      <c r="F396" s="151" t="s">
        <v>5294</v>
      </c>
      <c r="H396" s="152">
        <v>4.7279999999999998</v>
      </c>
      <c r="L396" s="149"/>
      <c r="M396" s="153"/>
      <c r="T396" s="154"/>
      <c r="AT396" s="150" t="s">
        <v>346</v>
      </c>
      <c r="AU396" s="150" t="s">
        <v>90</v>
      </c>
      <c r="AV396" s="148" t="s">
        <v>90</v>
      </c>
      <c r="AW396" s="148" t="s">
        <v>33</v>
      </c>
      <c r="AX396" s="148" t="s">
        <v>80</v>
      </c>
      <c r="AY396" s="150" t="s">
        <v>337</v>
      </c>
    </row>
    <row r="397" spans="2:51" s="148" customFormat="1" x14ac:dyDescent="0.2">
      <c r="B397" s="149"/>
      <c r="D397" s="143" t="s">
        <v>346</v>
      </c>
      <c r="E397" s="150"/>
      <c r="F397" s="151" t="s">
        <v>5295</v>
      </c>
      <c r="H397" s="152">
        <v>15.952</v>
      </c>
      <c r="L397" s="149"/>
      <c r="M397" s="153"/>
      <c r="T397" s="154"/>
      <c r="AT397" s="150" t="s">
        <v>346</v>
      </c>
      <c r="AU397" s="150" t="s">
        <v>90</v>
      </c>
      <c r="AV397" s="148" t="s">
        <v>90</v>
      </c>
      <c r="AW397" s="148" t="s">
        <v>33</v>
      </c>
      <c r="AX397" s="148" t="s">
        <v>80</v>
      </c>
      <c r="AY397" s="150" t="s">
        <v>337</v>
      </c>
    </row>
    <row r="398" spans="2:51" s="148" customFormat="1" x14ac:dyDescent="0.2">
      <c r="B398" s="149"/>
      <c r="D398" s="143" t="s">
        <v>346</v>
      </c>
      <c r="E398" s="150"/>
      <c r="F398" s="151" t="s">
        <v>5301</v>
      </c>
      <c r="H398" s="152">
        <v>33.764000000000003</v>
      </c>
      <c r="L398" s="149"/>
      <c r="M398" s="153"/>
      <c r="T398" s="154"/>
      <c r="AT398" s="150" t="s">
        <v>346</v>
      </c>
      <c r="AU398" s="150" t="s">
        <v>90</v>
      </c>
      <c r="AV398" s="148" t="s">
        <v>90</v>
      </c>
      <c r="AW398" s="148" t="s">
        <v>33</v>
      </c>
      <c r="AX398" s="148" t="s">
        <v>80</v>
      </c>
      <c r="AY398" s="150" t="s">
        <v>337</v>
      </c>
    </row>
    <row r="399" spans="2:51" s="148" customFormat="1" x14ac:dyDescent="0.2">
      <c r="B399" s="149"/>
      <c r="D399" s="143" t="s">
        <v>346</v>
      </c>
      <c r="E399" s="150"/>
      <c r="F399" s="151" t="s">
        <v>5248</v>
      </c>
      <c r="H399" s="152">
        <v>5.7949999999999999</v>
      </c>
      <c r="L399" s="149"/>
      <c r="M399" s="153"/>
      <c r="T399" s="154"/>
      <c r="AT399" s="150" t="s">
        <v>346</v>
      </c>
      <c r="AU399" s="150" t="s">
        <v>90</v>
      </c>
      <c r="AV399" s="148" t="s">
        <v>90</v>
      </c>
      <c r="AW399" s="148" t="s">
        <v>33</v>
      </c>
      <c r="AX399" s="148" t="s">
        <v>80</v>
      </c>
      <c r="AY399" s="150" t="s">
        <v>337</v>
      </c>
    </row>
    <row r="400" spans="2:51" s="148" customFormat="1" x14ac:dyDescent="0.2">
      <c r="B400" s="149"/>
      <c r="D400" s="143" t="s">
        <v>346</v>
      </c>
      <c r="E400" s="150"/>
      <c r="F400" s="151" t="s">
        <v>5248</v>
      </c>
      <c r="H400" s="152">
        <v>5.7949999999999999</v>
      </c>
      <c r="L400" s="149"/>
      <c r="M400" s="153"/>
      <c r="T400" s="154"/>
      <c r="AT400" s="150" t="s">
        <v>346</v>
      </c>
      <c r="AU400" s="150" t="s">
        <v>90</v>
      </c>
      <c r="AV400" s="148" t="s">
        <v>90</v>
      </c>
      <c r="AW400" s="148" t="s">
        <v>33</v>
      </c>
      <c r="AX400" s="148" t="s">
        <v>80</v>
      </c>
      <c r="AY400" s="150" t="s">
        <v>337</v>
      </c>
    </row>
    <row r="401" spans="2:51" s="148" customFormat="1" x14ac:dyDescent="0.2">
      <c r="B401" s="149"/>
      <c r="D401" s="143" t="s">
        <v>346</v>
      </c>
      <c r="E401" s="150"/>
      <c r="F401" s="151" t="s">
        <v>5291</v>
      </c>
      <c r="H401" s="152">
        <v>3.05</v>
      </c>
      <c r="L401" s="149"/>
      <c r="M401" s="153"/>
      <c r="T401" s="154"/>
      <c r="AT401" s="150" t="s">
        <v>346</v>
      </c>
      <c r="AU401" s="150" t="s">
        <v>90</v>
      </c>
      <c r="AV401" s="148" t="s">
        <v>90</v>
      </c>
      <c r="AW401" s="148" t="s">
        <v>33</v>
      </c>
      <c r="AX401" s="148" t="s">
        <v>80</v>
      </c>
      <c r="AY401" s="150" t="s">
        <v>337</v>
      </c>
    </row>
    <row r="402" spans="2:51" s="148" customFormat="1" x14ac:dyDescent="0.2">
      <c r="B402" s="149"/>
      <c r="D402" s="143" t="s">
        <v>346</v>
      </c>
      <c r="E402" s="150"/>
      <c r="F402" s="151" t="s">
        <v>5249</v>
      </c>
      <c r="H402" s="152">
        <v>82.539000000000001</v>
      </c>
      <c r="L402" s="149"/>
      <c r="M402" s="153"/>
      <c r="T402" s="154"/>
      <c r="AT402" s="150" t="s">
        <v>346</v>
      </c>
      <c r="AU402" s="150" t="s">
        <v>90</v>
      </c>
      <c r="AV402" s="148" t="s">
        <v>90</v>
      </c>
      <c r="AW402" s="148" t="s">
        <v>33</v>
      </c>
      <c r="AX402" s="148" t="s">
        <v>80</v>
      </c>
      <c r="AY402" s="150" t="s">
        <v>337</v>
      </c>
    </row>
    <row r="403" spans="2:51" s="141" customFormat="1" x14ac:dyDescent="0.2">
      <c r="B403" s="142"/>
      <c r="D403" s="143" t="s">
        <v>346</v>
      </c>
      <c r="E403" s="144"/>
      <c r="F403" s="145" t="s">
        <v>368</v>
      </c>
      <c r="H403" s="144"/>
      <c r="L403" s="142"/>
      <c r="M403" s="146"/>
      <c r="T403" s="147"/>
      <c r="AT403" s="144" t="s">
        <v>346</v>
      </c>
      <c r="AU403" s="144" t="s">
        <v>90</v>
      </c>
      <c r="AV403" s="141" t="s">
        <v>87</v>
      </c>
      <c r="AW403" s="141" t="s">
        <v>33</v>
      </c>
      <c r="AX403" s="141" t="s">
        <v>80</v>
      </c>
      <c r="AY403" s="144" t="s">
        <v>337</v>
      </c>
    </row>
    <row r="404" spans="2:51" s="148" customFormat="1" x14ac:dyDescent="0.2">
      <c r="B404" s="149"/>
      <c r="D404" s="143" t="s">
        <v>346</v>
      </c>
      <c r="E404" s="150"/>
      <c r="F404" s="151" t="s">
        <v>5300</v>
      </c>
      <c r="H404" s="152">
        <v>26.535</v>
      </c>
      <c r="L404" s="149"/>
      <c r="M404" s="153"/>
      <c r="T404" s="154"/>
      <c r="AT404" s="150" t="s">
        <v>346</v>
      </c>
      <c r="AU404" s="150" t="s">
        <v>90</v>
      </c>
      <c r="AV404" s="148" t="s">
        <v>90</v>
      </c>
      <c r="AW404" s="148" t="s">
        <v>33</v>
      </c>
      <c r="AX404" s="148" t="s">
        <v>80</v>
      </c>
      <c r="AY404" s="150" t="s">
        <v>337</v>
      </c>
    </row>
    <row r="405" spans="2:51" s="148" customFormat="1" x14ac:dyDescent="0.2">
      <c r="B405" s="149"/>
      <c r="D405" s="143" t="s">
        <v>346</v>
      </c>
      <c r="E405" s="150"/>
      <c r="F405" s="151" t="s">
        <v>5294</v>
      </c>
      <c r="H405" s="152">
        <v>4.7279999999999998</v>
      </c>
      <c r="L405" s="149"/>
      <c r="M405" s="153"/>
      <c r="T405" s="154"/>
      <c r="AT405" s="150" t="s">
        <v>346</v>
      </c>
      <c r="AU405" s="150" t="s">
        <v>90</v>
      </c>
      <c r="AV405" s="148" t="s">
        <v>90</v>
      </c>
      <c r="AW405" s="148" t="s">
        <v>33</v>
      </c>
      <c r="AX405" s="148" t="s">
        <v>80</v>
      </c>
      <c r="AY405" s="150" t="s">
        <v>337</v>
      </c>
    </row>
    <row r="406" spans="2:51" s="148" customFormat="1" x14ac:dyDescent="0.2">
      <c r="B406" s="149"/>
      <c r="D406" s="143" t="s">
        <v>346</v>
      </c>
      <c r="E406" s="150"/>
      <c r="F406" s="151" t="s">
        <v>5295</v>
      </c>
      <c r="H406" s="152">
        <v>15.952</v>
      </c>
      <c r="L406" s="149"/>
      <c r="M406" s="153"/>
      <c r="T406" s="154"/>
      <c r="AT406" s="150" t="s">
        <v>346</v>
      </c>
      <c r="AU406" s="150" t="s">
        <v>90</v>
      </c>
      <c r="AV406" s="148" t="s">
        <v>90</v>
      </c>
      <c r="AW406" s="148" t="s">
        <v>33</v>
      </c>
      <c r="AX406" s="148" t="s">
        <v>80</v>
      </c>
      <c r="AY406" s="150" t="s">
        <v>337</v>
      </c>
    </row>
    <row r="407" spans="2:51" s="148" customFormat="1" x14ac:dyDescent="0.2">
      <c r="B407" s="149"/>
      <c r="D407" s="143" t="s">
        <v>346</v>
      </c>
      <c r="E407" s="150"/>
      <c r="F407" s="151" t="s">
        <v>5301</v>
      </c>
      <c r="H407" s="152">
        <v>33.764000000000003</v>
      </c>
      <c r="L407" s="149"/>
      <c r="M407" s="153"/>
      <c r="T407" s="154"/>
      <c r="AT407" s="150" t="s">
        <v>346</v>
      </c>
      <c r="AU407" s="150" t="s">
        <v>90</v>
      </c>
      <c r="AV407" s="148" t="s">
        <v>90</v>
      </c>
      <c r="AW407" s="148" t="s">
        <v>33</v>
      </c>
      <c r="AX407" s="148" t="s">
        <v>80</v>
      </c>
      <c r="AY407" s="150" t="s">
        <v>337</v>
      </c>
    </row>
    <row r="408" spans="2:51" s="148" customFormat="1" x14ac:dyDescent="0.2">
      <c r="B408" s="149"/>
      <c r="D408" s="143" t="s">
        <v>346</v>
      </c>
      <c r="E408" s="150"/>
      <c r="F408" s="151" t="s">
        <v>5248</v>
      </c>
      <c r="H408" s="152">
        <v>5.7949999999999999</v>
      </c>
      <c r="L408" s="149"/>
      <c r="M408" s="153"/>
      <c r="T408" s="154"/>
      <c r="AT408" s="150" t="s">
        <v>346</v>
      </c>
      <c r="AU408" s="150" t="s">
        <v>90</v>
      </c>
      <c r="AV408" s="148" t="s">
        <v>90</v>
      </c>
      <c r="AW408" s="148" t="s">
        <v>33</v>
      </c>
      <c r="AX408" s="148" t="s">
        <v>80</v>
      </c>
      <c r="AY408" s="150" t="s">
        <v>337</v>
      </c>
    </row>
    <row r="409" spans="2:51" s="148" customFormat="1" x14ac:dyDescent="0.2">
      <c r="B409" s="149"/>
      <c r="D409" s="143" t="s">
        <v>346</v>
      </c>
      <c r="E409" s="150"/>
      <c r="F409" s="151" t="s">
        <v>5248</v>
      </c>
      <c r="H409" s="152">
        <v>5.7949999999999999</v>
      </c>
      <c r="L409" s="149"/>
      <c r="M409" s="153"/>
      <c r="T409" s="154"/>
      <c r="AT409" s="150" t="s">
        <v>346</v>
      </c>
      <c r="AU409" s="150" t="s">
        <v>90</v>
      </c>
      <c r="AV409" s="148" t="s">
        <v>90</v>
      </c>
      <c r="AW409" s="148" t="s">
        <v>33</v>
      </c>
      <c r="AX409" s="148" t="s">
        <v>80</v>
      </c>
      <c r="AY409" s="150" t="s">
        <v>337</v>
      </c>
    </row>
    <row r="410" spans="2:51" s="148" customFormat="1" x14ac:dyDescent="0.2">
      <c r="B410" s="149"/>
      <c r="D410" s="143" t="s">
        <v>346</v>
      </c>
      <c r="E410" s="150"/>
      <c r="F410" s="151" t="s">
        <v>5291</v>
      </c>
      <c r="H410" s="152">
        <v>3.05</v>
      </c>
      <c r="L410" s="149"/>
      <c r="M410" s="153"/>
      <c r="T410" s="154"/>
      <c r="AT410" s="150" t="s">
        <v>346</v>
      </c>
      <c r="AU410" s="150" t="s">
        <v>90</v>
      </c>
      <c r="AV410" s="148" t="s">
        <v>90</v>
      </c>
      <c r="AW410" s="148" t="s">
        <v>33</v>
      </c>
      <c r="AX410" s="148" t="s">
        <v>80</v>
      </c>
      <c r="AY410" s="150" t="s">
        <v>337</v>
      </c>
    </row>
    <row r="411" spans="2:51" s="148" customFormat="1" x14ac:dyDescent="0.2">
      <c r="B411" s="149"/>
      <c r="D411" s="143" t="s">
        <v>346</v>
      </c>
      <c r="E411" s="150"/>
      <c r="F411" s="151" t="s">
        <v>5249</v>
      </c>
      <c r="H411" s="152">
        <v>82.539000000000001</v>
      </c>
      <c r="L411" s="149"/>
      <c r="M411" s="153"/>
      <c r="T411" s="154"/>
      <c r="AT411" s="150" t="s">
        <v>346</v>
      </c>
      <c r="AU411" s="150" t="s">
        <v>90</v>
      </c>
      <c r="AV411" s="148" t="s">
        <v>90</v>
      </c>
      <c r="AW411" s="148" t="s">
        <v>33</v>
      </c>
      <c r="AX411" s="148" t="s">
        <v>80</v>
      </c>
      <c r="AY411" s="150" t="s">
        <v>337</v>
      </c>
    </row>
    <row r="412" spans="2:51" s="148" customFormat="1" x14ac:dyDescent="0.2">
      <c r="B412" s="149"/>
      <c r="D412" s="143" t="s">
        <v>346</v>
      </c>
      <c r="E412" s="150"/>
      <c r="F412" s="151" t="s">
        <v>5302</v>
      </c>
      <c r="H412" s="152">
        <v>2.379</v>
      </c>
      <c r="L412" s="149"/>
      <c r="M412" s="153"/>
      <c r="T412" s="154"/>
      <c r="AT412" s="150" t="s">
        <v>346</v>
      </c>
      <c r="AU412" s="150" t="s">
        <v>90</v>
      </c>
      <c r="AV412" s="148" t="s">
        <v>90</v>
      </c>
      <c r="AW412" s="148" t="s">
        <v>33</v>
      </c>
      <c r="AX412" s="148" t="s">
        <v>80</v>
      </c>
      <c r="AY412" s="150" t="s">
        <v>337</v>
      </c>
    </row>
    <row r="413" spans="2:51" s="148" customFormat="1" x14ac:dyDescent="0.2">
      <c r="B413" s="149"/>
      <c r="D413" s="143" t="s">
        <v>346</v>
      </c>
      <c r="E413" s="150"/>
      <c r="F413" s="151" t="s">
        <v>5302</v>
      </c>
      <c r="H413" s="152">
        <v>2.379</v>
      </c>
      <c r="L413" s="149"/>
      <c r="M413" s="153"/>
      <c r="T413" s="154"/>
      <c r="AT413" s="150" t="s">
        <v>346</v>
      </c>
      <c r="AU413" s="150" t="s">
        <v>90</v>
      </c>
      <c r="AV413" s="148" t="s">
        <v>90</v>
      </c>
      <c r="AW413" s="148" t="s">
        <v>33</v>
      </c>
      <c r="AX413" s="148" t="s">
        <v>80</v>
      </c>
      <c r="AY413" s="150" t="s">
        <v>337</v>
      </c>
    </row>
    <row r="414" spans="2:51" s="148" customFormat="1" x14ac:dyDescent="0.2">
      <c r="B414" s="149"/>
      <c r="D414" s="143" t="s">
        <v>346</v>
      </c>
      <c r="E414" s="150"/>
      <c r="F414" s="151" t="s">
        <v>5303</v>
      </c>
      <c r="H414" s="152">
        <v>1.5249999999999999</v>
      </c>
      <c r="L414" s="149"/>
      <c r="M414" s="153"/>
      <c r="T414" s="154"/>
      <c r="AT414" s="150" t="s">
        <v>346</v>
      </c>
      <c r="AU414" s="150" t="s">
        <v>90</v>
      </c>
      <c r="AV414" s="148" t="s">
        <v>90</v>
      </c>
      <c r="AW414" s="148" t="s">
        <v>33</v>
      </c>
      <c r="AX414" s="148" t="s">
        <v>80</v>
      </c>
      <c r="AY414" s="150" t="s">
        <v>337</v>
      </c>
    </row>
    <row r="415" spans="2:51" s="141" customFormat="1" x14ac:dyDescent="0.2">
      <c r="B415" s="142"/>
      <c r="D415" s="143" t="s">
        <v>346</v>
      </c>
      <c r="E415" s="144"/>
      <c r="F415" s="145" t="s">
        <v>370</v>
      </c>
      <c r="H415" s="144"/>
      <c r="L415" s="142"/>
      <c r="M415" s="146"/>
      <c r="T415" s="147"/>
      <c r="AT415" s="144" t="s">
        <v>346</v>
      </c>
      <c r="AU415" s="144" t="s">
        <v>90</v>
      </c>
      <c r="AV415" s="141" t="s">
        <v>87</v>
      </c>
      <c r="AW415" s="141" t="s">
        <v>33</v>
      </c>
      <c r="AX415" s="141" t="s">
        <v>80</v>
      </c>
      <c r="AY415" s="144" t="s">
        <v>337</v>
      </c>
    </row>
    <row r="416" spans="2:51" s="148" customFormat="1" x14ac:dyDescent="0.2">
      <c r="B416" s="149"/>
      <c r="D416" s="143" t="s">
        <v>346</v>
      </c>
      <c r="E416" s="150"/>
      <c r="F416" s="151" t="s">
        <v>5300</v>
      </c>
      <c r="H416" s="152">
        <v>26.535</v>
      </c>
      <c r="L416" s="149"/>
      <c r="M416" s="153"/>
      <c r="T416" s="154"/>
      <c r="AT416" s="150" t="s">
        <v>346</v>
      </c>
      <c r="AU416" s="150" t="s">
        <v>90</v>
      </c>
      <c r="AV416" s="148" t="s">
        <v>90</v>
      </c>
      <c r="AW416" s="148" t="s">
        <v>33</v>
      </c>
      <c r="AX416" s="148" t="s">
        <v>80</v>
      </c>
      <c r="AY416" s="150" t="s">
        <v>337</v>
      </c>
    </row>
    <row r="417" spans="2:51" s="148" customFormat="1" x14ac:dyDescent="0.2">
      <c r="B417" s="149"/>
      <c r="D417" s="143" t="s">
        <v>346</v>
      </c>
      <c r="E417" s="150"/>
      <c r="F417" s="151" t="s">
        <v>5294</v>
      </c>
      <c r="H417" s="152">
        <v>4.7279999999999998</v>
      </c>
      <c r="L417" s="149"/>
      <c r="M417" s="153"/>
      <c r="T417" s="154"/>
      <c r="AT417" s="150" t="s">
        <v>346</v>
      </c>
      <c r="AU417" s="150" t="s">
        <v>90</v>
      </c>
      <c r="AV417" s="148" t="s">
        <v>90</v>
      </c>
      <c r="AW417" s="148" t="s">
        <v>33</v>
      </c>
      <c r="AX417" s="148" t="s">
        <v>80</v>
      </c>
      <c r="AY417" s="150" t="s">
        <v>337</v>
      </c>
    </row>
    <row r="418" spans="2:51" s="148" customFormat="1" x14ac:dyDescent="0.2">
      <c r="B418" s="149"/>
      <c r="D418" s="143" t="s">
        <v>346</v>
      </c>
      <c r="E418" s="150"/>
      <c r="F418" s="151" t="s">
        <v>5295</v>
      </c>
      <c r="H418" s="152">
        <v>15.952</v>
      </c>
      <c r="L418" s="149"/>
      <c r="M418" s="153"/>
      <c r="T418" s="154"/>
      <c r="AT418" s="150" t="s">
        <v>346</v>
      </c>
      <c r="AU418" s="150" t="s">
        <v>90</v>
      </c>
      <c r="AV418" s="148" t="s">
        <v>90</v>
      </c>
      <c r="AW418" s="148" t="s">
        <v>33</v>
      </c>
      <c r="AX418" s="148" t="s">
        <v>80</v>
      </c>
      <c r="AY418" s="150" t="s">
        <v>337</v>
      </c>
    </row>
    <row r="419" spans="2:51" s="148" customFormat="1" x14ac:dyDescent="0.2">
      <c r="B419" s="149"/>
      <c r="D419" s="143" t="s">
        <v>346</v>
      </c>
      <c r="E419" s="150"/>
      <c r="F419" s="151" t="s">
        <v>5301</v>
      </c>
      <c r="H419" s="152">
        <v>33.764000000000003</v>
      </c>
      <c r="L419" s="149"/>
      <c r="M419" s="153"/>
      <c r="T419" s="154"/>
      <c r="AT419" s="150" t="s">
        <v>346</v>
      </c>
      <c r="AU419" s="150" t="s">
        <v>90</v>
      </c>
      <c r="AV419" s="148" t="s">
        <v>90</v>
      </c>
      <c r="AW419" s="148" t="s">
        <v>33</v>
      </c>
      <c r="AX419" s="148" t="s">
        <v>80</v>
      </c>
      <c r="AY419" s="150" t="s">
        <v>337</v>
      </c>
    </row>
    <row r="420" spans="2:51" s="148" customFormat="1" x14ac:dyDescent="0.2">
      <c r="B420" s="149"/>
      <c r="D420" s="143" t="s">
        <v>346</v>
      </c>
      <c r="E420" s="150"/>
      <c r="F420" s="151" t="s">
        <v>5248</v>
      </c>
      <c r="H420" s="152">
        <v>5.7949999999999999</v>
      </c>
      <c r="L420" s="149"/>
      <c r="M420" s="153"/>
      <c r="T420" s="154"/>
      <c r="AT420" s="150" t="s">
        <v>346</v>
      </c>
      <c r="AU420" s="150" t="s">
        <v>90</v>
      </c>
      <c r="AV420" s="148" t="s">
        <v>90</v>
      </c>
      <c r="AW420" s="148" t="s">
        <v>33</v>
      </c>
      <c r="AX420" s="148" t="s">
        <v>80</v>
      </c>
      <c r="AY420" s="150" t="s">
        <v>337</v>
      </c>
    </row>
    <row r="421" spans="2:51" s="148" customFormat="1" x14ac:dyDescent="0.2">
      <c r="B421" s="149"/>
      <c r="D421" s="143" t="s">
        <v>346</v>
      </c>
      <c r="E421" s="150"/>
      <c r="F421" s="151" t="s">
        <v>5248</v>
      </c>
      <c r="H421" s="152">
        <v>5.7949999999999999</v>
      </c>
      <c r="L421" s="149"/>
      <c r="M421" s="153"/>
      <c r="T421" s="154"/>
      <c r="AT421" s="150" t="s">
        <v>346</v>
      </c>
      <c r="AU421" s="150" t="s">
        <v>90</v>
      </c>
      <c r="AV421" s="148" t="s">
        <v>90</v>
      </c>
      <c r="AW421" s="148" t="s">
        <v>33</v>
      </c>
      <c r="AX421" s="148" t="s">
        <v>80</v>
      </c>
      <c r="AY421" s="150" t="s">
        <v>337</v>
      </c>
    </row>
    <row r="422" spans="2:51" s="148" customFormat="1" x14ac:dyDescent="0.2">
      <c r="B422" s="149"/>
      <c r="D422" s="143" t="s">
        <v>346</v>
      </c>
      <c r="E422" s="150"/>
      <c r="F422" s="151" t="s">
        <v>5291</v>
      </c>
      <c r="H422" s="152">
        <v>3.05</v>
      </c>
      <c r="L422" s="149"/>
      <c r="M422" s="153"/>
      <c r="T422" s="154"/>
      <c r="AT422" s="150" t="s">
        <v>346</v>
      </c>
      <c r="AU422" s="150" t="s">
        <v>90</v>
      </c>
      <c r="AV422" s="148" t="s">
        <v>90</v>
      </c>
      <c r="AW422" s="148" t="s">
        <v>33</v>
      </c>
      <c r="AX422" s="148" t="s">
        <v>80</v>
      </c>
      <c r="AY422" s="150" t="s">
        <v>337</v>
      </c>
    </row>
    <row r="423" spans="2:51" s="148" customFormat="1" x14ac:dyDescent="0.2">
      <c r="B423" s="149"/>
      <c r="D423" s="143" t="s">
        <v>346</v>
      </c>
      <c r="E423" s="150"/>
      <c r="F423" s="151" t="s">
        <v>5249</v>
      </c>
      <c r="H423" s="152">
        <v>82.539000000000001</v>
      </c>
      <c r="L423" s="149"/>
      <c r="M423" s="153"/>
      <c r="T423" s="154"/>
      <c r="AT423" s="150" t="s">
        <v>346</v>
      </c>
      <c r="AU423" s="150" t="s">
        <v>90</v>
      </c>
      <c r="AV423" s="148" t="s">
        <v>90</v>
      </c>
      <c r="AW423" s="148" t="s">
        <v>33</v>
      </c>
      <c r="AX423" s="148" t="s">
        <v>80</v>
      </c>
      <c r="AY423" s="150" t="s">
        <v>337</v>
      </c>
    </row>
    <row r="424" spans="2:51" s="148" customFormat="1" x14ac:dyDescent="0.2">
      <c r="B424" s="149"/>
      <c r="D424" s="143" t="s">
        <v>346</v>
      </c>
      <c r="E424" s="150"/>
      <c r="F424" s="151" t="s">
        <v>5302</v>
      </c>
      <c r="H424" s="152">
        <v>2.379</v>
      </c>
      <c r="L424" s="149"/>
      <c r="M424" s="153"/>
      <c r="T424" s="154"/>
      <c r="AT424" s="150" t="s">
        <v>346</v>
      </c>
      <c r="AU424" s="150" t="s">
        <v>90</v>
      </c>
      <c r="AV424" s="148" t="s">
        <v>90</v>
      </c>
      <c r="AW424" s="148" t="s">
        <v>33</v>
      </c>
      <c r="AX424" s="148" t="s">
        <v>80</v>
      </c>
      <c r="AY424" s="150" t="s">
        <v>337</v>
      </c>
    </row>
    <row r="425" spans="2:51" s="148" customFormat="1" x14ac:dyDescent="0.2">
      <c r="B425" s="149"/>
      <c r="D425" s="143" t="s">
        <v>346</v>
      </c>
      <c r="E425" s="150"/>
      <c r="F425" s="151" t="s">
        <v>5302</v>
      </c>
      <c r="H425" s="152">
        <v>2.379</v>
      </c>
      <c r="L425" s="149"/>
      <c r="M425" s="153"/>
      <c r="T425" s="154"/>
      <c r="AT425" s="150" t="s">
        <v>346</v>
      </c>
      <c r="AU425" s="150" t="s">
        <v>90</v>
      </c>
      <c r="AV425" s="148" t="s">
        <v>90</v>
      </c>
      <c r="AW425" s="148" t="s">
        <v>33</v>
      </c>
      <c r="AX425" s="148" t="s">
        <v>80</v>
      </c>
      <c r="AY425" s="150" t="s">
        <v>337</v>
      </c>
    </row>
    <row r="426" spans="2:51" s="148" customFormat="1" x14ac:dyDescent="0.2">
      <c r="B426" s="149"/>
      <c r="D426" s="143" t="s">
        <v>346</v>
      </c>
      <c r="E426" s="150"/>
      <c r="F426" s="151" t="s">
        <v>5303</v>
      </c>
      <c r="H426" s="152">
        <v>1.5249999999999999</v>
      </c>
      <c r="L426" s="149"/>
      <c r="M426" s="153"/>
      <c r="T426" s="154"/>
      <c r="AT426" s="150" t="s">
        <v>346</v>
      </c>
      <c r="AU426" s="150" t="s">
        <v>90</v>
      </c>
      <c r="AV426" s="148" t="s">
        <v>90</v>
      </c>
      <c r="AW426" s="148" t="s">
        <v>33</v>
      </c>
      <c r="AX426" s="148" t="s">
        <v>80</v>
      </c>
      <c r="AY426" s="150" t="s">
        <v>337</v>
      </c>
    </row>
    <row r="427" spans="2:51" s="172" customFormat="1" x14ac:dyDescent="0.2">
      <c r="B427" s="173"/>
      <c r="D427" s="143" t="s">
        <v>346</v>
      </c>
      <c r="E427" s="174"/>
      <c r="F427" s="175" t="s">
        <v>609</v>
      </c>
      <c r="H427" s="176">
        <v>749.02</v>
      </c>
      <c r="L427" s="173"/>
      <c r="M427" s="177"/>
      <c r="T427" s="178"/>
      <c r="AT427" s="174" t="s">
        <v>346</v>
      </c>
      <c r="AU427" s="174" t="s">
        <v>90</v>
      </c>
      <c r="AV427" s="172" t="s">
        <v>113</v>
      </c>
      <c r="AW427" s="172" t="s">
        <v>33</v>
      </c>
      <c r="AX427" s="172" t="s">
        <v>80</v>
      </c>
      <c r="AY427" s="174" t="s">
        <v>337</v>
      </c>
    </row>
    <row r="428" spans="2:51" s="141" customFormat="1" x14ac:dyDescent="0.2">
      <c r="B428" s="142"/>
      <c r="D428" s="143" t="s">
        <v>346</v>
      </c>
      <c r="E428" s="144"/>
      <c r="F428" s="145" t="s">
        <v>5257</v>
      </c>
      <c r="H428" s="144"/>
      <c r="L428" s="142"/>
      <c r="M428" s="146"/>
      <c r="T428" s="147"/>
      <c r="AT428" s="144" t="s">
        <v>346</v>
      </c>
      <c r="AU428" s="144" t="s">
        <v>90</v>
      </c>
      <c r="AV428" s="141" t="s">
        <v>87</v>
      </c>
      <c r="AW428" s="141" t="s">
        <v>33</v>
      </c>
      <c r="AX428" s="141" t="s">
        <v>80</v>
      </c>
      <c r="AY428" s="144" t="s">
        <v>337</v>
      </c>
    </row>
    <row r="429" spans="2:51" s="141" customFormat="1" x14ac:dyDescent="0.2">
      <c r="B429" s="142"/>
      <c r="D429" s="143" t="s">
        <v>346</v>
      </c>
      <c r="E429" s="144"/>
      <c r="F429" s="145" t="s">
        <v>357</v>
      </c>
      <c r="H429" s="144"/>
      <c r="L429" s="142"/>
      <c r="M429" s="146"/>
      <c r="T429" s="147"/>
      <c r="AT429" s="144" t="s">
        <v>346</v>
      </c>
      <c r="AU429" s="144" t="s">
        <v>90</v>
      </c>
      <c r="AV429" s="141" t="s">
        <v>87</v>
      </c>
      <c r="AW429" s="141" t="s">
        <v>33</v>
      </c>
      <c r="AX429" s="141" t="s">
        <v>80</v>
      </c>
      <c r="AY429" s="144" t="s">
        <v>337</v>
      </c>
    </row>
    <row r="430" spans="2:51" s="148" customFormat="1" x14ac:dyDescent="0.2">
      <c r="B430" s="149"/>
      <c r="D430" s="143" t="s">
        <v>346</v>
      </c>
      <c r="E430" s="150"/>
      <c r="F430" s="151" t="s">
        <v>5304</v>
      </c>
      <c r="H430" s="152">
        <v>-3.5459999999999998</v>
      </c>
      <c r="L430" s="149"/>
      <c r="M430" s="153"/>
      <c r="T430" s="154"/>
      <c r="AT430" s="150" t="s">
        <v>346</v>
      </c>
      <c r="AU430" s="150" t="s">
        <v>90</v>
      </c>
      <c r="AV430" s="148" t="s">
        <v>90</v>
      </c>
      <c r="AW430" s="148" t="s">
        <v>33</v>
      </c>
      <c r="AX430" s="148" t="s">
        <v>80</v>
      </c>
      <c r="AY430" s="150" t="s">
        <v>337</v>
      </c>
    </row>
    <row r="431" spans="2:51" s="148" customFormat="1" x14ac:dyDescent="0.2">
      <c r="B431" s="149"/>
      <c r="D431" s="143" t="s">
        <v>346</v>
      </c>
      <c r="E431" s="150"/>
      <c r="F431" s="151" t="s">
        <v>5305</v>
      </c>
      <c r="H431" s="152">
        <v>-4.7279999999999998</v>
      </c>
      <c r="L431" s="149"/>
      <c r="M431" s="153"/>
      <c r="T431" s="154"/>
      <c r="AT431" s="150" t="s">
        <v>346</v>
      </c>
      <c r="AU431" s="150" t="s">
        <v>90</v>
      </c>
      <c r="AV431" s="148" t="s">
        <v>90</v>
      </c>
      <c r="AW431" s="148" t="s">
        <v>33</v>
      </c>
      <c r="AX431" s="148" t="s">
        <v>80</v>
      </c>
      <c r="AY431" s="150" t="s">
        <v>337</v>
      </c>
    </row>
    <row r="432" spans="2:51" s="148" customFormat="1" x14ac:dyDescent="0.2">
      <c r="B432" s="149"/>
      <c r="D432" s="143" t="s">
        <v>346</v>
      </c>
      <c r="E432" s="150"/>
      <c r="F432" s="151" t="s">
        <v>5264</v>
      </c>
      <c r="H432" s="152">
        <v>-3.1520000000000001</v>
      </c>
      <c r="L432" s="149"/>
      <c r="M432" s="153"/>
      <c r="T432" s="154"/>
      <c r="AT432" s="150" t="s">
        <v>346</v>
      </c>
      <c r="AU432" s="150" t="s">
        <v>90</v>
      </c>
      <c r="AV432" s="148" t="s">
        <v>90</v>
      </c>
      <c r="AW432" s="148" t="s">
        <v>33</v>
      </c>
      <c r="AX432" s="148" t="s">
        <v>80</v>
      </c>
      <c r="AY432" s="150" t="s">
        <v>337</v>
      </c>
    </row>
    <row r="433" spans="2:51" s="148" customFormat="1" x14ac:dyDescent="0.2">
      <c r="B433" s="149"/>
      <c r="D433" s="143" t="s">
        <v>346</v>
      </c>
      <c r="E433" s="150"/>
      <c r="F433" s="151" t="s">
        <v>5304</v>
      </c>
      <c r="H433" s="152">
        <v>-3.5459999999999998</v>
      </c>
      <c r="L433" s="149"/>
      <c r="M433" s="153"/>
      <c r="T433" s="154"/>
      <c r="AT433" s="150" t="s">
        <v>346</v>
      </c>
      <c r="AU433" s="150" t="s">
        <v>90</v>
      </c>
      <c r="AV433" s="148" t="s">
        <v>90</v>
      </c>
      <c r="AW433" s="148" t="s">
        <v>33</v>
      </c>
      <c r="AX433" s="148" t="s">
        <v>80</v>
      </c>
      <c r="AY433" s="150" t="s">
        <v>337</v>
      </c>
    </row>
    <row r="434" spans="2:51" s="148" customFormat="1" x14ac:dyDescent="0.2">
      <c r="B434" s="149"/>
      <c r="D434" s="143" t="s">
        <v>346</v>
      </c>
      <c r="E434" s="150"/>
      <c r="F434" s="151" t="s">
        <v>5306</v>
      </c>
      <c r="H434" s="152">
        <v>-5.91</v>
      </c>
      <c r="L434" s="149"/>
      <c r="M434" s="153"/>
      <c r="T434" s="154"/>
      <c r="AT434" s="150" t="s">
        <v>346</v>
      </c>
      <c r="AU434" s="150" t="s">
        <v>90</v>
      </c>
      <c r="AV434" s="148" t="s">
        <v>90</v>
      </c>
      <c r="AW434" s="148" t="s">
        <v>33</v>
      </c>
      <c r="AX434" s="148" t="s">
        <v>80</v>
      </c>
      <c r="AY434" s="150" t="s">
        <v>337</v>
      </c>
    </row>
    <row r="435" spans="2:51" s="141" customFormat="1" x14ac:dyDescent="0.2">
      <c r="B435" s="142"/>
      <c r="D435" s="143" t="s">
        <v>346</v>
      </c>
      <c r="E435" s="144"/>
      <c r="F435" s="145" t="s">
        <v>362</v>
      </c>
      <c r="H435" s="144"/>
      <c r="L435" s="142"/>
      <c r="M435" s="146"/>
      <c r="T435" s="147"/>
      <c r="AT435" s="144" t="s">
        <v>346</v>
      </c>
      <c r="AU435" s="144" t="s">
        <v>90</v>
      </c>
      <c r="AV435" s="141" t="s">
        <v>87</v>
      </c>
      <c r="AW435" s="141" t="s">
        <v>33</v>
      </c>
      <c r="AX435" s="141" t="s">
        <v>80</v>
      </c>
      <c r="AY435" s="144" t="s">
        <v>337</v>
      </c>
    </row>
    <row r="436" spans="2:51" s="148" customFormat="1" x14ac:dyDescent="0.2">
      <c r="B436" s="149"/>
      <c r="D436" s="143" t="s">
        <v>346</v>
      </c>
      <c r="E436" s="150"/>
      <c r="F436" s="151" t="s">
        <v>5307</v>
      </c>
      <c r="H436" s="152">
        <v>-2.3639999999999999</v>
      </c>
      <c r="L436" s="149"/>
      <c r="M436" s="153"/>
      <c r="T436" s="154"/>
      <c r="AT436" s="150" t="s">
        <v>346</v>
      </c>
      <c r="AU436" s="150" t="s">
        <v>90</v>
      </c>
      <c r="AV436" s="148" t="s">
        <v>90</v>
      </c>
      <c r="AW436" s="148" t="s">
        <v>33</v>
      </c>
      <c r="AX436" s="148" t="s">
        <v>80</v>
      </c>
      <c r="AY436" s="150" t="s">
        <v>337</v>
      </c>
    </row>
    <row r="437" spans="2:51" s="148" customFormat="1" x14ac:dyDescent="0.2">
      <c r="B437" s="149"/>
      <c r="D437" s="143" t="s">
        <v>346</v>
      </c>
      <c r="E437" s="150"/>
      <c r="F437" s="151" t="s">
        <v>5308</v>
      </c>
      <c r="H437" s="152">
        <v>-1.379</v>
      </c>
      <c r="L437" s="149"/>
      <c r="M437" s="153"/>
      <c r="T437" s="154"/>
      <c r="AT437" s="150" t="s">
        <v>346</v>
      </c>
      <c r="AU437" s="150" t="s">
        <v>90</v>
      </c>
      <c r="AV437" s="148" t="s">
        <v>90</v>
      </c>
      <c r="AW437" s="148" t="s">
        <v>33</v>
      </c>
      <c r="AX437" s="148" t="s">
        <v>80</v>
      </c>
      <c r="AY437" s="150" t="s">
        <v>337</v>
      </c>
    </row>
    <row r="438" spans="2:51" s="148" customFormat="1" x14ac:dyDescent="0.2">
      <c r="B438" s="149"/>
      <c r="D438" s="143" t="s">
        <v>346</v>
      </c>
      <c r="E438" s="150"/>
      <c r="F438" s="151" t="s">
        <v>5309</v>
      </c>
      <c r="H438" s="152">
        <v>-23.64</v>
      </c>
      <c r="L438" s="149"/>
      <c r="M438" s="153"/>
      <c r="T438" s="154"/>
      <c r="AT438" s="150" t="s">
        <v>346</v>
      </c>
      <c r="AU438" s="150" t="s">
        <v>90</v>
      </c>
      <c r="AV438" s="148" t="s">
        <v>90</v>
      </c>
      <c r="AW438" s="148" t="s">
        <v>33</v>
      </c>
      <c r="AX438" s="148" t="s">
        <v>80</v>
      </c>
      <c r="AY438" s="150" t="s">
        <v>337</v>
      </c>
    </row>
    <row r="439" spans="2:51" s="148" customFormat="1" x14ac:dyDescent="0.2">
      <c r="B439" s="149"/>
      <c r="D439" s="143" t="s">
        <v>346</v>
      </c>
      <c r="E439" s="150"/>
      <c r="F439" s="151" t="s">
        <v>5310</v>
      </c>
      <c r="H439" s="152">
        <v>-1.1819999999999999</v>
      </c>
      <c r="L439" s="149"/>
      <c r="M439" s="153"/>
      <c r="T439" s="154"/>
      <c r="AT439" s="150" t="s">
        <v>346</v>
      </c>
      <c r="AU439" s="150" t="s">
        <v>90</v>
      </c>
      <c r="AV439" s="148" t="s">
        <v>90</v>
      </c>
      <c r="AW439" s="148" t="s">
        <v>33</v>
      </c>
      <c r="AX439" s="148" t="s">
        <v>80</v>
      </c>
      <c r="AY439" s="150" t="s">
        <v>337</v>
      </c>
    </row>
    <row r="440" spans="2:51" s="148" customFormat="1" x14ac:dyDescent="0.2">
      <c r="B440" s="149"/>
      <c r="D440" s="143" t="s">
        <v>346</v>
      </c>
      <c r="E440" s="150"/>
      <c r="F440" s="151" t="s">
        <v>5311</v>
      </c>
      <c r="H440" s="152">
        <v>-5.7130000000000001</v>
      </c>
      <c r="L440" s="149"/>
      <c r="M440" s="153"/>
      <c r="T440" s="154"/>
      <c r="AT440" s="150" t="s">
        <v>346</v>
      </c>
      <c r="AU440" s="150" t="s">
        <v>90</v>
      </c>
      <c r="AV440" s="148" t="s">
        <v>90</v>
      </c>
      <c r="AW440" s="148" t="s">
        <v>33</v>
      </c>
      <c r="AX440" s="148" t="s">
        <v>80</v>
      </c>
      <c r="AY440" s="150" t="s">
        <v>337</v>
      </c>
    </row>
    <row r="441" spans="2:51" s="148" customFormat="1" x14ac:dyDescent="0.2">
      <c r="B441" s="149"/>
      <c r="D441" s="143" t="s">
        <v>346</v>
      </c>
      <c r="E441" s="150"/>
      <c r="F441" s="151" t="s">
        <v>5312</v>
      </c>
      <c r="H441" s="152">
        <v>-3.1520000000000001</v>
      </c>
      <c r="L441" s="149"/>
      <c r="M441" s="153"/>
      <c r="T441" s="154"/>
      <c r="AT441" s="150" t="s">
        <v>346</v>
      </c>
      <c r="AU441" s="150" t="s">
        <v>90</v>
      </c>
      <c r="AV441" s="148" t="s">
        <v>90</v>
      </c>
      <c r="AW441" s="148" t="s">
        <v>33</v>
      </c>
      <c r="AX441" s="148" t="s">
        <v>80</v>
      </c>
      <c r="AY441" s="150" t="s">
        <v>337</v>
      </c>
    </row>
    <row r="442" spans="2:51" s="141" customFormat="1" x14ac:dyDescent="0.2">
      <c r="B442" s="142"/>
      <c r="D442" s="143" t="s">
        <v>346</v>
      </c>
      <c r="E442" s="144"/>
      <c r="F442" s="145" t="s">
        <v>367</v>
      </c>
      <c r="H442" s="144"/>
      <c r="L442" s="142"/>
      <c r="M442" s="146"/>
      <c r="T442" s="147"/>
      <c r="AT442" s="144" t="s">
        <v>346</v>
      </c>
      <c r="AU442" s="144" t="s">
        <v>90</v>
      </c>
      <c r="AV442" s="141" t="s">
        <v>87</v>
      </c>
      <c r="AW442" s="141" t="s">
        <v>33</v>
      </c>
      <c r="AX442" s="141" t="s">
        <v>80</v>
      </c>
      <c r="AY442" s="144" t="s">
        <v>337</v>
      </c>
    </row>
    <row r="443" spans="2:51" s="148" customFormat="1" x14ac:dyDescent="0.2">
      <c r="B443" s="149"/>
      <c r="D443" s="143" t="s">
        <v>346</v>
      </c>
      <c r="E443" s="150"/>
      <c r="F443" s="151" t="s">
        <v>5307</v>
      </c>
      <c r="H443" s="152">
        <v>-2.3639999999999999</v>
      </c>
      <c r="L443" s="149"/>
      <c r="M443" s="153"/>
      <c r="T443" s="154"/>
      <c r="AT443" s="150" t="s">
        <v>346</v>
      </c>
      <c r="AU443" s="150" t="s">
        <v>90</v>
      </c>
      <c r="AV443" s="148" t="s">
        <v>90</v>
      </c>
      <c r="AW443" s="148" t="s">
        <v>33</v>
      </c>
      <c r="AX443" s="148" t="s">
        <v>80</v>
      </c>
      <c r="AY443" s="150" t="s">
        <v>337</v>
      </c>
    </row>
    <row r="444" spans="2:51" s="148" customFormat="1" x14ac:dyDescent="0.2">
      <c r="B444" s="149"/>
      <c r="D444" s="143" t="s">
        <v>346</v>
      </c>
      <c r="E444" s="150"/>
      <c r="F444" s="151" t="s">
        <v>5308</v>
      </c>
      <c r="H444" s="152">
        <v>-1.379</v>
      </c>
      <c r="L444" s="149"/>
      <c r="M444" s="153"/>
      <c r="T444" s="154"/>
      <c r="AT444" s="150" t="s">
        <v>346</v>
      </c>
      <c r="AU444" s="150" t="s">
        <v>90</v>
      </c>
      <c r="AV444" s="148" t="s">
        <v>90</v>
      </c>
      <c r="AW444" s="148" t="s">
        <v>33</v>
      </c>
      <c r="AX444" s="148" t="s">
        <v>80</v>
      </c>
      <c r="AY444" s="150" t="s">
        <v>337</v>
      </c>
    </row>
    <row r="445" spans="2:51" s="148" customFormat="1" x14ac:dyDescent="0.2">
      <c r="B445" s="149"/>
      <c r="D445" s="143" t="s">
        <v>346</v>
      </c>
      <c r="E445" s="150"/>
      <c r="F445" s="151" t="s">
        <v>5309</v>
      </c>
      <c r="H445" s="152">
        <v>-23.64</v>
      </c>
      <c r="L445" s="149"/>
      <c r="M445" s="153"/>
      <c r="T445" s="154"/>
      <c r="AT445" s="150" t="s">
        <v>346</v>
      </c>
      <c r="AU445" s="150" t="s">
        <v>90</v>
      </c>
      <c r="AV445" s="148" t="s">
        <v>90</v>
      </c>
      <c r="AW445" s="148" t="s">
        <v>33</v>
      </c>
      <c r="AX445" s="148" t="s">
        <v>80</v>
      </c>
      <c r="AY445" s="150" t="s">
        <v>337</v>
      </c>
    </row>
    <row r="446" spans="2:51" s="148" customFormat="1" x14ac:dyDescent="0.2">
      <c r="B446" s="149"/>
      <c r="D446" s="143" t="s">
        <v>346</v>
      </c>
      <c r="E446" s="150"/>
      <c r="F446" s="151" t="s">
        <v>5311</v>
      </c>
      <c r="H446" s="152">
        <v>-5.7130000000000001</v>
      </c>
      <c r="L446" s="149"/>
      <c r="M446" s="153"/>
      <c r="T446" s="154"/>
      <c r="AT446" s="150" t="s">
        <v>346</v>
      </c>
      <c r="AU446" s="150" t="s">
        <v>90</v>
      </c>
      <c r="AV446" s="148" t="s">
        <v>90</v>
      </c>
      <c r="AW446" s="148" t="s">
        <v>33</v>
      </c>
      <c r="AX446" s="148" t="s">
        <v>80</v>
      </c>
      <c r="AY446" s="150" t="s">
        <v>337</v>
      </c>
    </row>
    <row r="447" spans="2:51" s="148" customFormat="1" x14ac:dyDescent="0.2">
      <c r="B447" s="149"/>
      <c r="D447" s="143" t="s">
        <v>346</v>
      </c>
      <c r="E447" s="150"/>
      <c r="F447" s="151" t="s">
        <v>5312</v>
      </c>
      <c r="H447" s="152">
        <v>-3.1520000000000001</v>
      </c>
      <c r="L447" s="149"/>
      <c r="M447" s="153"/>
      <c r="T447" s="154"/>
      <c r="AT447" s="150" t="s">
        <v>346</v>
      </c>
      <c r="AU447" s="150" t="s">
        <v>90</v>
      </c>
      <c r="AV447" s="148" t="s">
        <v>90</v>
      </c>
      <c r="AW447" s="148" t="s">
        <v>33</v>
      </c>
      <c r="AX447" s="148" t="s">
        <v>80</v>
      </c>
      <c r="AY447" s="150" t="s">
        <v>337</v>
      </c>
    </row>
    <row r="448" spans="2:51" s="141" customFormat="1" x14ac:dyDescent="0.2">
      <c r="B448" s="142"/>
      <c r="D448" s="143" t="s">
        <v>346</v>
      </c>
      <c r="E448" s="144"/>
      <c r="F448" s="145" t="s">
        <v>368</v>
      </c>
      <c r="H448" s="144"/>
      <c r="L448" s="142"/>
      <c r="M448" s="146"/>
      <c r="T448" s="147"/>
      <c r="AT448" s="144" t="s">
        <v>346</v>
      </c>
      <c r="AU448" s="144" t="s">
        <v>90</v>
      </c>
      <c r="AV448" s="141" t="s">
        <v>87</v>
      </c>
      <c r="AW448" s="141" t="s">
        <v>33</v>
      </c>
      <c r="AX448" s="141" t="s">
        <v>80</v>
      </c>
      <c r="AY448" s="144" t="s">
        <v>337</v>
      </c>
    </row>
    <row r="449" spans="2:65" s="148" customFormat="1" x14ac:dyDescent="0.2">
      <c r="B449" s="149"/>
      <c r="D449" s="143" t="s">
        <v>346</v>
      </c>
      <c r="E449" s="150"/>
      <c r="F449" s="151" t="s">
        <v>5307</v>
      </c>
      <c r="H449" s="152">
        <v>-2.3639999999999999</v>
      </c>
      <c r="L449" s="149"/>
      <c r="M449" s="153"/>
      <c r="T449" s="154"/>
      <c r="AT449" s="150" t="s">
        <v>346</v>
      </c>
      <c r="AU449" s="150" t="s">
        <v>90</v>
      </c>
      <c r="AV449" s="148" t="s">
        <v>90</v>
      </c>
      <c r="AW449" s="148" t="s">
        <v>33</v>
      </c>
      <c r="AX449" s="148" t="s">
        <v>80</v>
      </c>
      <c r="AY449" s="150" t="s">
        <v>337</v>
      </c>
    </row>
    <row r="450" spans="2:65" s="148" customFormat="1" x14ac:dyDescent="0.2">
      <c r="B450" s="149"/>
      <c r="D450" s="143" t="s">
        <v>346</v>
      </c>
      <c r="E450" s="150"/>
      <c r="F450" s="151" t="s">
        <v>5308</v>
      </c>
      <c r="H450" s="152">
        <v>-1.379</v>
      </c>
      <c r="L450" s="149"/>
      <c r="M450" s="153"/>
      <c r="T450" s="154"/>
      <c r="AT450" s="150" t="s">
        <v>346</v>
      </c>
      <c r="AU450" s="150" t="s">
        <v>90</v>
      </c>
      <c r="AV450" s="148" t="s">
        <v>90</v>
      </c>
      <c r="AW450" s="148" t="s">
        <v>33</v>
      </c>
      <c r="AX450" s="148" t="s">
        <v>80</v>
      </c>
      <c r="AY450" s="150" t="s">
        <v>337</v>
      </c>
    </row>
    <row r="451" spans="2:65" s="148" customFormat="1" x14ac:dyDescent="0.2">
      <c r="B451" s="149"/>
      <c r="D451" s="143" t="s">
        <v>346</v>
      </c>
      <c r="E451" s="150"/>
      <c r="F451" s="151" t="s">
        <v>5309</v>
      </c>
      <c r="H451" s="152">
        <v>-23.64</v>
      </c>
      <c r="L451" s="149"/>
      <c r="M451" s="153"/>
      <c r="T451" s="154"/>
      <c r="AT451" s="150" t="s">
        <v>346</v>
      </c>
      <c r="AU451" s="150" t="s">
        <v>90</v>
      </c>
      <c r="AV451" s="148" t="s">
        <v>90</v>
      </c>
      <c r="AW451" s="148" t="s">
        <v>33</v>
      </c>
      <c r="AX451" s="148" t="s">
        <v>80</v>
      </c>
      <c r="AY451" s="150" t="s">
        <v>337</v>
      </c>
    </row>
    <row r="452" spans="2:65" s="148" customFormat="1" x14ac:dyDescent="0.2">
      <c r="B452" s="149"/>
      <c r="D452" s="143" t="s">
        <v>346</v>
      </c>
      <c r="E452" s="150"/>
      <c r="F452" s="151" t="s">
        <v>5311</v>
      </c>
      <c r="H452" s="152">
        <v>-5.7130000000000001</v>
      </c>
      <c r="L452" s="149"/>
      <c r="M452" s="153"/>
      <c r="T452" s="154"/>
      <c r="AT452" s="150" t="s">
        <v>346</v>
      </c>
      <c r="AU452" s="150" t="s">
        <v>90</v>
      </c>
      <c r="AV452" s="148" t="s">
        <v>90</v>
      </c>
      <c r="AW452" s="148" t="s">
        <v>33</v>
      </c>
      <c r="AX452" s="148" t="s">
        <v>80</v>
      </c>
      <c r="AY452" s="150" t="s">
        <v>337</v>
      </c>
    </row>
    <row r="453" spans="2:65" s="148" customFormat="1" x14ac:dyDescent="0.2">
      <c r="B453" s="149"/>
      <c r="D453" s="143" t="s">
        <v>346</v>
      </c>
      <c r="E453" s="150"/>
      <c r="F453" s="151" t="s">
        <v>5312</v>
      </c>
      <c r="H453" s="152">
        <v>-3.1520000000000001</v>
      </c>
      <c r="L453" s="149"/>
      <c r="M453" s="153"/>
      <c r="T453" s="154"/>
      <c r="AT453" s="150" t="s">
        <v>346</v>
      </c>
      <c r="AU453" s="150" t="s">
        <v>90</v>
      </c>
      <c r="AV453" s="148" t="s">
        <v>90</v>
      </c>
      <c r="AW453" s="148" t="s">
        <v>33</v>
      </c>
      <c r="AX453" s="148" t="s">
        <v>80</v>
      </c>
      <c r="AY453" s="150" t="s">
        <v>337</v>
      </c>
    </row>
    <row r="454" spans="2:65" s="141" customFormat="1" x14ac:dyDescent="0.2">
      <c r="B454" s="142"/>
      <c r="D454" s="143" t="s">
        <v>346</v>
      </c>
      <c r="E454" s="144"/>
      <c r="F454" s="145" t="s">
        <v>5313</v>
      </c>
      <c r="H454" s="144"/>
      <c r="L454" s="142"/>
      <c r="M454" s="146"/>
      <c r="T454" s="147"/>
      <c r="AT454" s="144" t="s">
        <v>346</v>
      </c>
      <c r="AU454" s="144" t="s">
        <v>90</v>
      </c>
      <c r="AV454" s="141" t="s">
        <v>87</v>
      </c>
      <c r="AW454" s="141" t="s">
        <v>33</v>
      </c>
      <c r="AX454" s="141" t="s">
        <v>80</v>
      </c>
      <c r="AY454" s="144" t="s">
        <v>337</v>
      </c>
    </row>
    <row r="455" spans="2:65" s="148" customFormat="1" x14ac:dyDescent="0.2">
      <c r="B455" s="149"/>
      <c r="D455" s="143" t="s">
        <v>346</v>
      </c>
      <c r="E455" s="150"/>
      <c r="F455" s="151" t="s">
        <v>5307</v>
      </c>
      <c r="H455" s="152">
        <v>-2.3639999999999999</v>
      </c>
      <c r="L455" s="149"/>
      <c r="M455" s="153"/>
      <c r="T455" s="154"/>
      <c r="AT455" s="150" t="s">
        <v>346</v>
      </c>
      <c r="AU455" s="150" t="s">
        <v>90</v>
      </c>
      <c r="AV455" s="148" t="s">
        <v>90</v>
      </c>
      <c r="AW455" s="148" t="s">
        <v>33</v>
      </c>
      <c r="AX455" s="148" t="s">
        <v>80</v>
      </c>
      <c r="AY455" s="150" t="s">
        <v>337</v>
      </c>
    </row>
    <row r="456" spans="2:65" s="148" customFormat="1" x14ac:dyDescent="0.2">
      <c r="B456" s="149"/>
      <c r="D456" s="143" t="s">
        <v>346</v>
      </c>
      <c r="E456" s="150"/>
      <c r="F456" s="151" t="s">
        <v>5308</v>
      </c>
      <c r="H456" s="152">
        <v>-1.379</v>
      </c>
      <c r="L456" s="149"/>
      <c r="M456" s="153"/>
      <c r="T456" s="154"/>
      <c r="AT456" s="150" t="s">
        <v>346</v>
      </c>
      <c r="AU456" s="150" t="s">
        <v>90</v>
      </c>
      <c r="AV456" s="148" t="s">
        <v>90</v>
      </c>
      <c r="AW456" s="148" t="s">
        <v>33</v>
      </c>
      <c r="AX456" s="148" t="s">
        <v>80</v>
      </c>
      <c r="AY456" s="150" t="s">
        <v>337</v>
      </c>
    </row>
    <row r="457" spans="2:65" s="148" customFormat="1" x14ac:dyDescent="0.2">
      <c r="B457" s="149"/>
      <c r="D457" s="143" t="s">
        <v>346</v>
      </c>
      <c r="E457" s="150"/>
      <c r="F457" s="151" t="s">
        <v>5309</v>
      </c>
      <c r="H457" s="152">
        <v>-23.64</v>
      </c>
      <c r="L457" s="149"/>
      <c r="M457" s="153"/>
      <c r="T457" s="154"/>
      <c r="AT457" s="150" t="s">
        <v>346</v>
      </c>
      <c r="AU457" s="150" t="s">
        <v>90</v>
      </c>
      <c r="AV457" s="148" t="s">
        <v>90</v>
      </c>
      <c r="AW457" s="148" t="s">
        <v>33</v>
      </c>
      <c r="AX457" s="148" t="s">
        <v>80</v>
      </c>
      <c r="AY457" s="150" t="s">
        <v>337</v>
      </c>
    </row>
    <row r="458" spans="2:65" s="148" customFormat="1" x14ac:dyDescent="0.2">
      <c r="B458" s="149"/>
      <c r="D458" s="143" t="s">
        <v>346</v>
      </c>
      <c r="E458" s="150"/>
      <c r="F458" s="151" t="s">
        <v>5311</v>
      </c>
      <c r="H458" s="152">
        <v>-5.7130000000000001</v>
      </c>
      <c r="L458" s="149"/>
      <c r="M458" s="153"/>
      <c r="T458" s="154"/>
      <c r="AT458" s="150" t="s">
        <v>346</v>
      </c>
      <c r="AU458" s="150" t="s">
        <v>90</v>
      </c>
      <c r="AV458" s="148" t="s">
        <v>90</v>
      </c>
      <c r="AW458" s="148" t="s">
        <v>33</v>
      </c>
      <c r="AX458" s="148" t="s">
        <v>80</v>
      </c>
      <c r="AY458" s="150" t="s">
        <v>337</v>
      </c>
    </row>
    <row r="459" spans="2:65" s="148" customFormat="1" x14ac:dyDescent="0.2">
      <c r="B459" s="149"/>
      <c r="D459" s="143" t="s">
        <v>346</v>
      </c>
      <c r="E459" s="150"/>
      <c r="F459" s="151" t="s">
        <v>5312</v>
      </c>
      <c r="H459" s="152">
        <v>-3.1520000000000001</v>
      </c>
      <c r="L459" s="149"/>
      <c r="M459" s="153"/>
      <c r="T459" s="154"/>
      <c r="AT459" s="150" t="s">
        <v>346</v>
      </c>
      <c r="AU459" s="150" t="s">
        <v>90</v>
      </c>
      <c r="AV459" s="148" t="s">
        <v>90</v>
      </c>
      <c r="AW459" s="148" t="s">
        <v>33</v>
      </c>
      <c r="AX459" s="148" t="s">
        <v>80</v>
      </c>
      <c r="AY459" s="150" t="s">
        <v>337</v>
      </c>
    </row>
    <row r="460" spans="2:65" s="172" customFormat="1" x14ac:dyDescent="0.2">
      <c r="B460" s="173"/>
      <c r="D460" s="143" t="s">
        <v>346</v>
      </c>
      <c r="E460" s="174"/>
      <c r="F460" s="175" t="s">
        <v>609</v>
      </c>
      <c r="H460" s="176">
        <v>-167.05600000000001</v>
      </c>
      <c r="L460" s="173"/>
      <c r="M460" s="177"/>
      <c r="T460" s="178"/>
      <c r="AT460" s="174" t="s">
        <v>346</v>
      </c>
      <c r="AU460" s="174" t="s">
        <v>90</v>
      </c>
      <c r="AV460" s="172" t="s">
        <v>113</v>
      </c>
      <c r="AW460" s="172" t="s">
        <v>33</v>
      </c>
      <c r="AX460" s="172" t="s">
        <v>80</v>
      </c>
      <c r="AY460" s="174" t="s">
        <v>337</v>
      </c>
    </row>
    <row r="461" spans="2:65" s="155" customFormat="1" x14ac:dyDescent="0.2">
      <c r="B461" s="156"/>
      <c r="D461" s="143" t="s">
        <v>346</v>
      </c>
      <c r="E461" s="157"/>
      <c r="F461" s="158" t="s">
        <v>351</v>
      </c>
      <c r="H461" s="159">
        <v>1016.457</v>
      </c>
      <c r="L461" s="156"/>
      <c r="M461" s="160"/>
      <c r="T461" s="161"/>
      <c r="AT461" s="157" t="s">
        <v>346</v>
      </c>
      <c r="AU461" s="157" t="s">
        <v>90</v>
      </c>
      <c r="AV461" s="155" t="s">
        <v>344</v>
      </c>
      <c r="AW461" s="155" t="s">
        <v>33</v>
      </c>
      <c r="AX461" s="155" t="s">
        <v>87</v>
      </c>
      <c r="AY461" s="157" t="s">
        <v>337</v>
      </c>
    </row>
    <row r="462" spans="2:65" s="16" customFormat="1" ht="16.5" customHeight="1" x14ac:dyDescent="0.2">
      <c r="B462" s="17"/>
      <c r="C462" s="128">
        <v>10</v>
      </c>
      <c r="D462" s="128" t="s">
        <v>339</v>
      </c>
      <c r="E462" s="129" t="s">
        <v>5314</v>
      </c>
      <c r="F462" s="130" t="s">
        <v>5315</v>
      </c>
      <c r="G462" s="131" t="s">
        <v>342</v>
      </c>
      <c r="H462" s="132">
        <v>35.625</v>
      </c>
      <c r="I462" s="133"/>
      <c r="J462" s="134">
        <f>ROUND(I462*H462,2)</f>
        <v>0</v>
      </c>
      <c r="K462" s="130" t="s">
        <v>343</v>
      </c>
      <c r="L462" s="17"/>
      <c r="M462" s="135"/>
      <c r="N462" s="136" t="s">
        <v>45</v>
      </c>
      <c r="P462" s="137">
        <f>O462*H462</f>
        <v>0</v>
      </c>
      <c r="Q462" s="137">
        <v>0</v>
      </c>
      <c r="R462" s="137">
        <f>Q462*H462</f>
        <v>0</v>
      </c>
      <c r="S462" s="137">
        <v>2.4</v>
      </c>
      <c r="T462" s="138">
        <f>S462*H462</f>
        <v>85.5</v>
      </c>
      <c r="AR462" s="139" t="s">
        <v>344</v>
      </c>
      <c r="AT462" s="139" t="s">
        <v>339</v>
      </c>
      <c r="AU462" s="139" t="s">
        <v>90</v>
      </c>
      <c r="AY462" s="2" t="s">
        <v>337</v>
      </c>
      <c r="BE462" s="140">
        <f>IF(N462="základní",J462,0)</f>
        <v>0</v>
      </c>
      <c r="BF462" s="140">
        <f>IF(N462="snížená",J462,0)</f>
        <v>0</v>
      </c>
      <c r="BG462" s="140">
        <f>IF(N462="zákl. přenesená",J462,0)</f>
        <v>0</v>
      </c>
      <c r="BH462" s="140">
        <f>IF(N462="sníž. přenesená",J462,0)</f>
        <v>0</v>
      </c>
      <c r="BI462" s="140">
        <f>IF(N462="nulová",J462,0)</f>
        <v>0</v>
      </c>
      <c r="BJ462" s="2" t="s">
        <v>87</v>
      </c>
      <c r="BK462" s="140">
        <f>ROUND(I462*H462,2)</f>
        <v>0</v>
      </c>
      <c r="BL462" s="2" t="s">
        <v>344</v>
      </c>
      <c r="BM462" s="139" t="s">
        <v>5316</v>
      </c>
    </row>
    <row r="463" spans="2:65" s="141" customFormat="1" x14ac:dyDescent="0.2">
      <c r="B463" s="142"/>
      <c r="D463" s="143" t="s">
        <v>346</v>
      </c>
      <c r="E463" s="144"/>
      <c r="F463" s="145" t="s">
        <v>5317</v>
      </c>
      <c r="H463" s="144"/>
      <c r="L463" s="142"/>
      <c r="M463" s="146"/>
      <c r="T463" s="147"/>
      <c r="AT463" s="144" t="s">
        <v>346</v>
      </c>
      <c r="AU463" s="144" t="s">
        <v>90</v>
      </c>
      <c r="AV463" s="141" t="s">
        <v>87</v>
      </c>
      <c r="AW463" s="141" t="s">
        <v>33</v>
      </c>
      <c r="AX463" s="141" t="s">
        <v>80</v>
      </c>
      <c r="AY463" s="144" t="s">
        <v>337</v>
      </c>
    </row>
    <row r="464" spans="2:65" s="141" customFormat="1" x14ac:dyDescent="0.2">
      <c r="B464" s="142"/>
      <c r="D464" s="143" t="s">
        <v>346</v>
      </c>
      <c r="E464" s="144"/>
      <c r="F464" s="145" t="s">
        <v>5318</v>
      </c>
      <c r="H464" s="144"/>
      <c r="L464" s="142"/>
      <c r="M464" s="146"/>
      <c r="T464" s="147"/>
      <c r="AT464" s="144" t="s">
        <v>346</v>
      </c>
      <c r="AU464" s="144" t="s">
        <v>90</v>
      </c>
      <c r="AV464" s="141" t="s">
        <v>87</v>
      </c>
      <c r="AW464" s="141" t="s">
        <v>33</v>
      </c>
      <c r="AX464" s="141" t="s">
        <v>80</v>
      </c>
      <c r="AY464" s="144" t="s">
        <v>337</v>
      </c>
    </row>
    <row r="465" spans="2:65" s="141" customFormat="1" x14ac:dyDescent="0.2">
      <c r="B465" s="142"/>
      <c r="D465" s="143" t="s">
        <v>346</v>
      </c>
      <c r="E465" s="144"/>
      <c r="F465" s="145" t="s">
        <v>362</v>
      </c>
      <c r="H465" s="144"/>
      <c r="L465" s="142"/>
      <c r="M465" s="146"/>
      <c r="T465" s="147"/>
      <c r="AT465" s="144" t="s">
        <v>346</v>
      </c>
      <c r="AU465" s="144" t="s">
        <v>90</v>
      </c>
      <c r="AV465" s="141" t="s">
        <v>87</v>
      </c>
      <c r="AW465" s="141" t="s">
        <v>33</v>
      </c>
      <c r="AX465" s="141" t="s">
        <v>80</v>
      </c>
      <c r="AY465" s="144" t="s">
        <v>337</v>
      </c>
    </row>
    <row r="466" spans="2:65" s="148" customFormat="1" x14ac:dyDescent="0.2">
      <c r="B466" s="149"/>
      <c r="D466" s="143" t="s">
        <v>346</v>
      </c>
      <c r="E466" s="150"/>
      <c r="F466" s="151" t="s">
        <v>5319</v>
      </c>
      <c r="H466" s="152">
        <v>7.125</v>
      </c>
      <c r="L466" s="149"/>
      <c r="M466" s="153"/>
      <c r="T466" s="154"/>
      <c r="AT466" s="150" t="s">
        <v>346</v>
      </c>
      <c r="AU466" s="150" t="s">
        <v>90</v>
      </c>
      <c r="AV466" s="148" t="s">
        <v>90</v>
      </c>
      <c r="AW466" s="148" t="s">
        <v>33</v>
      </c>
      <c r="AX466" s="148" t="s">
        <v>80</v>
      </c>
      <c r="AY466" s="150" t="s">
        <v>337</v>
      </c>
    </row>
    <row r="467" spans="2:65" s="141" customFormat="1" x14ac:dyDescent="0.2">
      <c r="B467" s="142"/>
      <c r="D467" s="143" t="s">
        <v>346</v>
      </c>
      <c r="E467" s="144"/>
      <c r="F467" s="145" t="s">
        <v>367</v>
      </c>
      <c r="H467" s="144"/>
      <c r="L467" s="142"/>
      <c r="M467" s="146"/>
      <c r="T467" s="147"/>
      <c r="AT467" s="144" t="s">
        <v>346</v>
      </c>
      <c r="AU467" s="144" t="s">
        <v>90</v>
      </c>
      <c r="AV467" s="141" t="s">
        <v>87</v>
      </c>
      <c r="AW467" s="141" t="s">
        <v>33</v>
      </c>
      <c r="AX467" s="141" t="s">
        <v>80</v>
      </c>
      <c r="AY467" s="144" t="s">
        <v>337</v>
      </c>
    </row>
    <row r="468" spans="2:65" s="148" customFormat="1" x14ac:dyDescent="0.2">
      <c r="B468" s="149"/>
      <c r="D468" s="143" t="s">
        <v>346</v>
      </c>
      <c r="E468" s="150"/>
      <c r="F468" s="151" t="s">
        <v>5320</v>
      </c>
      <c r="H468" s="152">
        <v>8.5500000000000007</v>
      </c>
      <c r="L468" s="149"/>
      <c r="M468" s="153"/>
      <c r="T468" s="154"/>
      <c r="AT468" s="150" t="s">
        <v>346</v>
      </c>
      <c r="AU468" s="150" t="s">
        <v>90</v>
      </c>
      <c r="AV468" s="148" t="s">
        <v>90</v>
      </c>
      <c r="AW468" s="148" t="s">
        <v>33</v>
      </c>
      <c r="AX468" s="148" t="s">
        <v>80</v>
      </c>
      <c r="AY468" s="150" t="s">
        <v>337</v>
      </c>
    </row>
    <row r="469" spans="2:65" s="141" customFormat="1" x14ac:dyDescent="0.2">
      <c r="B469" s="142"/>
      <c r="D469" s="143" t="s">
        <v>346</v>
      </c>
      <c r="E469" s="144"/>
      <c r="F469" s="145" t="s">
        <v>368</v>
      </c>
      <c r="H469" s="144"/>
      <c r="L469" s="142"/>
      <c r="M469" s="146"/>
      <c r="T469" s="147"/>
      <c r="AT469" s="144" t="s">
        <v>346</v>
      </c>
      <c r="AU469" s="144" t="s">
        <v>90</v>
      </c>
      <c r="AV469" s="141" t="s">
        <v>87</v>
      </c>
      <c r="AW469" s="141" t="s">
        <v>33</v>
      </c>
      <c r="AX469" s="141" t="s">
        <v>80</v>
      </c>
      <c r="AY469" s="144" t="s">
        <v>337</v>
      </c>
    </row>
    <row r="470" spans="2:65" s="148" customFormat="1" x14ac:dyDescent="0.2">
      <c r="B470" s="149"/>
      <c r="D470" s="143" t="s">
        <v>346</v>
      </c>
      <c r="E470" s="150"/>
      <c r="F470" s="151" t="s">
        <v>5321</v>
      </c>
      <c r="H470" s="152">
        <v>9.9749999999999996</v>
      </c>
      <c r="L470" s="149"/>
      <c r="M470" s="153"/>
      <c r="T470" s="154"/>
      <c r="AT470" s="150" t="s">
        <v>346</v>
      </c>
      <c r="AU470" s="150" t="s">
        <v>90</v>
      </c>
      <c r="AV470" s="148" t="s">
        <v>90</v>
      </c>
      <c r="AW470" s="148" t="s">
        <v>33</v>
      </c>
      <c r="AX470" s="148" t="s">
        <v>80</v>
      </c>
      <c r="AY470" s="150" t="s">
        <v>337</v>
      </c>
    </row>
    <row r="471" spans="2:65" s="141" customFormat="1" x14ac:dyDescent="0.2">
      <c r="B471" s="142"/>
      <c r="D471" s="143" t="s">
        <v>346</v>
      </c>
      <c r="E471" s="144"/>
      <c r="F471" s="145" t="s">
        <v>370</v>
      </c>
      <c r="H471" s="144"/>
      <c r="L471" s="142"/>
      <c r="M471" s="146"/>
      <c r="T471" s="147"/>
      <c r="AT471" s="144" t="s">
        <v>346</v>
      </c>
      <c r="AU471" s="144" t="s">
        <v>90</v>
      </c>
      <c r="AV471" s="141" t="s">
        <v>87</v>
      </c>
      <c r="AW471" s="141" t="s">
        <v>33</v>
      </c>
      <c r="AX471" s="141" t="s">
        <v>80</v>
      </c>
      <c r="AY471" s="144" t="s">
        <v>337</v>
      </c>
    </row>
    <row r="472" spans="2:65" s="148" customFormat="1" x14ac:dyDescent="0.2">
      <c r="B472" s="149"/>
      <c r="D472" s="143" t="s">
        <v>346</v>
      </c>
      <c r="E472" s="150"/>
      <c r="F472" s="151" t="s">
        <v>5321</v>
      </c>
      <c r="H472" s="152">
        <v>9.9749999999999996</v>
      </c>
      <c r="L472" s="149"/>
      <c r="M472" s="153"/>
      <c r="T472" s="154"/>
      <c r="AT472" s="150" t="s">
        <v>346</v>
      </c>
      <c r="AU472" s="150" t="s">
        <v>90</v>
      </c>
      <c r="AV472" s="148" t="s">
        <v>90</v>
      </c>
      <c r="AW472" s="148" t="s">
        <v>33</v>
      </c>
      <c r="AX472" s="148" t="s">
        <v>80</v>
      </c>
      <c r="AY472" s="150" t="s">
        <v>337</v>
      </c>
    </row>
    <row r="473" spans="2:65" s="155" customFormat="1" x14ac:dyDescent="0.2">
      <c r="B473" s="156"/>
      <c r="D473" s="143" t="s">
        <v>346</v>
      </c>
      <c r="E473" s="157"/>
      <c r="F473" s="158" t="s">
        <v>351</v>
      </c>
      <c r="H473" s="159">
        <v>35.625</v>
      </c>
      <c r="L473" s="156"/>
      <c r="M473" s="160"/>
      <c r="T473" s="161"/>
      <c r="AT473" s="157" t="s">
        <v>346</v>
      </c>
      <c r="AU473" s="157" t="s">
        <v>90</v>
      </c>
      <c r="AV473" s="155" t="s">
        <v>344</v>
      </c>
      <c r="AW473" s="155" t="s">
        <v>33</v>
      </c>
      <c r="AX473" s="155" t="s">
        <v>87</v>
      </c>
      <c r="AY473" s="157" t="s">
        <v>337</v>
      </c>
    </row>
    <row r="474" spans="2:65" s="16" customFormat="1" ht="21.75" customHeight="1" x14ac:dyDescent="0.2">
      <c r="B474" s="17"/>
      <c r="C474" s="128">
        <v>11</v>
      </c>
      <c r="D474" s="128" t="s">
        <v>339</v>
      </c>
      <c r="E474" s="129" t="s">
        <v>5322</v>
      </c>
      <c r="F474" s="130" t="s">
        <v>5323</v>
      </c>
      <c r="G474" s="131" t="s">
        <v>342</v>
      </c>
      <c r="H474" s="132">
        <v>110.06699999999999</v>
      </c>
      <c r="I474" s="133"/>
      <c r="J474" s="134">
        <f>ROUND(I474*H474,2)</f>
        <v>0</v>
      </c>
      <c r="K474" s="130" t="s">
        <v>343</v>
      </c>
      <c r="L474" s="17"/>
      <c r="M474" s="135"/>
      <c r="N474" s="136" t="s">
        <v>45</v>
      </c>
      <c r="P474" s="137">
        <f>O474*H474</f>
        <v>0</v>
      </c>
      <c r="Q474" s="137">
        <v>0</v>
      </c>
      <c r="R474" s="137">
        <f>Q474*H474</f>
        <v>0</v>
      </c>
      <c r="S474" s="137">
        <v>2.2000000000000002</v>
      </c>
      <c r="T474" s="138">
        <f>S474*H474</f>
        <v>242.1474</v>
      </c>
      <c r="AR474" s="139" t="s">
        <v>344</v>
      </c>
      <c r="AT474" s="139" t="s">
        <v>339</v>
      </c>
      <c r="AU474" s="139" t="s">
        <v>90</v>
      </c>
      <c r="AY474" s="2" t="s">
        <v>337</v>
      </c>
      <c r="BE474" s="140">
        <f>IF(N474="základní",J474,0)</f>
        <v>0</v>
      </c>
      <c r="BF474" s="140">
        <f>IF(N474="snížená",J474,0)</f>
        <v>0</v>
      </c>
      <c r="BG474" s="140">
        <f>IF(N474="zákl. přenesená",J474,0)</f>
        <v>0</v>
      </c>
      <c r="BH474" s="140">
        <f>IF(N474="sníž. přenesená",J474,0)</f>
        <v>0</v>
      </c>
      <c r="BI474" s="140">
        <f>IF(N474="nulová",J474,0)</f>
        <v>0</v>
      </c>
      <c r="BJ474" s="2" t="s">
        <v>87</v>
      </c>
      <c r="BK474" s="140">
        <f>ROUND(I474*H474,2)</f>
        <v>0</v>
      </c>
      <c r="BL474" s="2" t="s">
        <v>344</v>
      </c>
      <c r="BM474" s="139" t="s">
        <v>5324</v>
      </c>
    </row>
    <row r="475" spans="2:65" s="148" customFormat="1" x14ac:dyDescent="0.2">
      <c r="B475" s="149"/>
      <c r="D475" s="143" t="s">
        <v>346</v>
      </c>
      <c r="E475" s="150"/>
      <c r="F475" s="151" t="s">
        <v>5325</v>
      </c>
      <c r="H475" s="152">
        <v>42.448999999999998</v>
      </c>
      <c r="L475" s="149"/>
      <c r="M475" s="153"/>
      <c r="T475" s="154"/>
      <c r="AT475" s="150" t="s">
        <v>346</v>
      </c>
      <c r="AU475" s="150" t="s">
        <v>90</v>
      </c>
      <c r="AV475" s="148" t="s">
        <v>90</v>
      </c>
      <c r="AW475" s="148" t="s">
        <v>33</v>
      </c>
      <c r="AX475" s="148" t="s">
        <v>80</v>
      </c>
      <c r="AY475" s="150" t="s">
        <v>337</v>
      </c>
    </row>
    <row r="476" spans="2:65" s="148" customFormat="1" x14ac:dyDescent="0.2">
      <c r="B476" s="149"/>
      <c r="D476" s="143" t="s">
        <v>346</v>
      </c>
      <c r="E476" s="150"/>
      <c r="F476" s="151" t="s">
        <v>5326</v>
      </c>
      <c r="H476" s="152">
        <v>7.0890000000000004</v>
      </c>
      <c r="L476" s="149"/>
      <c r="M476" s="153"/>
      <c r="T476" s="154"/>
      <c r="AT476" s="150" t="s">
        <v>346</v>
      </c>
      <c r="AU476" s="150" t="s">
        <v>90</v>
      </c>
      <c r="AV476" s="148" t="s">
        <v>90</v>
      </c>
      <c r="AW476" s="148" t="s">
        <v>33</v>
      </c>
      <c r="AX476" s="148" t="s">
        <v>80</v>
      </c>
      <c r="AY476" s="150" t="s">
        <v>337</v>
      </c>
    </row>
    <row r="477" spans="2:65" s="148" customFormat="1" x14ac:dyDescent="0.2">
      <c r="B477" s="149"/>
      <c r="D477" s="143" t="s">
        <v>346</v>
      </c>
      <c r="E477" s="150"/>
      <c r="F477" s="151" t="s">
        <v>5327</v>
      </c>
      <c r="H477" s="152">
        <v>0.59399999999999997</v>
      </c>
      <c r="L477" s="149"/>
      <c r="M477" s="153"/>
      <c r="T477" s="154"/>
      <c r="AT477" s="150" t="s">
        <v>346</v>
      </c>
      <c r="AU477" s="150" t="s">
        <v>90</v>
      </c>
      <c r="AV477" s="148" t="s">
        <v>90</v>
      </c>
      <c r="AW477" s="148" t="s">
        <v>33</v>
      </c>
      <c r="AX477" s="148" t="s">
        <v>80</v>
      </c>
      <c r="AY477" s="150" t="s">
        <v>337</v>
      </c>
    </row>
    <row r="478" spans="2:65" s="148" customFormat="1" x14ac:dyDescent="0.2">
      <c r="B478" s="149"/>
      <c r="D478" s="143" t="s">
        <v>346</v>
      </c>
      <c r="E478" s="150"/>
      <c r="F478" s="151" t="s">
        <v>5328</v>
      </c>
      <c r="H478" s="152">
        <v>52.26</v>
      </c>
      <c r="L478" s="149"/>
      <c r="M478" s="153"/>
      <c r="T478" s="154"/>
      <c r="AT478" s="150" t="s">
        <v>346</v>
      </c>
      <c r="AU478" s="150" t="s">
        <v>90</v>
      </c>
      <c r="AV478" s="148" t="s">
        <v>90</v>
      </c>
      <c r="AW478" s="148" t="s">
        <v>33</v>
      </c>
      <c r="AX478" s="148" t="s">
        <v>80</v>
      </c>
      <c r="AY478" s="150" t="s">
        <v>337</v>
      </c>
    </row>
    <row r="479" spans="2:65" s="148" customFormat="1" x14ac:dyDescent="0.2">
      <c r="B479" s="149"/>
      <c r="D479" s="143" t="s">
        <v>346</v>
      </c>
      <c r="E479" s="150"/>
      <c r="F479" s="151" t="s">
        <v>5329</v>
      </c>
      <c r="H479" s="152">
        <v>7.6749999999999998</v>
      </c>
      <c r="L479" s="149"/>
      <c r="M479" s="153"/>
      <c r="T479" s="154"/>
      <c r="AT479" s="150" t="s">
        <v>346</v>
      </c>
      <c r="AU479" s="150" t="s">
        <v>90</v>
      </c>
      <c r="AV479" s="148" t="s">
        <v>90</v>
      </c>
      <c r="AW479" s="148" t="s">
        <v>33</v>
      </c>
      <c r="AX479" s="148" t="s">
        <v>80</v>
      </c>
      <c r="AY479" s="150" t="s">
        <v>337</v>
      </c>
    </row>
    <row r="480" spans="2:65" s="155" customFormat="1" x14ac:dyDescent="0.2">
      <c r="B480" s="156"/>
      <c r="D480" s="143" t="s">
        <v>346</v>
      </c>
      <c r="E480" s="157"/>
      <c r="F480" s="158" t="s">
        <v>351</v>
      </c>
      <c r="H480" s="159">
        <v>110.06699999999999</v>
      </c>
      <c r="L480" s="156"/>
      <c r="M480" s="160"/>
      <c r="T480" s="161"/>
      <c r="AT480" s="157" t="s">
        <v>346</v>
      </c>
      <c r="AU480" s="157" t="s">
        <v>90</v>
      </c>
      <c r="AV480" s="155" t="s">
        <v>344</v>
      </c>
      <c r="AW480" s="155" t="s">
        <v>33</v>
      </c>
      <c r="AX480" s="155" t="s">
        <v>87</v>
      </c>
      <c r="AY480" s="157" t="s">
        <v>337</v>
      </c>
    </row>
    <row r="481" spans="2:65" s="16" customFormat="1" ht="16.5" customHeight="1" x14ac:dyDescent="0.2">
      <c r="B481" s="17"/>
      <c r="C481" s="128">
        <v>12</v>
      </c>
      <c r="D481" s="128" t="s">
        <v>339</v>
      </c>
      <c r="E481" s="129" t="s">
        <v>5330</v>
      </c>
      <c r="F481" s="130" t="s">
        <v>5331</v>
      </c>
      <c r="G481" s="131" t="s">
        <v>425</v>
      </c>
      <c r="H481" s="132">
        <v>4158.29</v>
      </c>
      <c r="I481" s="133"/>
      <c r="J481" s="134">
        <f>ROUND(I481*H481,2)</f>
        <v>0</v>
      </c>
      <c r="K481" s="130" t="s">
        <v>343</v>
      </c>
      <c r="L481" s="17"/>
      <c r="M481" s="135"/>
      <c r="N481" s="136" t="s">
        <v>45</v>
      </c>
      <c r="P481" s="137">
        <f>O481*H481</f>
        <v>0</v>
      </c>
      <c r="Q481" s="137">
        <v>0</v>
      </c>
      <c r="R481" s="137">
        <f>Q481*H481</f>
        <v>0</v>
      </c>
      <c r="S481" s="137">
        <v>0.09</v>
      </c>
      <c r="T481" s="138">
        <f>S481*H481</f>
        <v>374.24609999999996</v>
      </c>
      <c r="AR481" s="139" t="s">
        <v>344</v>
      </c>
      <c r="AT481" s="139" t="s">
        <v>339</v>
      </c>
      <c r="AU481" s="139" t="s">
        <v>90</v>
      </c>
      <c r="AY481" s="2" t="s">
        <v>337</v>
      </c>
      <c r="BE481" s="140">
        <f>IF(N481="základní",J481,0)</f>
        <v>0</v>
      </c>
      <c r="BF481" s="140">
        <f>IF(N481="snížená",J481,0)</f>
        <v>0</v>
      </c>
      <c r="BG481" s="140">
        <f>IF(N481="zákl. přenesená",J481,0)</f>
        <v>0</v>
      </c>
      <c r="BH481" s="140">
        <f>IF(N481="sníž. přenesená",J481,0)</f>
        <v>0</v>
      </c>
      <c r="BI481" s="140">
        <f>IF(N481="nulová",J481,0)</f>
        <v>0</v>
      </c>
      <c r="BJ481" s="2" t="s">
        <v>87</v>
      </c>
      <c r="BK481" s="140">
        <f>ROUND(I481*H481,2)</f>
        <v>0</v>
      </c>
      <c r="BL481" s="2" t="s">
        <v>344</v>
      </c>
      <c r="BM481" s="139" t="s">
        <v>5332</v>
      </c>
    </row>
    <row r="482" spans="2:65" s="141" customFormat="1" x14ac:dyDescent="0.2">
      <c r="B482" s="142"/>
      <c r="D482" s="143" t="s">
        <v>346</v>
      </c>
      <c r="E482" s="144"/>
      <c r="F482" s="145" t="s">
        <v>886</v>
      </c>
      <c r="H482" s="144"/>
      <c r="L482" s="142"/>
      <c r="M482" s="146"/>
      <c r="T482" s="147"/>
      <c r="AT482" s="144" t="s">
        <v>346</v>
      </c>
      <c r="AU482" s="144" t="s">
        <v>90</v>
      </c>
      <c r="AV482" s="141" t="s">
        <v>87</v>
      </c>
      <c r="AW482" s="141" t="s">
        <v>33</v>
      </c>
      <c r="AX482" s="141" t="s">
        <v>80</v>
      </c>
      <c r="AY482" s="144" t="s">
        <v>337</v>
      </c>
    </row>
    <row r="483" spans="2:65" s="148" customFormat="1" x14ac:dyDescent="0.2">
      <c r="B483" s="149"/>
      <c r="D483" s="143" t="s">
        <v>346</v>
      </c>
      <c r="E483" s="150"/>
      <c r="F483" s="151" t="s">
        <v>5333</v>
      </c>
      <c r="H483" s="152">
        <v>21.19</v>
      </c>
      <c r="L483" s="149"/>
      <c r="M483" s="153"/>
      <c r="T483" s="154"/>
      <c r="AT483" s="150" t="s">
        <v>346</v>
      </c>
      <c r="AU483" s="150" t="s">
        <v>90</v>
      </c>
      <c r="AV483" s="148" t="s">
        <v>90</v>
      </c>
      <c r="AW483" s="148" t="s">
        <v>33</v>
      </c>
      <c r="AX483" s="148" t="s">
        <v>80</v>
      </c>
      <c r="AY483" s="150" t="s">
        <v>337</v>
      </c>
    </row>
    <row r="484" spans="2:65" s="148" customFormat="1" x14ac:dyDescent="0.2">
      <c r="B484" s="149"/>
      <c r="D484" s="143" t="s">
        <v>346</v>
      </c>
      <c r="E484" s="150"/>
      <c r="F484" s="151" t="s">
        <v>5334</v>
      </c>
      <c r="H484" s="152">
        <v>60.12</v>
      </c>
      <c r="L484" s="149"/>
      <c r="M484" s="153"/>
      <c r="T484" s="154"/>
      <c r="AT484" s="150" t="s">
        <v>346</v>
      </c>
      <c r="AU484" s="150" t="s">
        <v>90</v>
      </c>
      <c r="AV484" s="148" t="s">
        <v>90</v>
      </c>
      <c r="AW484" s="148" t="s">
        <v>33</v>
      </c>
      <c r="AX484" s="148" t="s">
        <v>80</v>
      </c>
      <c r="AY484" s="150" t="s">
        <v>337</v>
      </c>
    </row>
    <row r="485" spans="2:65" s="148" customFormat="1" x14ac:dyDescent="0.2">
      <c r="B485" s="149"/>
      <c r="D485" s="143" t="s">
        <v>346</v>
      </c>
      <c r="E485" s="150"/>
      <c r="F485" s="151" t="s">
        <v>5335</v>
      </c>
      <c r="H485" s="152">
        <v>30.56</v>
      </c>
      <c r="L485" s="149"/>
      <c r="M485" s="153"/>
      <c r="T485" s="154"/>
      <c r="AT485" s="150" t="s">
        <v>346</v>
      </c>
      <c r="AU485" s="150" t="s">
        <v>90</v>
      </c>
      <c r="AV485" s="148" t="s">
        <v>90</v>
      </c>
      <c r="AW485" s="148" t="s">
        <v>33</v>
      </c>
      <c r="AX485" s="148" t="s">
        <v>80</v>
      </c>
      <c r="AY485" s="150" t="s">
        <v>337</v>
      </c>
    </row>
    <row r="486" spans="2:65" s="148" customFormat="1" x14ac:dyDescent="0.2">
      <c r="B486" s="149"/>
      <c r="D486" s="143" t="s">
        <v>346</v>
      </c>
      <c r="E486" s="150"/>
      <c r="F486" s="151" t="s">
        <v>5336</v>
      </c>
      <c r="H486" s="152">
        <v>32.35</v>
      </c>
      <c r="L486" s="149"/>
      <c r="M486" s="153"/>
      <c r="T486" s="154"/>
      <c r="AT486" s="150" t="s">
        <v>346</v>
      </c>
      <c r="AU486" s="150" t="s">
        <v>90</v>
      </c>
      <c r="AV486" s="148" t="s">
        <v>90</v>
      </c>
      <c r="AW486" s="148" t="s">
        <v>33</v>
      </c>
      <c r="AX486" s="148" t="s">
        <v>80</v>
      </c>
      <c r="AY486" s="150" t="s">
        <v>337</v>
      </c>
    </row>
    <row r="487" spans="2:65" s="148" customFormat="1" x14ac:dyDescent="0.2">
      <c r="B487" s="149"/>
      <c r="D487" s="143" t="s">
        <v>346</v>
      </c>
      <c r="E487" s="150"/>
      <c r="F487" s="151" t="s">
        <v>5337</v>
      </c>
      <c r="H487" s="152">
        <v>53.61</v>
      </c>
      <c r="L487" s="149"/>
      <c r="M487" s="153"/>
      <c r="T487" s="154"/>
      <c r="AT487" s="150" t="s">
        <v>346</v>
      </c>
      <c r="AU487" s="150" t="s">
        <v>90</v>
      </c>
      <c r="AV487" s="148" t="s">
        <v>90</v>
      </c>
      <c r="AW487" s="148" t="s">
        <v>33</v>
      </c>
      <c r="AX487" s="148" t="s">
        <v>80</v>
      </c>
      <c r="AY487" s="150" t="s">
        <v>337</v>
      </c>
    </row>
    <row r="488" spans="2:65" s="148" customFormat="1" x14ac:dyDescent="0.2">
      <c r="B488" s="149"/>
      <c r="D488" s="143" t="s">
        <v>346</v>
      </c>
      <c r="E488" s="150"/>
      <c r="F488" s="151" t="s">
        <v>5338</v>
      </c>
      <c r="H488" s="152">
        <v>30.69</v>
      </c>
      <c r="L488" s="149"/>
      <c r="M488" s="153"/>
      <c r="T488" s="154"/>
      <c r="AT488" s="150" t="s">
        <v>346</v>
      </c>
      <c r="AU488" s="150" t="s">
        <v>90</v>
      </c>
      <c r="AV488" s="148" t="s">
        <v>90</v>
      </c>
      <c r="AW488" s="148" t="s">
        <v>33</v>
      </c>
      <c r="AX488" s="148" t="s">
        <v>80</v>
      </c>
      <c r="AY488" s="150" t="s">
        <v>337</v>
      </c>
    </row>
    <row r="489" spans="2:65" s="148" customFormat="1" x14ac:dyDescent="0.2">
      <c r="B489" s="149"/>
      <c r="D489" s="143" t="s">
        <v>346</v>
      </c>
      <c r="E489" s="150"/>
      <c r="F489" s="151" t="s">
        <v>5339</v>
      </c>
      <c r="H489" s="152">
        <v>37.299999999999997</v>
      </c>
      <c r="L489" s="149"/>
      <c r="M489" s="153"/>
      <c r="T489" s="154"/>
      <c r="AT489" s="150" t="s">
        <v>346</v>
      </c>
      <c r="AU489" s="150" t="s">
        <v>90</v>
      </c>
      <c r="AV489" s="148" t="s">
        <v>90</v>
      </c>
      <c r="AW489" s="148" t="s">
        <v>33</v>
      </c>
      <c r="AX489" s="148" t="s">
        <v>80</v>
      </c>
      <c r="AY489" s="150" t="s">
        <v>337</v>
      </c>
    </row>
    <row r="490" spans="2:65" s="148" customFormat="1" x14ac:dyDescent="0.2">
      <c r="B490" s="149"/>
      <c r="D490" s="143" t="s">
        <v>346</v>
      </c>
      <c r="E490" s="150"/>
      <c r="F490" s="151" t="s">
        <v>5340</v>
      </c>
      <c r="H490" s="152">
        <v>18.07</v>
      </c>
      <c r="L490" s="149"/>
      <c r="M490" s="153"/>
      <c r="T490" s="154"/>
      <c r="AT490" s="150" t="s">
        <v>346</v>
      </c>
      <c r="AU490" s="150" t="s">
        <v>90</v>
      </c>
      <c r="AV490" s="148" t="s">
        <v>90</v>
      </c>
      <c r="AW490" s="148" t="s">
        <v>33</v>
      </c>
      <c r="AX490" s="148" t="s">
        <v>80</v>
      </c>
      <c r="AY490" s="150" t="s">
        <v>337</v>
      </c>
    </row>
    <row r="491" spans="2:65" s="148" customFormat="1" x14ac:dyDescent="0.2">
      <c r="B491" s="149"/>
      <c r="D491" s="143" t="s">
        <v>346</v>
      </c>
      <c r="E491" s="150"/>
      <c r="F491" s="151" t="s">
        <v>5341</v>
      </c>
      <c r="H491" s="152">
        <v>15.28</v>
      </c>
      <c r="L491" s="149"/>
      <c r="M491" s="153"/>
      <c r="T491" s="154"/>
      <c r="AT491" s="150" t="s">
        <v>346</v>
      </c>
      <c r="AU491" s="150" t="s">
        <v>90</v>
      </c>
      <c r="AV491" s="148" t="s">
        <v>90</v>
      </c>
      <c r="AW491" s="148" t="s">
        <v>33</v>
      </c>
      <c r="AX491" s="148" t="s">
        <v>80</v>
      </c>
      <c r="AY491" s="150" t="s">
        <v>337</v>
      </c>
    </row>
    <row r="492" spans="2:65" s="148" customFormat="1" x14ac:dyDescent="0.2">
      <c r="B492" s="149"/>
      <c r="D492" s="143" t="s">
        <v>346</v>
      </c>
      <c r="E492" s="150"/>
      <c r="F492" s="151" t="s">
        <v>5342</v>
      </c>
      <c r="H492" s="152">
        <v>18.2</v>
      </c>
      <c r="L492" s="149"/>
      <c r="M492" s="153"/>
      <c r="T492" s="154"/>
      <c r="AT492" s="150" t="s">
        <v>346</v>
      </c>
      <c r="AU492" s="150" t="s">
        <v>90</v>
      </c>
      <c r="AV492" s="148" t="s">
        <v>90</v>
      </c>
      <c r="AW492" s="148" t="s">
        <v>33</v>
      </c>
      <c r="AX492" s="148" t="s">
        <v>80</v>
      </c>
      <c r="AY492" s="150" t="s">
        <v>337</v>
      </c>
    </row>
    <row r="493" spans="2:65" s="148" customFormat="1" x14ac:dyDescent="0.2">
      <c r="B493" s="149"/>
      <c r="D493" s="143" t="s">
        <v>346</v>
      </c>
      <c r="E493" s="150"/>
      <c r="F493" s="151" t="s">
        <v>5343</v>
      </c>
      <c r="H493" s="152">
        <v>16.38</v>
      </c>
      <c r="L493" s="149"/>
      <c r="M493" s="153"/>
      <c r="T493" s="154"/>
      <c r="AT493" s="150" t="s">
        <v>346</v>
      </c>
      <c r="AU493" s="150" t="s">
        <v>90</v>
      </c>
      <c r="AV493" s="148" t="s">
        <v>90</v>
      </c>
      <c r="AW493" s="148" t="s">
        <v>33</v>
      </c>
      <c r="AX493" s="148" t="s">
        <v>80</v>
      </c>
      <c r="AY493" s="150" t="s">
        <v>337</v>
      </c>
    </row>
    <row r="494" spans="2:65" s="148" customFormat="1" x14ac:dyDescent="0.2">
      <c r="B494" s="149"/>
      <c r="D494" s="143" t="s">
        <v>346</v>
      </c>
      <c r="E494" s="150"/>
      <c r="F494" s="151" t="s">
        <v>5344</v>
      </c>
      <c r="H494" s="152">
        <v>80.239999999999995</v>
      </c>
      <c r="L494" s="149"/>
      <c r="M494" s="153"/>
      <c r="T494" s="154"/>
      <c r="AT494" s="150" t="s">
        <v>346</v>
      </c>
      <c r="AU494" s="150" t="s">
        <v>90</v>
      </c>
      <c r="AV494" s="148" t="s">
        <v>90</v>
      </c>
      <c r="AW494" s="148" t="s">
        <v>33</v>
      </c>
      <c r="AX494" s="148" t="s">
        <v>80</v>
      </c>
      <c r="AY494" s="150" t="s">
        <v>337</v>
      </c>
    </row>
    <row r="495" spans="2:65" s="148" customFormat="1" x14ac:dyDescent="0.2">
      <c r="B495" s="149"/>
      <c r="D495" s="143" t="s">
        <v>346</v>
      </c>
      <c r="E495" s="150"/>
      <c r="F495" s="151" t="s">
        <v>5345</v>
      </c>
      <c r="H495" s="152">
        <v>59.85</v>
      </c>
      <c r="L495" s="149"/>
      <c r="M495" s="153"/>
      <c r="T495" s="154"/>
      <c r="AT495" s="150" t="s">
        <v>346</v>
      </c>
      <c r="AU495" s="150" t="s">
        <v>90</v>
      </c>
      <c r="AV495" s="148" t="s">
        <v>90</v>
      </c>
      <c r="AW495" s="148" t="s">
        <v>33</v>
      </c>
      <c r="AX495" s="148" t="s">
        <v>80</v>
      </c>
      <c r="AY495" s="150" t="s">
        <v>337</v>
      </c>
    </row>
    <row r="496" spans="2:65" s="148" customFormat="1" x14ac:dyDescent="0.2">
      <c r="B496" s="149"/>
      <c r="D496" s="143" t="s">
        <v>346</v>
      </c>
      <c r="E496" s="150"/>
      <c r="F496" s="151" t="s">
        <v>5346</v>
      </c>
      <c r="H496" s="152">
        <v>21.83</v>
      </c>
      <c r="L496" s="149"/>
      <c r="M496" s="153"/>
      <c r="T496" s="154"/>
      <c r="AT496" s="150" t="s">
        <v>346</v>
      </c>
      <c r="AU496" s="150" t="s">
        <v>90</v>
      </c>
      <c r="AV496" s="148" t="s">
        <v>90</v>
      </c>
      <c r="AW496" s="148" t="s">
        <v>33</v>
      </c>
      <c r="AX496" s="148" t="s">
        <v>80</v>
      </c>
      <c r="AY496" s="150" t="s">
        <v>337</v>
      </c>
    </row>
    <row r="497" spans="2:65" s="148" customFormat="1" x14ac:dyDescent="0.2">
      <c r="B497" s="149"/>
      <c r="D497" s="143" t="s">
        <v>346</v>
      </c>
      <c r="E497" s="150"/>
      <c r="F497" s="151" t="s">
        <v>5347</v>
      </c>
      <c r="H497" s="152">
        <v>30.41</v>
      </c>
      <c r="L497" s="149"/>
      <c r="M497" s="153"/>
      <c r="T497" s="154"/>
      <c r="AT497" s="150" t="s">
        <v>346</v>
      </c>
      <c r="AU497" s="150" t="s">
        <v>90</v>
      </c>
      <c r="AV497" s="148" t="s">
        <v>90</v>
      </c>
      <c r="AW497" s="148" t="s">
        <v>33</v>
      </c>
      <c r="AX497" s="148" t="s">
        <v>80</v>
      </c>
      <c r="AY497" s="150" t="s">
        <v>337</v>
      </c>
    </row>
    <row r="498" spans="2:65" s="148" customFormat="1" x14ac:dyDescent="0.2">
      <c r="B498" s="149"/>
      <c r="D498" s="143" t="s">
        <v>346</v>
      </c>
      <c r="E498" s="150"/>
      <c r="F498" s="151" t="s">
        <v>5348</v>
      </c>
      <c r="H498" s="152">
        <v>20.14</v>
      </c>
      <c r="L498" s="149"/>
      <c r="M498" s="153"/>
      <c r="T498" s="154"/>
      <c r="AT498" s="150" t="s">
        <v>346</v>
      </c>
      <c r="AU498" s="150" t="s">
        <v>90</v>
      </c>
      <c r="AV498" s="148" t="s">
        <v>90</v>
      </c>
      <c r="AW498" s="148" t="s">
        <v>33</v>
      </c>
      <c r="AX498" s="148" t="s">
        <v>80</v>
      </c>
      <c r="AY498" s="150" t="s">
        <v>337</v>
      </c>
    </row>
    <row r="499" spans="2:65" s="148" customFormat="1" x14ac:dyDescent="0.2">
      <c r="B499" s="149"/>
      <c r="D499" s="143" t="s">
        <v>346</v>
      </c>
      <c r="E499" s="150"/>
      <c r="F499" s="151" t="s">
        <v>5349</v>
      </c>
      <c r="H499" s="152">
        <v>20.329999999999998</v>
      </c>
      <c r="L499" s="149"/>
      <c r="M499" s="153"/>
      <c r="T499" s="154"/>
      <c r="AT499" s="150" t="s">
        <v>346</v>
      </c>
      <c r="AU499" s="150" t="s">
        <v>90</v>
      </c>
      <c r="AV499" s="148" t="s">
        <v>90</v>
      </c>
      <c r="AW499" s="148" t="s">
        <v>33</v>
      </c>
      <c r="AX499" s="148" t="s">
        <v>80</v>
      </c>
      <c r="AY499" s="150" t="s">
        <v>337</v>
      </c>
    </row>
    <row r="500" spans="2:65" s="148" customFormat="1" x14ac:dyDescent="0.2">
      <c r="B500" s="149"/>
      <c r="D500" s="143" t="s">
        <v>346</v>
      </c>
      <c r="E500" s="150"/>
      <c r="F500" s="151" t="s">
        <v>5350</v>
      </c>
      <c r="H500" s="152">
        <v>86.7</v>
      </c>
      <c r="L500" s="149"/>
      <c r="M500" s="153"/>
      <c r="T500" s="154"/>
      <c r="AT500" s="150" t="s">
        <v>346</v>
      </c>
      <c r="AU500" s="150" t="s">
        <v>90</v>
      </c>
      <c r="AV500" s="148" t="s">
        <v>90</v>
      </c>
      <c r="AW500" s="148" t="s">
        <v>33</v>
      </c>
      <c r="AX500" s="148" t="s">
        <v>80</v>
      </c>
      <c r="AY500" s="150" t="s">
        <v>337</v>
      </c>
    </row>
    <row r="501" spans="2:65" s="172" customFormat="1" x14ac:dyDescent="0.2">
      <c r="B501" s="173"/>
      <c r="D501" s="143" t="s">
        <v>346</v>
      </c>
      <c r="E501" s="174" t="s">
        <v>5169</v>
      </c>
      <c r="F501" s="175" t="s">
        <v>609</v>
      </c>
      <c r="H501" s="176">
        <v>653.25</v>
      </c>
      <c r="L501" s="173"/>
      <c r="M501" s="177"/>
      <c r="T501" s="178"/>
      <c r="AT501" s="174" t="s">
        <v>346</v>
      </c>
      <c r="AU501" s="174" t="s">
        <v>90</v>
      </c>
      <c r="AV501" s="172" t="s">
        <v>113</v>
      </c>
      <c r="AW501" s="172" t="s">
        <v>33</v>
      </c>
      <c r="AX501" s="172" t="s">
        <v>80</v>
      </c>
      <c r="AY501" s="174" t="s">
        <v>337</v>
      </c>
    </row>
    <row r="502" spans="2:65" s="148" customFormat="1" x14ac:dyDescent="0.2">
      <c r="B502" s="149"/>
      <c r="D502" s="143" t="s">
        <v>346</v>
      </c>
      <c r="E502" s="150"/>
      <c r="F502" s="151" t="s">
        <v>5174</v>
      </c>
      <c r="H502" s="152">
        <v>342.25</v>
      </c>
      <c r="L502" s="149"/>
      <c r="M502" s="153"/>
      <c r="T502" s="154"/>
      <c r="AT502" s="150" t="s">
        <v>346</v>
      </c>
      <c r="AU502" s="150" t="s">
        <v>90</v>
      </c>
      <c r="AV502" s="148" t="s">
        <v>90</v>
      </c>
      <c r="AW502" s="148" t="s">
        <v>33</v>
      </c>
      <c r="AX502" s="148" t="s">
        <v>80</v>
      </c>
      <c r="AY502" s="150" t="s">
        <v>337</v>
      </c>
    </row>
    <row r="503" spans="2:65" s="148" customFormat="1" x14ac:dyDescent="0.2">
      <c r="B503" s="149"/>
      <c r="D503" s="143" t="s">
        <v>346</v>
      </c>
      <c r="E503" s="150"/>
      <c r="F503" s="151" t="s">
        <v>5176</v>
      </c>
      <c r="H503" s="152">
        <v>308.8</v>
      </c>
      <c r="L503" s="149"/>
      <c r="M503" s="153"/>
      <c r="T503" s="154"/>
      <c r="AT503" s="150" t="s">
        <v>346</v>
      </c>
      <c r="AU503" s="150" t="s">
        <v>90</v>
      </c>
      <c r="AV503" s="148" t="s">
        <v>90</v>
      </c>
      <c r="AW503" s="148" t="s">
        <v>33</v>
      </c>
      <c r="AX503" s="148" t="s">
        <v>80</v>
      </c>
      <c r="AY503" s="150" t="s">
        <v>337</v>
      </c>
    </row>
    <row r="504" spans="2:65" s="148" customFormat="1" x14ac:dyDescent="0.2">
      <c r="B504" s="149"/>
      <c r="D504" s="143" t="s">
        <v>346</v>
      </c>
      <c r="E504" s="150"/>
      <c r="F504" s="151" t="s">
        <v>5163</v>
      </c>
      <c r="H504" s="152">
        <v>1697.96</v>
      </c>
      <c r="L504" s="149"/>
      <c r="M504" s="153"/>
      <c r="T504" s="154"/>
      <c r="AT504" s="150" t="s">
        <v>346</v>
      </c>
      <c r="AU504" s="150" t="s">
        <v>90</v>
      </c>
      <c r="AV504" s="148" t="s">
        <v>90</v>
      </c>
      <c r="AW504" s="148" t="s">
        <v>33</v>
      </c>
      <c r="AX504" s="148" t="s">
        <v>80</v>
      </c>
      <c r="AY504" s="150" t="s">
        <v>337</v>
      </c>
    </row>
    <row r="505" spans="2:65" s="148" customFormat="1" x14ac:dyDescent="0.2">
      <c r="B505" s="149"/>
      <c r="D505" s="143" t="s">
        <v>346</v>
      </c>
      <c r="E505" s="150"/>
      <c r="F505" s="151" t="s">
        <v>5178</v>
      </c>
      <c r="H505" s="152">
        <v>178.69</v>
      </c>
      <c r="L505" s="149"/>
      <c r="M505" s="153"/>
      <c r="T505" s="154"/>
      <c r="AT505" s="150" t="s">
        <v>346</v>
      </c>
      <c r="AU505" s="150" t="s">
        <v>90</v>
      </c>
      <c r="AV505" s="148" t="s">
        <v>90</v>
      </c>
      <c r="AW505" s="148" t="s">
        <v>33</v>
      </c>
      <c r="AX505" s="148" t="s">
        <v>80</v>
      </c>
      <c r="AY505" s="150" t="s">
        <v>337</v>
      </c>
    </row>
    <row r="506" spans="2:65" s="148" customFormat="1" x14ac:dyDescent="0.2">
      <c r="B506" s="149"/>
      <c r="D506" s="143" t="s">
        <v>346</v>
      </c>
      <c r="E506" s="150"/>
      <c r="F506" s="151" t="s">
        <v>5180</v>
      </c>
      <c r="H506" s="152">
        <v>121.54</v>
      </c>
      <c r="L506" s="149"/>
      <c r="M506" s="153"/>
      <c r="T506" s="154"/>
      <c r="AT506" s="150" t="s">
        <v>346</v>
      </c>
      <c r="AU506" s="150" t="s">
        <v>90</v>
      </c>
      <c r="AV506" s="148" t="s">
        <v>90</v>
      </c>
      <c r="AW506" s="148" t="s">
        <v>33</v>
      </c>
      <c r="AX506" s="148" t="s">
        <v>80</v>
      </c>
      <c r="AY506" s="150" t="s">
        <v>337</v>
      </c>
    </row>
    <row r="507" spans="2:65" s="148" customFormat="1" x14ac:dyDescent="0.2">
      <c r="B507" s="149"/>
      <c r="D507" s="143" t="s">
        <v>346</v>
      </c>
      <c r="E507" s="150"/>
      <c r="F507" s="151" t="s">
        <v>5165</v>
      </c>
      <c r="H507" s="152">
        <v>202.55</v>
      </c>
      <c r="L507" s="149"/>
      <c r="M507" s="153"/>
      <c r="T507" s="154"/>
      <c r="AT507" s="150" t="s">
        <v>346</v>
      </c>
      <c r="AU507" s="150" t="s">
        <v>90</v>
      </c>
      <c r="AV507" s="148" t="s">
        <v>90</v>
      </c>
      <c r="AW507" s="148" t="s">
        <v>33</v>
      </c>
      <c r="AX507" s="148" t="s">
        <v>80</v>
      </c>
      <c r="AY507" s="150" t="s">
        <v>337</v>
      </c>
    </row>
    <row r="508" spans="2:65" s="148" customFormat="1" x14ac:dyDescent="0.2">
      <c r="B508" s="149"/>
      <c r="D508" s="143" t="s">
        <v>346</v>
      </c>
      <c r="E508" s="150"/>
      <c r="F508" s="151" t="s">
        <v>5169</v>
      </c>
      <c r="H508" s="152">
        <v>653.25</v>
      </c>
      <c r="L508" s="149"/>
      <c r="M508" s="153"/>
      <c r="T508" s="154"/>
      <c r="AT508" s="150" t="s">
        <v>346</v>
      </c>
      <c r="AU508" s="150" t="s">
        <v>90</v>
      </c>
      <c r="AV508" s="148" t="s">
        <v>90</v>
      </c>
      <c r="AW508" s="148" t="s">
        <v>33</v>
      </c>
      <c r="AX508" s="148" t="s">
        <v>80</v>
      </c>
      <c r="AY508" s="150" t="s">
        <v>337</v>
      </c>
    </row>
    <row r="509" spans="2:65" s="155" customFormat="1" x14ac:dyDescent="0.2">
      <c r="B509" s="156"/>
      <c r="D509" s="143" t="s">
        <v>346</v>
      </c>
      <c r="E509" s="157"/>
      <c r="F509" s="158" t="s">
        <v>351</v>
      </c>
      <c r="H509" s="159">
        <v>4158.29</v>
      </c>
      <c r="L509" s="156"/>
      <c r="M509" s="160"/>
      <c r="T509" s="161"/>
      <c r="AT509" s="157" t="s">
        <v>346</v>
      </c>
      <c r="AU509" s="157" t="s">
        <v>90</v>
      </c>
      <c r="AV509" s="155" t="s">
        <v>344</v>
      </c>
      <c r="AW509" s="155" t="s">
        <v>33</v>
      </c>
      <c r="AX509" s="155" t="s">
        <v>87</v>
      </c>
      <c r="AY509" s="157" t="s">
        <v>337</v>
      </c>
    </row>
    <row r="510" spans="2:65" s="16" customFormat="1" ht="16.5" customHeight="1" x14ac:dyDescent="0.2">
      <c r="B510" s="17"/>
      <c r="C510" s="128">
        <v>13</v>
      </c>
      <c r="D510" s="128" t="s">
        <v>339</v>
      </c>
      <c r="E510" s="129" t="s">
        <v>5351</v>
      </c>
      <c r="F510" s="130" t="s">
        <v>5352</v>
      </c>
      <c r="G510" s="131" t="s">
        <v>425</v>
      </c>
      <c r="H510" s="132">
        <v>327.74</v>
      </c>
      <c r="I510" s="133"/>
      <c r="J510" s="134">
        <f>ROUND(I510*H510,2)</f>
        <v>0</v>
      </c>
      <c r="K510" s="130" t="s">
        <v>343</v>
      </c>
      <c r="L510" s="17"/>
      <c r="M510" s="135"/>
      <c r="N510" s="136" t="s">
        <v>45</v>
      </c>
      <c r="P510" s="137">
        <f>O510*H510</f>
        <v>0</v>
      </c>
      <c r="Q510" s="137">
        <v>0</v>
      </c>
      <c r="R510" s="137">
        <f>Q510*H510</f>
        <v>0</v>
      </c>
      <c r="S510" s="137">
        <v>3.5000000000000003E-2</v>
      </c>
      <c r="T510" s="138">
        <f>S510*H510</f>
        <v>11.470900000000002</v>
      </c>
      <c r="AR510" s="139" t="s">
        <v>344</v>
      </c>
      <c r="AT510" s="139" t="s">
        <v>339</v>
      </c>
      <c r="AU510" s="139" t="s">
        <v>90</v>
      </c>
      <c r="AY510" s="2" t="s">
        <v>337</v>
      </c>
      <c r="BE510" s="140">
        <f>IF(N510="základní",J510,0)</f>
        <v>0</v>
      </c>
      <c r="BF510" s="140">
        <f>IF(N510="snížená",J510,0)</f>
        <v>0</v>
      </c>
      <c r="BG510" s="140">
        <f>IF(N510="zákl. přenesená",J510,0)</f>
        <v>0</v>
      </c>
      <c r="BH510" s="140">
        <f>IF(N510="sníž. přenesená",J510,0)</f>
        <v>0</v>
      </c>
      <c r="BI510" s="140">
        <f>IF(N510="nulová",J510,0)</f>
        <v>0</v>
      </c>
      <c r="BJ510" s="2" t="s">
        <v>87</v>
      </c>
      <c r="BK510" s="140">
        <f>ROUND(I510*H510,2)</f>
        <v>0</v>
      </c>
      <c r="BL510" s="2" t="s">
        <v>344</v>
      </c>
      <c r="BM510" s="139" t="s">
        <v>5353</v>
      </c>
    </row>
    <row r="511" spans="2:65" s="141" customFormat="1" x14ac:dyDescent="0.2">
      <c r="B511" s="142"/>
      <c r="D511" s="143" t="s">
        <v>346</v>
      </c>
      <c r="E511" s="144"/>
      <c r="F511" s="145" t="s">
        <v>5354</v>
      </c>
      <c r="H511" s="144"/>
      <c r="L511" s="142"/>
      <c r="M511" s="146"/>
      <c r="T511" s="147"/>
      <c r="AT511" s="144" t="s">
        <v>346</v>
      </c>
      <c r="AU511" s="144" t="s">
        <v>90</v>
      </c>
      <c r="AV511" s="141" t="s">
        <v>87</v>
      </c>
      <c r="AW511" s="141" t="s">
        <v>33</v>
      </c>
      <c r="AX511" s="141" t="s">
        <v>80</v>
      </c>
      <c r="AY511" s="144" t="s">
        <v>337</v>
      </c>
    </row>
    <row r="512" spans="2:65" s="148" customFormat="1" x14ac:dyDescent="0.2">
      <c r="B512" s="149"/>
      <c r="D512" s="143" t="s">
        <v>346</v>
      </c>
      <c r="E512" s="150"/>
      <c r="F512" s="151" t="s">
        <v>5355</v>
      </c>
      <c r="H512" s="152">
        <v>3.44</v>
      </c>
      <c r="L512" s="149"/>
      <c r="M512" s="153"/>
      <c r="T512" s="154"/>
      <c r="AT512" s="150" t="s">
        <v>346</v>
      </c>
      <c r="AU512" s="150" t="s">
        <v>90</v>
      </c>
      <c r="AV512" s="148" t="s">
        <v>90</v>
      </c>
      <c r="AW512" s="148" t="s">
        <v>33</v>
      </c>
      <c r="AX512" s="148" t="s">
        <v>80</v>
      </c>
      <c r="AY512" s="150" t="s">
        <v>337</v>
      </c>
    </row>
    <row r="513" spans="2:51" s="148" customFormat="1" x14ac:dyDescent="0.2">
      <c r="B513" s="149"/>
      <c r="D513" s="143" t="s">
        <v>346</v>
      </c>
      <c r="E513" s="150"/>
      <c r="F513" s="151" t="s">
        <v>5356</v>
      </c>
      <c r="H513" s="152">
        <v>7.23</v>
      </c>
      <c r="L513" s="149"/>
      <c r="M513" s="153"/>
      <c r="T513" s="154"/>
      <c r="AT513" s="150" t="s">
        <v>346</v>
      </c>
      <c r="AU513" s="150" t="s">
        <v>90</v>
      </c>
      <c r="AV513" s="148" t="s">
        <v>90</v>
      </c>
      <c r="AW513" s="148" t="s">
        <v>33</v>
      </c>
      <c r="AX513" s="148" t="s">
        <v>80</v>
      </c>
      <c r="AY513" s="150" t="s">
        <v>337</v>
      </c>
    </row>
    <row r="514" spans="2:51" s="148" customFormat="1" x14ac:dyDescent="0.2">
      <c r="B514" s="149"/>
      <c r="D514" s="143" t="s">
        <v>346</v>
      </c>
      <c r="E514" s="150"/>
      <c r="F514" s="151" t="s">
        <v>5357</v>
      </c>
      <c r="H514" s="152">
        <v>10.66</v>
      </c>
      <c r="L514" s="149"/>
      <c r="M514" s="153"/>
      <c r="T514" s="154"/>
      <c r="AT514" s="150" t="s">
        <v>346</v>
      </c>
      <c r="AU514" s="150" t="s">
        <v>90</v>
      </c>
      <c r="AV514" s="148" t="s">
        <v>90</v>
      </c>
      <c r="AW514" s="148" t="s">
        <v>33</v>
      </c>
      <c r="AX514" s="148" t="s">
        <v>80</v>
      </c>
      <c r="AY514" s="150" t="s">
        <v>337</v>
      </c>
    </row>
    <row r="515" spans="2:51" s="148" customFormat="1" x14ac:dyDescent="0.2">
      <c r="B515" s="149"/>
      <c r="D515" s="143" t="s">
        <v>346</v>
      </c>
      <c r="E515" s="150"/>
      <c r="F515" s="151" t="s">
        <v>5358</v>
      </c>
      <c r="H515" s="152">
        <v>2.0299999999999998</v>
      </c>
      <c r="L515" s="149"/>
      <c r="M515" s="153"/>
      <c r="T515" s="154"/>
      <c r="AT515" s="150" t="s">
        <v>346</v>
      </c>
      <c r="AU515" s="150" t="s">
        <v>90</v>
      </c>
      <c r="AV515" s="148" t="s">
        <v>90</v>
      </c>
      <c r="AW515" s="148" t="s">
        <v>33</v>
      </c>
      <c r="AX515" s="148" t="s">
        <v>80</v>
      </c>
      <c r="AY515" s="150" t="s">
        <v>337</v>
      </c>
    </row>
    <row r="516" spans="2:51" s="148" customFormat="1" x14ac:dyDescent="0.2">
      <c r="B516" s="149"/>
      <c r="D516" s="143" t="s">
        <v>346</v>
      </c>
      <c r="E516" s="150"/>
      <c r="F516" s="151" t="s">
        <v>5359</v>
      </c>
      <c r="H516" s="152">
        <v>1.26</v>
      </c>
      <c r="L516" s="149"/>
      <c r="M516" s="153"/>
      <c r="T516" s="154"/>
      <c r="AT516" s="150" t="s">
        <v>346</v>
      </c>
      <c r="AU516" s="150" t="s">
        <v>90</v>
      </c>
      <c r="AV516" s="148" t="s">
        <v>90</v>
      </c>
      <c r="AW516" s="148" t="s">
        <v>33</v>
      </c>
      <c r="AX516" s="148" t="s">
        <v>80</v>
      </c>
      <c r="AY516" s="150" t="s">
        <v>337</v>
      </c>
    </row>
    <row r="517" spans="2:51" s="148" customFormat="1" x14ac:dyDescent="0.2">
      <c r="B517" s="149"/>
      <c r="D517" s="143" t="s">
        <v>346</v>
      </c>
      <c r="E517" s="150"/>
      <c r="F517" s="151" t="s">
        <v>5360</v>
      </c>
      <c r="H517" s="152">
        <v>1.26</v>
      </c>
      <c r="L517" s="149"/>
      <c r="M517" s="153"/>
      <c r="T517" s="154"/>
      <c r="AT517" s="150" t="s">
        <v>346</v>
      </c>
      <c r="AU517" s="150" t="s">
        <v>90</v>
      </c>
      <c r="AV517" s="148" t="s">
        <v>90</v>
      </c>
      <c r="AW517" s="148" t="s">
        <v>33</v>
      </c>
      <c r="AX517" s="148" t="s">
        <v>80</v>
      </c>
      <c r="AY517" s="150" t="s">
        <v>337</v>
      </c>
    </row>
    <row r="518" spans="2:51" s="148" customFormat="1" x14ac:dyDescent="0.2">
      <c r="B518" s="149"/>
      <c r="D518" s="143" t="s">
        <v>346</v>
      </c>
      <c r="E518" s="150"/>
      <c r="F518" s="151" t="s">
        <v>5361</v>
      </c>
      <c r="H518" s="152">
        <v>3.65</v>
      </c>
      <c r="L518" s="149"/>
      <c r="M518" s="153"/>
      <c r="T518" s="154"/>
      <c r="AT518" s="150" t="s">
        <v>346</v>
      </c>
      <c r="AU518" s="150" t="s">
        <v>90</v>
      </c>
      <c r="AV518" s="148" t="s">
        <v>90</v>
      </c>
      <c r="AW518" s="148" t="s">
        <v>33</v>
      </c>
      <c r="AX518" s="148" t="s">
        <v>80</v>
      </c>
      <c r="AY518" s="150" t="s">
        <v>337</v>
      </c>
    </row>
    <row r="519" spans="2:51" s="148" customFormat="1" x14ac:dyDescent="0.2">
      <c r="B519" s="149"/>
      <c r="D519" s="143" t="s">
        <v>346</v>
      </c>
      <c r="E519" s="150"/>
      <c r="F519" s="151" t="s">
        <v>5362</v>
      </c>
      <c r="H519" s="152">
        <v>6.79</v>
      </c>
      <c r="L519" s="149"/>
      <c r="M519" s="153"/>
      <c r="T519" s="154"/>
      <c r="AT519" s="150" t="s">
        <v>346</v>
      </c>
      <c r="AU519" s="150" t="s">
        <v>90</v>
      </c>
      <c r="AV519" s="148" t="s">
        <v>90</v>
      </c>
      <c r="AW519" s="148" t="s">
        <v>33</v>
      </c>
      <c r="AX519" s="148" t="s">
        <v>80</v>
      </c>
      <c r="AY519" s="150" t="s">
        <v>337</v>
      </c>
    </row>
    <row r="520" spans="2:51" s="148" customFormat="1" x14ac:dyDescent="0.2">
      <c r="B520" s="149"/>
      <c r="D520" s="143" t="s">
        <v>346</v>
      </c>
      <c r="E520" s="150"/>
      <c r="F520" s="151" t="s">
        <v>5363</v>
      </c>
      <c r="H520" s="152">
        <v>9.06</v>
      </c>
      <c r="L520" s="149"/>
      <c r="M520" s="153"/>
      <c r="T520" s="154"/>
      <c r="AT520" s="150" t="s">
        <v>346</v>
      </c>
      <c r="AU520" s="150" t="s">
        <v>90</v>
      </c>
      <c r="AV520" s="148" t="s">
        <v>90</v>
      </c>
      <c r="AW520" s="148" t="s">
        <v>33</v>
      </c>
      <c r="AX520" s="148" t="s">
        <v>80</v>
      </c>
      <c r="AY520" s="150" t="s">
        <v>337</v>
      </c>
    </row>
    <row r="521" spans="2:51" s="148" customFormat="1" x14ac:dyDescent="0.2">
      <c r="B521" s="149"/>
      <c r="D521" s="143" t="s">
        <v>346</v>
      </c>
      <c r="E521" s="150"/>
      <c r="F521" s="151" t="s">
        <v>5364</v>
      </c>
      <c r="H521" s="152">
        <v>0.81</v>
      </c>
      <c r="L521" s="149"/>
      <c r="M521" s="153"/>
      <c r="T521" s="154"/>
      <c r="AT521" s="150" t="s">
        <v>346</v>
      </c>
      <c r="AU521" s="150" t="s">
        <v>90</v>
      </c>
      <c r="AV521" s="148" t="s">
        <v>90</v>
      </c>
      <c r="AW521" s="148" t="s">
        <v>33</v>
      </c>
      <c r="AX521" s="148" t="s">
        <v>80</v>
      </c>
      <c r="AY521" s="150" t="s">
        <v>337</v>
      </c>
    </row>
    <row r="522" spans="2:51" s="148" customFormat="1" x14ac:dyDescent="0.2">
      <c r="B522" s="149"/>
      <c r="D522" s="143" t="s">
        <v>346</v>
      </c>
      <c r="E522" s="150"/>
      <c r="F522" s="151" t="s">
        <v>5365</v>
      </c>
      <c r="H522" s="152">
        <v>1.24</v>
      </c>
      <c r="L522" s="149"/>
      <c r="M522" s="153"/>
      <c r="T522" s="154"/>
      <c r="AT522" s="150" t="s">
        <v>346</v>
      </c>
      <c r="AU522" s="150" t="s">
        <v>90</v>
      </c>
      <c r="AV522" s="148" t="s">
        <v>90</v>
      </c>
      <c r="AW522" s="148" t="s">
        <v>33</v>
      </c>
      <c r="AX522" s="148" t="s">
        <v>80</v>
      </c>
      <c r="AY522" s="150" t="s">
        <v>337</v>
      </c>
    </row>
    <row r="523" spans="2:51" s="148" customFormat="1" x14ac:dyDescent="0.2">
      <c r="B523" s="149"/>
      <c r="D523" s="143" t="s">
        <v>346</v>
      </c>
      <c r="E523" s="150"/>
      <c r="F523" s="151" t="s">
        <v>5366</v>
      </c>
      <c r="H523" s="152">
        <v>2.17</v>
      </c>
      <c r="L523" s="149"/>
      <c r="M523" s="153"/>
      <c r="T523" s="154"/>
      <c r="AT523" s="150" t="s">
        <v>346</v>
      </c>
      <c r="AU523" s="150" t="s">
        <v>90</v>
      </c>
      <c r="AV523" s="148" t="s">
        <v>90</v>
      </c>
      <c r="AW523" s="148" t="s">
        <v>33</v>
      </c>
      <c r="AX523" s="148" t="s">
        <v>80</v>
      </c>
      <c r="AY523" s="150" t="s">
        <v>337</v>
      </c>
    </row>
    <row r="524" spans="2:51" s="148" customFormat="1" x14ac:dyDescent="0.2">
      <c r="B524" s="149"/>
      <c r="D524" s="143" t="s">
        <v>346</v>
      </c>
      <c r="E524" s="150"/>
      <c r="F524" s="151" t="s">
        <v>5367</v>
      </c>
      <c r="H524" s="152">
        <v>1.73</v>
      </c>
      <c r="L524" s="149"/>
      <c r="M524" s="153"/>
      <c r="T524" s="154"/>
      <c r="AT524" s="150" t="s">
        <v>346</v>
      </c>
      <c r="AU524" s="150" t="s">
        <v>90</v>
      </c>
      <c r="AV524" s="148" t="s">
        <v>90</v>
      </c>
      <c r="AW524" s="148" t="s">
        <v>33</v>
      </c>
      <c r="AX524" s="148" t="s">
        <v>80</v>
      </c>
      <c r="AY524" s="150" t="s">
        <v>337</v>
      </c>
    </row>
    <row r="525" spans="2:51" s="148" customFormat="1" x14ac:dyDescent="0.2">
      <c r="B525" s="149"/>
      <c r="D525" s="143" t="s">
        <v>346</v>
      </c>
      <c r="E525" s="150"/>
      <c r="F525" s="151" t="s">
        <v>5368</v>
      </c>
      <c r="H525" s="152">
        <v>8.51</v>
      </c>
      <c r="L525" s="149"/>
      <c r="M525" s="153"/>
      <c r="T525" s="154"/>
      <c r="AT525" s="150" t="s">
        <v>346</v>
      </c>
      <c r="AU525" s="150" t="s">
        <v>90</v>
      </c>
      <c r="AV525" s="148" t="s">
        <v>90</v>
      </c>
      <c r="AW525" s="148" t="s">
        <v>33</v>
      </c>
      <c r="AX525" s="148" t="s">
        <v>80</v>
      </c>
      <c r="AY525" s="150" t="s">
        <v>337</v>
      </c>
    </row>
    <row r="526" spans="2:51" s="148" customFormat="1" x14ac:dyDescent="0.2">
      <c r="B526" s="149"/>
      <c r="D526" s="143" t="s">
        <v>346</v>
      </c>
      <c r="E526" s="150"/>
      <c r="F526" s="151" t="s">
        <v>5369</v>
      </c>
      <c r="H526" s="152">
        <v>2.23</v>
      </c>
      <c r="L526" s="149"/>
      <c r="M526" s="153"/>
      <c r="T526" s="154"/>
      <c r="AT526" s="150" t="s">
        <v>346</v>
      </c>
      <c r="AU526" s="150" t="s">
        <v>90</v>
      </c>
      <c r="AV526" s="148" t="s">
        <v>90</v>
      </c>
      <c r="AW526" s="148" t="s">
        <v>33</v>
      </c>
      <c r="AX526" s="148" t="s">
        <v>80</v>
      </c>
      <c r="AY526" s="150" t="s">
        <v>337</v>
      </c>
    </row>
    <row r="527" spans="2:51" s="148" customFormat="1" x14ac:dyDescent="0.2">
      <c r="B527" s="149"/>
      <c r="D527" s="143" t="s">
        <v>346</v>
      </c>
      <c r="E527" s="150"/>
      <c r="F527" s="151" t="s">
        <v>5370</v>
      </c>
      <c r="H527" s="152">
        <v>1.31</v>
      </c>
      <c r="L527" s="149"/>
      <c r="M527" s="153"/>
      <c r="T527" s="154"/>
      <c r="AT527" s="150" t="s">
        <v>346</v>
      </c>
      <c r="AU527" s="150" t="s">
        <v>90</v>
      </c>
      <c r="AV527" s="148" t="s">
        <v>90</v>
      </c>
      <c r="AW527" s="148" t="s">
        <v>33</v>
      </c>
      <c r="AX527" s="148" t="s">
        <v>80</v>
      </c>
      <c r="AY527" s="150" t="s">
        <v>337</v>
      </c>
    </row>
    <row r="528" spans="2:51" s="148" customFormat="1" x14ac:dyDescent="0.2">
      <c r="B528" s="149"/>
      <c r="D528" s="143" t="s">
        <v>346</v>
      </c>
      <c r="E528" s="150"/>
      <c r="F528" s="151" t="s">
        <v>5371</v>
      </c>
      <c r="H528" s="152">
        <v>1.26</v>
      </c>
      <c r="L528" s="149"/>
      <c r="M528" s="153"/>
      <c r="T528" s="154"/>
      <c r="AT528" s="150" t="s">
        <v>346</v>
      </c>
      <c r="AU528" s="150" t="s">
        <v>90</v>
      </c>
      <c r="AV528" s="148" t="s">
        <v>90</v>
      </c>
      <c r="AW528" s="148" t="s">
        <v>33</v>
      </c>
      <c r="AX528" s="148" t="s">
        <v>80</v>
      </c>
      <c r="AY528" s="150" t="s">
        <v>337</v>
      </c>
    </row>
    <row r="529" spans="2:51" s="148" customFormat="1" x14ac:dyDescent="0.2">
      <c r="B529" s="149"/>
      <c r="D529" s="143" t="s">
        <v>346</v>
      </c>
      <c r="E529" s="150"/>
      <c r="F529" s="151" t="s">
        <v>5372</v>
      </c>
      <c r="H529" s="152">
        <v>1.26</v>
      </c>
      <c r="L529" s="149"/>
      <c r="M529" s="153"/>
      <c r="T529" s="154"/>
      <c r="AT529" s="150" t="s">
        <v>346</v>
      </c>
      <c r="AU529" s="150" t="s">
        <v>90</v>
      </c>
      <c r="AV529" s="148" t="s">
        <v>90</v>
      </c>
      <c r="AW529" s="148" t="s">
        <v>33</v>
      </c>
      <c r="AX529" s="148" t="s">
        <v>80</v>
      </c>
      <c r="AY529" s="150" t="s">
        <v>337</v>
      </c>
    </row>
    <row r="530" spans="2:51" s="148" customFormat="1" x14ac:dyDescent="0.2">
      <c r="B530" s="149"/>
      <c r="D530" s="143" t="s">
        <v>346</v>
      </c>
      <c r="E530" s="150"/>
      <c r="F530" s="151" t="s">
        <v>5373</v>
      </c>
      <c r="H530" s="152">
        <v>0.99</v>
      </c>
      <c r="L530" s="149"/>
      <c r="M530" s="153"/>
      <c r="T530" s="154"/>
      <c r="AT530" s="150" t="s">
        <v>346</v>
      </c>
      <c r="AU530" s="150" t="s">
        <v>90</v>
      </c>
      <c r="AV530" s="148" t="s">
        <v>90</v>
      </c>
      <c r="AW530" s="148" t="s">
        <v>33</v>
      </c>
      <c r="AX530" s="148" t="s">
        <v>80</v>
      </c>
      <c r="AY530" s="150" t="s">
        <v>337</v>
      </c>
    </row>
    <row r="531" spans="2:51" s="148" customFormat="1" x14ac:dyDescent="0.2">
      <c r="B531" s="149"/>
      <c r="D531" s="143" t="s">
        <v>346</v>
      </c>
      <c r="E531" s="150"/>
      <c r="F531" s="151" t="s">
        <v>5374</v>
      </c>
      <c r="H531" s="152">
        <v>2.0699999999999998</v>
      </c>
      <c r="L531" s="149"/>
      <c r="M531" s="153"/>
      <c r="T531" s="154"/>
      <c r="AT531" s="150" t="s">
        <v>346</v>
      </c>
      <c r="AU531" s="150" t="s">
        <v>90</v>
      </c>
      <c r="AV531" s="148" t="s">
        <v>90</v>
      </c>
      <c r="AW531" s="148" t="s">
        <v>33</v>
      </c>
      <c r="AX531" s="148" t="s">
        <v>80</v>
      </c>
      <c r="AY531" s="150" t="s">
        <v>337</v>
      </c>
    </row>
    <row r="532" spans="2:51" s="148" customFormat="1" x14ac:dyDescent="0.2">
      <c r="B532" s="149"/>
      <c r="D532" s="143" t="s">
        <v>346</v>
      </c>
      <c r="E532" s="150"/>
      <c r="F532" s="151" t="s">
        <v>5375</v>
      </c>
      <c r="H532" s="152">
        <v>1.33</v>
      </c>
      <c r="L532" s="149"/>
      <c r="M532" s="153"/>
      <c r="T532" s="154"/>
      <c r="AT532" s="150" t="s">
        <v>346</v>
      </c>
      <c r="AU532" s="150" t="s">
        <v>90</v>
      </c>
      <c r="AV532" s="148" t="s">
        <v>90</v>
      </c>
      <c r="AW532" s="148" t="s">
        <v>33</v>
      </c>
      <c r="AX532" s="148" t="s">
        <v>80</v>
      </c>
      <c r="AY532" s="150" t="s">
        <v>337</v>
      </c>
    </row>
    <row r="533" spans="2:51" s="148" customFormat="1" x14ac:dyDescent="0.2">
      <c r="B533" s="149"/>
      <c r="D533" s="143" t="s">
        <v>346</v>
      </c>
      <c r="E533" s="150"/>
      <c r="F533" s="151" t="s">
        <v>5376</v>
      </c>
      <c r="H533" s="152">
        <v>7.82</v>
      </c>
      <c r="L533" s="149"/>
      <c r="M533" s="153"/>
      <c r="T533" s="154"/>
      <c r="AT533" s="150" t="s">
        <v>346</v>
      </c>
      <c r="AU533" s="150" t="s">
        <v>90</v>
      </c>
      <c r="AV533" s="148" t="s">
        <v>90</v>
      </c>
      <c r="AW533" s="148" t="s">
        <v>33</v>
      </c>
      <c r="AX533" s="148" t="s">
        <v>80</v>
      </c>
      <c r="AY533" s="150" t="s">
        <v>337</v>
      </c>
    </row>
    <row r="534" spans="2:51" s="148" customFormat="1" x14ac:dyDescent="0.2">
      <c r="B534" s="149"/>
      <c r="D534" s="143" t="s">
        <v>346</v>
      </c>
      <c r="E534" s="150"/>
      <c r="F534" s="151" t="s">
        <v>5377</v>
      </c>
      <c r="H534" s="152">
        <v>2.02</v>
      </c>
      <c r="L534" s="149"/>
      <c r="M534" s="153"/>
      <c r="T534" s="154"/>
      <c r="AT534" s="150" t="s">
        <v>346</v>
      </c>
      <c r="AU534" s="150" t="s">
        <v>90</v>
      </c>
      <c r="AV534" s="148" t="s">
        <v>90</v>
      </c>
      <c r="AW534" s="148" t="s">
        <v>33</v>
      </c>
      <c r="AX534" s="148" t="s">
        <v>80</v>
      </c>
      <c r="AY534" s="150" t="s">
        <v>337</v>
      </c>
    </row>
    <row r="535" spans="2:51" s="148" customFormat="1" x14ac:dyDescent="0.2">
      <c r="B535" s="149"/>
      <c r="D535" s="143" t="s">
        <v>346</v>
      </c>
      <c r="E535" s="150"/>
      <c r="F535" s="151" t="s">
        <v>5378</v>
      </c>
      <c r="H535" s="152">
        <v>1.67</v>
      </c>
      <c r="L535" s="149"/>
      <c r="M535" s="153"/>
      <c r="T535" s="154"/>
      <c r="AT535" s="150" t="s">
        <v>346</v>
      </c>
      <c r="AU535" s="150" t="s">
        <v>90</v>
      </c>
      <c r="AV535" s="148" t="s">
        <v>90</v>
      </c>
      <c r="AW535" s="148" t="s">
        <v>33</v>
      </c>
      <c r="AX535" s="148" t="s">
        <v>80</v>
      </c>
      <c r="AY535" s="150" t="s">
        <v>337</v>
      </c>
    </row>
    <row r="536" spans="2:51" s="148" customFormat="1" x14ac:dyDescent="0.2">
      <c r="B536" s="149"/>
      <c r="D536" s="143" t="s">
        <v>346</v>
      </c>
      <c r="E536" s="150"/>
      <c r="F536" s="151" t="s">
        <v>5379</v>
      </c>
      <c r="H536" s="152">
        <v>1.5</v>
      </c>
      <c r="L536" s="149"/>
      <c r="M536" s="153"/>
      <c r="T536" s="154"/>
      <c r="AT536" s="150" t="s">
        <v>346</v>
      </c>
      <c r="AU536" s="150" t="s">
        <v>90</v>
      </c>
      <c r="AV536" s="148" t="s">
        <v>90</v>
      </c>
      <c r="AW536" s="148" t="s">
        <v>33</v>
      </c>
      <c r="AX536" s="148" t="s">
        <v>80</v>
      </c>
      <c r="AY536" s="150" t="s">
        <v>337</v>
      </c>
    </row>
    <row r="537" spans="2:51" s="148" customFormat="1" x14ac:dyDescent="0.2">
      <c r="B537" s="149"/>
      <c r="D537" s="143" t="s">
        <v>346</v>
      </c>
      <c r="E537" s="150"/>
      <c r="F537" s="151" t="s">
        <v>5380</v>
      </c>
      <c r="H537" s="152">
        <v>1.37</v>
      </c>
      <c r="L537" s="149"/>
      <c r="M537" s="153"/>
      <c r="T537" s="154"/>
      <c r="AT537" s="150" t="s">
        <v>346</v>
      </c>
      <c r="AU537" s="150" t="s">
        <v>90</v>
      </c>
      <c r="AV537" s="148" t="s">
        <v>90</v>
      </c>
      <c r="AW537" s="148" t="s">
        <v>33</v>
      </c>
      <c r="AX537" s="148" t="s">
        <v>80</v>
      </c>
      <c r="AY537" s="150" t="s">
        <v>337</v>
      </c>
    </row>
    <row r="538" spans="2:51" s="148" customFormat="1" x14ac:dyDescent="0.2">
      <c r="B538" s="149"/>
      <c r="D538" s="143" t="s">
        <v>346</v>
      </c>
      <c r="E538" s="150"/>
      <c r="F538" s="151" t="s">
        <v>5381</v>
      </c>
      <c r="H538" s="152">
        <v>1.1299999999999999</v>
      </c>
      <c r="L538" s="149"/>
      <c r="M538" s="153"/>
      <c r="T538" s="154"/>
      <c r="AT538" s="150" t="s">
        <v>346</v>
      </c>
      <c r="AU538" s="150" t="s">
        <v>90</v>
      </c>
      <c r="AV538" s="148" t="s">
        <v>90</v>
      </c>
      <c r="AW538" s="148" t="s">
        <v>33</v>
      </c>
      <c r="AX538" s="148" t="s">
        <v>80</v>
      </c>
      <c r="AY538" s="150" t="s">
        <v>337</v>
      </c>
    </row>
    <row r="539" spans="2:51" s="148" customFormat="1" x14ac:dyDescent="0.2">
      <c r="B539" s="149"/>
      <c r="D539" s="143" t="s">
        <v>346</v>
      </c>
      <c r="E539" s="150"/>
      <c r="F539" s="151" t="s">
        <v>5382</v>
      </c>
      <c r="H539" s="152">
        <v>1.25</v>
      </c>
      <c r="L539" s="149"/>
      <c r="M539" s="153"/>
      <c r="T539" s="154"/>
      <c r="AT539" s="150" t="s">
        <v>346</v>
      </c>
      <c r="AU539" s="150" t="s">
        <v>90</v>
      </c>
      <c r="AV539" s="148" t="s">
        <v>90</v>
      </c>
      <c r="AW539" s="148" t="s">
        <v>33</v>
      </c>
      <c r="AX539" s="148" t="s">
        <v>80</v>
      </c>
      <c r="AY539" s="150" t="s">
        <v>337</v>
      </c>
    </row>
    <row r="540" spans="2:51" s="148" customFormat="1" x14ac:dyDescent="0.2">
      <c r="B540" s="149"/>
      <c r="D540" s="143" t="s">
        <v>346</v>
      </c>
      <c r="E540" s="150"/>
      <c r="F540" s="151" t="s">
        <v>5383</v>
      </c>
      <c r="H540" s="152">
        <v>8.51</v>
      </c>
      <c r="L540" s="149"/>
      <c r="M540" s="153"/>
      <c r="T540" s="154"/>
      <c r="AT540" s="150" t="s">
        <v>346</v>
      </c>
      <c r="AU540" s="150" t="s">
        <v>90</v>
      </c>
      <c r="AV540" s="148" t="s">
        <v>90</v>
      </c>
      <c r="AW540" s="148" t="s">
        <v>33</v>
      </c>
      <c r="AX540" s="148" t="s">
        <v>80</v>
      </c>
      <c r="AY540" s="150" t="s">
        <v>337</v>
      </c>
    </row>
    <row r="541" spans="2:51" s="148" customFormat="1" x14ac:dyDescent="0.2">
      <c r="B541" s="149"/>
      <c r="D541" s="143" t="s">
        <v>346</v>
      </c>
      <c r="E541" s="150"/>
      <c r="F541" s="151" t="s">
        <v>5384</v>
      </c>
      <c r="H541" s="152">
        <v>0.99</v>
      </c>
      <c r="L541" s="149"/>
      <c r="M541" s="153"/>
      <c r="T541" s="154"/>
      <c r="AT541" s="150" t="s">
        <v>346</v>
      </c>
      <c r="AU541" s="150" t="s">
        <v>90</v>
      </c>
      <c r="AV541" s="148" t="s">
        <v>90</v>
      </c>
      <c r="AW541" s="148" t="s">
        <v>33</v>
      </c>
      <c r="AX541" s="148" t="s">
        <v>80</v>
      </c>
      <c r="AY541" s="150" t="s">
        <v>337</v>
      </c>
    </row>
    <row r="542" spans="2:51" s="148" customFormat="1" x14ac:dyDescent="0.2">
      <c r="B542" s="149"/>
      <c r="D542" s="143" t="s">
        <v>346</v>
      </c>
      <c r="E542" s="150"/>
      <c r="F542" s="151" t="s">
        <v>5385</v>
      </c>
      <c r="H542" s="152">
        <v>2.23</v>
      </c>
      <c r="L542" s="149"/>
      <c r="M542" s="153"/>
      <c r="T542" s="154"/>
      <c r="AT542" s="150" t="s">
        <v>346</v>
      </c>
      <c r="AU542" s="150" t="s">
        <v>90</v>
      </c>
      <c r="AV542" s="148" t="s">
        <v>90</v>
      </c>
      <c r="AW542" s="148" t="s">
        <v>33</v>
      </c>
      <c r="AX542" s="148" t="s">
        <v>80</v>
      </c>
      <c r="AY542" s="150" t="s">
        <v>337</v>
      </c>
    </row>
    <row r="543" spans="2:51" s="148" customFormat="1" x14ac:dyDescent="0.2">
      <c r="B543" s="149"/>
      <c r="D543" s="143" t="s">
        <v>346</v>
      </c>
      <c r="E543" s="150"/>
      <c r="F543" s="151" t="s">
        <v>5386</v>
      </c>
      <c r="H543" s="152">
        <v>1.31</v>
      </c>
      <c r="L543" s="149"/>
      <c r="M543" s="153"/>
      <c r="T543" s="154"/>
      <c r="AT543" s="150" t="s">
        <v>346</v>
      </c>
      <c r="AU543" s="150" t="s">
        <v>90</v>
      </c>
      <c r="AV543" s="148" t="s">
        <v>90</v>
      </c>
      <c r="AW543" s="148" t="s">
        <v>33</v>
      </c>
      <c r="AX543" s="148" t="s">
        <v>80</v>
      </c>
      <c r="AY543" s="150" t="s">
        <v>337</v>
      </c>
    </row>
    <row r="544" spans="2:51" s="148" customFormat="1" x14ac:dyDescent="0.2">
      <c r="B544" s="149"/>
      <c r="D544" s="143" t="s">
        <v>346</v>
      </c>
      <c r="E544" s="150"/>
      <c r="F544" s="151" t="s">
        <v>5387</v>
      </c>
      <c r="H544" s="152">
        <v>1.26</v>
      </c>
      <c r="L544" s="149"/>
      <c r="M544" s="153"/>
      <c r="T544" s="154"/>
      <c r="AT544" s="150" t="s">
        <v>346</v>
      </c>
      <c r="AU544" s="150" t="s">
        <v>90</v>
      </c>
      <c r="AV544" s="148" t="s">
        <v>90</v>
      </c>
      <c r="AW544" s="148" t="s">
        <v>33</v>
      </c>
      <c r="AX544" s="148" t="s">
        <v>80</v>
      </c>
      <c r="AY544" s="150" t="s">
        <v>337</v>
      </c>
    </row>
    <row r="545" spans="2:51" s="148" customFormat="1" x14ac:dyDescent="0.2">
      <c r="B545" s="149"/>
      <c r="D545" s="143" t="s">
        <v>346</v>
      </c>
      <c r="E545" s="150"/>
      <c r="F545" s="151" t="s">
        <v>5388</v>
      </c>
      <c r="H545" s="152">
        <v>1.26</v>
      </c>
      <c r="L545" s="149"/>
      <c r="M545" s="153"/>
      <c r="T545" s="154"/>
      <c r="AT545" s="150" t="s">
        <v>346</v>
      </c>
      <c r="AU545" s="150" t="s">
        <v>90</v>
      </c>
      <c r="AV545" s="148" t="s">
        <v>90</v>
      </c>
      <c r="AW545" s="148" t="s">
        <v>33</v>
      </c>
      <c r="AX545" s="148" t="s">
        <v>80</v>
      </c>
      <c r="AY545" s="150" t="s">
        <v>337</v>
      </c>
    </row>
    <row r="546" spans="2:51" s="148" customFormat="1" x14ac:dyDescent="0.2">
      <c r="B546" s="149"/>
      <c r="D546" s="143" t="s">
        <v>346</v>
      </c>
      <c r="E546" s="150"/>
      <c r="F546" s="151" t="s">
        <v>5389</v>
      </c>
      <c r="H546" s="152">
        <v>5</v>
      </c>
      <c r="L546" s="149"/>
      <c r="M546" s="153"/>
      <c r="T546" s="154"/>
      <c r="AT546" s="150" t="s">
        <v>346</v>
      </c>
      <c r="AU546" s="150" t="s">
        <v>90</v>
      </c>
      <c r="AV546" s="148" t="s">
        <v>90</v>
      </c>
      <c r="AW546" s="148" t="s">
        <v>33</v>
      </c>
      <c r="AX546" s="148" t="s">
        <v>80</v>
      </c>
      <c r="AY546" s="150" t="s">
        <v>337</v>
      </c>
    </row>
    <row r="547" spans="2:51" s="148" customFormat="1" x14ac:dyDescent="0.2">
      <c r="B547" s="149"/>
      <c r="D547" s="143" t="s">
        <v>346</v>
      </c>
      <c r="E547" s="150"/>
      <c r="F547" s="151" t="s">
        <v>5390</v>
      </c>
      <c r="H547" s="152">
        <v>2.0699999999999998</v>
      </c>
      <c r="L547" s="149"/>
      <c r="M547" s="153"/>
      <c r="T547" s="154"/>
      <c r="AT547" s="150" t="s">
        <v>346</v>
      </c>
      <c r="AU547" s="150" t="s">
        <v>90</v>
      </c>
      <c r="AV547" s="148" t="s">
        <v>90</v>
      </c>
      <c r="AW547" s="148" t="s">
        <v>33</v>
      </c>
      <c r="AX547" s="148" t="s">
        <v>80</v>
      </c>
      <c r="AY547" s="150" t="s">
        <v>337</v>
      </c>
    </row>
    <row r="548" spans="2:51" s="148" customFormat="1" x14ac:dyDescent="0.2">
      <c r="B548" s="149"/>
      <c r="D548" s="143" t="s">
        <v>346</v>
      </c>
      <c r="E548" s="150"/>
      <c r="F548" s="151" t="s">
        <v>5391</v>
      </c>
      <c r="H548" s="152">
        <v>1.33</v>
      </c>
      <c r="L548" s="149"/>
      <c r="M548" s="153"/>
      <c r="T548" s="154"/>
      <c r="AT548" s="150" t="s">
        <v>346</v>
      </c>
      <c r="AU548" s="150" t="s">
        <v>90</v>
      </c>
      <c r="AV548" s="148" t="s">
        <v>90</v>
      </c>
      <c r="AW548" s="148" t="s">
        <v>33</v>
      </c>
      <c r="AX548" s="148" t="s">
        <v>80</v>
      </c>
      <c r="AY548" s="150" t="s">
        <v>337</v>
      </c>
    </row>
    <row r="549" spans="2:51" s="148" customFormat="1" x14ac:dyDescent="0.2">
      <c r="B549" s="149"/>
      <c r="D549" s="143" t="s">
        <v>346</v>
      </c>
      <c r="E549" s="150"/>
      <c r="F549" s="151" t="s">
        <v>5392</v>
      </c>
      <c r="H549" s="152">
        <v>2.14</v>
      </c>
      <c r="L549" s="149"/>
      <c r="M549" s="153"/>
      <c r="T549" s="154"/>
      <c r="AT549" s="150" t="s">
        <v>346</v>
      </c>
      <c r="AU549" s="150" t="s">
        <v>90</v>
      </c>
      <c r="AV549" s="148" t="s">
        <v>90</v>
      </c>
      <c r="AW549" s="148" t="s">
        <v>33</v>
      </c>
      <c r="AX549" s="148" t="s">
        <v>80</v>
      </c>
      <c r="AY549" s="150" t="s">
        <v>337</v>
      </c>
    </row>
    <row r="550" spans="2:51" s="148" customFormat="1" x14ac:dyDescent="0.2">
      <c r="B550" s="149"/>
      <c r="D550" s="143" t="s">
        <v>346</v>
      </c>
      <c r="E550" s="150"/>
      <c r="F550" s="151" t="s">
        <v>5393</v>
      </c>
      <c r="H550" s="152">
        <v>1.62</v>
      </c>
      <c r="L550" s="149"/>
      <c r="M550" s="153"/>
      <c r="T550" s="154"/>
      <c r="AT550" s="150" t="s">
        <v>346</v>
      </c>
      <c r="AU550" s="150" t="s">
        <v>90</v>
      </c>
      <c r="AV550" s="148" t="s">
        <v>90</v>
      </c>
      <c r="AW550" s="148" t="s">
        <v>33</v>
      </c>
      <c r="AX550" s="148" t="s">
        <v>80</v>
      </c>
      <c r="AY550" s="150" t="s">
        <v>337</v>
      </c>
    </row>
    <row r="551" spans="2:51" s="148" customFormat="1" x14ac:dyDescent="0.2">
      <c r="B551" s="149"/>
      <c r="D551" s="143" t="s">
        <v>346</v>
      </c>
      <c r="E551" s="150"/>
      <c r="F551" s="151" t="s">
        <v>5394</v>
      </c>
      <c r="H551" s="152">
        <v>7.82</v>
      </c>
      <c r="L551" s="149"/>
      <c r="M551" s="153"/>
      <c r="T551" s="154"/>
      <c r="AT551" s="150" t="s">
        <v>346</v>
      </c>
      <c r="AU551" s="150" t="s">
        <v>90</v>
      </c>
      <c r="AV551" s="148" t="s">
        <v>90</v>
      </c>
      <c r="AW551" s="148" t="s">
        <v>33</v>
      </c>
      <c r="AX551" s="148" t="s">
        <v>80</v>
      </c>
      <c r="AY551" s="150" t="s">
        <v>337</v>
      </c>
    </row>
    <row r="552" spans="2:51" s="148" customFormat="1" x14ac:dyDescent="0.2">
      <c r="B552" s="149"/>
      <c r="D552" s="143" t="s">
        <v>346</v>
      </c>
      <c r="E552" s="150"/>
      <c r="F552" s="151" t="s">
        <v>5395</v>
      </c>
      <c r="H552" s="152">
        <v>1.96</v>
      </c>
      <c r="L552" s="149"/>
      <c r="M552" s="153"/>
      <c r="T552" s="154"/>
      <c r="AT552" s="150" t="s">
        <v>346</v>
      </c>
      <c r="AU552" s="150" t="s">
        <v>90</v>
      </c>
      <c r="AV552" s="148" t="s">
        <v>90</v>
      </c>
      <c r="AW552" s="148" t="s">
        <v>33</v>
      </c>
      <c r="AX552" s="148" t="s">
        <v>80</v>
      </c>
      <c r="AY552" s="150" t="s">
        <v>337</v>
      </c>
    </row>
    <row r="553" spans="2:51" s="148" customFormat="1" x14ac:dyDescent="0.2">
      <c r="B553" s="149"/>
      <c r="D553" s="143" t="s">
        <v>346</v>
      </c>
      <c r="E553" s="150"/>
      <c r="F553" s="151" t="s">
        <v>5396</v>
      </c>
      <c r="H553" s="152">
        <v>1.85</v>
      </c>
      <c r="L553" s="149"/>
      <c r="M553" s="153"/>
      <c r="T553" s="154"/>
      <c r="AT553" s="150" t="s">
        <v>346</v>
      </c>
      <c r="AU553" s="150" t="s">
        <v>90</v>
      </c>
      <c r="AV553" s="148" t="s">
        <v>90</v>
      </c>
      <c r="AW553" s="148" t="s">
        <v>33</v>
      </c>
      <c r="AX553" s="148" t="s">
        <v>80</v>
      </c>
      <c r="AY553" s="150" t="s">
        <v>337</v>
      </c>
    </row>
    <row r="554" spans="2:51" s="148" customFormat="1" x14ac:dyDescent="0.2">
      <c r="B554" s="149"/>
      <c r="D554" s="143" t="s">
        <v>346</v>
      </c>
      <c r="E554" s="150"/>
      <c r="F554" s="151" t="s">
        <v>5397</v>
      </c>
      <c r="H554" s="152">
        <v>3.14</v>
      </c>
      <c r="L554" s="149"/>
      <c r="M554" s="153"/>
      <c r="T554" s="154"/>
      <c r="AT554" s="150" t="s">
        <v>346</v>
      </c>
      <c r="AU554" s="150" t="s">
        <v>90</v>
      </c>
      <c r="AV554" s="148" t="s">
        <v>90</v>
      </c>
      <c r="AW554" s="148" t="s">
        <v>33</v>
      </c>
      <c r="AX554" s="148" t="s">
        <v>80</v>
      </c>
      <c r="AY554" s="150" t="s">
        <v>337</v>
      </c>
    </row>
    <row r="555" spans="2:51" s="148" customFormat="1" x14ac:dyDescent="0.2">
      <c r="B555" s="149"/>
      <c r="D555" s="143" t="s">
        <v>346</v>
      </c>
      <c r="E555" s="150"/>
      <c r="F555" s="151" t="s">
        <v>5398</v>
      </c>
      <c r="H555" s="152">
        <v>1.4</v>
      </c>
      <c r="L555" s="149"/>
      <c r="M555" s="153"/>
      <c r="T555" s="154"/>
      <c r="AT555" s="150" t="s">
        <v>346</v>
      </c>
      <c r="AU555" s="150" t="s">
        <v>90</v>
      </c>
      <c r="AV555" s="148" t="s">
        <v>90</v>
      </c>
      <c r="AW555" s="148" t="s">
        <v>33</v>
      </c>
      <c r="AX555" s="148" t="s">
        <v>80</v>
      </c>
      <c r="AY555" s="150" t="s">
        <v>337</v>
      </c>
    </row>
    <row r="556" spans="2:51" s="148" customFormat="1" x14ac:dyDescent="0.2">
      <c r="B556" s="149"/>
      <c r="D556" s="143" t="s">
        <v>346</v>
      </c>
      <c r="E556" s="150"/>
      <c r="F556" s="151" t="s">
        <v>5399</v>
      </c>
      <c r="H556" s="152">
        <v>8.51</v>
      </c>
      <c r="L556" s="149"/>
      <c r="M556" s="153"/>
      <c r="T556" s="154"/>
      <c r="AT556" s="150" t="s">
        <v>346</v>
      </c>
      <c r="AU556" s="150" t="s">
        <v>90</v>
      </c>
      <c r="AV556" s="148" t="s">
        <v>90</v>
      </c>
      <c r="AW556" s="148" t="s">
        <v>33</v>
      </c>
      <c r="AX556" s="148" t="s">
        <v>80</v>
      </c>
      <c r="AY556" s="150" t="s">
        <v>337</v>
      </c>
    </row>
    <row r="557" spans="2:51" s="148" customFormat="1" x14ac:dyDescent="0.2">
      <c r="B557" s="149"/>
      <c r="D557" s="143" t="s">
        <v>346</v>
      </c>
      <c r="E557" s="150"/>
      <c r="F557" s="151" t="s">
        <v>5400</v>
      </c>
      <c r="H557" s="152">
        <v>2.23</v>
      </c>
      <c r="L557" s="149"/>
      <c r="M557" s="153"/>
      <c r="T557" s="154"/>
      <c r="AT557" s="150" t="s">
        <v>346</v>
      </c>
      <c r="AU557" s="150" t="s">
        <v>90</v>
      </c>
      <c r="AV557" s="148" t="s">
        <v>90</v>
      </c>
      <c r="AW557" s="148" t="s">
        <v>33</v>
      </c>
      <c r="AX557" s="148" t="s">
        <v>80</v>
      </c>
      <c r="AY557" s="150" t="s">
        <v>337</v>
      </c>
    </row>
    <row r="558" spans="2:51" s="148" customFormat="1" x14ac:dyDescent="0.2">
      <c r="B558" s="149"/>
      <c r="D558" s="143" t="s">
        <v>346</v>
      </c>
      <c r="E558" s="150"/>
      <c r="F558" s="151" t="s">
        <v>5401</v>
      </c>
      <c r="H558" s="152">
        <v>1.31</v>
      </c>
      <c r="L558" s="149"/>
      <c r="M558" s="153"/>
      <c r="T558" s="154"/>
      <c r="AT558" s="150" t="s">
        <v>346</v>
      </c>
      <c r="AU558" s="150" t="s">
        <v>90</v>
      </c>
      <c r="AV558" s="148" t="s">
        <v>90</v>
      </c>
      <c r="AW558" s="148" t="s">
        <v>33</v>
      </c>
      <c r="AX558" s="148" t="s">
        <v>80</v>
      </c>
      <c r="AY558" s="150" t="s">
        <v>337</v>
      </c>
    </row>
    <row r="559" spans="2:51" s="148" customFormat="1" x14ac:dyDescent="0.2">
      <c r="B559" s="149"/>
      <c r="D559" s="143" t="s">
        <v>346</v>
      </c>
      <c r="E559" s="150"/>
      <c r="F559" s="151" t="s">
        <v>5402</v>
      </c>
      <c r="H559" s="152">
        <v>1.26</v>
      </c>
      <c r="L559" s="149"/>
      <c r="M559" s="153"/>
      <c r="T559" s="154"/>
      <c r="AT559" s="150" t="s">
        <v>346</v>
      </c>
      <c r="AU559" s="150" t="s">
        <v>90</v>
      </c>
      <c r="AV559" s="148" t="s">
        <v>90</v>
      </c>
      <c r="AW559" s="148" t="s">
        <v>33</v>
      </c>
      <c r="AX559" s="148" t="s">
        <v>80</v>
      </c>
      <c r="AY559" s="150" t="s">
        <v>337</v>
      </c>
    </row>
    <row r="560" spans="2:51" s="148" customFormat="1" x14ac:dyDescent="0.2">
      <c r="B560" s="149"/>
      <c r="D560" s="143" t="s">
        <v>346</v>
      </c>
      <c r="E560" s="150"/>
      <c r="F560" s="151" t="s">
        <v>5403</v>
      </c>
      <c r="H560" s="152">
        <v>1.26</v>
      </c>
      <c r="L560" s="149"/>
      <c r="M560" s="153"/>
      <c r="T560" s="154"/>
      <c r="AT560" s="150" t="s">
        <v>346</v>
      </c>
      <c r="AU560" s="150" t="s">
        <v>90</v>
      </c>
      <c r="AV560" s="148" t="s">
        <v>90</v>
      </c>
      <c r="AW560" s="148" t="s">
        <v>33</v>
      </c>
      <c r="AX560" s="148" t="s">
        <v>80</v>
      </c>
      <c r="AY560" s="150" t="s">
        <v>337</v>
      </c>
    </row>
    <row r="561" spans="2:51" s="148" customFormat="1" x14ac:dyDescent="0.2">
      <c r="B561" s="149"/>
      <c r="D561" s="143" t="s">
        <v>346</v>
      </c>
      <c r="E561" s="150"/>
      <c r="F561" s="151" t="s">
        <v>5404</v>
      </c>
      <c r="H561" s="152">
        <v>5</v>
      </c>
      <c r="L561" s="149"/>
      <c r="M561" s="153"/>
      <c r="T561" s="154"/>
      <c r="AT561" s="150" t="s">
        <v>346</v>
      </c>
      <c r="AU561" s="150" t="s">
        <v>90</v>
      </c>
      <c r="AV561" s="148" t="s">
        <v>90</v>
      </c>
      <c r="AW561" s="148" t="s">
        <v>33</v>
      </c>
      <c r="AX561" s="148" t="s">
        <v>80</v>
      </c>
      <c r="AY561" s="150" t="s">
        <v>337</v>
      </c>
    </row>
    <row r="562" spans="2:51" s="148" customFormat="1" x14ac:dyDescent="0.2">
      <c r="B562" s="149"/>
      <c r="D562" s="143" t="s">
        <v>346</v>
      </c>
      <c r="E562" s="150"/>
      <c r="F562" s="151" t="s">
        <v>5405</v>
      </c>
      <c r="H562" s="152">
        <v>0.99</v>
      </c>
      <c r="L562" s="149"/>
      <c r="M562" s="153"/>
      <c r="T562" s="154"/>
      <c r="AT562" s="150" t="s">
        <v>346</v>
      </c>
      <c r="AU562" s="150" t="s">
        <v>90</v>
      </c>
      <c r="AV562" s="148" t="s">
        <v>90</v>
      </c>
      <c r="AW562" s="148" t="s">
        <v>33</v>
      </c>
      <c r="AX562" s="148" t="s">
        <v>80</v>
      </c>
      <c r="AY562" s="150" t="s">
        <v>337</v>
      </c>
    </row>
    <row r="563" spans="2:51" s="148" customFormat="1" x14ac:dyDescent="0.2">
      <c r="B563" s="149"/>
      <c r="D563" s="143" t="s">
        <v>346</v>
      </c>
      <c r="E563" s="150"/>
      <c r="F563" s="151" t="s">
        <v>5406</v>
      </c>
      <c r="H563" s="152">
        <v>2.0699999999999998</v>
      </c>
      <c r="L563" s="149"/>
      <c r="M563" s="153"/>
      <c r="T563" s="154"/>
      <c r="AT563" s="150" t="s">
        <v>346</v>
      </c>
      <c r="AU563" s="150" t="s">
        <v>90</v>
      </c>
      <c r="AV563" s="148" t="s">
        <v>90</v>
      </c>
      <c r="AW563" s="148" t="s">
        <v>33</v>
      </c>
      <c r="AX563" s="148" t="s">
        <v>80</v>
      </c>
      <c r="AY563" s="150" t="s">
        <v>337</v>
      </c>
    </row>
    <row r="564" spans="2:51" s="148" customFormat="1" x14ac:dyDescent="0.2">
      <c r="B564" s="149"/>
      <c r="D564" s="143" t="s">
        <v>346</v>
      </c>
      <c r="E564" s="150"/>
      <c r="F564" s="151" t="s">
        <v>5407</v>
      </c>
      <c r="H564" s="152">
        <v>1.33</v>
      </c>
      <c r="L564" s="149"/>
      <c r="M564" s="153"/>
      <c r="T564" s="154"/>
      <c r="AT564" s="150" t="s">
        <v>346</v>
      </c>
      <c r="AU564" s="150" t="s">
        <v>90</v>
      </c>
      <c r="AV564" s="148" t="s">
        <v>90</v>
      </c>
      <c r="AW564" s="148" t="s">
        <v>33</v>
      </c>
      <c r="AX564" s="148" t="s">
        <v>80</v>
      </c>
      <c r="AY564" s="150" t="s">
        <v>337</v>
      </c>
    </row>
    <row r="565" spans="2:51" s="148" customFormat="1" x14ac:dyDescent="0.2">
      <c r="B565" s="149"/>
      <c r="D565" s="143" t="s">
        <v>346</v>
      </c>
      <c r="E565" s="150"/>
      <c r="F565" s="151" t="s">
        <v>5408</v>
      </c>
      <c r="H565" s="152">
        <v>2.14</v>
      </c>
      <c r="L565" s="149"/>
      <c r="M565" s="153"/>
      <c r="T565" s="154"/>
      <c r="AT565" s="150" t="s">
        <v>346</v>
      </c>
      <c r="AU565" s="150" t="s">
        <v>90</v>
      </c>
      <c r="AV565" s="148" t="s">
        <v>90</v>
      </c>
      <c r="AW565" s="148" t="s">
        <v>33</v>
      </c>
      <c r="AX565" s="148" t="s">
        <v>80</v>
      </c>
      <c r="AY565" s="150" t="s">
        <v>337</v>
      </c>
    </row>
    <row r="566" spans="2:51" s="148" customFormat="1" x14ac:dyDescent="0.2">
      <c r="B566" s="149"/>
      <c r="D566" s="143" t="s">
        <v>346</v>
      </c>
      <c r="E566" s="150"/>
      <c r="F566" s="151" t="s">
        <v>5409</v>
      </c>
      <c r="H566" s="152">
        <v>1.62</v>
      </c>
      <c r="L566" s="149"/>
      <c r="M566" s="153"/>
      <c r="T566" s="154"/>
      <c r="AT566" s="150" t="s">
        <v>346</v>
      </c>
      <c r="AU566" s="150" t="s">
        <v>90</v>
      </c>
      <c r="AV566" s="148" t="s">
        <v>90</v>
      </c>
      <c r="AW566" s="148" t="s">
        <v>33</v>
      </c>
      <c r="AX566" s="148" t="s">
        <v>80</v>
      </c>
      <c r="AY566" s="150" t="s">
        <v>337</v>
      </c>
    </row>
    <row r="567" spans="2:51" s="148" customFormat="1" x14ac:dyDescent="0.2">
      <c r="B567" s="149"/>
      <c r="D567" s="143" t="s">
        <v>346</v>
      </c>
      <c r="E567" s="150"/>
      <c r="F567" s="151" t="s">
        <v>5410</v>
      </c>
      <c r="H567" s="152">
        <v>7.82</v>
      </c>
      <c r="L567" s="149"/>
      <c r="M567" s="153"/>
      <c r="T567" s="154"/>
      <c r="AT567" s="150" t="s">
        <v>346</v>
      </c>
      <c r="AU567" s="150" t="s">
        <v>90</v>
      </c>
      <c r="AV567" s="148" t="s">
        <v>90</v>
      </c>
      <c r="AW567" s="148" t="s">
        <v>33</v>
      </c>
      <c r="AX567" s="148" t="s">
        <v>80</v>
      </c>
      <c r="AY567" s="150" t="s">
        <v>337</v>
      </c>
    </row>
    <row r="568" spans="2:51" s="148" customFormat="1" x14ac:dyDescent="0.2">
      <c r="B568" s="149"/>
      <c r="D568" s="143" t="s">
        <v>346</v>
      </c>
      <c r="E568" s="150"/>
      <c r="F568" s="151" t="s">
        <v>5411</v>
      </c>
      <c r="H568" s="152">
        <v>1.96</v>
      </c>
      <c r="L568" s="149"/>
      <c r="M568" s="153"/>
      <c r="T568" s="154"/>
      <c r="AT568" s="150" t="s">
        <v>346</v>
      </c>
      <c r="AU568" s="150" t="s">
        <v>90</v>
      </c>
      <c r="AV568" s="148" t="s">
        <v>90</v>
      </c>
      <c r="AW568" s="148" t="s">
        <v>33</v>
      </c>
      <c r="AX568" s="148" t="s">
        <v>80</v>
      </c>
      <c r="AY568" s="150" t="s">
        <v>337</v>
      </c>
    </row>
    <row r="569" spans="2:51" s="148" customFormat="1" x14ac:dyDescent="0.2">
      <c r="B569" s="149"/>
      <c r="D569" s="143" t="s">
        <v>346</v>
      </c>
      <c r="E569" s="150"/>
      <c r="F569" s="151" t="s">
        <v>5412</v>
      </c>
      <c r="H569" s="152">
        <v>1.85</v>
      </c>
      <c r="L569" s="149"/>
      <c r="M569" s="153"/>
      <c r="T569" s="154"/>
      <c r="AT569" s="150" t="s">
        <v>346</v>
      </c>
      <c r="AU569" s="150" t="s">
        <v>90</v>
      </c>
      <c r="AV569" s="148" t="s">
        <v>90</v>
      </c>
      <c r="AW569" s="148" t="s">
        <v>33</v>
      </c>
      <c r="AX569" s="148" t="s">
        <v>80</v>
      </c>
      <c r="AY569" s="150" t="s">
        <v>337</v>
      </c>
    </row>
    <row r="570" spans="2:51" s="148" customFormat="1" x14ac:dyDescent="0.2">
      <c r="B570" s="149"/>
      <c r="D570" s="143" t="s">
        <v>346</v>
      </c>
      <c r="E570" s="150"/>
      <c r="F570" s="151" t="s">
        <v>5413</v>
      </c>
      <c r="H570" s="152">
        <v>3.14</v>
      </c>
      <c r="L570" s="149"/>
      <c r="M570" s="153"/>
      <c r="T570" s="154"/>
      <c r="AT570" s="150" t="s">
        <v>346</v>
      </c>
      <c r="AU570" s="150" t="s">
        <v>90</v>
      </c>
      <c r="AV570" s="148" t="s">
        <v>90</v>
      </c>
      <c r="AW570" s="148" t="s">
        <v>33</v>
      </c>
      <c r="AX570" s="148" t="s">
        <v>80</v>
      </c>
      <c r="AY570" s="150" t="s">
        <v>337</v>
      </c>
    </row>
    <row r="571" spans="2:51" s="148" customFormat="1" x14ac:dyDescent="0.2">
      <c r="B571" s="149"/>
      <c r="D571" s="143" t="s">
        <v>346</v>
      </c>
      <c r="E571" s="150"/>
      <c r="F571" s="151" t="s">
        <v>5414</v>
      </c>
      <c r="H571" s="152">
        <v>1.4</v>
      </c>
      <c r="L571" s="149"/>
      <c r="M571" s="153"/>
      <c r="T571" s="154"/>
      <c r="AT571" s="150" t="s">
        <v>346</v>
      </c>
      <c r="AU571" s="150" t="s">
        <v>90</v>
      </c>
      <c r="AV571" s="148" t="s">
        <v>90</v>
      </c>
      <c r="AW571" s="148" t="s">
        <v>33</v>
      </c>
      <c r="AX571" s="148" t="s">
        <v>80</v>
      </c>
      <c r="AY571" s="150" t="s">
        <v>337</v>
      </c>
    </row>
    <row r="572" spans="2:51" s="148" customFormat="1" x14ac:dyDescent="0.2">
      <c r="B572" s="149"/>
      <c r="D572" s="143" t="s">
        <v>346</v>
      </c>
      <c r="E572" s="150"/>
      <c r="F572" s="151" t="s">
        <v>5415</v>
      </c>
      <c r="H572" s="152">
        <v>8.51</v>
      </c>
      <c r="L572" s="149"/>
      <c r="M572" s="153"/>
      <c r="T572" s="154"/>
      <c r="AT572" s="150" t="s">
        <v>346</v>
      </c>
      <c r="AU572" s="150" t="s">
        <v>90</v>
      </c>
      <c r="AV572" s="148" t="s">
        <v>90</v>
      </c>
      <c r="AW572" s="148" t="s">
        <v>33</v>
      </c>
      <c r="AX572" s="148" t="s">
        <v>80</v>
      </c>
      <c r="AY572" s="150" t="s">
        <v>337</v>
      </c>
    </row>
    <row r="573" spans="2:51" s="148" customFormat="1" x14ac:dyDescent="0.2">
      <c r="B573" s="149"/>
      <c r="D573" s="143" t="s">
        <v>346</v>
      </c>
      <c r="E573" s="150"/>
      <c r="F573" s="151" t="s">
        <v>5416</v>
      </c>
      <c r="H573" s="152">
        <v>2.23</v>
      </c>
      <c r="L573" s="149"/>
      <c r="M573" s="153"/>
      <c r="T573" s="154"/>
      <c r="AT573" s="150" t="s">
        <v>346</v>
      </c>
      <c r="AU573" s="150" t="s">
        <v>90</v>
      </c>
      <c r="AV573" s="148" t="s">
        <v>90</v>
      </c>
      <c r="AW573" s="148" t="s">
        <v>33</v>
      </c>
      <c r="AX573" s="148" t="s">
        <v>80</v>
      </c>
      <c r="AY573" s="150" t="s">
        <v>337</v>
      </c>
    </row>
    <row r="574" spans="2:51" s="148" customFormat="1" x14ac:dyDescent="0.2">
      <c r="B574" s="149"/>
      <c r="D574" s="143" t="s">
        <v>346</v>
      </c>
      <c r="E574" s="150"/>
      <c r="F574" s="151" t="s">
        <v>5417</v>
      </c>
      <c r="H574" s="152">
        <v>1.31</v>
      </c>
      <c r="L574" s="149"/>
      <c r="M574" s="153"/>
      <c r="T574" s="154"/>
      <c r="AT574" s="150" t="s">
        <v>346</v>
      </c>
      <c r="AU574" s="150" t="s">
        <v>90</v>
      </c>
      <c r="AV574" s="148" t="s">
        <v>90</v>
      </c>
      <c r="AW574" s="148" t="s">
        <v>33</v>
      </c>
      <c r="AX574" s="148" t="s">
        <v>80</v>
      </c>
      <c r="AY574" s="150" t="s">
        <v>337</v>
      </c>
    </row>
    <row r="575" spans="2:51" s="148" customFormat="1" x14ac:dyDescent="0.2">
      <c r="B575" s="149"/>
      <c r="D575" s="143" t="s">
        <v>346</v>
      </c>
      <c r="E575" s="150"/>
      <c r="F575" s="151" t="s">
        <v>5418</v>
      </c>
      <c r="H575" s="152">
        <v>1.26</v>
      </c>
      <c r="L575" s="149"/>
      <c r="M575" s="153"/>
      <c r="T575" s="154"/>
      <c r="AT575" s="150" t="s">
        <v>346</v>
      </c>
      <c r="AU575" s="150" t="s">
        <v>90</v>
      </c>
      <c r="AV575" s="148" t="s">
        <v>90</v>
      </c>
      <c r="AW575" s="148" t="s">
        <v>33</v>
      </c>
      <c r="AX575" s="148" t="s">
        <v>80</v>
      </c>
      <c r="AY575" s="150" t="s">
        <v>337</v>
      </c>
    </row>
    <row r="576" spans="2:51" s="148" customFormat="1" x14ac:dyDescent="0.2">
      <c r="B576" s="149"/>
      <c r="D576" s="143" t="s">
        <v>346</v>
      </c>
      <c r="E576" s="150"/>
      <c r="F576" s="151" t="s">
        <v>5419</v>
      </c>
      <c r="H576" s="152">
        <v>1.26</v>
      </c>
      <c r="L576" s="149"/>
      <c r="M576" s="153"/>
      <c r="T576" s="154"/>
      <c r="AT576" s="150" t="s">
        <v>346</v>
      </c>
      <c r="AU576" s="150" t="s">
        <v>90</v>
      </c>
      <c r="AV576" s="148" t="s">
        <v>90</v>
      </c>
      <c r="AW576" s="148" t="s">
        <v>33</v>
      </c>
      <c r="AX576" s="148" t="s">
        <v>80</v>
      </c>
      <c r="AY576" s="150" t="s">
        <v>337</v>
      </c>
    </row>
    <row r="577" spans="2:65" s="148" customFormat="1" x14ac:dyDescent="0.2">
      <c r="B577" s="149"/>
      <c r="D577" s="143" t="s">
        <v>346</v>
      </c>
      <c r="E577" s="150"/>
      <c r="F577" s="151" t="s">
        <v>5420</v>
      </c>
      <c r="H577" s="152">
        <v>5</v>
      </c>
      <c r="L577" s="149"/>
      <c r="M577" s="153"/>
      <c r="T577" s="154"/>
      <c r="AT577" s="150" t="s">
        <v>346</v>
      </c>
      <c r="AU577" s="150" t="s">
        <v>90</v>
      </c>
      <c r="AV577" s="148" t="s">
        <v>90</v>
      </c>
      <c r="AW577" s="148" t="s">
        <v>33</v>
      </c>
      <c r="AX577" s="148" t="s">
        <v>80</v>
      </c>
      <c r="AY577" s="150" t="s">
        <v>337</v>
      </c>
    </row>
    <row r="578" spans="2:65" s="148" customFormat="1" x14ac:dyDescent="0.2">
      <c r="B578" s="149"/>
      <c r="D578" s="143" t="s">
        <v>346</v>
      </c>
      <c r="E578" s="150"/>
      <c r="F578" s="151" t="s">
        <v>5421</v>
      </c>
      <c r="H578" s="152">
        <v>0.99</v>
      </c>
      <c r="L578" s="149"/>
      <c r="M578" s="153"/>
      <c r="T578" s="154"/>
      <c r="AT578" s="150" t="s">
        <v>346</v>
      </c>
      <c r="AU578" s="150" t="s">
        <v>90</v>
      </c>
      <c r="AV578" s="148" t="s">
        <v>90</v>
      </c>
      <c r="AW578" s="148" t="s">
        <v>33</v>
      </c>
      <c r="AX578" s="148" t="s">
        <v>80</v>
      </c>
      <c r="AY578" s="150" t="s">
        <v>337</v>
      </c>
    </row>
    <row r="579" spans="2:65" s="148" customFormat="1" x14ac:dyDescent="0.2">
      <c r="B579" s="149"/>
      <c r="D579" s="143" t="s">
        <v>346</v>
      </c>
      <c r="E579" s="150"/>
      <c r="F579" s="151" t="s">
        <v>5422</v>
      </c>
      <c r="H579" s="152">
        <v>2.0699999999999998</v>
      </c>
      <c r="L579" s="149"/>
      <c r="M579" s="153"/>
      <c r="T579" s="154"/>
      <c r="AT579" s="150" t="s">
        <v>346</v>
      </c>
      <c r="AU579" s="150" t="s">
        <v>90</v>
      </c>
      <c r="AV579" s="148" t="s">
        <v>90</v>
      </c>
      <c r="AW579" s="148" t="s">
        <v>33</v>
      </c>
      <c r="AX579" s="148" t="s">
        <v>80</v>
      </c>
      <c r="AY579" s="150" t="s">
        <v>337</v>
      </c>
    </row>
    <row r="580" spans="2:65" s="148" customFormat="1" x14ac:dyDescent="0.2">
      <c r="B580" s="149"/>
      <c r="D580" s="143" t="s">
        <v>346</v>
      </c>
      <c r="E580" s="150"/>
      <c r="F580" s="151" t="s">
        <v>5423</v>
      </c>
      <c r="H580" s="152">
        <v>1.33</v>
      </c>
      <c r="L580" s="149"/>
      <c r="M580" s="153"/>
      <c r="T580" s="154"/>
      <c r="AT580" s="150" t="s">
        <v>346</v>
      </c>
      <c r="AU580" s="150" t="s">
        <v>90</v>
      </c>
      <c r="AV580" s="148" t="s">
        <v>90</v>
      </c>
      <c r="AW580" s="148" t="s">
        <v>33</v>
      </c>
      <c r="AX580" s="148" t="s">
        <v>80</v>
      </c>
      <c r="AY580" s="150" t="s">
        <v>337</v>
      </c>
    </row>
    <row r="581" spans="2:65" s="148" customFormat="1" x14ac:dyDescent="0.2">
      <c r="B581" s="149"/>
      <c r="D581" s="143" t="s">
        <v>346</v>
      </c>
      <c r="E581" s="150"/>
      <c r="F581" s="151" t="s">
        <v>5424</v>
      </c>
      <c r="H581" s="152">
        <v>2.14</v>
      </c>
      <c r="L581" s="149"/>
      <c r="M581" s="153"/>
      <c r="T581" s="154"/>
      <c r="AT581" s="150" t="s">
        <v>346</v>
      </c>
      <c r="AU581" s="150" t="s">
        <v>90</v>
      </c>
      <c r="AV581" s="148" t="s">
        <v>90</v>
      </c>
      <c r="AW581" s="148" t="s">
        <v>33</v>
      </c>
      <c r="AX581" s="148" t="s">
        <v>80</v>
      </c>
      <c r="AY581" s="150" t="s">
        <v>337</v>
      </c>
    </row>
    <row r="582" spans="2:65" s="148" customFormat="1" x14ac:dyDescent="0.2">
      <c r="B582" s="149"/>
      <c r="D582" s="143" t="s">
        <v>346</v>
      </c>
      <c r="E582" s="150"/>
      <c r="F582" s="151" t="s">
        <v>5425</v>
      </c>
      <c r="H582" s="152">
        <v>1.62</v>
      </c>
      <c r="L582" s="149"/>
      <c r="M582" s="153"/>
      <c r="T582" s="154"/>
      <c r="AT582" s="150" t="s">
        <v>346</v>
      </c>
      <c r="AU582" s="150" t="s">
        <v>90</v>
      </c>
      <c r="AV582" s="148" t="s">
        <v>90</v>
      </c>
      <c r="AW582" s="148" t="s">
        <v>33</v>
      </c>
      <c r="AX582" s="148" t="s">
        <v>80</v>
      </c>
      <c r="AY582" s="150" t="s">
        <v>337</v>
      </c>
    </row>
    <row r="583" spans="2:65" s="172" customFormat="1" x14ac:dyDescent="0.2">
      <c r="B583" s="173"/>
      <c r="D583" s="143" t="s">
        <v>346</v>
      </c>
      <c r="E583" s="174" t="s">
        <v>5165</v>
      </c>
      <c r="F583" s="175" t="s">
        <v>609</v>
      </c>
      <c r="H583" s="176">
        <v>202.55</v>
      </c>
      <c r="L583" s="173"/>
      <c r="M583" s="177"/>
      <c r="T583" s="178"/>
      <c r="AT583" s="174" t="s">
        <v>346</v>
      </c>
      <c r="AU583" s="174" t="s">
        <v>90</v>
      </c>
      <c r="AV583" s="172" t="s">
        <v>113</v>
      </c>
      <c r="AW583" s="172" t="s">
        <v>33</v>
      </c>
      <c r="AX583" s="172" t="s">
        <v>80</v>
      </c>
      <c r="AY583" s="174" t="s">
        <v>337</v>
      </c>
    </row>
    <row r="584" spans="2:65" s="141" customFormat="1" x14ac:dyDescent="0.2">
      <c r="B584" s="142"/>
      <c r="D584" s="143" t="s">
        <v>346</v>
      </c>
      <c r="E584" s="144"/>
      <c r="F584" s="145" t="s">
        <v>5426</v>
      </c>
      <c r="H584" s="144"/>
      <c r="L584" s="142"/>
      <c r="M584" s="146"/>
      <c r="T584" s="147"/>
      <c r="AT584" s="144" t="s">
        <v>346</v>
      </c>
      <c r="AU584" s="144" t="s">
        <v>90</v>
      </c>
      <c r="AV584" s="141" t="s">
        <v>87</v>
      </c>
      <c r="AW584" s="141" t="s">
        <v>33</v>
      </c>
      <c r="AX584" s="141" t="s">
        <v>80</v>
      </c>
      <c r="AY584" s="144" t="s">
        <v>337</v>
      </c>
    </row>
    <row r="585" spans="2:65" s="148" customFormat="1" x14ac:dyDescent="0.2">
      <c r="B585" s="149"/>
      <c r="D585" s="143" t="s">
        <v>346</v>
      </c>
      <c r="E585" s="150"/>
      <c r="F585" s="151" t="s">
        <v>5427</v>
      </c>
      <c r="H585" s="152">
        <v>125.19</v>
      </c>
      <c r="L585" s="149"/>
      <c r="M585" s="153"/>
      <c r="T585" s="154"/>
      <c r="AT585" s="150" t="s">
        <v>346</v>
      </c>
      <c r="AU585" s="150" t="s">
        <v>90</v>
      </c>
      <c r="AV585" s="148" t="s">
        <v>90</v>
      </c>
      <c r="AW585" s="148" t="s">
        <v>33</v>
      </c>
      <c r="AX585" s="148" t="s">
        <v>80</v>
      </c>
      <c r="AY585" s="150" t="s">
        <v>337</v>
      </c>
    </row>
    <row r="586" spans="2:65" s="172" customFormat="1" x14ac:dyDescent="0.2">
      <c r="B586" s="173"/>
      <c r="D586" s="143" t="s">
        <v>346</v>
      </c>
      <c r="E586" s="174" t="s">
        <v>5182</v>
      </c>
      <c r="F586" s="175" t="s">
        <v>609</v>
      </c>
      <c r="H586" s="176">
        <v>125.19</v>
      </c>
      <c r="L586" s="173"/>
      <c r="M586" s="177"/>
      <c r="T586" s="178"/>
      <c r="AT586" s="174" t="s">
        <v>346</v>
      </c>
      <c r="AU586" s="174" t="s">
        <v>90</v>
      </c>
      <c r="AV586" s="172" t="s">
        <v>113</v>
      </c>
      <c r="AW586" s="172" t="s">
        <v>33</v>
      </c>
      <c r="AX586" s="172" t="s">
        <v>80</v>
      </c>
      <c r="AY586" s="174" t="s">
        <v>337</v>
      </c>
    </row>
    <row r="587" spans="2:65" s="155" customFormat="1" x14ac:dyDescent="0.2">
      <c r="B587" s="156"/>
      <c r="D587" s="143" t="s">
        <v>346</v>
      </c>
      <c r="E587" s="157"/>
      <c r="F587" s="158" t="s">
        <v>351</v>
      </c>
      <c r="H587" s="159">
        <v>327.74</v>
      </c>
      <c r="L587" s="156"/>
      <c r="M587" s="160"/>
      <c r="T587" s="161"/>
      <c r="AT587" s="157" t="s">
        <v>346</v>
      </c>
      <c r="AU587" s="157" t="s">
        <v>90</v>
      </c>
      <c r="AV587" s="155" t="s">
        <v>344</v>
      </c>
      <c r="AW587" s="155" t="s">
        <v>33</v>
      </c>
      <c r="AX587" s="155" t="s">
        <v>87</v>
      </c>
      <c r="AY587" s="157" t="s">
        <v>337</v>
      </c>
    </row>
    <row r="588" spans="2:65" s="16" customFormat="1" ht="21.75" customHeight="1" x14ac:dyDescent="0.2">
      <c r="B588" s="17"/>
      <c r="C588" s="128">
        <v>14</v>
      </c>
      <c r="D588" s="128" t="s">
        <v>339</v>
      </c>
      <c r="E588" s="129" t="s">
        <v>5428</v>
      </c>
      <c r="F588" s="130" t="s">
        <v>5429</v>
      </c>
      <c r="G588" s="131" t="s">
        <v>425</v>
      </c>
      <c r="H588" s="132">
        <v>9.14</v>
      </c>
      <c r="I588" s="133"/>
      <c r="J588" s="134">
        <f>ROUND(I588*H588,2)</f>
        <v>0</v>
      </c>
      <c r="K588" s="130" t="s">
        <v>343</v>
      </c>
      <c r="L588" s="17"/>
      <c r="M588" s="135"/>
      <c r="N588" s="136" t="s">
        <v>45</v>
      </c>
      <c r="P588" s="137">
        <f>O588*H588</f>
        <v>0</v>
      </c>
      <c r="Q588" s="137">
        <v>0</v>
      </c>
      <c r="R588" s="137">
        <f>Q588*H588</f>
        <v>0</v>
      </c>
      <c r="S588" s="137">
        <v>0.09</v>
      </c>
      <c r="T588" s="138">
        <f>S588*H588</f>
        <v>0.8226</v>
      </c>
      <c r="AR588" s="139" t="s">
        <v>344</v>
      </c>
      <c r="AT588" s="139" t="s">
        <v>339</v>
      </c>
      <c r="AU588" s="139" t="s">
        <v>90</v>
      </c>
      <c r="AY588" s="2" t="s">
        <v>337</v>
      </c>
      <c r="BE588" s="140">
        <f>IF(N588="základní",J588,0)</f>
        <v>0</v>
      </c>
      <c r="BF588" s="140">
        <f>IF(N588="snížená",J588,0)</f>
        <v>0</v>
      </c>
      <c r="BG588" s="140">
        <f>IF(N588="zákl. přenesená",J588,0)</f>
        <v>0</v>
      </c>
      <c r="BH588" s="140">
        <f>IF(N588="sníž. přenesená",J588,0)</f>
        <v>0</v>
      </c>
      <c r="BI588" s="140">
        <f>IF(N588="nulová",J588,0)</f>
        <v>0</v>
      </c>
      <c r="BJ588" s="2" t="s">
        <v>87</v>
      </c>
      <c r="BK588" s="140">
        <f>ROUND(I588*H588,2)</f>
        <v>0</v>
      </c>
      <c r="BL588" s="2" t="s">
        <v>344</v>
      </c>
      <c r="BM588" s="139" t="s">
        <v>5430</v>
      </c>
    </row>
    <row r="589" spans="2:65" s="141" customFormat="1" x14ac:dyDescent="0.2">
      <c r="B589" s="142"/>
      <c r="D589" s="143" t="s">
        <v>346</v>
      </c>
      <c r="E589" s="144"/>
      <c r="F589" s="145" t="s">
        <v>5431</v>
      </c>
      <c r="H589" s="144"/>
      <c r="L589" s="142"/>
      <c r="M589" s="146"/>
      <c r="T589" s="147"/>
      <c r="AT589" s="144" t="s">
        <v>346</v>
      </c>
      <c r="AU589" s="144" t="s">
        <v>90</v>
      </c>
      <c r="AV589" s="141" t="s">
        <v>87</v>
      </c>
      <c r="AW589" s="141" t="s">
        <v>33</v>
      </c>
      <c r="AX589" s="141" t="s">
        <v>80</v>
      </c>
      <c r="AY589" s="144" t="s">
        <v>337</v>
      </c>
    </row>
    <row r="590" spans="2:65" s="148" customFormat="1" x14ac:dyDescent="0.2">
      <c r="B590" s="149"/>
      <c r="D590" s="143" t="s">
        <v>346</v>
      </c>
      <c r="E590" s="150"/>
      <c r="F590" s="151" t="s">
        <v>5432</v>
      </c>
      <c r="H590" s="152">
        <v>9.14</v>
      </c>
      <c r="L590" s="149"/>
      <c r="M590" s="153"/>
      <c r="T590" s="154"/>
      <c r="AT590" s="150" t="s">
        <v>346</v>
      </c>
      <c r="AU590" s="150" t="s">
        <v>90</v>
      </c>
      <c r="AV590" s="148" t="s">
        <v>90</v>
      </c>
      <c r="AW590" s="148" t="s">
        <v>33</v>
      </c>
      <c r="AX590" s="148" t="s">
        <v>80</v>
      </c>
      <c r="AY590" s="150" t="s">
        <v>337</v>
      </c>
    </row>
    <row r="591" spans="2:65" s="172" customFormat="1" x14ac:dyDescent="0.2">
      <c r="B591" s="173"/>
      <c r="D591" s="143" t="s">
        <v>346</v>
      </c>
      <c r="E591" s="174" t="s">
        <v>5167</v>
      </c>
      <c r="F591" s="175" t="s">
        <v>609</v>
      </c>
      <c r="H591" s="176">
        <v>9.14</v>
      </c>
      <c r="L591" s="173"/>
      <c r="M591" s="177"/>
      <c r="T591" s="178"/>
      <c r="AT591" s="174" t="s">
        <v>346</v>
      </c>
      <c r="AU591" s="174" t="s">
        <v>90</v>
      </c>
      <c r="AV591" s="172" t="s">
        <v>113</v>
      </c>
      <c r="AW591" s="172" t="s">
        <v>33</v>
      </c>
      <c r="AX591" s="172" t="s">
        <v>87</v>
      </c>
      <c r="AY591" s="174" t="s">
        <v>337</v>
      </c>
    </row>
    <row r="592" spans="2:65" s="16" customFormat="1" ht="16.5" customHeight="1" x14ac:dyDescent="0.2">
      <c r="B592" s="17"/>
      <c r="C592" s="128">
        <v>15</v>
      </c>
      <c r="D592" s="128" t="s">
        <v>339</v>
      </c>
      <c r="E592" s="129" t="s">
        <v>5433</v>
      </c>
      <c r="F592" s="130" t="s">
        <v>5434</v>
      </c>
      <c r="G592" s="131" t="s">
        <v>724</v>
      </c>
      <c r="H592" s="132">
        <v>56.7</v>
      </c>
      <c r="I592" s="133"/>
      <c r="J592" s="134">
        <f>ROUND(I592*H592,2)</f>
        <v>0</v>
      </c>
      <c r="K592" s="130" t="s">
        <v>343</v>
      </c>
      <c r="L592" s="17"/>
      <c r="M592" s="135"/>
      <c r="N592" s="136" t="s">
        <v>45</v>
      </c>
      <c r="P592" s="137">
        <f>O592*H592</f>
        <v>0</v>
      </c>
      <c r="Q592" s="137">
        <v>0</v>
      </c>
      <c r="R592" s="137">
        <f>Q592*H592</f>
        <v>0</v>
      </c>
      <c r="S592" s="137">
        <v>0.35</v>
      </c>
      <c r="T592" s="138">
        <f>S592*H592</f>
        <v>19.844999999999999</v>
      </c>
      <c r="AR592" s="139" t="s">
        <v>344</v>
      </c>
      <c r="AT592" s="139" t="s">
        <v>339</v>
      </c>
      <c r="AU592" s="139" t="s">
        <v>90</v>
      </c>
      <c r="AY592" s="2" t="s">
        <v>337</v>
      </c>
      <c r="BE592" s="140">
        <f>IF(N592="základní",J592,0)</f>
        <v>0</v>
      </c>
      <c r="BF592" s="140">
        <f>IF(N592="snížená",J592,0)</f>
        <v>0</v>
      </c>
      <c r="BG592" s="140">
        <f>IF(N592="zákl. přenesená",J592,0)</f>
        <v>0</v>
      </c>
      <c r="BH592" s="140">
        <f>IF(N592="sníž. přenesená",J592,0)</f>
        <v>0</v>
      </c>
      <c r="BI592" s="140">
        <f>IF(N592="nulová",J592,0)</f>
        <v>0</v>
      </c>
      <c r="BJ592" s="2" t="s">
        <v>87</v>
      </c>
      <c r="BK592" s="140">
        <f>ROUND(I592*H592,2)</f>
        <v>0</v>
      </c>
      <c r="BL592" s="2" t="s">
        <v>344</v>
      </c>
      <c r="BM592" s="139" t="s">
        <v>5435</v>
      </c>
    </row>
    <row r="593" spans="2:65" s="141" customFormat="1" x14ac:dyDescent="0.2">
      <c r="B593" s="142"/>
      <c r="D593" s="143" t="s">
        <v>346</v>
      </c>
      <c r="E593" s="144"/>
      <c r="F593" s="145" t="s">
        <v>5436</v>
      </c>
      <c r="H593" s="144"/>
      <c r="L593" s="142"/>
      <c r="M593" s="146"/>
      <c r="T593" s="147"/>
      <c r="AT593" s="144" t="s">
        <v>346</v>
      </c>
      <c r="AU593" s="144" t="s">
        <v>90</v>
      </c>
      <c r="AV593" s="141" t="s">
        <v>87</v>
      </c>
      <c r="AW593" s="141" t="s">
        <v>33</v>
      </c>
      <c r="AX593" s="141" t="s">
        <v>80</v>
      </c>
      <c r="AY593" s="144" t="s">
        <v>337</v>
      </c>
    </row>
    <row r="594" spans="2:65" s="148" customFormat="1" x14ac:dyDescent="0.2">
      <c r="B594" s="149"/>
      <c r="D594" s="143" t="s">
        <v>346</v>
      </c>
      <c r="E594" s="150"/>
      <c r="F594" s="151" t="s">
        <v>5437</v>
      </c>
      <c r="H594" s="152">
        <v>56.7</v>
      </c>
      <c r="L594" s="149"/>
      <c r="M594" s="153"/>
      <c r="T594" s="154"/>
      <c r="AT594" s="150" t="s">
        <v>346</v>
      </c>
      <c r="AU594" s="150" t="s">
        <v>90</v>
      </c>
      <c r="AV594" s="148" t="s">
        <v>90</v>
      </c>
      <c r="AW594" s="148" t="s">
        <v>33</v>
      </c>
      <c r="AX594" s="148" t="s">
        <v>87</v>
      </c>
      <c r="AY594" s="150" t="s">
        <v>337</v>
      </c>
    </row>
    <row r="595" spans="2:65" s="16" customFormat="1" ht="16.5" customHeight="1" x14ac:dyDescent="0.2">
      <c r="B595" s="17"/>
      <c r="C595" s="128">
        <v>16</v>
      </c>
      <c r="D595" s="128" t="s">
        <v>339</v>
      </c>
      <c r="E595" s="129" t="s">
        <v>4912</v>
      </c>
      <c r="F595" s="130" t="s">
        <v>4913</v>
      </c>
      <c r="G595" s="131" t="s">
        <v>724</v>
      </c>
      <c r="H595" s="132">
        <v>1.5</v>
      </c>
      <c r="I595" s="133"/>
      <c r="J595" s="134">
        <f>ROUND(I595*H595,2)</f>
        <v>0</v>
      </c>
      <c r="K595" s="130" t="s">
        <v>343</v>
      </c>
      <c r="L595" s="17"/>
      <c r="M595" s="135"/>
      <c r="N595" s="136" t="s">
        <v>45</v>
      </c>
      <c r="P595" s="137">
        <f>O595*H595</f>
        <v>0</v>
      </c>
      <c r="Q595" s="137">
        <v>0</v>
      </c>
      <c r="R595" s="137">
        <f>Q595*H595</f>
        <v>0</v>
      </c>
      <c r="S595" s="137">
        <v>9.2499999999999995E-3</v>
      </c>
      <c r="T595" s="138">
        <f>S595*H595</f>
        <v>1.3874999999999998E-2</v>
      </c>
      <c r="AR595" s="139" t="s">
        <v>344</v>
      </c>
      <c r="AT595" s="139" t="s">
        <v>339</v>
      </c>
      <c r="AU595" s="139" t="s">
        <v>90</v>
      </c>
      <c r="AY595" s="2" t="s">
        <v>337</v>
      </c>
      <c r="BE595" s="140">
        <f>IF(N595="základní",J595,0)</f>
        <v>0</v>
      </c>
      <c r="BF595" s="140">
        <f>IF(N595="snížená",J595,0)</f>
        <v>0</v>
      </c>
      <c r="BG595" s="140">
        <f>IF(N595="zákl. přenesená",J595,0)</f>
        <v>0</v>
      </c>
      <c r="BH595" s="140">
        <f>IF(N595="sníž. přenesená",J595,0)</f>
        <v>0</v>
      </c>
      <c r="BI595" s="140">
        <f>IF(N595="nulová",J595,0)</f>
        <v>0</v>
      </c>
      <c r="BJ595" s="2" t="s">
        <v>87</v>
      </c>
      <c r="BK595" s="140">
        <f>ROUND(I595*H595,2)</f>
        <v>0</v>
      </c>
      <c r="BL595" s="2" t="s">
        <v>344</v>
      </c>
      <c r="BM595" s="139" t="s">
        <v>5438</v>
      </c>
    </row>
    <row r="596" spans="2:65" s="141" customFormat="1" x14ac:dyDescent="0.2">
      <c r="B596" s="142"/>
      <c r="D596" s="143" t="s">
        <v>346</v>
      </c>
      <c r="E596" s="144"/>
      <c r="F596" s="145" t="s">
        <v>5439</v>
      </c>
      <c r="H596" s="144"/>
      <c r="L596" s="142"/>
      <c r="M596" s="146"/>
      <c r="T596" s="147"/>
      <c r="AT596" s="144" t="s">
        <v>346</v>
      </c>
      <c r="AU596" s="144" t="s">
        <v>90</v>
      </c>
      <c r="AV596" s="141" t="s">
        <v>87</v>
      </c>
      <c r="AW596" s="141" t="s">
        <v>33</v>
      </c>
      <c r="AX596" s="141" t="s">
        <v>80</v>
      </c>
      <c r="AY596" s="144" t="s">
        <v>337</v>
      </c>
    </row>
    <row r="597" spans="2:65" s="148" customFormat="1" x14ac:dyDescent="0.2">
      <c r="B597" s="149"/>
      <c r="D597" s="143" t="s">
        <v>346</v>
      </c>
      <c r="E597" s="150"/>
      <c r="F597" s="151" t="s">
        <v>4613</v>
      </c>
      <c r="H597" s="152">
        <v>1.5</v>
      </c>
      <c r="L597" s="149"/>
      <c r="M597" s="153"/>
      <c r="T597" s="154"/>
      <c r="AT597" s="150" t="s">
        <v>346</v>
      </c>
      <c r="AU597" s="150" t="s">
        <v>90</v>
      </c>
      <c r="AV597" s="148" t="s">
        <v>90</v>
      </c>
      <c r="AW597" s="148" t="s">
        <v>33</v>
      </c>
      <c r="AX597" s="148" t="s">
        <v>87</v>
      </c>
      <c r="AY597" s="150" t="s">
        <v>337</v>
      </c>
    </row>
    <row r="598" spans="2:65" s="16" customFormat="1" ht="16.5" customHeight="1" x14ac:dyDescent="0.2">
      <c r="B598" s="17"/>
      <c r="C598" s="128">
        <v>17</v>
      </c>
      <c r="D598" s="128" t="s">
        <v>339</v>
      </c>
      <c r="E598" s="129" t="s">
        <v>5440</v>
      </c>
      <c r="F598" s="130" t="s">
        <v>5441</v>
      </c>
      <c r="G598" s="131" t="s">
        <v>425</v>
      </c>
      <c r="H598" s="132">
        <v>3313.86</v>
      </c>
      <c r="I598" s="133"/>
      <c r="J598" s="134">
        <f>ROUND(I598*H598,2)</f>
        <v>0</v>
      </c>
      <c r="K598" s="130"/>
      <c r="L598" s="17"/>
      <c r="M598" s="135"/>
      <c r="N598" s="136" t="s">
        <v>45</v>
      </c>
      <c r="P598" s="137">
        <f>O598*H598</f>
        <v>0</v>
      </c>
      <c r="Q598" s="137">
        <v>0</v>
      </c>
      <c r="R598" s="137">
        <f>Q598*H598</f>
        <v>0</v>
      </c>
      <c r="S598" s="137">
        <v>5.0000000000000001E-4</v>
      </c>
      <c r="T598" s="138">
        <f>S598*H598</f>
        <v>1.65693</v>
      </c>
      <c r="AR598" s="139" t="s">
        <v>344</v>
      </c>
      <c r="AT598" s="139" t="s">
        <v>339</v>
      </c>
      <c r="AU598" s="139" t="s">
        <v>90</v>
      </c>
      <c r="AY598" s="2" t="s">
        <v>337</v>
      </c>
      <c r="BE598" s="140">
        <f>IF(N598="základní",J598,0)</f>
        <v>0</v>
      </c>
      <c r="BF598" s="140">
        <f>IF(N598="snížená",J598,0)</f>
        <v>0</v>
      </c>
      <c r="BG598" s="140">
        <f>IF(N598="zákl. přenesená",J598,0)</f>
        <v>0</v>
      </c>
      <c r="BH598" s="140">
        <f>IF(N598="sníž. přenesená",J598,0)</f>
        <v>0</v>
      </c>
      <c r="BI598" s="140">
        <f>IF(N598="nulová",J598,0)</f>
        <v>0</v>
      </c>
      <c r="BJ598" s="2" t="s">
        <v>87</v>
      </c>
      <c r="BK598" s="140">
        <f>ROUND(I598*H598,2)</f>
        <v>0</v>
      </c>
      <c r="BL598" s="2" t="s">
        <v>344</v>
      </c>
      <c r="BM598" s="139" t="s">
        <v>5442</v>
      </c>
    </row>
    <row r="599" spans="2:65" s="148" customFormat="1" x14ac:dyDescent="0.2">
      <c r="B599" s="149"/>
      <c r="D599" s="143" t="s">
        <v>346</v>
      </c>
      <c r="E599" s="150"/>
      <c r="F599" s="151" t="s">
        <v>5174</v>
      </c>
      <c r="H599" s="152">
        <v>342.25</v>
      </c>
      <c r="L599" s="149"/>
      <c r="M599" s="153"/>
      <c r="T599" s="154"/>
      <c r="AT599" s="150" t="s">
        <v>346</v>
      </c>
      <c r="AU599" s="150" t="s">
        <v>90</v>
      </c>
      <c r="AV599" s="148" t="s">
        <v>90</v>
      </c>
      <c r="AW599" s="148" t="s">
        <v>33</v>
      </c>
      <c r="AX599" s="148" t="s">
        <v>80</v>
      </c>
      <c r="AY599" s="150" t="s">
        <v>337</v>
      </c>
    </row>
    <row r="600" spans="2:65" s="148" customFormat="1" x14ac:dyDescent="0.2">
      <c r="B600" s="149"/>
      <c r="D600" s="143" t="s">
        <v>346</v>
      </c>
      <c r="E600" s="150"/>
      <c r="F600" s="151" t="s">
        <v>5176</v>
      </c>
      <c r="H600" s="152">
        <v>308.8</v>
      </c>
      <c r="L600" s="149"/>
      <c r="M600" s="153"/>
      <c r="T600" s="154"/>
      <c r="AT600" s="150" t="s">
        <v>346</v>
      </c>
      <c r="AU600" s="150" t="s">
        <v>90</v>
      </c>
      <c r="AV600" s="148" t="s">
        <v>90</v>
      </c>
      <c r="AW600" s="148" t="s">
        <v>33</v>
      </c>
      <c r="AX600" s="148" t="s">
        <v>80</v>
      </c>
      <c r="AY600" s="150" t="s">
        <v>337</v>
      </c>
    </row>
    <row r="601" spans="2:65" s="148" customFormat="1" x14ac:dyDescent="0.2">
      <c r="B601" s="149"/>
      <c r="D601" s="143" t="s">
        <v>346</v>
      </c>
      <c r="E601" s="150"/>
      <c r="F601" s="151" t="s">
        <v>5163</v>
      </c>
      <c r="H601" s="152">
        <v>1697.96</v>
      </c>
      <c r="L601" s="149"/>
      <c r="M601" s="153"/>
      <c r="T601" s="154"/>
      <c r="AT601" s="150" t="s">
        <v>346</v>
      </c>
      <c r="AU601" s="150" t="s">
        <v>90</v>
      </c>
      <c r="AV601" s="148" t="s">
        <v>90</v>
      </c>
      <c r="AW601" s="148" t="s">
        <v>33</v>
      </c>
      <c r="AX601" s="148" t="s">
        <v>80</v>
      </c>
      <c r="AY601" s="150" t="s">
        <v>337</v>
      </c>
    </row>
    <row r="602" spans="2:65" s="148" customFormat="1" x14ac:dyDescent="0.2">
      <c r="B602" s="149"/>
      <c r="D602" s="143" t="s">
        <v>346</v>
      </c>
      <c r="E602" s="150"/>
      <c r="F602" s="151" t="s">
        <v>5178</v>
      </c>
      <c r="H602" s="152">
        <v>178.69</v>
      </c>
      <c r="L602" s="149"/>
      <c r="M602" s="153"/>
      <c r="T602" s="154"/>
      <c r="AT602" s="150" t="s">
        <v>346</v>
      </c>
      <c r="AU602" s="150" t="s">
        <v>90</v>
      </c>
      <c r="AV602" s="148" t="s">
        <v>90</v>
      </c>
      <c r="AW602" s="148" t="s">
        <v>33</v>
      </c>
      <c r="AX602" s="148" t="s">
        <v>80</v>
      </c>
      <c r="AY602" s="150" t="s">
        <v>337</v>
      </c>
    </row>
    <row r="603" spans="2:65" s="148" customFormat="1" x14ac:dyDescent="0.2">
      <c r="B603" s="149"/>
      <c r="D603" s="143" t="s">
        <v>346</v>
      </c>
      <c r="E603" s="150"/>
      <c r="F603" s="151" t="s">
        <v>5180</v>
      </c>
      <c r="H603" s="152">
        <v>121.54</v>
      </c>
      <c r="L603" s="149"/>
      <c r="M603" s="153"/>
      <c r="T603" s="154"/>
      <c r="AT603" s="150" t="s">
        <v>346</v>
      </c>
      <c r="AU603" s="150" t="s">
        <v>90</v>
      </c>
      <c r="AV603" s="148" t="s">
        <v>90</v>
      </c>
      <c r="AW603" s="148" t="s">
        <v>33</v>
      </c>
      <c r="AX603" s="148" t="s">
        <v>80</v>
      </c>
      <c r="AY603" s="150" t="s">
        <v>337</v>
      </c>
    </row>
    <row r="604" spans="2:65" s="148" customFormat="1" x14ac:dyDescent="0.2">
      <c r="B604" s="149"/>
      <c r="D604" s="143" t="s">
        <v>346</v>
      </c>
      <c r="E604" s="150"/>
      <c r="F604" s="151" t="s">
        <v>5443</v>
      </c>
      <c r="H604" s="152">
        <v>405.1</v>
      </c>
      <c r="L604" s="149"/>
      <c r="M604" s="153"/>
      <c r="T604" s="154"/>
      <c r="AT604" s="150" t="s">
        <v>346</v>
      </c>
      <c r="AU604" s="150" t="s">
        <v>90</v>
      </c>
      <c r="AV604" s="148" t="s">
        <v>90</v>
      </c>
      <c r="AW604" s="148" t="s">
        <v>33</v>
      </c>
      <c r="AX604" s="148" t="s">
        <v>80</v>
      </c>
      <c r="AY604" s="150" t="s">
        <v>337</v>
      </c>
    </row>
    <row r="605" spans="2:65" s="148" customFormat="1" x14ac:dyDescent="0.2">
      <c r="B605" s="149"/>
      <c r="D605" s="143" t="s">
        <v>346</v>
      </c>
      <c r="E605" s="150"/>
      <c r="F605" s="151" t="s">
        <v>5444</v>
      </c>
      <c r="H605" s="152">
        <v>250.38</v>
      </c>
      <c r="L605" s="149"/>
      <c r="M605" s="153"/>
      <c r="T605" s="154"/>
      <c r="AT605" s="150" t="s">
        <v>346</v>
      </c>
      <c r="AU605" s="150" t="s">
        <v>90</v>
      </c>
      <c r="AV605" s="148" t="s">
        <v>90</v>
      </c>
      <c r="AW605" s="148" t="s">
        <v>33</v>
      </c>
      <c r="AX605" s="148" t="s">
        <v>80</v>
      </c>
      <c r="AY605" s="150" t="s">
        <v>337</v>
      </c>
    </row>
    <row r="606" spans="2:65" s="148" customFormat="1" x14ac:dyDescent="0.2">
      <c r="B606" s="149"/>
      <c r="D606" s="143" t="s">
        <v>346</v>
      </c>
      <c r="E606" s="150"/>
      <c r="F606" s="151" t="s">
        <v>5167</v>
      </c>
      <c r="H606" s="152">
        <v>9.14</v>
      </c>
      <c r="L606" s="149"/>
      <c r="M606" s="153"/>
      <c r="T606" s="154"/>
      <c r="AT606" s="150" t="s">
        <v>346</v>
      </c>
      <c r="AU606" s="150" t="s">
        <v>90</v>
      </c>
      <c r="AV606" s="148" t="s">
        <v>90</v>
      </c>
      <c r="AW606" s="148" t="s">
        <v>33</v>
      </c>
      <c r="AX606" s="148" t="s">
        <v>80</v>
      </c>
      <c r="AY606" s="150" t="s">
        <v>337</v>
      </c>
    </row>
    <row r="607" spans="2:65" s="155" customFormat="1" x14ac:dyDescent="0.2">
      <c r="B607" s="156"/>
      <c r="D607" s="143" t="s">
        <v>346</v>
      </c>
      <c r="E607" s="157"/>
      <c r="F607" s="158" t="s">
        <v>351</v>
      </c>
      <c r="H607" s="159">
        <v>3313.86</v>
      </c>
      <c r="L607" s="156"/>
      <c r="M607" s="160"/>
      <c r="T607" s="161"/>
      <c r="AT607" s="157" t="s">
        <v>346</v>
      </c>
      <c r="AU607" s="157" t="s">
        <v>90</v>
      </c>
      <c r="AV607" s="155" t="s">
        <v>344</v>
      </c>
      <c r="AW607" s="155" t="s">
        <v>33</v>
      </c>
      <c r="AX607" s="155" t="s">
        <v>87</v>
      </c>
      <c r="AY607" s="157" t="s">
        <v>337</v>
      </c>
    </row>
    <row r="608" spans="2:65" s="16" customFormat="1" ht="16.5" customHeight="1" x14ac:dyDescent="0.2">
      <c r="B608" s="17"/>
      <c r="C608" s="128">
        <v>18</v>
      </c>
      <c r="D608" s="128" t="s">
        <v>339</v>
      </c>
      <c r="E608" s="129" t="s">
        <v>5445</v>
      </c>
      <c r="F608" s="130" t="s">
        <v>5446</v>
      </c>
      <c r="G608" s="131" t="s">
        <v>425</v>
      </c>
      <c r="H608" s="132">
        <v>990.60400000000004</v>
      </c>
      <c r="I608" s="133"/>
      <c r="J608" s="134">
        <f>ROUND(I608*H608,2)</f>
        <v>0</v>
      </c>
      <c r="K608" s="130"/>
      <c r="L608" s="17"/>
      <c r="M608" s="135"/>
      <c r="N608" s="136" t="s">
        <v>45</v>
      </c>
      <c r="P608" s="137">
        <f>O608*H608</f>
        <v>0</v>
      </c>
      <c r="Q608" s="137">
        <v>0</v>
      </c>
      <c r="R608" s="137">
        <f>Q608*H608</f>
        <v>0</v>
      </c>
      <c r="S608" s="137">
        <v>3.1E-2</v>
      </c>
      <c r="T608" s="138">
        <f>S608*H608</f>
        <v>30.708724</v>
      </c>
      <c r="AR608" s="139" t="s">
        <v>344</v>
      </c>
      <c r="AT608" s="139" t="s">
        <v>339</v>
      </c>
      <c r="AU608" s="139" t="s">
        <v>90</v>
      </c>
      <c r="AY608" s="2" t="s">
        <v>337</v>
      </c>
      <c r="BE608" s="140">
        <f>IF(N608="základní",J608,0)</f>
        <v>0</v>
      </c>
      <c r="BF608" s="140">
        <f>IF(N608="snížená",J608,0)</f>
        <v>0</v>
      </c>
      <c r="BG608" s="140">
        <f>IF(N608="zákl. přenesená",J608,0)</f>
        <v>0</v>
      </c>
      <c r="BH608" s="140">
        <f>IF(N608="sníž. přenesená",J608,0)</f>
        <v>0</v>
      </c>
      <c r="BI608" s="140">
        <f>IF(N608="nulová",J608,0)</f>
        <v>0</v>
      </c>
      <c r="BJ608" s="2" t="s">
        <v>87</v>
      </c>
      <c r="BK608" s="140">
        <f>ROUND(I608*H608,2)</f>
        <v>0</v>
      </c>
      <c r="BL608" s="2" t="s">
        <v>344</v>
      </c>
      <c r="BM608" s="139" t="s">
        <v>5447</v>
      </c>
    </row>
    <row r="609" spans="2:51" s="141" customFormat="1" x14ac:dyDescent="0.2">
      <c r="B609" s="142"/>
      <c r="D609" s="143" t="s">
        <v>346</v>
      </c>
      <c r="E609" s="144"/>
      <c r="F609" s="145" t="s">
        <v>357</v>
      </c>
      <c r="H609" s="144"/>
      <c r="L609" s="142"/>
      <c r="M609" s="146"/>
      <c r="T609" s="147"/>
      <c r="AT609" s="144" t="s">
        <v>346</v>
      </c>
      <c r="AU609" s="144" t="s">
        <v>90</v>
      </c>
      <c r="AV609" s="141" t="s">
        <v>87</v>
      </c>
      <c r="AW609" s="141" t="s">
        <v>33</v>
      </c>
      <c r="AX609" s="141" t="s">
        <v>80</v>
      </c>
      <c r="AY609" s="144" t="s">
        <v>337</v>
      </c>
    </row>
    <row r="610" spans="2:51" s="148" customFormat="1" x14ac:dyDescent="0.2">
      <c r="B610" s="149"/>
      <c r="D610" s="143" t="s">
        <v>346</v>
      </c>
      <c r="E610" s="150"/>
      <c r="F610" s="151" t="s">
        <v>5448</v>
      </c>
      <c r="H610" s="152">
        <v>15.12</v>
      </c>
      <c r="L610" s="149"/>
      <c r="M610" s="153"/>
      <c r="T610" s="154"/>
      <c r="AT610" s="150" t="s">
        <v>346</v>
      </c>
      <c r="AU610" s="150" t="s">
        <v>90</v>
      </c>
      <c r="AV610" s="148" t="s">
        <v>90</v>
      </c>
      <c r="AW610" s="148" t="s">
        <v>33</v>
      </c>
      <c r="AX610" s="148" t="s">
        <v>80</v>
      </c>
      <c r="AY610" s="150" t="s">
        <v>337</v>
      </c>
    </row>
    <row r="611" spans="2:51" s="148" customFormat="1" x14ac:dyDescent="0.2">
      <c r="B611" s="149"/>
      <c r="D611" s="143" t="s">
        <v>346</v>
      </c>
      <c r="E611" s="150"/>
      <c r="F611" s="151" t="s">
        <v>5449</v>
      </c>
      <c r="H611" s="152">
        <v>3.6379999999999999</v>
      </c>
      <c r="L611" s="149"/>
      <c r="M611" s="153"/>
      <c r="T611" s="154"/>
      <c r="AT611" s="150" t="s">
        <v>346</v>
      </c>
      <c r="AU611" s="150" t="s">
        <v>90</v>
      </c>
      <c r="AV611" s="148" t="s">
        <v>90</v>
      </c>
      <c r="AW611" s="148" t="s">
        <v>33</v>
      </c>
      <c r="AX611" s="148" t="s">
        <v>80</v>
      </c>
      <c r="AY611" s="150" t="s">
        <v>337</v>
      </c>
    </row>
    <row r="612" spans="2:51" s="148" customFormat="1" x14ac:dyDescent="0.2">
      <c r="B612" s="149"/>
      <c r="D612" s="143" t="s">
        <v>346</v>
      </c>
      <c r="E612" s="150"/>
      <c r="F612" s="151" t="s">
        <v>5450</v>
      </c>
      <c r="H612" s="152">
        <v>2.3519999999999999</v>
      </c>
      <c r="L612" s="149"/>
      <c r="M612" s="153"/>
      <c r="T612" s="154"/>
      <c r="AT612" s="150" t="s">
        <v>346</v>
      </c>
      <c r="AU612" s="150" t="s">
        <v>90</v>
      </c>
      <c r="AV612" s="148" t="s">
        <v>90</v>
      </c>
      <c r="AW612" s="148" t="s">
        <v>33</v>
      </c>
      <c r="AX612" s="148" t="s">
        <v>80</v>
      </c>
      <c r="AY612" s="150" t="s">
        <v>337</v>
      </c>
    </row>
    <row r="613" spans="2:51" s="141" customFormat="1" x14ac:dyDescent="0.2">
      <c r="B613" s="142"/>
      <c r="D613" s="143" t="s">
        <v>346</v>
      </c>
      <c r="E613" s="144"/>
      <c r="F613" s="145" t="s">
        <v>362</v>
      </c>
      <c r="H613" s="144"/>
      <c r="L613" s="142"/>
      <c r="M613" s="146"/>
      <c r="T613" s="147"/>
      <c r="AT613" s="144" t="s">
        <v>346</v>
      </c>
      <c r="AU613" s="144" t="s">
        <v>90</v>
      </c>
      <c r="AV613" s="141" t="s">
        <v>87</v>
      </c>
      <c r="AW613" s="141" t="s">
        <v>33</v>
      </c>
      <c r="AX613" s="141" t="s">
        <v>80</v>
      </c>
      <c r="AY613" s="144" t="s">
        <v>337</v>
      </c>
    </row>
    <row r="614" spans="2:51" s="148" customFormat="1" x14ac:dyDescent="0.2">
      <c r="B614" s="149"/>
      <c r="D614" s="143" t="s">
        <v>346</v>
      </c>
      <c r="E614" s="150"/>
      <c r="F614" s="151" t="s">
        <v>5451</v>
      </c>
      <c r="H614" s="152">
        <v>0.54</v>
      </c>
      <c r="L614" s="149"/>
      <c r="M614" s="153"/>
      <c r="T614" s="154"/>
      <c r="AT614" s="150" t="s">
        <v>346</v>
      </c>
      <c r="AU614" s="150" t="s">
        <v>90</v>
      </c>
      <c r="AV614" s="148" t="s">
        <v>90</v>
      </c>
      <c r="AW614" s="148" t="s">
        <v>33</v>
      </c>
      <c r="AX614" s="148" t="s">
        <v>80</v>
      </c>
      <c r="AY614" s="150" t="s">
        <v>337</v>
      </c>
    </row>
    <row r="615" spans="2:51" s="148" customFormat="1" x14ac:dyDescent="0.2">
      <c r="B615" s="149"/>
      <c r="D615" s="143" t="s">
        <v>346</v>
      </c>
      <c r="E615" s="150"/>
      <c r="F615" s="151" t="s">
        <v>5452</v>
      </c>
      <c r="H615" s="152">
        <v>3.9590000000000001</v>
      </c>
      <c r="L615" s="149"/>
      <c r="M615" s="153"/>
      <c r="T615" s="154"/>
      <c r="AT615" s="150" t="s">
        <v>346</v>
      </c>
      <c r="AU615" s="150" t="s">
        <v>90</v>
      </c>
      <c r="AV615" s="148" t="s">
        <v>90</v>
      </c>
      <c r="AW615" s="148" t="s">
        <v>33</v>
      </c>
      <c r="AX615" s="148" t="s">
        <v>80</v>
      </c>
      <c r="AY615" s="150" t="s">
        <v>337</v>
      </c>
    </row>
    <row r="616" spans="2:51" s="148" customFormat="1" x14ac:dyDescent="0.2">
      <c r="B616" s="149"/>
      <c r="D616" s="143" t="s">
        <v>346</v>
      </c>
      <c r="E616" s="150"/>
      <c r="F616" s="151" t="s">
        <v>5453</v>
      </c>
      <c r="H616" s="152">
        <v>2.7410000000000001</v>
      </c>
      <c r="L616" s="149"/>
      <c r="M616" s="153"/>
      <c r="T616" s="154"/>
      <c r="AT616" s="150" t="s">
        <v>346</v>
      </c>
      <c r="AU616" s="150" t="s">
        <v>90</v>
      </c>
      <c r="AV616" s="148" t="s">
        <v>90</v>
      </c>
      <c r="AW616" s="148" t="s">
        <v>33</v>
      </c>
      <c r="AX616" s="148" t="s">
        <v>80</v>
      </c>
      <c r="AY616" s="150" t="s">
        <v>337</v>
      </c>
    </row>
    <row r="617" spans="2:51" s="148" customFormat="1" x14ac:dyDescent="0.2">
      <c r="B617" s="149"/>
      <c r="D617" s="143" t="s">
        <v>346</v>
      </c>
      <c r="E617" s="150"/>
      <c r="F617" s="151" t="s">
        <v>5454</v>
      </c>
      <c r="H617" s="152">
        <v>12.545999999999999</v>
      </c>
      <c r="L617" s="149"/>
      <c r="M617" s="153"/>
      <c r="T617" s="154"/>
      <c r="AT617" s="150" t="s">
        <v>346</v>
      </c>
      <c r="AU617" s="150" t="s">
        <v>90</v>
      </c>
      <c r="AV617" s="148" t="s">
        <v>90</v>
      </c>
      <c r="AW617" s="148" t="s">
        <v>33</v>
      </c>
      <c r="AX617" s="148" t="s">
        <v>80</v>
      </c>
      <c r="AY617" s="150" t="s">
        <v>337</v>
      </c>
    </row>
    <row r="618" spans="2:51" s="148" customFormat="1" x14ac:dyDescent="0.2">
      <c r="B618" s="149"/>
      <c r="D618" s="143" t="s">
        <v>346</v>
      </c>
      <c r="E618" s="150"/>
      <c r="F618" s="151" t="s">
        <v>5455</v>
      </c>
      <c r="H618" s="152">
        <v>111.976</v>
      </c>
      <c r="L618" s="149"/>
      <c r="M618" s="153"/>
      <c r="T618" s="154"/>
      <c r="AT618" s="150" t="s">
        <v>346</v>
      </c>
      <c r="AU618" s="150" t="s">
        <v>90</v>
      </c>
      <c r="AV618" s="148" t="s">
        <v>90</v>
      </c>
      <c r="AW618" s="148" t="s">
        <v>33</v>
      </c>
      <c r="AX618" s="148" t="s">
        <v>80</v>
      </c>
      <c r="AY618" s="150" t="s">
        <v>337</v>
      </c>
    </row>
    <row r="619" spans="2:51" s="148" customFormat="1" x14ac:dyDescent="0.2">
      <c r="B619" s="149"/>
      <c r="D619" s="143" t="s">
        <v>346</v>
      </c>
      <c r="E619" s="150"/>
      <c r="F619" s="151" t="s">
        <v>5456</v>
      </c>
      <c r="H619" s="152">
        <v>33.825000000000003</v>
      </c>
      <c r="L619" s="149"/>
      <c r="M619" s="153"/>
      <c r="T619" s="154"/>
      <c r="AT619" s="150" t="s">
        <v>346</v>
      </c>
      <c r="AU619" s="150" t="s">
        <v>90</v>
      </c>
      <c r="AV619" s="148" t="s">
        <v>90</v>
      </c>
      <c r="AW619" s="148" t="s">
        <v>33</v>
      </c>
      <c r="AX619" s="148" t="s">
        <v>80</v>
      </c>
      <c r="AY619" s="150" t="s">
        <v>337</v>
      </c>
    </row>
    <row r="620" spans="2:51" s="148" customFormat="1" x14ac:dyDescent="0.2">
      <c r="B620" s="149"/>
      <c r="D620" s="143" t="s">
        <v>346</v>
      </c>
      <c r="E620" s="150"/>
      <c r="F620" s="151" t="s">
        <v>5457</v>
      </c>
      <c r="H620" s="152">
        <v>44.28</v>
      </c>
      <c r="L620" s="149"/>
      <c r="M620" s="153"/>
      <c r="T620" s="154"/>
      <c r="AT620" s="150" t="s">
        <v>346</v>
      </c>
      <c r="AU620" s="150" t="s">
        <v>90</v>
      </c>
      <c r="AV620" s="148" t="s">
        <v>90</v>
      </c>
      <c r="AW620" s="148" t="s">
        <v>33</v>
      </c>
      <c r="AX620" s="148" t="s">
        <v>80</v>
      </c>
      <c r="AY620" s="150" t="s">
        <v>337</v>
      </c>
    </row>
    <row r="621" spans="2:51" s="148" customFormat="1" x14ac:dyDescent="0.2">
      <c r="B621" s="149"/>
      <c r="D621" s="143" t="s">
        <v>346</v>
      </c>
      <c r="E621" s="150"/>
      <c r="F621" s="151" t="s">
        <v>5458</v>
      </c>
      <c r="H621" s="152">
        <v>19.254999999999999</v>
      </c>
      <c r="L621" s="149"/>
      <c r="M621" s="153"/>
      <c r="T621" s="154"/>
      <c r="AT621" s="150" t="s">
        <v>346</v>
      </c>
      <c r="AU621" s="150" t="s">
        <v>90</v>
      </c>
      <c r="AV621" s="148" t="s">
        <v>90</v>
      </c>
      <c r="AW621" s="148" t="s">
        <v>33</v>
      </c>
      <c r="AX621" s="148" t="s">
        <v>80</v>
      </c>
      <c r="AY621" s="150" t="s">
        <v>337</v>
      </c>
    </row>
    <row r="622" spans="2:51" s="148" customFormat="1" x14ac:dyDescent="0.2">
      <c r="B622" s="149"/>
      <c r="D622" s="143" t="s">
        <v>346</v>
      </c>
      <c r="E622" s="150"/>
      <c r="F622" s="151" t="s">
        <v>5459</v>
      </c>
      <c r="H622" s="152">
        <v>10.148</v>
      </c>
      <c r="L622" s="149"/>
      <c r="M622" s="153"/>
      <c r="T622" s="154"/>
      <c r="AT622" s="150" t="s">
        <v>346</v>
      </c>
      <c r="AU622" s="150" t="s">
        <v>90</v>
      </c>
      <c r="AV622" s="148" t="s">
        <v>90</v>
      </c>
      <c r="AW622" s="148" t="s">
        <v>33</v>
      </c>
      <c r="AX622" s="148" t="s">
        <v>80</v>
      </c>
      <c r="AY622" s="150" t="s">
        <v>337</v>
      </c>
    </row>
    <row r="623" spans="2:51" s="148" customFormat="1" x14ac:dyDescent="0.2">
      <c r="B623" s="149"/>
      <c r="D623" s="143" t="s">
        <v>346</v>
      </c>
      <c r="E623" s="150"/>
      <c r="F623" s="151" t="s">
        <v>5460</v>
      </c>
      <c r="H623" s="152">
        <v>7.38</v>
      </c>
      <c r="L623" s="149"/>
      <c r="M623" s="153"/>
      <c r="T623" s="154"/>
      <c r="AT623" s="150" t="s">
        <v>346</v>
      </c>
      <c r="AU623" s="150" t="s">
        <v>90</v>
      </c>
      <c r="AV623" s="148" t="s">
        <v>90</v>
      </c>
      <c r="AW623" s="148" t="s">
        <v>33</v>
      </c>
      <c r="AX623" s="148" t="s">
        <v>80</v>
      </c>
      <c r="AY623" s="150" t="s">
        <v>337</v>
      </c>
    </row>
    <row r="624" spans="2:51" s="148" customFormat="1" x14ac:dyDescent="0.2">
      <c r="B624" s="149"/>
      <c r="D624" s="143" t="s">
        <v>346</v>
      </c>
      <c r="E624" s="150"/>
      <c r="F624" s="151" t="s">
        <v>5461</v>
      </c>
      <c r="H624" s="152">
        <v>15.834</v>
      </c>
      <c r="L624" s="149"/>
      <c r="M624" s="153"/>
      <c r="T624" s="154"/>
      <c r="AT624" s="150" t="s">
        <v>346</v>
      </c>
      <c r="AU624" s="150" t="s">
        <v>90</v>
      </c>
      <c r="AV624" s="148" t="s">
        <v>90</v>
      </c>
      <c r="AW624" s="148" t="s">
        <v>33</v>
      </c>
      <c r="AX624" s="148" t="s">
        <v>80</v>
      </c>
      <c r="AY624" s="150" t="s">
        <v>337</v>
      </c>
    </row>
    <row r="625" spans="2:51" s="141" customFormat="1" x14ac:dyDescent="0.2">
      <c r="B625" s="142"/>
      <c r="D625" s="143" t="s">
        <v>346</v>
      </c>
      <c r="E625" s="144"/>
      <c r="F625" s="145" t="s">
        <v>5462</v>
      </c>
      <c r="H625" s="144"/>
      <c r="L625" s="142"/>
      <c r="M625" s="146"/>
      <c r="T625" s="147"/>
      <c r="AT625" s="144" t="s">
        <v>346</v>
      </c>
      <c r="AU625" s="144" t="s">
        <v>90</v>
      </c>
      <c r="AV625" s="141" t="s">
        <v>87</v>
      </c>
      <c r="AW625" s="141" t="s">
        <v>33</v>
      </c>
      <c r="AX625" s="141" t="s">
        <v>80</v>
      </c>
      <c r="AY625" s="144" t="s">
        <v>337</v>
      </c>
    </row>
    <row r="626" spans="2:51" s="148" customFormat="1" x14ac:dyDescent="0.2">
      <c r="B626" s="149"/>
      <c r="D626" s="143" t="s">
        <v>346</v>
      </c>
      <c r="E626" s="150"/>
      <c r="F626" s="151" t="s">
        <v>5463</v>
      </c>
      <c r="H626" s="152">
        <v>20.271999999999998</v>
      </c>
      <c r="L626" s="149"/>
      <c r="M626" s="153"/>
      <c r="T626" s="154"/>
      <c r="AT626" s="150" t="s">
        <v>346</v>
      </c>
      <c r="AU626" s="150" t="s">
        <v>90</v>
      </c>
      <c r="AV626" s="148" t="s">
        <v>90</v>
      </c>
      <c r="AW626" s="148" t="s">
        <v>33</v>
      </c>
      <c r="AX626" s="148" t="s">
        <v>80</v>
      </c>
      <c r="AY626" s="150" t="s">
        <v>337</v>
      </c>
    </row>
    <row r="627" spans="2:51" s="148" customFormat="1" x14ac:dyDescent="0.2">
      <c r="B627" s="149"/>
      <c r="D627" s="143" t="s">
        <v>346</v>
      </c>
      <c r="E627" s="150"/>
      <c r="F627" s="151" t="s">
        <v>5464</v>
      </c>
      <c r="H627" s="152">
        <v>26.385999999999999</v>
      </c>
      <c r="L627" s="149"/>
      <c r="M627" s="153"/>
      <c r="T627" s="154"/>
      <c r="AT627" s="150" t="s">
        <v>346</v>
      </c>
      <c r="AU627" s="150" t="s">
        <v>90</v>
      </c>
      <c r="AV627" s="148" t="s">
        <v>90</v>
      </c>
      <c r="AW627" s="148" t="s">
        <v>33</v>
      </c>
      <c r="AX627" s="148" t="s">
        <v>80</v>
      </c>
      <c r="AY627" s="150" t="s">
        <v>337</v>
      </c>
    </row>
    <row r="628" spans="2:51" s="141" customFormat="1" x14ac:dyDescent="0.2">
      <c r="B628" s="142"/>
      <c r="D628" s="143" t="s">
        <v>346</v>
      </c>
      <c r="E628" s="144"/>
      <c r="F628" s="145" t="s">
        <v>367</v>
      </c>
      <c r="H628" s="144"/>
      <c r="L628" s="142"/>
      <c r="M628" s="146"/>
      <c r="T628" s="147"/>
      <c r="AT628" s="144" t="s">
        <v>346</v>
      </c>
      <c r="AU628" s="144" t="s">
        <v>90</v>
      </c>
      <c r="AV628" s="141" t="s">
        <v>87</v>
      </c>
      <c r="AW628" s="141" t="s">
        <v>33</v>
      </c>
      <c r="AX628" s="141" t="s">
        <v>80</v>
      </c>
      <c r="AY628" s="144" t="s">
        <v>337</v>
      </c>
    </row>
    <row r="629" spans="2:51" s="148" customFormat="1" x14ac:dyDescent="0.2">
      <c r="B629" s="149"/>
      <c r="D629" s="143" t="s">
        <v>346</v>
      </c>
      <c r="E629" s="150"/>
      <c r="F629" s="151" t="s">
        <v>5465</v>
      </c>
      <c r="H629" s="152">
        <v>1.08</v>
      </c>
      <c r="L629" s="149"/>
      <c r="M629" s="153"/>
      <c r="T629" s="154"/>
      <c r="AT629" s="150" t="s">
        <v>346</v>
      </c>
      <c r="AU629" s="150" t="s">
        <v>90</v>
      </c>
      <c r="AV629" s="148" t="s">
        <v>90</v>
      </c>
      <c r="AW629" s="148" t="s">
        <v>33</v>
      </c>
      <c r="AX629" s="148" t="s">
        <v>80</v>
      </c>
      <c r="AY629" s="150" t="s">
        <v>337</v>
      </c>
    </row>
    <row r="630" spans="2:51" s="148" customFormat="1" x14ac:dyDescent="0.2">
      <c r="B630" s="149"/>
      <c r="D630" s="143" t="s">
        <v>346</v>
      </c>
      <c r="E630" s="150"/>
      <c r="F630" s="151" t="s">
        <v>5466</v>
      </c>
      <c r="H630" s="152">
        <v>0.81</v>
      </c>
      <c r="L630" s="149"/>
      <c r="M630" s="153"/>
      <c r="T630" s="154"/>
      <c r="AT630" s="150" t="s">
        <v>346</v>
      </c>
      <c r="AU630" s="150" t="s">
        <v>90</v>
      </c>
      <c r="AV630" s="148" t="s">
        <v>90</v>
      </c>
      <c r="AW630" s="148" t="s">
        <v>33</v>
      </c>
      <c r="AX630" s="148" t="s">
        <v>80</v>
      </c>
      <c r="AY630" s="150" t="s">
        <v>337</v>
      </c>
    </row>
    <row r="631" spans="2:51" s="148" customFormat="1" x14ac:dyDescent="0.2">
      <c r="B631" s="149"/>
      <c r="D631" s="143" t="s">
        <v>346</v>
      </c>
      <c r="E631" s="150"/>
      <c r="F631" s="151" t="s">
        <v>5467</v>
      </c>
      <c r="H631" s="152">
        <v>7.9169999999999998</v>
      </c>
      <c r="L631" s="149"/>
      <c r="M631" s="153"/>
      <c r="T631" s="154"/>
      <c r="AT631" s="150" t="s">
        <v>346</v>
      </c>
      <c r="AU631" s="150" t="s">
        <v>90</v>
      </c>
      <c r="AV631" s="148" t="s">
        <v>90</v>
      </c>
      <c r="AW631" s="148" t="s">
        <v>33</v>
      </c>
      <c r="AX631" s="148" t="s">
        <v>80</v>
      </c>
      <c r="AY631" s="150" t="s">
        <v>337</v>
      </c>
    </row>
    <row r="632" spans="2:51" s="148" customFormat="1" x14ac:dyDescent="0.2">
      <c r="B632" s="149"/>
      <c r="D632" s="143" t="s">
        <v>346</v>
      </c>
      <c r="E632" s="150"/>
      <c r="F632" s="151" t="s">
        <v>5468</v>
      </c>
      <c r="H632" s="152">
        <v>7.38</v>
      </c>
      <c r="L632" s="149"/>
      <c r="M632" s="153"/>
      <c r="T632" s="154"/>
      <c r="AT632" s="150" t="s">
        <v>346</v>
      </c>
      <c r="AU632" s="150" t="s">
        <v>90</v>
      </c>
      <c r="AV632" s="148" t="s">
        <v>90</v>
      </c>
      <c r="AW632" s="148" t="s">
        <v>33</v>
      </c>
      <c r="AX632" s="148" t="s">
        <v>80</v>
      </c>
      <c r="AY632" s="150" t="s">
        <v>337</v>
      </c>
    </row>
    <row r="633" spans="2:51" s="148" customFormat="1" x14ac:dyDescent="0.2">
      <c r="B633" s="149"/>
      <c r="D633" s="143" t="s">
        <v>346</v>
      </c>
      <c r="E633" s="150"/>
      <c r="F633" s="151" t="s">
        <v>5469</v>
      </c>
      <c r="H633" s="152">
        <v>3.51</v>
      </c>
      <c r="L633" s="149"/>
      <c r="M633" s="153"/>
      <c r="T633" s="154"/>
      <c r="AT633" s="150" t="s">
        <v>346</v>
      </c>
      <c r="AU633" s="150" t="s">
        <v>90</v>
      </c>
      <c r="AV633" s="148" t="s">
        <v>90</v>
      </c>
      <c r="AW633" s="148" t="s">
        <v>33</v>
      </c>
      <c r="AX633" s="148" t="s">
        <v>80</v>
      </c>
      <c r="AY633" s="150" t="s">
        <v>337</v>
      </c>
    </row>
    <row r="634" spans="2:51" s="148" customFormat="1" x14ac:dyDescent="0.2">
      <c r="B634" s="149"/>
      <c r="D634" s="143" t="s">
        <v>346</v>
      </c>
      <c r="E634" s="150"/>
      <c r="F634" s="151" t="s">
        <v>5470</v>
      </c>
      <c r="H634" s="152">
        <v>2.2949999999999999</v>
      </c>
      <c r="L634" s="149"/>
      <c r="M634" s="153"/>
      <c r="T634" s="154"/>
      <c r="AT634" s="150" t="s">
        <v>346</v>
      </c>
      <c r="AU634" s="150" t="s">
        <v>90</v>
      </c>
      <c r="AV634" s="148" t="s">
        <v>90</v>
      </c>
      <c r="AW634" s="148" t="s">
        <v>33</v>
      </c>
      <c r="AX634" s="148" t="s">
        <v>80</v>
      </c>
      <c r="AY634" s="150" t="s">
        <v>337</v>
      </c>
    </row>
    <row r="635" spans="2:51" s="148" customFormat="1" x14ac:dyDescent="0.2">
      <c r="B635" s="149"/>
      <c r="D635" s="143" t="s">
        <v>346</v>
      </c>
      <c r="E635" s="150"/>
      <c r="F635" s="151" t="s">
        <v>5471</v>
      </c>
      <c r="H635" s="152">
        <v>4.92</v>
      </c>
      <c r="L635" s="149"/>
      <c r="M635" s="153"/>
      <c r="T635" s="154"/>
      <c r="AT635" s="150" t="s">
        <v>346</v>
      </c>
      <c r="AU635" s="150" t="s">
        <v>90</v>
      </c>
      <c r="AV635" s="148" t="s">
        <v>90</v>
      </c>
      <c r="AW635" s="148" t="s">
        <v>33</v>
      </c>
      <c r="AX635" s="148" t="s">
        <v>80</v>
      </c>
      <c r="AY635" s="150" t="s">
        <v>337</v>
      </c>
    </row>
    <row r="636" spans="2:51" s="148" customFormat="1" x14ac:dyDescent="0.2">
      <c r="B636" s="149"/>
      <c r="D636" s="143" t="s">
        <v>346</v>
      </c>
      <c r="E636" s="150"/>
      <c r="F636" s="151" t="s">
        <v>5472</v>
      </c>
      <c r="H636" s="152">
        <v>87.74</v>
      </c>
      <c r="L636" s="149"/>
      <c r="M636" s="153"/>
      <c r="T636" s="154"/>
      <c r="AT636" s="150" t="s">
        <v>346</v>
      </c>
      <c r="AU636" s="150" t="s">
        <v>90</v>
      </c>
      <c r="AV636" s="148" t="s">
        <v>90</v>
      </c>
      <c r="AW636" s="148" t="s">
        <v>33</v>
      </c>
      <c r="AX636" s="148" t="s">
        <v>80</v>
      </c>
      <c r="AY636" s="150" t="s">
        <v>337</v>
      </c>
    </row>
    <row r="637" spans="2:51" s="148" customFormat="1" x14ac:dyDescent="0.2">
      <c r="B637" s="149"/>
      <c r="D637" s="143" t="s">
        <v>346</v>
      </c>
      <c r="E637" s="150"/>
      <c r="F637" s="151" t="s">
        <v>5456</v>
      </c>
      <c r="H637" s="152">
        <v>33.825000000000003</v>
      </c>
      <c r="L637" s="149"/>
      <c r="M637" s="153"/>
      <c r="T637" s="154"/>
      <c r="AT637" s="150" t="s">
        <v>346</v>
      </c>
      <c r="AU637" s="150" t="s">
        <v>90</v>
      </c>
      <c r="AV637" s="148" t="s">
        <v>90</v>
      </c>
      <c r="AW637" s="148" t="s">
        <v>33</v>
      </c>
      <c r="AX637" s="148" t="s">
        <v>80</v>
      </c>
      <c r="AY637" s="150" t="s">
        <v>337</v>
      </c>
    </row>
    <row r="638" spans="2:51" s="148" customFormat="1" x14ac:dyDescent="0.2">
      <c r="B638" s="149"/>
      <c r="D638" s="143" t="s">
        <v>346</v>
      </c>
      <c r="E638" s="150"/>
      <c r="F638" s="151" t="s">
        <v>5473</v>
      </c>
      <c r="H638" s="152">
        <v>33.21</v>
      </c>
      <c r="L638" s="149"/>
      <c r="M638" s="153"/>
      <c r="T638" s="154"/>
      <c r="AT638" s="150" t="s">
        <v>346</v>
      </c>
      <c r="AU638" s="150" t="s">
        <v>90</v>
      </c>
      <c r="AV638" s="148" t="s">
        <v>90</v>
      </c>
      <c r="AW638" s="148" t="s">
        <v>33</v>
      </c>
      <c r="AX638" s="148" t="s">
        <v>80</v>
      </c>
      <c r="AY638" s="150" t="s">
        <v>337</v>
      </c>
    </row>
    <row r="639" spans="2:51" s="148" customFormat="1" x14ac:dyDescent="0.2">
      <c r="B639" s="149"/>
      <c r="D639" s="143" t="s">
        <v>346</v>
      </c>
      <c r="E639" s="150"/>
      <c r="F639" s="151" t="s">
        <v>5474</v>
      </c>
      <c r="H639" s="152">
        <v>20.295000000000002</v>
      </c>
      <c r="L639" s="149"/>
      <c r="M639" s="153"/>
      <c r="T639" s="154"/>
      <c r="AT639" s="150" t="s">
        <v>346</v>
      </c>
      <c r="AU639" s="150" t="s">
        <v>90</v>
      </c>
      <c r="AV639" s="148" t="s">
        <v>90</v>
      </c>
      <c r="AW639" s="148" t="s">
        <v>33</v>
      </c>
      <c r="AX639" s="148" t="s">
        <v>80</v>
      </c>
      <c r="AY639" s="150" t="s">
        <v>337</v>
      </c>
    </row>
    <row r="640" spans="2:51" s="148" customFormat="1" x14ac:dyDescent="0.2">
      <c r="B640" s="149"/>
      <c r="D640" s="143" t="s">
        <v>346</v>
      </c>
      <c r="E640" s="150"/>
      <c r="F640" s="151" t="s">
        <v>5475</v>
      </c>
      <c r="H640" s="152">
        <v>11.316000000000001</v>
      </c>
      <c r="L640" s="149"/>
      <c r="M640" s="153"/>
      <c r="T640" s="154"/>
      <c r="AT640" s="150" t="s">
        <v>346</v>
      </c>
      <c r="AU640" s="150" t="s">
        <v>90</v>
      </c>
      <c r="AV640" s="148" t="s">
        <v>90</v>
      </c>
      <c r="AW640" s="148" t="s">
        <v>33</v>
      </c>
      <c r="AX640" s="148" t="s">
        <v>80</v>
      </c>
      <c r="AY640" s="150" t="s">
        <v>337</v>
      </c>
    </row>
    <row r="641" spans="2:51" s="148" customFormat="1" x14ac:dyDescent="0.2">
      <c r="B641" s="149"/>
      <c r="D641" s="143" t="s">
        <v>346</v>
      </c>
      <c r="E641" s="150"/>
      <c r="F641" s="151" t="s">
        <v>5453</v>
      </c>
      <c r="H641" s="152">
        <v>2.7410000000000001</v>
      </c>
      <c r="L641" s="149"/>
      <c r="M641" s="153"/>
      <c r="T641" s="154"/>
      <c r="AT641" s="150" t="s">
        <v>346</v>
      </c>
      <c r="AU641" s="150" t="s">
        <v>90</v>
      </c>
      <c r="AV641" s="148" t="s">
        <v>90</v>
      </c>
      <c r="AW641" s="148" t="s">
        <v>33</v>
      </c>
      <c r="AX641" s="148" t="s">
        <v>80</v>
      </c>
      <c r="AY641" s="150" t="s">
        <v>337</v>
      </c>
    </row>
    <row r="642" spans="2:51" s="148" customFormat="1" x14ac:dyDescent="0.2">
      <c r="B642" s="149"/>
      <c r="D642" s="143" t="s">
        <v>346</v>
      </c>
      <c r="E642" s="150"/>
      <c r="F642" s="151" t="s">
        <v>5476</v>
      </c>
      <c r="H642" s="152">
        <v>9.1349999999999998</v>
      </c>
      <c r="L642" s="149"/>
      <c r="M642" s="153"/>
      <c r="T642" s="154"/>
      <c r="AT642" s="150" t="s">
        <v>346</v>
      </c>
      <c r="AU642" s="150" t="s">
        <v>90</v>
      </c>
      <c r="AV642" s="148" t="s">
        <v>90</v>
      </c>
      <c r="AW642" s="148" t="s">
        <v>33</v>
      </c>
      <c r="AX642" s="148" t="s">
        <v>80</v>
      </c>
      <c r="AY642" s="150" t="s">
        <v>337</v>
      </c>
    </row>
    <row r="643" spans="2:51" s="141" customFormat="1" x14ac:dyDescent="0.2">
      <c r="B643" s="142"/>
      <c r="D643" s="143" t="s">
        <v>346</v>
      </c>
      <c r="E643" s="144"/>
      <c r="F643" s="145" t="s">
        <v>368</v>
      </c>
      <c r="H643" s="144"/>
      <c r="L643" s="142"/>
      <c r="M643" s="146"/>
      <c r="T643" s="147"/>
      <c r="AT643" s="144" t="s">
        <v>346</v>
      </c>
      <c r="AU643" s="144" t="s">
        <v>90</v>
      </c>
      <c r="AV643" s="141" t="s">
        <v>87</v>
      </c>
      <c r="AW643" s="141" t="s">
        <v>33</v>
      </c>
      <c r="AX643" s="141" t="s">
        <v>80</v>
      </c>
      <c r="AY643" s="144" t="s">
        <v>337</v>
      </c>
    </row>
    <row r="644" spans="2:51" s="148" customFormat="1" x14ac:dyDescent="0.2">
      <c r="B644" s="149"/>
      <c r="D644" s="143" t="s">
        <v>346</v>
      </c>
      <c r="E644" s="150"/>
      <c r="F644" s="151" t="s">
        <v>5451</v>
      </c>
      <c r="H644" s="152">
        <v>0.54</v>
      </c>
      <c r="L644" s="149"/>
      <c r="M644" s="153"/>
      <c r="T644" s="154"/>
      <c r="AT644" s="150" t="s">
        <v>346</v>
      </c>
      <c r="AU644" s="150" t="s">
        <v>90</v>
      </c>
      <c r="AV644" s="148" t="s">
        <v>90</v>
      </c>
      <c r="AW644" s="148" t="s">
        <v>33</v>
      </c>
      <c r="AX644" s="148" t="s">
        <v>80</v>
      </c>
      <c r="AY644" s="150" t="s">
        <v>337</v>
      </c>
    </row>
    <row r="645" spans="2:51" s="148" customFormat="1" x14ac:dyDescent="0.2">
      <c r="B645" s="149"/>
      <c r="D645" s="143" t="s">
        <v>346</v>
      </c>
      <c r="E645" s="150"/>
      <c r="F645" s="151" t="s">
        <v>5477</v>
      </c>
      <c r="H645" s="152">
        <v>1.38</v>
      </c>
      <c r="L645" s="149"/>
      <c r="M645" s="153"/>
      <c r="T645" s="154"/>
      <c r="AT645" s="150" t="s">
        <v>346</v>
      </c>
      <c r="AU645" s="150" t="s">
        <v>90</v>
      </c>
      <c r="AV645" s="148" t="s">
        <v>90</v>
      </c>
      <c r="AW645" s="148" t="s">
        <v>33</v>
      </c>
      <c r="AX645" s="148" t="s">
        <v>80</v>
      </c>
      <c r="AY645" s="150" t="s">
        <v>337</v>
      </c>
    </row>
    <row r="646" spans="2:51" s="148" customFormat="1" x14ac:dyDescent="0.2">
      <c r="B646" s="149"/>
      <c r="D646" s="143" t="s">
        <v>346</v>
      </c>
      <c r="E646" s="150"/>
      <c r="F646" s="151" t="s">
        <v>5478</v>
      </c>
      <c r="H646" s="152">
        <v>3.69</v>
      </c>
      <c r="L646" s="149"/>
      <c r="M646" s="153"/>
      <c r="T646" s="154"/>
      <c r="AT646" s="150" t="s">
        <v>346</v>
      </c>
      <c r="AU646" s="150" t="s">
        <v>90</v>
      </c>
      <c r="AV646" s="148" t="s">
        <v>90</v>
      </c>
      <c r="AW646" s="148" t="s">
        <v>33</v>
      </c>
      <c r="AX646" s="148" t="s">
        <v>80</v>
      </c>
      <c r="AY646" s="150" t="s">
        <v>337</v>
      </c>
    </row>
    <row r="647" spans="2:51" s="148" customFormat="1" x14ac:dyDescent="0.2">
      <c r="B647" s="149"/>
      <c r="D647" s="143" t="s">
        <v>346</v>
      </c>
      <c r="E647" s="150"/>
      <c r="F647" s="151" t="s">
        <v>5453</v>
      </c>
      <c r="H647" s="152">
        <v>2.7410000000000001</v>
      </c>
      <c r="L647" s="149"/>
      <c r="M647" s="153"/>
      <c r="T647" s="154"/>
      <c r="AT647" s="150" t="s">
        <v>346</v>
      </c>
      <c r="AU647" s="150" t="s">
        <v>90</v>
      </c>
      <c r="AV647" s="148" t="s">
        <v>90</v>
      </c>
      <c r="AW647" s="148" t="s">
        <v>33</v>
      </c>
      <c r="AX647" s="148" t="s">
        <v>80</v>
      </c>
      <c r="AY647" s="150" t="s">
        <v>337</v>
      </c>
    </row>
    <row r="648" spans="2:51" s="148" customFormat="1" x14ac:dyDescent="0.2">
      <c r="B648" s="149"/>
      <c r="D648" s="143" t="s">
        <v>346</v>
      </c>
      <c r="E648" s="150"/>
      <c r="F648" s="151" t="s">
        <v>5467</v>
      </c>
      <c r="H648" s="152">
        <v>7.9169999999999998</v>
      </c>
      <c r="L648" s="149"/>
      <c r="M648" s="153"/>
      <c r="T648" s="154"/>
      <c r="AT648" s="150" t="s">
        <v>346</v>
      </c>
      <c r="AU648" s="150" t="s">
        <v>90</v>
      </c>
      <c r="AV648" s="148" t="s">
        <v>90</v>
      </c>
      <c r="AW648" s="148" t="s">
        <v>33</v>
      </c>
      <c r="AX648" s="148" t="s">
        <v>80</v>
      </c>
      <c r="AY648" s="150" t="s">
        <v>337</v>
      </c>
    </row>
    <row r="649" spans="2:51" s="148" customFormat="1" x14ac:dyDescent="0.2">
      <c r="B649" s="149"/>
      <c r="D649" s="143" t="s">
        <v>346</v>
      </c>
      <c r="E649" s="150"/>
      <c r="F649" s="151" t="s">
        <v>5469</v>
      </c>
      <c r="H649" s="152">
        <v>3.51</v>
      </c>
      <c r="L649" s="149"/>
      <c r="M649" s="153"/>
      <c r="T649" s="154"/>
      <c r="AT649" s="150" t="s">
        <v>346</v>
      </c>
      <c r="AU649" s="150" t="s">
        <v>90</v>
      </c>
      <c r="AV649" s="148" t="s">
        <v>90</v>
      </c>
      <c r="AW649" s="148" t="s">
        <v>33</v>
      </c>
      <c r="AX649" s="148" t="s">
        <v>80</v>
      </c>
      <c r="AY649" s="150" t="s">
        <v>337</v>
      </c>
    </row>
    <row r="650" spans="2:51" s="148" customFormat="1" x14ac:dyDescent="0.2">
      <c r="B650" s="149"/>
      <c r="D650" s="143" t="s">
        <v>346</v>
      </c>
      <c r="E650" s="150"/>
      <c r="F650" s="151" t="s">
        <v>5479</v>
      </c>
      <c r="H650" s="152">
        <v>2.0699999999999998</v>
      </c>
      <c r="L650" s="149"/>
      <c r="M650" s="153"/>
      <c r="T650" s="154"/>
      <c r="AT650" s="150" t="s">
        <v>346</v>
      </c>
      <c r="AU650" s="150" t="s">
        <v>90</v>
      </c>
      <c r="AV650" s="148" t="s">
        <v>90</v>
      </c>
      <c r="AW650" s="148" t="s">
        <v>33</v>
      </c>
      <c r="AX650" s="148" t="s">
        <v>80</v>
      </c>
      <c r="AY650" s="150" t="s">
        <v>337</v>
      </c>
    </row>
    <row r="651" spans="2:51" s="148" customFormat="1" x14ac:dyDescent="0.2">
      <c r="B651" s="149"/>
      <c r="D651" s="143" t="s">
        <v>346</v>
      </c>
      <c r="E651" s="150"/>
      <c r="F651" s="151" t="s">
        <v>5472</v>
      </c>
      <c r="H651" s="152">
        <v>87.74</v>
      </c>
      <c r="L651" s="149"/>
      <c r="M651" s="153"/>
      <c r="T651" s="154"/>
      <c r="AT651" s="150" t="s">
        <v>346</v>
      </c>
      <c r="AU651" s="150" t="s">
        <v>90</v>
      </c>
      <c r="AV651" s="148" t="s">
        <v>90</v>
      </c>
      <c r="AW651" s="148" t="s">
        <v>33</v>
      </c>
      <c r="AX651" s="148" t="s">
        <v>80</v>
      </c>
      <c r="AY651" s="150" t="s">
        <v>337</v>
      </c>
    </row>
    <row r="652" spans="2:51" s="148" customFormat="1" x14ac:dyDescent="0.2">
      <c r="B652" s="149"/>
      <c r="D652" s="143" t="s">
        <v>346</v>
      </c>
      <c r="E652" s="150"/>
      <c r="F652" s="151" t="s">
        <v>5471</v>
      </c>
      <c r="H652" s="152">
        <v>4.92</v>
      </c>
      <c r="L652" s="149"/>
      <c r="M652" s="153"/>
      <c r="T652" s="154"/>
      <c r="AT652" s="150" t="s">
        <v>346</v>
      </c>
      <c r="AU652" s="150" t="s">
        <v>90</v>
      </c>
      <c r="AV652" s="148" t="s">
        <v>90</v>
      </c>
      <c r="AW652" s="148" t="s">
        <v>33</v>
      </c>
      <c r="AX652" s="148" t="s">
        <v>80</v>
      </c>
      <c r="AY652" s="150" t="s">
        <v>337</v>
      </c>
    </row>
    <row r="653" spans="2:51" s="148" customFormat="1" x14ac:dyDescent="0.2">
      <c r="B653" s="149"/>
      <c r="D653" s="143" t="s">
        <v>346</v>
      </c>
      <c r="E653" s="150"/>
      <c r="F653" s="151" t="s">
        <v>5480</v>
      </c>
      <c r="H653" s="152">
        <v>5.33</v>
      </c>
      <c r="L653" s="149"/>
      <c r="M653" s="153"/>
      <c r="T653" s="154"/>
      <c r="AT653" s="150" t="s">
        <v>346</v>
      </c>
      <c r="AU653" s="150" t="s">
        <v>90</v>
      </c>
      <c r="AV653" s="148" t="s">
        <v>90</v>
      </c>
      <c r="AW653" s="148" t="s">
        <v>33</v>
      </c>
      <c r="AX653" s="148" t="s">
        <v>80</v>
      </c>
      <c r="AY653" s="150" t="s">
        <v>337</v>
      </c>
    </row>
    <row r="654" spans="2:51" s="148" customFormat="1" x14ac:dyDescent="0.2">
      <c r="B654" s="149"/>
      <c r="D654" s="143" t="s">
        <v>346</v>
      </c>
      <c r="E654" s="150"/>
      <c r="F654" s="151" t="s">
        <v>5456</v>
      </c>
      <c r="H654" s="152">
        <v>33.825000000000003</v>
      </c>
      <c r="L654" s="149"/>
      <c r="M654" s="153"/>
      <c r="T654" s="154"/>
      <c r="AT654" s="150" t="s">
        <v>346</v>
      </c>
      <c r="AU654" s="150" t="s">
        <v>90</v>
      </c>
      <c r="AV654" s="148" t="s">
        <v>90</v>
      </c>
      <c r="AW654" s="148" t="s">
        <v>33</v>
      </c>
      <c r="AX654" s="148" t="s">
        <v>80</v>
      </c>
      <c r="AY654" s="150" t="s">
        <v>337</v>
      </c>
    </row>
    <row r="655" spans="2:51" s="148" customFormat="1" x14ac:dyDescent="0.2">
      <c r="B655" s="149"/>
      <c r="D655" s="143" t="s">
        <v>346</v>
      </c>
      <c r="E655" s="150"/>
      <c r="F655" s="151" t="s">
        <v>5473</v>
      </c>
      <c r="H655" s="152">
        <v>33.21</v>
      </c>
      <c r="L655" s="149"/>
      <c r="M655" s="153"/>
      <c r="T655" s="154"/>
      <c r="AT655" s="150" t="s">
        <v>346</v>
      </c>
      <c r="AU655" s="150" t="s">
        <v>90</v>
      </c>
      <c r="AV655" s="148" t="s">
        <v>90</v>
      </c>
      <c r="AW655" s="148" t="s">
        <v>33</v>
      </c>
      <c r="AX655" s="148" t="s">
        <v>80</v>
      </c>
      <c r="AY655" s="150" t="s">
        <v>337</v>
      </c>
    </row>
    <row r="656" spans="2:51" s="148" customFormat="1" x14ac:dyDescent="0.2">
      <c r="B656" s="149"/>
      <c r="D656" s="143" t="s">
        <v>346</v>
      </c>
      <c r="E656" s="150"/>
      <c r="F656" s="151" t="s">
        <v>5474</v>
      </c>
      <c r="H656" s="152">
        <v>20.295000000000002</v>
      </c>
      <c r="L656" s="149"/>
      <c r="M656" s="153"/>
      <c r="T656" s="154"/>
      <c r="AT656" s="150" t="s">
        <v>346</v>
      </c>
      <c r="AU656" s="150" t="s">
        <v>90</v>
      </c>
      <c r="AV656" s="148" t="s">
        <v>90</v>
      </c>
      <c r="AW656" s="148" t="s">
        <v>33</v>
      </c>
      <c r="AX656" s="148" t="s">
        <v>80</v>
      </c>
      <c r="AY656" s="150" t="s">
        <v>337</v>
      </c>
    </row>
    <row r="657" spans="2:51" s="148" customFormat="1" x14ac:dyDescent="0.2">
      <c r="B657" s="149"/>
      <c r="D657" s="143" t="s">
        <v>346</v>
      </c>
      <c r="E657" s="150"/>
      <c r="F657" s="151" t="s">
        <v>5475</v>
      </c>
      <c r="H657" s="152">
        <v>11.316000000000001</v>
      </c>
      <c r="L657" s="149"/>
      <c r="M657" s="153"/>
      <c r="T657" s="154"/>
      <c r="AT657" s="150" t="s">
        <v>346</v>
      </c>
      <c r="AU657" s="150" t="s">
        <v>90</v>
      </c>
      <c r="AV657" s="148" t="s">
        <v>90</v>
      </c>
      <c r="AW657" s="148" t="s">
        <v>33</v>
      </c>
      <c r="AX657" s="148" t="s">
        <v>80</v>
      </c>
      <c r="AY657" s="150" t="s">
        <v>337</v>
      </c>
    </row>
    <row r="658" spans="2:51" s="148" customFormat="1" x14ac:dyDescent="0.2">
      <c r="B658" s="149"/>
      <c r="D658" s="143" t="s">
        <v>346</v>
      </c>
      <c r="E658" s="150"/>
      <c r="F658" s="151" t="s">
        <v>5476</v>
      </c>
      <c r="H658" s="152">
        <v>9.1349999999999998</v>
      </c>
      <c r="L658" s="149"/>
      <c r="M658" s="153"/>
      <c r="T658" s="154"/>
      <c r="AT658" s="150" t="s">
        <v>346</v>
      </c>
      <c r="AU658" s="150" t="s">
        <v>90</v>
      </c>
      <c r="AV658" s="148" t="s">
        <v>90</v>
      </c>
      <c r="AW658" s="148" t="s">
        <v>33</v>
      </c>
      <c r="AX658" s="148" t="s">
        <v>80</v>
      </c>
      <c r="AY658" s="150" t="s">
        <v>337</v>
      </c>
    </row>
    <row r="659" spans="2:51" s="141" customFormat="1" x14ac:dyDescent="0.2">
      <c r="B659" s="142"/>
      <c r="D659" s="143" t="s">
        <v>346</v>
      </c>
      <c r="E659" s="144"/>
      <c r="F659" s="145" t="s">
        <v>370</v>
      </c>
      <c r="H659" s="144"/>
      <c r="L659" s="142"/>
      <c r="M659" s="146"/>
      <c r="T659" s="147"/>
      <c r="AT659" s="144" t="s">
        <v>346</v>
      </c>
      <c r="AU659" s="144" t="s">
        <v>90</v>
      </c>
      <c r="AV659" s="141" t="s">
        <v>87</v>
      </c>
      <c r="AW659" s="141" t="s">
        <v>33</v>
      </c>
      <c r="AX659" s="141" t="s">
        <v>80</v>
      </c>
      <c r="AY659" s="144" t="s">
        <v>337</v>
      </c>
    </row>
    <row r="660" spans="2:51" s="148" customFormat="1" x14ac:dyDescent="0.2">
      <c r="B660" s="149"/>
      <c r="D660" s="143" t="s">
        <v>346</v>
      </c>
      <c r="E660" s="150"/>
      <c r="F660" s="151" t="s">
        <v>5451</v>
      </c>
      <c r="H660" s="152">
        <v>0.54</v>
      </c>
      <c r="L660" s="149"/>
      <c r="M660" s="153"/>
      <c r="T660" s="154"/>
      <c r="AT660" s="150" t="s">
        <v>346</v>
      </c>
      <c r="AU660" s="150" t="s">
        <v>90</v>
      </c>
      <c r="AV660" s="148" t="s">
        <v>90</v>
      </c>
      <c r="AW660" s="148" t="s">
        <v>33</v>
      </c>
      <c r="AX660" s="148" t="s">
        <v>80</v>
      </c>
      <c r="AY660" s="150" t="s">
        <v>337</v>
      </c>
    </row>
    <row r="661" spans="2:51" s="148" customFormat="1" x14ac:dyDescent="0.2">
      <c r="B661" s="149"/>
      <c r="D661" s="143" t="s">
        <v>346</v>
      </c>
      <c r="E661" s="150"/>
      <c r="F661" s="151" t="s">
        <v>5477</v>
      </c>
      <c r="H661" s="152">
        <v>1.38</v>
      </c>
      <c r="L661" s="149"/>
      <c r="M661" s="153"/>
      <c r="T661" s="154"/>
      <c r="AT661" s="150" t="s">
        <v>346</v>
      </c>
      <c r="AU661" s="150" t="s">
        <v>90</v>
      </c>
      <c r="AV661" s="148" t="s">
        <v>90</v>
      </c>
      <c r="AW661" s="148" t="s">
        <v>33</v>
      </c>
      <c r="AX661" s="148" t="s">
        <v>80</v>
      </c>
      <c r="AY661" s="150" t="s">
        <v>337</v>
      </c>
    </row>
    <row r="662" spans="2:51" s="148" customFormat="1" x14ac:dyDescent="0.2">
      <c r="B662" s="149"/>
      <c r="D662" s="143" t="s">
        <v>346</v>
      </c>
      <c r="E662" s="150"/>
      <c r="F662" s="151" t="s">
        <v>5478</v>
      </c>
      <c r="H662" s="152">
        <v>3.69</v>
      </c>
      <c r="L662" s="149"/>
      <c r="M662" s="153"/>
      <c r="T662" s="154"/>
      <c r="AT662" s="150" t="s">
        <v>346</v>
      </c>
      <c r="AU662" s="150" t="s">
        <v>90</v>
      </c>
      <c r="AV662" s="148" t="s">
        <v>90</v>
      </c>
      <c r="AW662" s="148" t="s">
        <v>33</v>
      </c>
      <c r="AX662" s="148" t="s">
        <v>80</v>
      </c>
      <c r="AY662" s="150" t="s">
        <v>337</v>
      </c>
    </row>
    <row r="663" spans="2:51" s="148" customFormat="1" x14ac:dyDescent="0.2">
      <c r="B663" s="149"/>
      <c r="D663" s="143" t="s">
        <v>346</v>
      </c>
      <c r="E663" s="150"/>
      <c r="F663" s="151" t="s">
        <v>5453</v>
      </c>
      <c r="H663" s="152">
        <v>2.7410000000000001</v>
      </c>
      <c r="L663" s="149"/>
      <c r="M663" s="153"/>
      <c r="T663" s="154"/>
      <c r="AT663" s="150" t="s">
        <v>346</v>
      </c>
      <c r="AU663" s="150" t="s">
        <v>90</v>
      </c>
      <c r="AV663" s="148" t="s">
        <v>90</v>
      </c>
      <c r="AW663" s="148" t="s">
        <v>33</v>
      </c>
      <c r="AX663" s="148" t="s">
        <v>80</v>
      </c>
      <c r="AY663" s="150" t="s">
        <v>337</v>
      </c>
    </row>
    <row r="664" spans="2:51" s="148" customFormat="1" x14ac:dyDescent="0.2">
      <c r="B664" s="149"/>
      <c r="D664" s="143" t="s">
        <v>346</v>
      </c>
      <c r="E664" s="150"/>
      <c r="F664" s="151" t="s">
        <v>5467</v>
      </c>
      <c r="H664" s="152">
        <v>7.9169999999999998</v>
      </c>
      <c r="L664" s="149"/>
      <c r="M664" s="153"/>
      <c r="T664" s="154"/>
      <c r="AT664" s="150" t="s">
        <v>346</v>
      </c>
      <c r="AU664" s="150" t="s">
        <v>90</v>
      </c>
      <c r="AV664" s="148" t="s">
        <v>90</v>
      </c>
      <c r="AW664" s="148" t="s">
        <v>33</v>
      </c>
      <c r="AX664" s="148" t="s">
        <v>80</v>
      </c>
      <c r="AY664" s="150" t="s">
        <v>337</v>
      </c>
    </row>
    <row r="665" spans="2:51" s="148" customFormat="1" x14ac:dyDescent="0.2">
      <c r="B665" s="149"/>
      <c r="D665" s="143" t="s">
        <v>346</v>
      </c>
      <c r="E665" s="150"/>
      <c r="F665" s="151" t="s">
        <v>5469</v>
      </c>
      <c r="H665" s="152">
        <v>3.51</v>
      </c>
      <c r="L665" s="149"/>
      <c r="M665" s="153"/>
      <c r="T665" s="154"/>
      <c r="AT665" s="150" t="s">
        <v>346</v>
      </c>
      <c r="AU665" s="150" t="s">
        <v>90</v>
      </c>
      <c r="AV665" s="148" t="s">
        <v>90</v>
      </c>
      <c r="AW665" s="148" t="s">
        <v>33</v>
      </c>
      <c r="AX665" s="148" t="s">
        <v>80</v>
      </c>
      <c r="AY665" s="150" t="s">
        <v>337</v>
      </c>
    </row>
    <row r="666" spans="2:51" s="148" customFormat="1" x14ac:dyDescent="0.2">
      <c r="B666" s="149"/>
      <c r="D666" s="143" t="s">
        <v>346</v>
      </c>
      <c r="E666" s="150"/>
      <c r="F666" s="151" t="s">
        <v>5479</v>
      </c>
      <c r="H666" s="152">
        <v>2.0699999999999998</v>
      </c>
      <c r="L666" s="149"/>
      <c r="M666" s="153"/>
      <c r="T666" s="154"/>
      <c r="AT666" s="150" t="s">
        <v>346</v>
      </c>
      <c r="AU666" s="150" t="s">
        <v>90</v>
      </c>
      <c r="AV666" s="148" t="s">
        <v>90</v>
      </c>
      <c r="AW666" s="148" t="s">
        <v>33</v>
      </c>
      <c r="AX666" s="148" t="s">
        <v>80</v>
      </c>
      <c r="AY666" s="150" t="s">
        <v>337</v>
      </c>
    </row>
    <row r="667" spans="2:51" s="148" customFormat="1" x14ac:dyDescent="0.2">
      <c r="B667" s="149"/>
      <c r="D667" s="143" t="s">
        <v>346</v>
      </c>
      <c r="E667" s="150"/>
      <c r="F667" s="151" t="s">
        <v>5472</v>
      </c>
      <c r="H667" s="152">
        <v>87.74</v>
      </c>
      <c r="L667" s="149"/>
      <c r="M667" s="153"/>
      <c r="T667" s="154"/>
      <c r="AT667" s="150" t="s">
        <v>346</v>
      </c>
      <c r="AU667" s="150" t="s">
        <v>90</v>
      </c>
      <c r="AV667" s="148" t="s">
        <v>90</v>
      </c>
      <c r="AW667" s="148" t="s">
        <v>33</v>
      </c>
      <c r="AX667" s="148" t="s">
        <v>80</v>
      </c>
      <c r="AY667" s="150" t="s">
        <v>337</v>
      </c>
    </row>
    <row r="668" spans="2:51" s="148" customFormat="1" x14ac:dyDescent="0.2">
      <c r="B668" s="149"/>
      <c r="D668" s="143" t="s">
        <v>346</v>
      </c>
      <c r="E668" s="150"/>
      <c r="F668" s="151" t="s">
        <v>5456</v>
      </c>
      <c r="H668" s="152">
        <v>33.825000000000003</v>
      </c>
      <c r="L668" s="149"/>
      <c r="M668" s="153"/>
      <c r="T668" s="154"/>
      <c r="AT668" s="150" t="s">
        <v>346</v>
      </c>
      <c r="AU668" s="150" t="s">
        <v>90</v>
      </c>
      <c r="AV668" s="148" t="s">
        <v>90</v>
      </c>
      <c r="AW668" s="148" t="s">
        <v>33</v>
      </c>
      <c r="AX668" s="148" t="s">
        <v>80</v>
      </c>
      <c r="AY668" s="150" t="s">
        <v>337</v>
      </c>
    </row>
    <row r="669" spans="2:51" s="148" customFormat="1" x14ac:dyDescent="0.2">
      <c r="B669" s="149"/>
      <c r="D669" s="143" t="s">
        <v>346</v>
      </c>
      <c r="E669" s="150"/>
      <c r="F669" s="151" t="s">
        <v>5481</v>
      </c>
      <c r="H669" s="152">
        <v>11.07</v>
      </c>
      <c r="L669" s="149"/>
      <c r="M669" s="153"/>
      <c r="T669" s="154"/>
      <c r="AT669" s="150" t="s">
        <v>346</v>
      </c>
      <c r="AU669" s="150" t="s">
        <v>90</v>
      </c>
      <c r="AV669" s="148" t="s">
        <v>90</v>
      </c>
      <c r="AW669" s="148" t="s">
        <v>33</v>
      </c>
      <c r="AX669" s="148" t="s">
        <v>80</v>
      </c>
      <c r="AY669" s="150" t="s">
        <v>337</v>
      </c>
    </row>
    <row r="670" spans="2:51" s="148" customFormat="1" x14ac:dyDescent="0.2">
      <c r="B670" s="149"/>
      <c r="D670" s="143" t="s">
        <v>346</v>
      </c>
      <c r="E670" s="150"/>
      <c r="F670" s="151" t="s">
        <v>5471</v>
      </c>
      <c r="H670" s="152">
        <v>4.92</v>
      </c>
      <c r="L670" s="149"/>
      <c r="M670" s="153"/>
      <c r="T670" s="154"/>
      <c r="AT670" s="150" t="s">
        <v>346</v>
      </c>
      <c r="AU670" s="150" t="s">
        <v>90</v>
      </c>
      <c r="AV670" s="148" t="s">
        <v>90</v>
      </c>
      <c r="AW670" s="148" t="s">
        <v>33</v>
      </c>
      <c r="AX670" s="148" t="s">
        <v>80</v>
      </c>
      <c r="AY670" s="150" t="s">
        <v>337</v>
      </c>
    </row>
    <row r="671" spans="2:51" s="148" customFormat="1" x14ac:dyDescent="0.2">
      <c r="B671" s="149"/>
      <c r="D671" s="143" t="s">
        <v>346</v>
      </c>
      <c r="E671" s="150"/>
      <c r="F671" s="151" t="s">
        <v>5480</v>
      </c>
      <c r="H671" s="152">
        <v>5.33</v>
      </c>
      <c r="L671" s="149"/>
      <c r="M671" s="153"/>
      <c r="T671" s="154"/>
      <c r="AT671" s="150" t="s">
        <v>346</v>
      </c>
      <c r="AU671" s="150" t="s">
        <v>90</v>
      </c>
      <c r="AV671" s="148" t="s">
        <v>90</v>
      </c>
      <c r="AW671" s="148" t="s">
        <v>33</v>
      </c>
      <c r="AX671" s="148" t="s">
        <v>80</v>
      </c>
      <c r="AY671" s="150" t="s">
        <v>337</v>
      </c>
    </row>
    <row r="672" spans="2:51" s="148" customFormat="1" x14ac:dyDescent="0.2">
      <c r="B672" s="149"/>
      <c r="D672" s="143" t="s">
        <v>346</v>
      </c>
      <c r="E672" s="150"/>
      <c r="F672" s="151" t="s">
        <v>5474</v>
      </c>
      <c r="H672" s="152">
        <v>20.295000000000002</v>
      </c>
      <c r="L672" s="149"/>
      <c r="M672" s="153"/>
      <c r="T672" s="154"/>
      <c r="AT672" s="150" t="s">
        <v>346</v>
      </c>
      <c r="AU672" s="150" t="s">
        <v>90</v>
      </c>
      <c r="AV672" s="148" t="s">
        <v>90</v>
      </c>
      <c r="AW672" s="148" t="s">
        <v>33</v>
      </c>
      <c r="AX672" s="148" t="s">
        <v>80</v>
      </c>
      <c r="AY672" s="150" t="s">
        <v>337</v>
      </c>
    </row>
    <row r="673" spans="2:65" s="148" customFormat="1" x14ac:dyDescent="0.2">
      <c r="B673" s="149"/>
      <c r="D673" s="143" t="s">
        <v>346</v>
      </c>
      <c r="E673" s="150"/>
      <c r="F673" s="151" t="s">
        <v>5475</v>
      </c>
      <c r="H673" s="152">
        <v>11.316000000000001</v>
      </c>
      <c r="L673" s="149"/>
      <c r="M673" s="153"/>
      <c r="T673" s="154"/>
      <c r="AT673" s="150" t="s">
        <v>346</v>
      </c>
      <c r="AU673" s="150" t="s">
        <v>90</v>
      </c>
      <c r="AV673" s="148" t="s">
        <v>90</v>
      </c>
      <c r="AW673" s="148" t="s">
        <v>33</v>
      </c>
      <c r="AX673" s="148" t="s">
        <v>80</v>
      </c>
      <c r="AY673" s="150" t="s">
        <v>337</v>
      </c>
    </row>
    <row r="674" spans="2:65" s="148" customFormat="1" x14ac:dyDescent="0.2">
      <c r="B674" s="149"/>
      <c r="D674" s="143" t="s">
        <v>346</v>
      </c>
      <c r="E674" s="150"/>
      <c r="F674" s="151" t="s">
        <v>5476</v>
      </c>
      <c r="H674" s="152">
        <v>9.1349999999999998</v>
      </c>
      <c r="L674" s="149"/>
      <c r="M674" s="153"/>
      <c r="T674" s="154"/>
      <c r="AT674" s="150" t="s">
        <v>346</v>
      </c>
      <c r="AU674" s="150" t="s">
        <v>90</v>
      </c>
      <c r="AV674" s="148" t="s">
        <v>90</v>
      </c>
      <c r="AW674" s="148" t="s">
        <v>33</v>
      </c>
      <c r="AX674" s="148" t="s">
        <v>80</v>
      </c>
      <c r="AY674" s="150" t="s">
        <v>337</v>
      </c>
    </row>
    <row r="675" spans="2:65" s="141" customFormat="1" x14ac:dyDescent="0.2">
      <c r="B675" s="142"/>
      <c r="D675" s="143" t="s">
        <v>346</v>
      </c>
      <c r="E675" s="144"/>
      <c r="F675" s="145" t="s">
        <v>434</v>
      </c>
      <c r="H675" s="144"/>
      <c r="L675" s="142"/>
      <c r="M675" s="146"/>
      <c r="T675" s="147"/>
      <c r="AT675" s="144" t="s">
        <v>346</v>
      </c>
      <c r="AU675" s="144" t="s">
        <v>90</v>
      </c>
      <c r="AV675" s="141" t="s">
        <v>87</v>
      </c>
      <c r="AW675" s="141" t="s">
        <v>33</v>
      </c>
      <c r="AX675" s="141" t="s">
        <v>80</v>
      </c>
      <c r="AY675" s="144" t="s">
        <v>337</v>
      </c>
    </row>
    <row r="676" spans="2:65" s="148" customFormat="1" x14ac:dyDescent="0.2">
      <c r="B676" s="149"/>
      <c r="D676" s="143" t="s">
        <v>346</v>
      </c>
      <c r="E676" s="150"/>
      <c r="F676" s="151" t="s">
        <v>5482</v>
      </c>
      <c r="H676" s="152">
        <v>1.08</v>
      </c>
      <c r="L676" s="149"/>
      <c r="M676" s="153"/>
      <c r="T676" s="154"/>
      <c r="AT676" s="150" t="s">
        <v>346</v>
      </c>
      <c r="AU676" s="150" t="s">
        <v>90</v>
      </c>
      <c r="AV676" s="148" t="s">
        <v>90</v>
      </c>
      <c r="AW676" s="148" t="s">
        <v>33</v>
      </c>
      <c r="AX676" s="148" t="s">
        <v>80</v>
      </c>
      <c r="AY676" s="150" t="s">
        <v>337</v>
      </c>
    </row>
    <row r="677" spans="2:65" s="155" customFormat="1" x14ac:dyDescent="0.2">
      <c r="B677" s="156"/>
      <c r="D677" s="143" t="s">
        <v>346</v>
      </c>
      <c r="E677" s="157"/>
      <c r="F677" s="158" t="s">
        <v>351</v>
      </c>
      <c r="H677" s="159">
        <v>990.60400000000004</v>
      </c>
      <c r="L677" s="156"/>
      <c r="M677" s="160"/>
      <c r="T677" s="161"/>
      <c r="AT677" s="157" t="s">
        <v>346</v>
      </c>
      <c r="AU677" s="157" t="s">
        <v>90</v>
      </c>
      <c r="AV677" s="155" t="s">
        <v>344</v>
      </c>
      <c r="AW677" s="155" t="s">
        <v>33</v>
      </c>
      <c r="AX677" s="155" t="s">
        <v>87</v>
      </c>
      <c r="AY677" s="157" t="s">
        <v>337</v>
      </c>
    </row>
    <row r="678" spans="2:65" s="16" customFormat="1" ht="16.5" customHeight="1" x14ac:dyDescent="0.2">
      <c r="B678" s="17"/>
      <c r="C678" s="128">
        <v>19</v>
      </c>
      <c r="D678" s="128" t="s">
        <v>339</v>
      </c>
      <c r="E678" s="129" t="s">
        <v>5483</v>
      </c>
      <c r="F678" s="130" t="s">
        <v>5484</v>
      </c>
      <c r="G678" s="131" t="s">
        <v>425</v>
      </c>
      <c r="H678" s="132">
        <v>456.57900000000001</v>
      </c>
      <c r="I678" s="133"/>
      <c r="J678" s="134">
        <f>ROUND(I678*H678,2)</f>
        <v>0</v>
      </c>
      <c r="K678" s="130"/>
      <c r="L678" s="17"/>
      <c r="M678" s="135"/>
      <c r="N678" s="136" t="s">
        <v>45</v>
      </c>
      <c r="P678" s="137">
        <f>O678*H678</f>
        <v>0</v>
      </c>
      <c r="Q678" s="137">
        <v>0</v>
      </c>
      <c r="R678" s="137">
        <f>Q678*H678</f>
        <v>0</v>
      </c>
      <c r="S678" s="137">
        <v>8.7999999999999995E-2</v>
      </c>
      <c r="T678" s="138">
        <f>S678*H678</f>
        <v>40.178951999999995</v>
      </c>
      <c r="AR678" s="139" t="s">
        <v>344</v>
      </c>
      <c r="AT678" s="139" t="s">
        <v>339</v>
      </c>
      <c r="AU678" s="139" t="s">
        <v>90</v>
      </c>
      <c r="AY678" s="2" t="s">
        <v>337</v>
      </c>
      <c r="BE678" s="140">
        <f>IF(N678="základní",J678,0)</f>
        <v>0</v>
      </c>
      <c r="BF678" s="140">
        <f>IF(N678="snížená",J678,0)</f>
        <v>0</v>
      </c>
      <c r="BG678" s="140">
        <f>IF(N678="zákl. přenesená",J678,0)</f>
        <v>0</v>
      </c>
      <c r="BH678" s="140">
        <f>IF(N678="sníž. přenesená",J678,0)</f>
        <v>0</v>
      </c>
      <c r="BI678" s="140">
        <f>IF(N678="nulová",J678,0)</f>
        <v>0</v>
      </c>
      <c r="BJ678" s="2" t="s">
        <v>87</v>
      </c>
      <c r="BK678" s="140">
        <f>ROUND(I678*H678,2)</f>
        <v>0</v>
      </c>
      <c r="BL678" s="2" t="s">
        <v>344</v>
      </c>
      <c r="BM678" s="139" t="s">
        <v>5485</v>
      </c>
    </row>
    <row r="679" spans="2:65" s="141" customFormat="1" x14ac:dyDescent="0.2">
      <c r="B679" s="142"/>
      <c r="D679" s="143" t="s">
        <v>346</v>
      </c>
      <c r="E679" s="144"/>
      <c r="F679" s="145" t="s">
        <v>357</v>
      </c>
      <c r="H679" s="144"/>
      <c r="L679" s="142"/>
      <c r="M679" s="146"/>
      <c r="T679" s="147"/>
      <c r="AT679" s="144" t="s">
        <v>346</v>
      </c>
      <c r="AU679" s="144" t="s">
        <v>90</v>
      </c>
      <c r="AV679" s="141" t="s">
        <v>87</v>
      </c>
      <c r="AW679" s="141" t="s">
        <v>33</v>
      </c>
      <c r="AX679" s="141" t="s">
        <v>80</v>
      </c>
      <c r="AY679" s="144" t="s">
        <v>337</v>
      </c>
    </row>
    <row r="680" spans="2:65" s="148" customFormat="1" x14ac:dyDescent="0.2">
      <c r="B680" s="149"/>
      <c r="D680" s="143" t="s">
        <v>346</v>
      </c>
      <c r="E680" s="150"/>
      <c r="F680" s="151" t="s">
        <v>5486</v>
      </c>
      <c r="H680" s="152">
        <v>5.91</v>
      </c>
      <c r="L680" s="149"/>
      <c r="M680" s="153"/>
      <c r="T680" s="154"/>
      <c r="AT680" s="150" t="s">
        <v>346</v>
      </c>
      <c r="AU680" s="150" t="s">
        <v>90</v>
      </c>
      <c r="AV680" s="148" t="s">
        <v>90</v>
      </c>
      <c r="AW680" s="148" t="s">
        <v>33</v>
      </c>
      <c r="AX680" s="148" t="s">
        <v>80</v>
      </c>
      <c r="AY680" s="150" t="s">
        <v>337</v>
      </c>
    </row>
    <row r="681" spans="2:65" s="148" customFormat="1" x14ac:dyDescent="0.2">
      <c r="B681" s="149"/>
      <c r="D681" s="143" t="s">
        <v>346</v>
      </c>
      <c r="E681" s="150"/>
      <c r="F681" s="151" t="s">
        <v>5487</v>
      </c>
      <c r="H681" s="152">
        <v>9.4559999999999995</v>
      </c>
      <c r="L681" s="149"/>
      <c r="M681" s="153"/>
      <c r="T681" s="154"/>
      <c r="AT681" s="150" t="s">
        <v>346</v>
      </c>
      <c r="AU681" s="150" t="s">
        <v>90</v>
      </c>
      <c r="AV681" s="148" t="s">
        <v>90</v>
      </c>
      <c r="AW681" s="148" t="s">
        <v>33</v>
      </c>
      <c r="AX681" s="148" t="s">
        <v>80</v>
      </c>
      <c r="AY681" s="150" t="s">
        <v>337</v>
      </c>
    </row>
    <row r="682" spans="2:65" s="148" customFormat="1" x14ac:dyDescent="0.2">
      <c r="B682" s="149"/>
      <c r="D682" s="143" t="s">
        <v>346</v>
      </c>
      <c r="E682" s="150"/>
      <c r="F682" s="151" t="s">
        <v>5488</v>
      </c>
      <c r="H682" s="152">
        <v>19.32</v>
      </c>
      <c r="L682" s="149"/>
      <c r="M682" s="153"/>
      <c r="T682" s="154"/>
      <c r="AT682" s="150" t="s">
        <v>346</v>
      </c>
      <c r="AU682" s="150" t="s">
        <v>90</v>
      </c>
      <c r="AV682" s="148" t="s">
        <v>90</v>
      </c>
      <c r="AW682" s="148" t="s">
        <v>33</v>
      </c>
      <c r="AX682" s="148" t="s">
        <v>80</v>
      </c>
      <c r="AY682" s="150" t="s">
        <v>337</v>
      </c>
    </row>
    <row r="683" spans="2:65" s="148" customFormat="1" x14ac:dyDescent="0.2">
      <c r="B683" s="149"/>
      <c r="D683" s="143" t="s">
        <v>346</v>
      </c>
      <c r="E683" s="150"/>
      <c r="F683" s="151" t="s">
        <v>5489</v>
      </c>
      <c r="H683" s="152">
        <v>13.5</v>
      </c>
      <c r="L683" s="149"/>
      <c r="M683" s="153"/>
      <c r="T683" s="154"/>
      <c r="AT683" s="150" t="s">
        <v>346</v>
      </c>
      <c r="AU683" s="150" t="s">
        <v>90</v>
      </c>
      <c r="AV683" s="148" t="s">
        <v>90</v>
      </c>
      <c r="AW683" s="148" t="s">
        <v>33</v>
      </c>
      <c r="AX683" s="148" t="s">
        <v>80</v>
      </c>
      <c r="AY683" s="150" t="s">
        <v>337</v>
      </c>
    </row>
    <row r="684" spans="2:65" s="148" customFormat="1" x14ac:dyDescent="0.2">
      <c r="B684" s="149"/>
      <c r="D684" s="143" t="s">
        <v>346</v>
      </c>
      <c r="E684" s="150"/>
      <c r="F684" s="151" t="s">
        <v>5490</v>
      </c>
      <c r="H684" s="152">
        <v>5.91</v>
      </c>
      <c r="L684" s="149"/>
      <c r="M684" s="153"/>
      <c r="T684" s="154"/>
      <c r="AT684" s="150" t="s">
        <v>346</v>
      </c>
      <c r="AU684" s="150" t="s">
        <v>90</v>
      </c>
      <c r="AV684" s="148" t="s">
        <v>90</v>
      </c>
      <c r="AW684" s="148" t="s">
        <v>33</v>
      </c>
      <c r="AX684" s="148" t="s">
        <v>80</v>
      </c>
      <c r="AY684" s="150" t="s">
        <v>337</v>
      </c>
    </row>
    <row r="685" spans="2:65" s="148" customFormat="1" x14ac:dyDescent="0.2">
      <c r="B685" s="149"/>
      <c r="D685" s="143" t="s">
        <v>346</v>
      </c>
      <c r="E685" s="150"/>
      <c r="F685" s="151" t="s">
        <v>5491</v>
      </c>
      <c r="H685" s="152">
        <v>6.3040000000000003</v>
      </c>
      <c r="L685" s="149"/>
      <c r="M685" s="153"/>
      <c r="T685" s="154"/>
      <c r="AT685" s="150" t="s">
        <v>346</v>
      </c>
      <c r="AU685" s="150" t="s">
        <v>90</v>
      </c>
      <c r="AV685" s="148" t="s">
        <v>90</v>
      </c>
      <c r="AW685" s="148" t="s">
        <v>33</v>
      </c>
      <c r="AX685" s="148" t="s">
        <v>80</v>
      </c>
      <c r="AY685" s="150" t="s">
        <v>337</v>
      </c>
    </row>
    <row r="686" spans="2:65" s="148" customFormat="1" x14ac:dyDescent="0.2">
      <c r="B686" s="149"/>
      <c r="D686" s="143" t="s">
        <v>346</v>
      </c>
      <c r="E686" s="150"/>
      <c r="F686" s="151" t="s">
        <v>5492</v>
      </c>
      <c r="H686" s="152">
        <v>19.503</v>
      </c>
      <c r="L686" s="149"/>
      <c r="M686" s="153"/>
      <c r="T686" s="154"/>
      <c r="AT686" s="150" t="s">
        <v>346</v>
      </c>
      <c r="AU686" s="150" t="s">
        <v>90</v>
      </c>
      <c r="AV686" s="148" t="s">
        <v>90</v>
      </c>
      <c r="AW686" s="148" t="s">
        <v>33</v>
      </c>
      <c r="AX686" s="148" t="s">
        <v>80</v>
      </c>
      <c r="AY686" s="150" t="s">
        <v>337</v>
      </c>
    </row>
    <row r="687" spans="2:65" s="141" customFormat="1" x14ac:dyDescent="0.2">
      <c r="B687" s="142"/>
      <c r="D687" s="143" t="s">
        <v>346</v>
      </c>
      <c r="E687" s="144"/>
      <c r="F687" s="145" t="s">
        <v>362</v>
      </c>
      <c r="H687" s="144"/>
      <c r="L687" s="142"/>
      <c r="M687" s="146"/>
      <c r="T687" s="147"/>
      <c r="AT687" s="144" t="s">
        <v>346</v>
      </c>
      <c r="AU687" s="144" t="s">
        <v>90</v>
      </c>
      <c r="AV687" s="141" t="s">
        <v>87</v>
      </c>
      <c r="AW687" s="141" t="s">
        <v>33</v>
      </c>
      <c r="AX687" s="141" t="s">
        <v>80</v>
      </c>
      <c r="AY687" s="144" t="s">
        <v>337</v>
      </c>
    </row>
    <row r="688" spans="2:65" s="148" customFormat="1" x14ac:dyDescent="0.2">
      <c r="B688" s="149"/>
      <c r="D688" s="143" t="s">
        <v>346</v>
      </c>
      <c r="E688" s="150"/>
      <c r="F688" s="151" t="s">
        <v>5493</v>
      </c>
      <c r="H688" s="152">
        <v>4.7279999999999998</v>
      </c>
      <c r="L688" s="149"/>
      <c r="M688" s="153"/>
      <c r="T688" s="154"/>
      <c r="AT688" s="150" t="s">
        <v>346</v>
      </c>
      <c r="AU688" s="150" t="s">
        <v>90</v>
      </c>
      <c r="AV688" s="148" t="s">
        <v>90</v>
      </c>
      <c r="AW688" s="148" t="s">
        <v>33</v>
      </c>
      <c r="AX688" s="148" t="s">
        <v>80</v>
      </c>
      <c r="AY688" s="150" t="s">
        <v>337</v>
      </c>
    </row>
    <row r="689" spans="2:51" s="148" customFormat="1" x14ac:dyDescent="0.2">
      <c r="B689" s="149"/>
      <c r="D689" s="143" t="s">
        <v>346</v>
      </c>
      <c r="E689" s="150"/>
      <c r="F689" s="151" t="s">
        <v>5494</v>
      </c>
      <c r="H689" s="152">
        <v>8.57</v>
      </c>
      <c r="L689" s="149"/>
      <c r="M689" s="153"/>
      <c r="T689" s="154"/>
      <c r="AT689" s="150" t="s">
        <v>346</v>
      </c>
      <c r="AU689" s="150" t="s">
        <v>90</v>
      </c>
      <c r="AV689" s="148" t="s">
        <v>90</v>
      </c>
      <c r="AW689" s="148" t="s">
        <v>33</v>
      </c>
      <c r="AX689" s="148" t="s">
        <v>80</v>
      </c>
      <c r="AY689" s="150" t="s">
        <v>337</v>
      </c>
    </row>
    <row r="690" spans="2:51" s="148" customFormat="1" x14ac:dyDescent="0.2">
      <c r="B690" s="149"/>
      <c r="D690" s="143" t="s">
        <v>346</v>
      </c>
      <c r="E690" s="150"/>
      <c r="F690" s="151" t="s">
        <v>5495</v>
      </c>
      <c r="H690" s="152">
        <v>6.88</v>
      </c>
      <c r="L690" s="149"/>
      <c r="M690" s="153"/>
      <c r="T690" s="154"/>
      <c r="AT690" s="150" t="s">
        <v>346</v>
      </c>
      <c r="AU690" s="150" t="s">
        <v>90</v>
      </c>
      <c r="AV690" s="148" t="s">
        <v>90</v>
      </c>
      <c r="AW690" s="148" t="s">
        <v>33</v>
      </c>
      <c r="AX690" s="148" t="s">
        <v>80</v>
      </c>
      <c r="AY690" s="150" t="s">
        <v>337</v>
      </c>
    </row>
    <row r="691" spans="2:51" s="148" customFormat="1" x14ac:dyDescent="0.2">
      <c r="B691" s="149"/>
      <c r="D691" s="143" t="s">
        <v>346</v>
      </c>
      <c r="E691" s="150"/>
      <c r="F691" s="151" t="s">
        <v>5489</v>
      </c>
      <c r="H691" s="152">
        <v>13.5</v>
      </c>
      <c r="L691" s="149"/>
      <c r="M691" s="153"/>
      <c r="T691" s="154"/>
      <c r="AT691" s="150" t="s">
        <v>346</v>
      </c>
      <c r="AU691" s="150" t="s">
        <v>90</v>
      </c>
      <c r="AV691" s="148" t="s">
        <v>90</v>
      </c>
      <c r="AW691" s="148" t="s">
        <v>33</v>
      </c>
      <c r="AX691" s="148" t="s">
        <v>80</v>
      </c>
      <c r="AY691" s="150" t="s">
        <v>337</v>
      </c>
    </row>
    <row r="692" spans="2:51" s="148" customFormat="1" x14ac:dyDescent="0.2">
      <c r="B692" s="149"/>
      <c r="D692" s="143" t="s">
        <v>346</v>
      </c>
      <c r="E692" s="150"/>
      <c r="F692" s="151" t="s">
        <v>5496</v>
      </c>
      <c r="H692" s="152">
        <v>8.2739999999999991</v>
      </c>
      <c r="L692" s="149"/>
      <c r="M692" s="153"/>
      <c r="T692" s="154"/>
      <c r="AT692" s="150" t="s">
        <v>346</v>
      </c>
      <c r="AU692" s="150" t="s">
        <v>90</v>
      </c>
      <c r="AV692" s="148" t="s">
        <v>90</v>
      </c>
      <c r="AW692" s="148" t="s">
        <v>33</v>
      </c>
      <c r="AX692" s="148" t="s">
        <v>80</v>
      </c>
      <c r="AY692" s="150" t="s">
        <v>337</v>
      </c>
    </row>
    <row r="693" spans="2:51" s="148" customFormat="1" x14ac:dyDescent="0.2">
      <c r="B693" s="149"/>
      <c r="D693" s="143" t="s">
        <v>346</v>
      </c>
      <c r="E693" s="150"/>
      <c r="F693" s="151" t="s">
        <v>5497</v>
      </c>
      <c r="H693" s="152">
        <v>18.21</v>
      </c>
      <c r="L693" s="149"/>
      <c r="M693" s="153"/>
      <c r="T693" s="154"/>
      <c r="AT693" s="150" t="s">
        <v>346</v>
      </c>
      <c r="AU693" s="150" t="s">
        <v>90</v>
      </c>
      <c r="AV693" s="148" t="s">
        <v>90</v>
      </c>
      <c r="AW693" s="148" t="s">
        <v>33</v>
      </c>
      <c r="AX693" s="148" t="s">
        <v>80</v>
      </c>
      <c r="AY693" s="150" t="s">
        <v>337</v>
      </c>
    </row>
    <row r="694" spans="2:51" s="148" customFormat="1" x14ac:dyDescent="0.2">
      <c r="B694" s="149"/>
      <c r="D694" s="143" t="s">
        <v>346</v>
      </c>
      <c r="E694" s="150"/>
      <c r="F694" s="151" t="s">
        <v>5498</v>
      </c>
      <c r="H694" s="152">
        <v>2.758</v>
      </c>
      <c r="L694" s="149"/>
      <c r="M694" s="153"/>
      <c r="T694" s="154"/>
      <c r="AT694" s="150" t="s">
        <v>346</v>
      </c>
      <c r="AU694" s="150" t="s">
        <v>90</v>
      </c>
      <c r="AV694" s="148" t="s">
        <v>90</v>
      </c>
      <c r="AW694" s="148" t="s">
        <v>33</v>
      </c>
      <c r="AX694" s="148" t="s">
        <v>80</v>
      </c>
      <c r="AY694" s="150" t="s">
        <v>337</v>
      </c>
    </row>
    <row r="695" spans="2:51" s="148" customFormat="1" x14ac:dyDescent="0.2">
      <c r="B695" s="149"/>
      <c r="D695" s="143" t="s">
        <v>346</v>
      </c>
      <c r="E695" s="150"/>
      <c r="F695" s="151" t="s">
        <v>5499</v>
      </c>
      <c r="H695" s="152">
        <v>26.792000000000002</v>
      </c>
      <c r="L695" s="149"/>
      <c r="M695" s="153"/>
      <c r="T695" s="154"/>
      <c r="AT695" s="150" t="s">
        <v>346</v>
      </c>
      <c r="AU695" s="150" t="s">
        <v>90</v>
      </c>
      <c r="AV695" s="148" t="s">
        <v>90</v>
      </c>
      <c r="AW695" s="148" t="s">
        <v>33</v>
      </c>
      <c r="AX695" s="148" t="s">
        <v>80</v>
      </c>
      <c r="AY695" s="150" t="s">
        <v>337</v>
      </c>
    </row>
    <row r="696" spans="2:51" s="148" customFormat="1" x14ac:dyDescent="0.2">
      <c r="B696" s="149"/>
      <c r="D696" s="143" t="s">
        <v>346</v>
      </c>
      <c r="E696" s="150"/>
      <c r="F696" s="151" t="s">
        <v>5500</v>
      </c>
      <c r="H696" s="152">
        <v>3.5459999999999998</v>
      </c>
      <c r="L696" s="149"/>
      <c r="M696" s="153"/>
      <c r="T696" s="154"/>
      <c r="AT696" s="150" t="s">
        <v>346</v>
      </c>
      <c r="AU696" s="150" t="s">
        <v>90</v>
      </c>
      <c r="AV696" s="148" t="s">
        <v>90</v>
      </c>
      <c r="AW696" s="148" t="s">
        <v>33</v>
      </c>
      <c r="AX696" s="148" t="s">
        <v>80</v>
      </c>
      <c r="AY696" s="150" t="s">
        <v>337</v>
      </c>
    </row>
    <row r="697" spans="2:51" s="141" customFormat="1" x14ac:dyDescent="0.2">
      <c r="B697" s="142"/>
      <c r="D697" s="143" t="s">
        <v>346</v>
      </c>
      <c r="E697" s="144"/>
      <c r="F697" s="145" t="s">
        <v>367</v>
      </c>
      <c r="H697" s="144"/>
      <c r="L697" s="142"/>
      <c r="M697" s="146"/>
      <c r="T697" s="147"/>
      <c r="AT697" s="144" t="s">
        <v>346</v>
      </c>
      <c r="AU697" s="144" t="s">
        <v>90</v>
      </c>
      <c r="AV697" s="141" t="s">
        <v>87</v>
      </c>
      <c r="AW697" s="141" t="s">
        <v>33</v>
      </c>
      <c r="AX697" s="141" t="s">
        <v>80</v>
      </c>
      <c r="AY697" s="144" t="s">
        <v>337</v>
      </c>
    </row>
    <row r="698" spans="2:51" s="148" customFormat="1" x14ac:dyDescent="0.2">
      <c r="B698" s="149"/>
      <c r="D698" s="143" t="s">
        <v>346</v>
      </c>
      <c r="E698" s="150"/>
      <c r="F698" s="151" t="s">
        <v>5501</v>
      </c>
      <c r="H698" s="152">
        <v>2.8570000000000002</v>
      </c>
      <c r="L698" s="149"/>
      <c r="M698" s="153"/>
      <c r="T698" s="154"/>
      <c r="AT698" s="150" t="s">
        <v>346</v>
      </c>
      <c r="AU698" s="150" t="s">
        <v>90</v>
      </c>
      <c r="AV698" s="148" t="s">
        <v>90</v>
      </c>
      <c r="AW698" s="148" t="s">
        <v>33</v>
      </c>
      <c r="AX698" s="148" t="s">
        <v>80</v>
      </c>
      <c r="AY698" s="150" t="s">
        <v>337</v>
      </c>
    </row>
    <row r="699" spans="2:51" s="148" customFormat="1" x14ac:dyDescent="0.2">
      <c r="B699" s="149"/>
      <c r="D699" s="143" t="s">
        <v>346</v>
      </c>
      <c r="E699" s="150"/>
      <c r="F699" s="151" t="s">
        <v>5502</v>
      </c>
      <c r="H699" s="152">
        <v>3.1909999999999998</v>
      </c>
      <c r="L699" s="149"/>
      <c r="M699" s="153"/>
      <c r="T699" s="154"/>
      <c r="AT699" s="150" t="s">
        <v>346</v>
      </c>
      <c r="AU699" s="150" t="s">
        <v>90</v>
      </c>
      <c r="AV699" s="148" t="s">
        <v>90</v>
      </c>
      <c r="AW699" s="148" t="s">
        <v>33</v>
      </c>
      <c r="AX699" s="148" t="s">
        <v>80</v>
      </c>
      <c r="AY699" s="150" t="s">
        <v>337</v>
      </c>
    </row>
    <row r="700" spans="2:51" s="148" customFormat="1" x14ac:dyDescent="0.2">
      <c r="B700" s="149"/>
      <c r="D700" s="143" t="s">
        <v>346</v>
      </c>
      <c r="E700" s="150"/>
      <c r="F700" s="151" t="s">
        <v>5503</v>
      </c>
      <c r="H700" s="152">
        <v>27</v>
      </c>
      <c r="L700" s="149"/>
      <c r="M700" s="153"/>
      <c r="T700" s="154"/>
      <c r="AT700" s="150" t="s">
        <v>346</v>
      </c>
      <c r="AU700" s="150" t="s">
        <v>90</v>
      </c>
      <c r="AV700" s="148" t="s">
        <v>90</v>
      </c>
      <c r="AW700" s="148" t="s">
        <v>33</v>
      </c>
      <c r="AX700" s="148" t="s">
        <v>80</v>
      </c>
      <c r="AY700" s="150" t="s">
        <v>337</v>
      </c>
    </row>
    <row r="701" spans="2:51" s="148" customFormat="1" x14ac:dyDescent="0.2">
      <c r="B701" s="149"/>
      <c r="D701" s="143" t="s">
        <v>346</v>
      </c>
      <c r="E701" s="150"/>
      <c r="F701" s="151" t="s">
        <v>5504</v>
      </c>
      <c r="H701" s="152">
        <v>17.625</v>
      </c>
      <c r="L701" s="149"/>
      <c r="M701" s="153"/>
      <c r="T701" s="154"/>
      <c r="AT701" s="150" t="s">
        <v>346</v>
      </c>
      <c r="AU701" s="150" t="s">
        <v>90</v>
      </c>
      <c r="AV701" s="148" t="s">
        <v>90</v>
      </c>
      <c r="AW701" s="148" t="s">
        <v>33</v>
      </c>
      <c r="AX701" s="148" t="s">
        <v>80</v>
      </c>
      <c r="AY701" s="150" t="s">
        <v>337</v>
      </c>
    </row>
    <row r="702" spans="2:51" s="148" customFormat="1" x14ac:dyDescent="0.2">
      <c r="B702" s="149"/>
      <c r="D702" s="143" t="s">
        <v>346</v>
      </c>
      <c r="E702" s="150"/>
      <c r="F702" s="151" t="s">
        <v>5505</v>
      </c>
      <c r="H702" s="152">
        <v>14.183999999999999</v>
      </c>
      <c r="L702" s="149"/>
      <c r="M702" s="153"/>
      <c r="T702" s="154"/>
      <c r="AT702" s="150" t="s">
        <v>346</v>
      </c>
      <c r="AU702" s="150" t="s">
        <v>90</v>
      </c>
      <c r="AV702" s="148" t="s">
        <v>90</v>
      </c>
      <c r="AW702" s="148" t="s">
        <v>33</v>
      </c>
      <c r="AX702" s="148" t="s">
        <v>80</v>
      </c>
      <c r="AY702" s="150" t="s">
        <v>337</v>
      </c>
    </row>
    <row r="703" spans="2:51" s="148" customFormat="1" x14ac:dyDescent="0.2">
      <c r="B703" s="149"/>
      <c r="D703" s="143" t="s">
        <v>346</v>
      </c>
      <c r="E703" s="150"/>
      <c r="F703" s="151" t="s">
        <v>5498</v>
      </c>
      <c r="H703" s="152">
        <v>2.758</v>
      </c>
      <c r="L703" s="149"/>
      <c r="M703" s="153"/>
      <c r="T703" s="154"/>
      <c r="AT703" s="150" t="s">
        <v>346</v>
      </c>
      <c r="AU703" s="150" t="s">
        <v>90</v>
      </c>
      <c r="AV703" s="148" t="s">
        <v>90</v>
      </c>
      <c r="AW703" s="148" t="s">
        <v>33</v>
      </c>
      <c r="AX703" s="148" t="s">
        <v>80</v>
      </c>
      <c r="AY703" s="150" t="s">
        <v>337</v>
      </c>
    </row>
    <row r="704" spans="2:51" s="148" customFormat="1" x14ac:dyDescent="0.2">
      <c r="B704" s="149"/>
      <c r="D704" s="143" t="s">
        <v>346</v>
      </c>
      <c r="E704" s="150"/>
      <c r="F704" s="151" t="s">
        <v>5499</v>
      </c>
      <c r="H704" s="152">
        <v>26.792000000000002</v>
      </c>
      <c r="L704" s="149"/>
      <c r="M704" s="153"/>
      <c r="T704" s="154"/>
      <c r="AT704" s="150" t="s">
        <v>346</v>
      </c>
      <c r="AU704" s="150" t="s">
        <v>90</v>
      </c>
      <c r="AV704" s="148" t="s">
        <v>90</v>
      </c>
      <c r="AW704" s="148" t="s">
        <v>33</v>
      </c>
      <c r="AX704" s="148" t="s">
        <v>80</v>
      </c>
      <c r="AY704" s="150" t="s">
        <v>337</v>
      </c>
    </row>
    <row r="705" spans="2:51" s="141" customFormat="1" x14ac:dyDescent="0.2">
      <c r="B705" s="142"/>
      <c r="D705" s="143" t="s">
        <v>346</v>
      </c>
      <c r="E705" s="144"/>
      <c r="F705" s="145" t="s">
        <v>368</v>
      </c>
      <c r="H705" s="144"/>
      <c r="L705" s="142"/>
      <c r="M705" s="146"/>
      <c r="T705" s="147"/>
      <c r="AT705" s="144" t="s">
        <v>346</v>
      </c>
      <c r="AU705" s="144" t="s">
        <v>90</v>
      </c>
      <c r="AV705" s="141" t="s">
        <v>87</v>
      </c>
      <c r="AW705" s="141" t="s">
        <v>33</v>
      </c>
      <c r="AX705" s="141" t="s">
        <v>80</v>
      </c>
      <c r="AY705" s="144" t="s">
        <v>337</v>
      </c>
    </row>
    <row r="706" spans="2:51" s="148" customFormat="1" x14ac:dyDescent="0.2">
      <c r="B706" s="149"/>
      <c r="D706" s="143" t="s">
        <v>346</v>
      </c>
      <c r="E706" s="150"/>
      <c r="F706" s="151" t="s">
        <v>5501</v>
      </c>
      <c r="H706" s="152">
        <v>2.8570000000000002</v>
      </c>
      <c r="L706" s="149"/>
      <c r="M706" s="153"/>
      <c r="T706" s="154"/>
      <c r="AT706" s="150" t="s">
        <v>346</v>
      </c>
      <c r="AU706" s="150" t="s">
        <v>90</v>
      </c>
      <c r="AV706" s="148" t="s">
        <v>90</v>
      </c>
      <c r="AW706" s="148" t="s">
        <v>33</v>
      </c>
      <c r="AX706" s="148" t="s">
        <v>80</v>
      </c>
      <c r="AY706" s="150" t="s">
        <v>337</v>
      </c>
    </row>
    <row r="707" spans="2:51" s="148" customFormat="1" x14ac:dyDescent="0.2">
      <c r="B707" s="149"/>
      <c r="D707" s="143" t="s">
        <v>346</v>
      </c>
      <c r="E707" s="150"/>
      <c r="F707" s="151" t="s">
        <v>5502</v>
      </c>
      <c r="H707" s="152">
        <v>3.1909999999999998</v>
      </c>
      <c r="L707" s="149"/>
      <c r="M707" s="153"/>
      <c r="T707" s="154"/>
      <c r="AT707" s="150" t="s">
        <v>346</v>
      </c>
      <c r="AU707" s="150" t="s">
        <v>90</v>
      </c>
      <c r="AV707" s="148" t="s">
        <v>90</v>
      </c>
      <c r="AW707" s="148" t="s">
        <v>33</v>
      </c>
      <c r="AX707" s="148" t="s">
        <v>80</v>
      </c>
      <c r="AY707" s="150" t="s">
        <v>337</v>
      </c>
    </row>
    <row r="708" spans="2:51" s="148" customFormat="1" x14ac:dyDescent="0.2">
      <c r="B708" s="149"/>
      <c r="D708" s="143" t="s">
        <v>346</v>
      </c>
      <c r="E708" s="150"/>
      <c r="F708" s="151" t="s">
        <v>5503</v>
      </c>
      <c r="H708" s="152">
        <v>27</v>
      </c>
      <c r="L708" s="149"/>
      <c r="M708" s="153"/>
      <c r="T708" s="154"/>
      <c r="AT708" s="150" t="s">
        <v>346</v>
      </c>
      <c r="AU708" s="150" t="s">
        <v>90</v>
      </c>
      <c r="AV708" s="148" t="s">
        <v>90</v>
      </c>
      <c r="AW708" s="148" t="s">
        <v>33</v>
      </c>
      <c r="AX708" s="148" t="s">
        <v>80</v>
      </c>
      <c r="AY708" s="150" t="s">
        <v>337</v>
      </c>
    </row>
    <row r="709" spans="2:51" s="148" customFormat="1" x14ac:dyDescent="0.2">
      <c r="B709" s="149"/>
      <c r="D709" s="143" t="s">
        <v>346</v>
      </c>
      <c r="E709" s="150"/>
      <c r="F709" s="151" t="s">
        <v>5504</v>
      </c>
      <c r="H709" s="152">
        <v>17.625</v>
      </c>
      <c r="L709" s="149"/>
      <c r="M709" s="153"/>
      <c r="T709" s="154"/>
      <c r="AT709" s="150" t="s">
        <v>346</v>
      </c>
      <c r="AU709" s="150" t="s">
        <v>90</v>
      </c>
      <c r="AV709" s="148" t="s">
        <v>90</v>
      </c>
      <c r="AW709" s="148" t="s">
        <v>33</v>
      </c>
      <c r="AX709" s="148" t="s">
        <v>80</v>
      </c>
      <c r="AY709" s="150" t="s">
        <v>337</v>
      </c>
    </row>
    <row r="710" spans="2:51" s="148" customFormat="1" x14ac:dyDescent="0.2">
      <c r="B710" s="149"/>
      <c r="D710" s="143" t="s">
        <v>346</v>
      </c>
      <c r="E710" s="150"/>
      <c r="F710" s="151" t="s">
        <v>5506</v>
      </c>
      <c r="H710" s="152">
        <v>9.4559999999999995</v>
      </c>
      <c r="L710" s="149"/>
      <c r="M710" s="153"/>
      <c r="T710" s="154"/>
      <c r="AT710" s="150" t="s">
        <v>346</v>
      </c>
      <c r="AU710" s="150" t="s">
        <v>90</v>
      </c>
      <c r="AV710" s="148" t="s">
        <v>90</v>
      </c>
      <c r="AW710" s="148" t="s">
        <v>33</v>
      </c>
      <c r="AX710" s="148" t="s">
        <v>80</v>
      </c>
      <c r="AY710" s="150" t="s">
        <v>337</v>
      </c>
    </row>
    <row r="711" spans="2:51" s="148" customFormat="1" x14ac:dyDescent="0.2">
      <c r="B711" s="149"/>
      <c r="D711" s="143" t="s">
        <v>346</v>
      </c>
      <c r="E711" s="150"/>
      <c r="F711" s="151" t="s">
        <v>5507</v>
      </c>
      <c r="H711" s="152">
        <v>4.1369999999999996</v>
      </c>
      <c r="L711" s="149"/>
      <c r="M711" s="153"/>
      <c r="T711" s="154"/>
      <c r="AT711" s="150" t="s">
        <v>346</v>
      </c>
      <c r="AU711" s="150" t="s">
        <v>90</v>
      </c>
      <c r="AV711" s="148" t="s">
        <v>90</v>
      </c>
      <c r="AW711" s="148" t="s">
        <v>33</v>
      </c>
      <c r="AX711" s="148" t="s">
        <v>80</v>
      </c>
      <c r="AY711" s="150" t="s">
        <v>337</v>
      </c>
    </row>
    <row r="712" spans="2:51" s="148" customFormat="1" x14ac:dyDescent="0.2">
      <c r="B712" s="149"/>
      <c r="D712" s="143" t="s">
        <v>346</v>
      </c>
      <c r="E712" s="150"/>
      <c r="F712" s="151" t="s">
        <v>5508</v>
      </c>
      <c r="H712" s="152">
        <v>29.943999999999999</v>
      </c>
      <c r="L712" s="149"/>
      <c r="M712" s="153"/>
      <c r="T712" s="154"/>
      <c r="AT712" s="150" t="s">
        <v>346</v>
      </c>
      <c r="AU712" s="150" t="s">
        <v>90</v>
      </c>
      <c r="AV712" s="148" t="s">
        <v>90</v>
      </c>
      <c r="AW712" s="148" t="s">
        <v>33</v>
      </c>
      <c r="AX712" s="148" t="s">
        <v>80</v>
      </c>
      <c r="AY712" s="150" t="s">
        <v>337</v>
      </c>
    </row>
    <row r="713" spans="2:51" s="141" customFormat="1" x14ac:dyDescent="0.2">
      <c r="B713" s="142"/>
      <c r="D713" s="143" t="s">
        <v>346</v>
      </c>
      <c r="E713" s="144"/>
      <c r="F713" s="145" t="s">
        <v>370</v>
      </c>
      <c r="H713" s="144"/>
      <c r="L713" s="142"/>
      <c r="M713" s="146"/>
      <c r="T713" s="147"/>
      <c r="AT713" s="144" t="s">
        <v>346</v>
      </c>
      <c r="AU713" s="144" t="s">
        <v>90</v>
      </c>
      <c r="AV713" s="141" t="s">
        <v>87</v>
      </c>
      <c r="AW713" s="141" t="s">
        <v>33</v>
      </c>
      <c r="AX713" s="141" t="s">
        <v>80</v>
      </c>
      <c r="AY713" s="144" t="s">
        <v>337</v>
      </c>
    </row>
    <row r="714" spans="2:51" s="148" customFormat="1" x14ac:dyDescent="0.2">
      <c r="B714" s="149"/>
      <c r="D714" s="143" t="s">
        <v>346</v>
      </c>
      <c r="E714" s="150"/>
      <c r="F714" s="151" t="s">
        <v>5501</v>
      </c>
      <c r="H714" s="152">
        <v>2.8570000000000002</v>
      </c>
      <c r="L714" s="149"/>
      <c r="M714" s="153"/>
      <c r="T714" s="154"/>
      <c r="AT714" s="150" t="s">
        <v>346</v>
      </c>
      <c r="AU714" s="150" t="s">
        <v>90</v>
      </c>
      <c r="AV714" s="148" t="s">
        <v>90</v>
      </c>
      <c r="AW714" s="148" t="s">
        <v>33</v>
      </c>
      <c r="AX714" s="148" t="s">
        <v>80</v>
      </c>
      <c r="AY714" s="150" t="s">
        <v>337</v>
      </c>
    </row>
    <row r="715" spans="2:51" s="148" customFormat="1" x14ac:dyDescent="0.2">
      <c r="B715" s="149"/>
      <c r="D715" s="143" t="s">
        <v>346</v>
      </c>
      <c r="E715" s="150"/>
      <c r="F715" s="151" t="s">
        <v>5502</v>
      </c>
      <c r="H715" s="152">
        <v>3.1909999999999998</v>
      </c>
      <c r="L715" s="149"/>
      <c r="M715" s="153"/>
      <c r="T715" s="154"/>
      <c r="AT715" s="150" t="s">
        <v>346</v>
      </c>
      <c r="AU715" s="150" t="s">
        <v>90</v>
      </c>
      <c r="AV715" s="148" t="s">
        <v>90</v>
      </c>
      <c r="AW715" s="148" t="s">
        <v>33</v>
      </c>
      <c r="AX715" s="148" t="s">
        <v>80</v>
      </c>
      <c r="AY715" s="150" t="s">
        <v>337</v>
      </c>
    </row>
    <row r="716" spans="2:51" s="148" customFormat="1" x14ac:dyDescent="0.2">
      <c r="B716" s="149"/>
      <c r="D716" s="143" t="s">
        <v>346</v>
      </c>
      <c r="E716" s="150"/>
      <c r="F716" s="151" t="s">
        <v>5503</v>
      </c>
      <c r="H716" s="152">
        <v>27</v>
      </c>
      <c r="L716" s="149"/>
      <c r="M716" s="153"/>
      <c r="T716" s="154"/>
      <c r="AT716" s="150" t="s">
        <v>346</v>
      </c>
      <c r="AU716" s="150" t="s">
        <v>90</v>
      </c>
      <c r="AV716" s="148" t="s">
        <v>90</v>
      </c>
      <c r="AW716" s="148" t="s">
        <v>33</v>
      </c>
      <c r="AX716" s="148" t="s">
        <v>80</v>
      </c>
      <c r="AY716" s="150" t="s">
        <v>337</v>
      </c>
    </row>
    <row r="717" spans="2:51" s="148" customFormat="1" x14ac:dyDescent="0.2">
      <c r="B717" s="149"/>
      <c r="D717" s="143" t="s">
        <v>346</v>
      </c>
      <c r="E717" s="150"/>
      <c r="F717" s="151" t="s">
        <v>5504</v>
      </c>
      <c r="H717" s="152">
        <v>17.625</v>
      </c>
      <c r="L717" s="149"/>
      <c r="M717" s="153"/>
      <c r="T717" s="154"/>
      <c r="AT717" s="150" t="s">
        <v>346</v>
      </c>
      <c r="AU717" s="150" t="s">
        <v>90</v>
      </c>
      <c r="AV717" s="148" t="s">
        <v>90</v>
      </c>
      <c r="AW717" s="148" t="s">
        <v>33</v>
      </c>
      <c r="AX717" s="148" t="s">
        <v>80</v>
      </c>
      <c r="AY717" s="150" t="s">
        <v>337</v>
      </c>
    </row>
    <row r="718" spans="2:51" s="148" customFormat="1" x14ac:dyDescent="0.2">
      <c r="B718" s="149"/>
      <c r="D718" s="143" t="s">
        <v>346</v>
      </c>
      <c r="E718" s="150"/>
      <c r="F718" s="151" t="s">
        <v>5506</v>
      </c>
      <c r="H718" s="152">
        <v>9.4559999999999995</v>
      </c>
      <c r="L718" s="149"/>
      <c r="M718" s="153"/>
      <c r="T718" s="154"/>
      <c r="AT718" s="150" t="s">
        <v>346</v>
      </c>
      <c r="AU718" s="150" t="s">
        <v>90</v>
      </c>
      <c r="AV718" s="148" t="s">
        <v>90</v>
      </c>
      <c r="AW718" s="148" t="s">
        <v>33</v>
      </c>
      <c r="AX718" s="148" t="s">
        <v>80</v>
      </c>
      <c r="AY718" s="150" t="s">
        <v>337</v>
      </c>
    </row>
    <row r="719" spans="2:51" s="148" customFormat="1" x14ac:dyDescent="0.2">
      <c r="B719" s="149"/>
      <c r="D719" s="143" t="s">
        <v>346</v>
      </c>
      <c r="E719" s="150"/>
      <c r="F719" s="151" t="s">
        <v>5507</v>
      </c>
      <c r="H719" s="152">
        <v>4.1369999999999996</v>
      </c>
      <c r="L719" s="149"/>
      <c r="M719" s="153"/>
      <c r="T719" s="154"/>
      <c r="AT719" s="150" t="s">
        <v>346</v>
      </c>
      <c r="AU719" s="150" t="s">
        <v>90</v>
      </c>
      <c r="AV719" s="148" t="s">
        <v>90</v>
      </c>
      <c r="AW719" s="148" t="s">
        <v>33</v>
      </c>
      <c r="AX719" s="148" t="s">
        <v>80</v>
      </c>
      <c r="AY719" s="150" t="s">
        <v>337</v>
      </c>
    </row>
    <row r="720" spans="2:51" s="148" customFormat="1" x14ac:dyDescent="0.2">
      <c r="B720" s="149"/>
      <c r="D720" s="143" t="s">
        <v>346</v>
      </c>
      <c r="E720" s="150"/>
      <c r="F720" s="151" t="s">
        <v>5509</v>
      </c>
      <c r="H720" s="152">
        <v>28.367999999999999</v>
      </c>
      <c r="L720" s="149"/>
      <c r="M720" s="153"/>
      <c r="T720" s="154"/>
      <c r="AT720" s="150" t="s">
        <v>346</v>
      </c>
      <c r="AU720" s="150" t="s">
        <v>90</v>
      </c>
      <c r="AV720" s="148" t="s">
        <v>90</v>
      </c>
      <c r="AW720" s="148" t="s">
        <v>33</v>
      </c>
      <c r="AX720" s="148" t="s">
        <v>80</v>
      </c>
      <c r="AY720" s="150" t="s">
        <v>337</v>
      </c>
    </row>
    <row r="721" spans="2:65" s="141" customFormat="1" x14ac:dyDescent="0.2">
      <c r="B721" s="142"/>
      <c r="D721" s="143" t="s">
        <v>346</v>
      </c>
      <c r="E721" s="144"/>
      <c r="F721" s="145" t="s">
        <v>434</v>
      </c>
      <c r="H721" s="144"/>
      <c r="L721" s="142"/>
      <c r="M721" s="146"/>
      <c r="T721" s="147"/>
      <c r="AT721" s="144" t="s">
        <v>346</v>
      </c>
      <c r="AU721" s="144" t="s">
        <v>90</v>
      </c>
      <c r="AV721" s="141" t="s">
        <v>87</v>
      </c>
      <c r="AW721" s="141" t="s">
        <v>33</v>
      </c>
      <c r="AX721" s="141" t="s">
        <v>80</v>
      </c>
      <c r="AY721" s="144" t="s">
        <v>337</v>
      </c>
    </row>
    <row r="722" spans="2:65" s="148" customFormat="1" x14ac:dyDescent="0.2">
      <c r="B722" s="149"/>
      <c r="D722" s="143" t="s">
        <v>346</v>
      </c>
      <c r="E722" s="150"/>
      <c r="F722" s="151" t="s">
        <v>5510</v>
      </c>
      <c r="H722" s="152">
        <v>2.1669999999999998</v>
      </c>
      <c r="L722" s="149"/>
      <c r="M722" s="153"/>
      <c r="T722" s="154"/>
      <c r="AT722" s="150" t="s">
        <v>346</v>
      </c>
      <c r="AU722" s="150" t="s">
        <v>90</v>
      </c>
      <c r="AV722" s="148" t="s">
        <v>90</v>
      </c>
      <c r="AW722" s="148" t="s">
        <v>33</v>
      </c>
      <c r="AX722" s="148" t="s">
        <v>80</v>
      </c>
      <c r="AY722" s="150" t="s">
        <v>337</v>
      </c>
    </row>
    <row r="723" spans="2:65" s="155" customFormat="1" x14ac:dyDescent="0.2">
      <c r="B723" s="156"/>
      <c r="D723" s="143" t="s">
        <v>346</v>
      </c>
      <c r="E723" s="157"/>
      <c r="F723" s="158" t="s">
        <v>351</v>
      </c>
      <c r="H723" s="159">
        <v>456.57900000000001</v>
      </c>
      <c r="L723" s="156"/>
      <c r="M723" s="160"/>
      <c r="T723" s="161"/>
      <c r="AT723" s="157" t="s">
        <v>346</v>
      </c>
      <c r="AU723" s="157" t="s">
        <v>90</v>
      </c>
      <c r="AV723" s="155" t="s">
        <v>344</v>
      </c>
      <c r="AW723" s="155" t="s">
        <v>33</v>
      </c>
      <c r="AX723" s="155" t="s">
        <v>87</v>
      </c>
      <c r="AY723" s="157" t="s">
        <v>337</v>
      </c>
    </row>
    <row r="724" spans="2:65" s="16" customFormat="1" ht="16.5" customHeight="1" x14ac:dyDescent="0.2">
      <c r="B724" s="17"/>
      <c r="C724" s="128">
        <v>20</v>
      </c>
      <c r="D724" s="128" t="s">
        <v>339</v>
      </c>
      <c r="E724" s="129" t="s">
        <v>5511</v>
      </c>
      <c r="F724" s="130" t="s">
        <v>5512</v>
      </c>
      <c r="G724" s="131" t="s">
        <v>342</v>
      </c>
      <c r="H724" s="132">
        <v>0.84299999999999997</v>
      </c>
      <c r="I724" s="133"/>
      <c r="J724" s="134">
        <f>ROUND(I724*H724,2)</f>
        <v>0</v>
      </c>
      <c r="K724" s="130" t="s">
        <v>343</v>
      </c>
      <c r="L724" s="17"/>
      <c r="M724" s="135"/>
      <c r="N724" s="136" t="s">
        <v>45</v>
      </c>
      <c r="P724" s="137">
        <f>O724*H724</f>
        <v>0</v>
      </c>
      <c r="Q724" s="137">
        <v>0</v>
      </c>
      <c r="R724" s="137">
        <f>Q724*H724</f>
        <v>0</v>
      </c>
      <c r="S724" s="137">
        <v>2.2000000000000002</v>
      </c>
      <c r="T724" s="138">
        <f>S724*H724</f>
        <v>1.8546</v>
      </c>
      <c r="AR724" s="139" t="s">
        <v>344</v>
      </c>
      <c r="AT724" s="139" t="s">
        <v>339</v>
      </c>
      <c r="AU724" s="139" t="s">
        <v>90</v>
      </c>
      <c r="AY724" s="2" t="s">
        <v>337</v>
      </c>
      <c r="BE724" s="140">
        <f>IF(N724="základní",J724,0)</f>
        <v>0</v>
      </c>
      <c r="BF724" s="140">
        <f>IF(N724="snížená",J724,0)</f>
        <v>0</v>
      </c>
      <c r="BG724" s="140">
        <f>IF(N724="zákl. přenesená",J724,0)</f>
        <v>0</v>
      </c>
      <c r="BH724" s="140">
        <f>IF(N724="sníž. přenesená",J724,0)</f>
        <v>0</v>
      </c>
      <c r="BI724" s="140">
        <f>IF(N724="nulová",J724,0)</f>
        <v>0</v>
      </c>
      <c r="BJ724" s="2" t="s">
        <v>87</v>
      </c>
      <c r="BK724" s="140">
        <f>ROUND(I724*H724,2)</f>
        <v>0</v>
      </c>
      <c r="BL724" s="2" t="s">
        <v>344</v>
      </c>
      <c r="BM724" s="139" t="s">
        <v>5513</v>
      </c>
    </row>
    <row r="725" spans="2:65" s="141" customFormat="1" x14ac:dyDescent="0.2">
      <c r="B725" s="142"/>
      <c r="D725" s="143" t="s">
        <v>346</v>
      </c>
      <c r="E725" s="144"/>
      <c r="F725" s="145" t="s">
        <v>5439</v>
      </c>
      <c r="H725" s="144"/>
      <c r="L725" s="142"/>
      <c r="M725" s="146"/>
      <c r="T725" s="147"/>
      <c r="AT725" s="144" t="s">
        <v>346</v>
      </c>
      <c r="AU725" s="144" t="s">
        <v>90</v>
      </c>
      <c r="AV725" s="141" t="s">
        <v>87</v>
      </c>
      <c r="AW725" s="141" t="s">
        <v>33</v>
      </c>
      <c r="AX725" s="141" t="s">
        <v>80</v>
      </c>
      <c r="AY725" s="144" t="s">
        <v>337</v>
      </c>
    </row>
    <row r="726" spans="2:65" s="148" customFormat="1" x14ac:dyDescent="0.2">
      <c r="B726" s="149"/>
      <c r="D726" s="143" t="s">
        <v>346</v>
      </c>
      <c r="E726" s="150"/>
      <c r="F726" s="151" t="s">
        <v>5514</v>
      </c>
      <c r="H726" s="152">
        <v>0.315</v>
      </c>
      <c r="L726" s="149"/>
      <c r="M726" s="153"/>
      <c r="T726" s="154"/>
      <c r="AT726" s="150" t="s">
        <v>346</v>
      </c>
      <c r="AU726" s="150" t="s">
        <v>90</v>
      </c>
      <c r="AV726" s="148" t="s">
        <v>90</v>
      </c>
      <c r="AW726" s="148" t="s">
        <v>33</v>
      </c>
      <c r="AX726" s="148" t="s">
        <v>80</v>
      </c>
      <c r="AY726" s="150" t="s">
        <v>337</v>
      </c>
    </row>
    <row r="727" spans="2:65" s="141" customFormat="1" ht="22.5" x14ac:dyDescent="0.2">
      <c r="B727" s="142"/>
      <c r="D727" s="143" t="s">
        <v>346</v>
      </c>
      <c r="E727" s="144"/>
      <c r="F727" s="145" t="s">
        <v>5515</v>
      </c>
      <c r="H727" s="144"/>
      <c r="L727" s="142"/>
      <c r="M727" s="146"/>
      <c r="T727" s="147"/>
      <c r="AT727" s="144" t="s">
        <v>346</v>
      </c>
      <c r="AU727" s="144" t="s">
        <v>90</v>
      </c>
      <c r="AV727" s="141" t="s">
        <v>87</v>
      </c>
      <c r="AW727" s="141" t="s">
        <v>33</v>
      </c>
      <c r="AX727" s="141" t="s">
        <v>80</v>
      </c>
      <c r="AY727" s="144" t="s">
        <v>337</v>
      </c>
    </row>
    <row r="728" spans="2:65" s="148" customFormat="1" x14ac:dyDescent="0.2">
      <c r="B728" s="149"/>
      <c r="D728" s="143" t="s">
        <v>346</v>
      </c>
      <c r="E728" s="150"/>
      <c r="F728" s="151" t="s">
        <v>5516</v>
      </c>
      <c r="H728" s="152">
        <v>0.52800000000000002</v>
      </c>
      <c r="L728" s="149"/>
      <c r="M728" s="153"/>
      <c r="T728" s="154"/>
      <c r="AT728" s="150" t="s">
        <v>346</v>
      </c>
      <c r="AU728" s="150" t="s">
        <v>90</v>
      </c>
      <c r="AV728" s="148" t="s">
        <v>90</v>
      </c>
      <c r="AW728" s="148" t="s">
        <v>33</v>
      </c>
      <c r="AX728" s="148" t="s">
        <v>80</v>
      </c>
      <c r="AY728" s="150" t="s">
        <v>337</v>
      </c>
    </row>
    <row r="729" spans="2:65" s="155" customFormat="1" x14ac:dyDescent="0.2">
      <c r="B729" s="156"/>
      <c r="D729" s="143" t="s">
        <v>346</v>
      </c>
      <c r="E729" s="157"/>
      <c r="F729" s="158" t="s">
        <v>351</v>
      </c>
      <c r="H729" s="159">
        <v>0.84299999999999997</v>
      </c>
      <c r="L729" s="156"/>
      <c r="M729" s="160"/>
      <c r="T729" s="161"/>
      <c r="AT729" s="157" t="s">
        <v>346</v>
      </c>
      <c r="AU729" s="157" t="s">
        <v>90</v>
      </c>
      <c r="AV729" s="155" t="s">
        <v>344</v>
      </c>
      <c r="AW729" s="155" t="s">
        <v>33</v>
      </c>
      <c r="AX729" s="155" t="s">
        <v>87</v>
      </c>
      <c r="AY729" s="157" t="s">
        <v>337</v>
      </c>
    </row>
    <row r="730" spans="2:65" s="16" customFormat="1" ht="16.5" customHeight="1" x14ac:dyDescent="0.2">
      <c r="B730" s="17"/>
      <c r="C730" s="128">
        <v>21</v>
      </c>
      <c r="D730" s="128" t="s">
        <v>339</v>
      </c>
      <c r="E730" s="129" t="s">
        <v>5517</v>
      </c>
      <c r="F730" s="130" t="s">
        <v>5518</v>
      </c>
      <c r="G730" s="131" t="s">
        <v>342</v>
      </c>
      <c r="H730" s="132">
        <v>0.183</v>
      </c>
      <c r="I730" s="133"/>
      <c r="J730" s="134">
        <f>ROUND(I730*H730,2)</f>
        <v>0</v>
      </c>
      <c r="K730" s="130" t="s">
        <v>343</v>
      </c>
      <c r="L730" s="17"/>
      <c r="M730" s="135"/>
      <c r="N730" s="136" t="s">
        <v>45</v>
      </c>
      <c r="P730" s="137">
        <f>O730*H730</f>
        <v>0</v>
      </c>
      <c r="Q730" s="137">
        <v>0</v>
      </c>
      <c r="R730" s="137">
        <f>Q730*H730</f>
        <v>0</v>
      </c>
      <c r="S730" s="137">
        <v>2.4</v>
      </c>
      <c r="T730" s="138">
        <f>S730*H730</f>
        <v>0.43919999999999998</v>
      </c>
      <c r="AR730" s="139" t="s">
        <v>344</v>
      </c>
      <c r="AT730" s="139" t="s">
        <v>339</v>
      </c>
      <c r="AU730" s="139" t="s">
        <v>90</v>
      </c>
      <c r="AY730" s="2" t="s">
        <v>337</v>
      </c>
      <c r="BE730" s="140">
        <f>IF(N730="základní",J730,0)</f>
        <v>0</v>
      </c>
      <c r="BF730" s="140">
        <f>IF(N730="snížená",J730,0)</f>
        <v>0</v>
      </c>
      <c r="BG730" s="140">
        <f>IF(N730="zákl. přenesená",J730,0)</f>
        <v>0</v>
      </c>
      <c r="BH730" s="140">
        <f>IF(N730="sníž. přenesená",J730,0)</f>
        <v>0</v>
      </c>
      <c r="BI730" s="140">
        <f>IF(N730="nulová",J730,0)</f>
        <v>0</v>
      </c>
      <c r="BJ730" s="2" t="s">
        <v>87</v>
      </c>
      <c r="BK730" s="140">
        <f>ROUND(I730*H730,2)</f>
        <v>0</v>
      </c>
      <c r="BL730" s="2" t="s">
        <v>344</v>
      </c>
      <c r="BM730" s="139" t="s">
        <v>5519</v>
      </c>
    </row>
    <row r="731" spans="2:65" s="141" customFormat="1" x14ac:dyDescent="0.2">
      <c r="B731" s="142"/>
      <c r="D731" s="143" t="s">
        <v>346</v>
      </c>
      <c r="E731" s="144"/>
      <c r="F731" s="145" t="s">
        <v>5520</v>
      </c>
      <c r="H731" s="144"/>
      <c r="L731" s="142"/>
      <c r="M731" s="146"/>
      <c r="T731" s="147"/>
      <c r="AT731" s="144" t="s">
        <v>346</v>
      </c>
      <c r="AU731" s="144" t="s">
        <v>90</v>
      </c>
      <c r="AV731" s="141" t="s">
        <v>87</v>
      </c>
      <c r="AW731" s="141" t="s">
        <v>33</v>
      </c>
      <c r="AX731" s="141" t="s">
        <v>80</v>
      </c>
      <c r="AY731" s="144" t="s">
        <v>337</v>
      </c>
    </row>
    <row r="732" spans="2:65" s="148" customFormat="1" x14ac:dyDescent="0.2">
      <c r="B732" s="149"/>
      <c r="D732" s="143" t="s">
        <v>346</v>
      </c>
      <c r="E732" s="150"/>
      <c r="F732" s="151" t="s">
        <v>5521</v>
      </c>
      <c r="H732" s="152">
        <v>0.183</v>
      </c>
      <c r="L732" s="149"/>
      <c r="M732" s="153"/>
      <c r="T732" s="154"/>
      <c r="AT732" s="150" t="s">
        <v>346</v>
      </c>
      <c r="AU732" s="150" t="s">
        <v>90</v>
      </c>
      <c r="AV732" s="148" t="s">
        <v>90</v>
      </c>
      <c r="AW732" s="148" t="s">
        <v>33</v>
      </c>
      <c r="AX732" s="148" t="s">
        <v>87</v>
      </c>
      <c r="AY732" s="150" t="s">
        <v>337</v>
      </c>
    </row>
    <row r="733" spans="2:65" s="16" customFormat="1" ht="16.5" customHeight="1" x14ac:dyDescent="0.2">
      <c r="B733" s="17"/>
      <c r="C733" s="128">
        <v>22</v>
      </c>
      <c r="D733" s="128" t="s">
        <v>339</v>
      </c>
      <c r="E733" s="129" t="s">
        <v>5522</v>
      </c>
      <c r="F733" s="130" t="s">
        <v>5523</v>
      </c>
      <c r="G733" s="131" t="s">
        <v>449</v>
      </c>
      <c r="H733" s="132">
        <v>73</v>
      </c>
      <c r="I733" s="133"/>
      <c r="J733" s="134">
        <f>ROUND(I733*H733,2)</f>
        <v>0</v>
      </c>
      <c r="K733" s="130" t="s">
        <v>343</v>
      </c>
      <c r="L733" s="17"/>
      <c r="M733" s="135"/>
      <c r="N733" s="136" t="s">
        <v>45</v>
      </c>
      <c r="P733" s="137">
        <f>O733*H733</f>
        <v>0</v>
      </c>
      <c r="Q733" s="137">
        <v>0</v>
      </c>
      <c r="R733" s="137">
        <f>Q733*H733</f>
        <v>0</v>
      </c>
      <c r="S733" s="137">
        <v>2.1999999999999999E-2</v>
      </c>
      <c r="T733" s="138">
        <f>S733*H733</f>
        <v>1.6059999999999999</v>
      </c>
      <c r="AR733" s="139" t="s">
        <v>344</v>
      </c>
      <c r="AT733" s="139" t="s">
        <v>339</v>
      </c>
      <c r="AU733" s="139" t="s">
        <v>90</v>
      </c>
      <c r="AY733" s="2" t="s">
        <v>337</v>
      </c>
      <c r="BE733" s="140">
        <f>IF(N733="základní",J733,0)</f>
        <v>0</v>
      </c>
      <c r="BF733" s="140">
        <f>IF(N733="snížená",J733,0)</f>
        <v>0</v>
      </c>
      <c r="BG733" s="140">
        <f>IF(N733="zákl. přenesená",J733,0)</f>
        <v>0</v>
      </c>
      <c r="BH733" s="140">
        <f>IF(N733="sníž. přenesená",J733,0)</f>
        <v>0</v>
      </c>
      <c r="BI733" s="140">
        <f>IF(N733="nulová",J733,0)</f>
        <v>0</v>
      </c>
      <c r="BJ733" s="2" t="s">
        <v>87</v>
      </c>
      <c r="BK733" s="140">
        <f>ROUND(I733*H733,2)</f>
        <v>0</v>
      </c>
      <c r="BL733" s="2" t="s">
        <v>344</v>
      </c>
      <c r="BM733" s="139" t="s">
        <v>5524</v>
      </c>
    </row>
    <row r="734" spans="2:65" s="141" customFormat="1" ht="22.5" x14ac:dyDescent="0.2">
      <c r="B734" s="142"/>
      <c r="D734" s="143" t="s">
        <v>346</v>
      </c>
      <c r="E734" s="144"/>
      <c r="F734" s="145" t="s">
        <v>5525</v>
      </c>
      <c r="H734" s="144"/>
      <c r="L734" s="142"/>
      <c r="M734" s="146"/>
      <c r="T734" s="147"/>
      <c r="AT734" s="144" t="s">
        <v>346</v>
      </c>
      <c r="AU734" s="144" t="s">
        <v>90</v>
      </c>
      <c r="AV734" s="141" t="s">
        <v>87</v>
      </c>
      <c r="AW734" s="141" t="s">
        <v>33</v>
      </c>
      <c r="AX734" s="141" t="s">
        <v>80</v>
      </c>
      <c r="AY734" s="144" t="s">
        <v>337</v>
      </c>
    </row>
    <row r="735" spans="2:65" s="141" customFormat="1" x14ac:dyDescent="0.2">
      <c r="B735" s="142"/>
      <c r="D735" s="143" t="s">
        <v>346</v>
      </c>
      <c r="E735" s="144"/>
      <c r="F735" s="145" t="s">
        <v>5526</v>
      </c>
      <c r="H735" s="144"/>
      <c r="L735" s="142"/>
      <c r="M735" s="146"/>
      <c r="T735" s="147"/>
      <c r="AT735" s="144" t="s">
        <v>346</v>
      </c>
      <c r="AU735" s="144" t="s">
        <v>90</v>
      </c>
      <c r="AV735" s="141" t="s">
        <v>87</v>
      </c>
      <c r="AW735" s="141" t="s">
        <v>33</v>
      </c>
      <c r="AX735" s="141" t="s">
        <v>80</v>
      </c>
      <c r="AY735" s="144" t="s">
        <v>337</v>
      </c>
    </row>
    <row r="736" spans="2:65" s="141" customFormat="1" x14ac:dyDescent="0.2">
      <c r="B736" s="142"/>
      <c r="D736" s="143" t="s">
        <v>346</v>
      </c>
      <c r="E736" s="144"/>
      <c r="F736" s="145" t="s">
        <v>5527</v>
      </c>
      <c r="H736" s="144"/>
      <c r="L736" s="142"/>
      <c r="M736" s="146"/>
      <c r="T736" s="147"/>
      <c r="AT736" s="144" t="s">
        <v>346</v>
      </c>
      <c r="AU736" s="144" t="s">
        <v>90</v>
      </c>
      <c r="AV736" s="141" t="s">
        <v>87</v>
      </c>
      <c r="AW736" s="141" t="s">
        <v>33</v>
      </c>
      <c r="AX736" s="141" t="s">
        <v>80</v>
      </c>
      <c r="AY736" s="144" t="s">
        <v>337</v>
      </c>
    </row>
    <row r="737" spans="2:65" s="148" customFormat="1" x14ac:dyDescent="0.2">
      <c r="B737" s="149"/>
      <c r="D737" s="143" t="s">
        <v>346</v>
      </c>
      <c r="E737" s="150"/>
      <c r="F737" s="151" t="s">
        <v>452</v>
      </c>
      <c r="H737" s="152">
        <v>9</v>
      </c>
      <c r="L737" s="149"/>
      <c r="M737" s="153"/>
      <c r="T737" s="154"/>
      <c r="AT737" s="150" t="s">
        <v>346</v>
      </c>
      <c r="AU737" s="150" t="s">
        <v>90</v>
      </c>
      <c r="AV737" s="148" t="s">
        <v>90</v>
      </c>
      <c r="AW737" s="148" t="s">
        <v>33</v>
      </c>
      <c r="AX737" s="148" t="s">
        <v>80</v>
      </c>
      <c r="AY737" s="150" t="s">
        <v>337</v>
      </c>
    </row>
    <row r="738" spans="2:65" s="141" customFormat="1" x14ac:dyDescent="0.2">
      <c r="B738" s="142"/>
      <c r="D738" s="143" t="s">
        <v>346</v>
      </c>
      <c r="E738" s="144"/>
      <c r="F738" s="145" t="s">
        <v>2695</v>
      </c>
      <c r="H738" s="144"/>
      <c r="L738" s="142"/>
      <c r="M738" s="146"/>
      <c r="T738" s="147"/>
      <c r="AT738" s="144" t="s">
        <v>346</v>
      </c>
      <c r="AU738" s="144" t="s">
        <v>90</v>
      </c>
      <c r="AV738" s="141" t="s">
        <v>87</v>
      </c>
      <c r="AW738" s="141" t="s">
        <v>33</v>
      </c>
      <c r="AX738" s="141" t="s">
        <v>80</v>
      </c>
      <c r="AY738" s="144" t="s">
        <v>337</v>
      </c>
    </row>
    <row r="739" spans="2:65" s="148" customFormat="1" x14ac:dyDescent="0.2">
      <c r="B739" s="149"/>
      <c r="D739" s="143" t="s">
        <v>346</v>
      </c>
      <c r="E739" s="150"/>
      <c r="F739" s="151" t="s">
        <v>486</v>
      </c>
      <c r="H739" s="152">
        <v>15</v>
      </c>
      <c r="L739" s="149"/>
      <c r="M739" s="153"/>
      <c r="T739" s="154"/>
      <c r="AT739" s="150" t="s">
        <v>346</v>
      </c>
      <c r="AU739" s="150" t="s">
        <v>90</v>
      </c>
      <c r="AV739" s="148" t="s">
        <v>90</v>
      </c>
      <c r="AW739" s="148" t="s">
        <v>33</v>
      </c>
      <c r="AX739" s="148" t="s">
        <v>80</v>
      </c>
      <c r="AY739" s="150" t="s">
        <v>337</v>
      </c>
    </row>
    <row r="740" spans="2:65" s="141" customFormat="1" x14ac:dyDescent="0.2">
      <c r="B740" s="142"/>
      <c r="D740" s="143" t="s">
        <v>346</v>
      </c>
      <c r="E740" s="144"/>
      <c r="F740" s="145" t="s">
        <v>2722</v>
      </c>
      <c r="H740" s="144"/>
      <c r="L740" s="142"/>
      <c r="M740" s="146"/>
      <c r="T740" s="147"/>
      <c r="AT740" s="144" t="s">
        <v>346</v>
      </c>
      <c r="AU740" s="144" t="s">
        <v>90</v>
      </c>
      <c r="AV740" s="141" t="s">
        <v>87</v>
      </c>
      <c r="AW740" s="141" t="s">
        <v>33</v>
      </c>
      <c r="AX740" s="141" t="s">
        <v>80</v>
      </c>
      <c r="AY740" s="144" t="s">
        <v>337</v>
      </c>
    </row>
    <row r="741" spans="2:65" s="148" customFormat="1" x14ac:dyDescent="0.2">
      <c r="B741" s="149"/>
      <c r="D741" s="143" t="s">
        <v>346</v>
      </c>
      <c r="E741" s="150"/>
      <c r="F741" s="151" t="s">
        <v>496</v>
      </c>
      <c r="H741" s="152">
        <v>16</v>
      </c>
      <c r="L741" s="149"/>
      <c r="M741" s="153"/>
      <c r="T741" s="154"/>
      <c r="AT741" s="150" t="s">
        <v>346</v>
      </c>
      <c r="AU741" s="150" t="s">
        <v>90</v>
      </c>
      <c r="AV741" s="148" t="s">
        <v>90</v>
      </c>
      <c r="AW741" s="148" t="s">
        <v>33</v>
      </c>
      <c r="AX741" s="148" t="s">
        <v>80</v>
      </c>
      <c r="AY741" s="150" t="s">
        <v>337</v>
      </c>
    </row>
    <row r="742" spans="2:65" s="141" customFormat="1" x14ac:dyDescent="0.2">
      <c r="B742" s="142"/>
      <c r="D742" s="143" t="s">
        <v>346</v>
      </c>
      <c r="E742" s="144"/>
      <c r="F742" s="145" t="s">
        <v>2742</v>
      </c>
      <c r="H742" s="144"/>
      <c r="L742" s="142"/>
      <c r="M742" s="146"/>
      <c r="T742" s="147"/>
      <c r="AT742" s="144" t="s">
        <v>346</v>
      </c>
      <c r="AU742" s="144" t="s">
        <v>90</v>
      </c>
      <c r="AV742" s="141" t="s">
        <v>87</v>
      </c>
      <c r="AW742" s="141" t="s">
        <v>33</v>
      </c>
      <c r="AX742" s="141" t="s">
        <v>80</v>
      </c>
      <c r="AY742" s="144" t="s">
        <v>337</v>
      </c>
    </row>
    <row r="743" spans="2:65" s="148" customFormat="1" x14ac:dyDescent="0.2">
      <c r="B743" s="149"/>
      <c r="D743" s="143" t="s">
        <v>346</v>
      </c>
      <c r="E743" s="150"/>
      <c r="F743" s="151" t="s">
        <v>496</v>
      </c>
      <c r="H743" s="152">
        <v>16</v>
      </c>
      <c r="L743" s="149"/>
      <c r="M743" s="153"/>
      <c r="T743" s="154"/>
      <c r="AT743" s="150" t="s">
        <v>346</v>
      </c>
      <c r="AU743" s="150" t="s">
        <v>90</v>
      </c>
      <c r="AV743" s="148" t="s">
        <v>90</v>
      </c>
      <c r="AW743" s="148" t="s">
        <v>33</v>
      </c>
      <c r="AX743" s="148" t="s">
        <v>80</v>
      </c>
      <c r="AY743" s="150" t="s">
        <v>337</v>
      </c>
    </row>
    <row r="744" spans="2:65" s="141" customFormat="1" x14ac:dyDescent="0.2">
      <c r="B744" s="142"/>
      <c r="D744" s="143" t="s">
        <v>346</v>
      </c>
      <c r="E744" s="144"/>
      <c r="F744" s="145" t="s">
        <v>2757</v>
      </c>
      <c r="H744" s="144"/>
      <c r="L744" s="142"/>
      <c r="M744" s="146"/>
      <c r="T744" s="147"/>
      <c r="AT744" s="144" t="s">
        <v>346</v>
      </c>
      <c r="AU744" s="144" t="s">
        <v>90</v>
      </c>
      <c r="AV744" s="141" t="s">
        <v>87</v>
      </c>
      <c r="AW744" s="141" t="s">
        <v>33</v>
      </c>
      <c r="AX744" s="141" t="s">
        <v>80</v>
      </c>
      <c r="AY744" s="144" t="s">
        <v>337</v>
      </c>
    </row>
    <row r="745" spans="2:65" s="148" customFormat="1" x14ac:dyDescent="0.2">
      <c r="B745" s="149"/>
      <c r="D745" s="143" t="s">
        <v>346</v>
      </c>
      <c r="E745" s="150"/>
      <c r="F745" s="151" t="s">
        <v>518</v>
      </c>
      <c r="H745" s="152">
        <v>17</v>
      </c>
      <c r="L745" s="149"/>
      <c r="M745" s="153"/>
      <c r="T745" s="154"/>
      <c r="AT745" s="150" t="s">
        <v>346</v>
      </c>
      <c r="AU745" s="150" t="s">
        <v>90</v>
      </c>
      <c r="AV745" s="148" t="s">
        <v>90</v>
      </c>
      <c r="AW745" s="148" t="s">
        <v>33</v>
      </c>
      <c r="AX745" s="148" t="s">
        <v>80</v>
      </c>
      <c r="AY745" s="150" t="s">
        <v>337</v>
      </c>
    </row>
    <row r="746" spans="2:65" s="155" customFormat="1" x14ac:dyDescent="0.2">
      <c r="B746" s="156"/>
      <c r="D746" s="143" t="s">
        <v>346</v>
      </c>
      <c r="E746" s="157"/>
      <c r="F746" s="158" t="s">
        <v>351</v>
      </c>
      <c r="H746" s="159">
        <v>73</v>
      </c>
      <c r="L746" s="156"/>
      <c r="M746" s="160"/>
      <c r="T746" s="161"/>
      <c r="AT746" s="157" t="s">
        <v>346</v>
      </c>
      <c r="AU746" s="157" t="s">
        <v>90</v>
      </c>
      <c r="AV746" s="155" t="s">
        <v>344</v>
      </c>
      <c r="AW746" s="155" t="s">
        <v>33</v>
      </c>
      <c r="AX746" s="155" t="s">
        <v>87</v>
      </c>
      <c r="AY746" s="157" t="s">
        <v>337</v>
      </c>
    </row>
    <row r="747" spans="2:65" s="16" customFormat="1" ht="16.5" customHeight="1" x14ac:dyDescent="0.2">
      <c r="B747" s="17"/>
      <c r="C747" s="128">
        <v>23</v>
      </c>
      <c r="D747" s="128" t="s">
        <v>339</v>
      </c>
      <c r="E747" s="129" t="s">
        <v>5528</v>
      </c>
      <c r="F747" s="130" t="s">
        <v>5529</v>
      </c>
      <c r="G747" s="131" t="s">
        <v>449</v>
      </c>
      <c r="H747" s="132">
        <v>73</v>
      </c>
      <c r="I747" s="133"/>
      <c r="J747" s="134">
        <f>ROUND(I747*H747,2)</f>
        <v>0</v>
      </c>
      <c r="K747" s="130" t="s">
        <v>343</v>
      </c>
      <c r="L747" s="17"/>
      <c r="M747" s="135"/>
      <c r="N747" s="136" t="s">
        <v>45</v>
      </c>
      <c r="P747" s="137">
        <f>O747*H747</f>
        <v>0</v>
      </c>
      <c r="Q747" s="137">
        <v>0</v>
      </c>
      <c r="R747" s="137">
        <f>Q747*H747</f>
        <v>0</v>
      </c>
      <c r="S747" s="137">
        <v>3.2000000000000001E-2</v>
      </c>
      <c r="T747" s="138">
        <f>S747*H747</f>
        <v>2.3359999999999999</v>
      </c>
      <c r="AR747" s="139" t="s">
        <v>344</v>
      </c>
      <c r="AT747" s="139" t="s">
        <v>339</v>
      </c>
      <c r="AU747" s="139" t="s">
        <v>90</v>
      </c>
      <c r="AY747" s="2" t="s">
        <v>337</v>
      </c>
      <c r="BE747" s="140">
        <f>IF(N747="základní",J747,0)</f>
        <v>0</v>
      </c>
      <c r="BF747" s="140">
        <f>IF(N747="snížená",J747,0)</f>
        <v>0</v>
      </c>
      <c r="BG747" s="140">
        <f>IF(N747="zákl. přenesená",J747,0)</f>
        <v>0</v>
      </c>
      <c r="BH747" s="140">
        <f>IF(N747="sníž. přenesená",J747,0)</f>
        <v>0</v>
      </c>
      <c r="BI747" s="140">
        <f>IF(N747="nulová",J747,0)</f>
        <v>0</v>
      </c>
      <c r="BJ747" s="2" t="s">
        <v>87</v>
      </c>
      <c r="BK747" s="140">
        <f>ROUND(I747*H747,2)</f>
        <v>0</v>
      </c>
      <c r="BL747" s="2" t="s">
        <v>344</v>
      </c>
      <c r="BM747" s="139" t="s">
        <v>5530</v>
      </c>
    </row>
    <row r="748" spans="2:65" s="16" customFormat="1" ht="16.5" customHeight="1" x14ac:dyDescent="0.2">
      <c r="B748" s="17"/>
      <c r="C748" s="128">
        <v>24</v>
      </c>
      <c r="D748" s="128" t="s">
        <v>339</v>
      </c>
      <c r="E748" s="129" t="s">
        <v>5531</v>
      </c>
      <c r="F748" s="130" t="s">
        <v>5532</v>
      </c>
      <c r="G748" s="131" t="s">
        <v>449</v>
      </c>
      <c r="H748" s="132">
        <v>86</v>
      </c>
      <c r="I748" s="133"/>
      <c r="J748" s="134">
        <f>ROUND(I748*H748,2)</f>
        <v>0</v>
      </c>
      <c r="K748" s="130" t="s">
        <v>343</v>
      </c>
      <c r="L748" s="17"/>
      <c r="M748" s="135"/>
      <c r="N748" s="136" t="s">
        <v>45</v>
      </c>
      <c r="P748" s="137">
        <f>O748*H748</f>
        <v>0</v>
      </c>
      <c r="Q748" s="137">
        <v>0</v>
      </c>
      <c r="R748" s="137">
        <f>Q748*H748</f>
        <v>0</v>
      </c>
      <c r="S748" s="137">
        <v>0.06</v>
      </c>
      <c r="T748" s="138">
        <f>S748*H748</f>
        <v>5.16</v>
      </c>
      <c r="AR748" s="139" t="s">
        <v>344</v>
      </c>
      <c r="AT748" s="139" t="s">
        <v>339</v>
      </c>
      <c r="AU748" s="139" t="s">
        <v>90</v>
      </c>
      <c r="AY748" s="2" t="s">
        <v>337</v>
      </c>
      <c r="BE748" s="140">
        <f>IF(N748="základní",J748,0)</f>
        <v>0</v>
      </c>
      <c r="BF748" s="140">
        <f>IF(N748="snížená",J748,0)</f>
        <v>0</v>
      </c>
      <c r="BG748" s="140">
        <f>IF(N748="zákl. přenesená",J748,0)</f>
        <v>0</v>
      </c>
      <c r="BH748" s="140">
        <f>IF(N748="sníž. přenesená",J748,0)</f>
        <v>0</v>
      </c>
      <c r="BI748" s="140">
        <f>IF(N748="nulová",J748,0)</f>
        <v>0</v>
      </c>
      <c r="BJ748" s="2" t="s">
        <v>87</v>
      </c>
      <c r="BK748" s="140">
        <f>ROUND(I748*H748,2)</f>
        <v>0</v>
      </c>
      <c r="BL748" s="2" t="s">
        <v>344</v>
      </c>
      <c r="BM748" s="139" t="s">
        <v>5533</v>
      </c>
    </row>
    <row r="749" spans="2:65" s="141" customFormat="1" x14ac:dyDescent="0.2">
      <c r="B749" s="142"/>
      <c r="D749" s="143" t="s">
        <v>346</v>
      </c>
      <c r="E749" s="144"/>
      <c r="F749" s="145" t="s">
        <v>5527</v>
      </c>
      <c r="H749" s="144"/>
      <c r="L749" s="142"/>
      <c r="M749" s="146"/>
      <c r="T749" s="147"/>
      <c r="AT749" s="144" t="s">
        <v>346</v>
      </c>
      <c r="AU749" s="144" t="s">
        <v>90</v>
      </c>
      <c r="AV749" s="141" t="s">
        <v>87</v>
      </c>
      <c r="AW749" s="141" t="s">
        <v>33</v>
      </c>
      <c r="AX749" s="141" t="s">
        <v>80</v>
      </c>
      <c r="AY749" s="144" t="s">
        <v>337</v>
      </c>
    </row>
    <row r="750" spans="2:65" s="148" customFormat="1" x14ac:dyDescent="0.2">
      <c r="B750" s="149"/>
      <c r="D750" s="143" t="s">
        <v>346</v>
      </c>
      <c r="E750" s="150"/>
      <c r="F750" s="151" t="s">
        <v>496</v>
      </c>
      <c r="H750" s="152">
        <v>16</v>
      </c>
      <c r="L750" s="149"/>
      <c r="M750" s="153"/>
      <c r="T750" s="154"/>
      <c r="AT750" s="150" t="s">
        <v>346</v>
      </c>
      <c r="AU750" s="150" t="s">
        <v>90</v>
      </c>
      <c r="AV750" s="148" t="s">
        <v>90</v>
      </c>
      <c r="AW750" s="148" t="s">
        <v>33</v>
      </c>
      <c r="AX750" s="148" t="s">
        <v>80</v>
      </c>
      <c r="AY750" s="150" t="s">
        <v>337</v>
      </c>
    </row>
    <row r="751" spans="2:65" s="141" customFormat="1" x14ac:dyDescent="0.2">
      <c r="B751" s="142"/>
      <c r="D751" s="143" t="s">
        <v>346</v>
      </c>
      <c r="E751" s="144"/>
      <c r="F751" s="145" t="s">
        <v>2695</v>
      </c>
      <c r="H751" s="144"/>
      <c r="L751" s="142"/>
      <c r="M751" s="146"/>
      <c r="T751" s="147"/>
      <c r="AT751" s="144" t="s">
        <v>346</v>
      </c>
      <c r="AU751" s="144" t="s">
        <v>90</v>
      </c>
      <c r="AV751" s="141" t="s">
        <v>87</v>
      </c>
      <c r="AW751" s="141" t="s">
        <v>33</v>
      </c>
      <c r="AX751" s="141" t="s">
        <v>80</v>
      </c>
      <c r="AY751" s="144" t="s">
        <v>337</v>
      </c>
    </row>
    <row r="752" spans="2:65" s="148" customFormat="1" x14ac:dyDescent="0.2">
      <c r="B752" s="149"/>
      <c r="D752" s="143" t="s">
        <v>346</v>
      </c>
      <c r="E752" s="150"/>
      <c r="F752" s="151" t="s">
        <v>6</v>
      </c>
      <c r="H752" s="152">
        <v>21</v>
      </c>
      <c r="L752" s="149"/>
      <c r="M752" s="153"/>
      <c r="T752" s="154"/>
      <c r="AT752" s="150" t="s">
        <v>346</v>
      </c>
      <c r="AU752" s="150" t="s">
        <v>90</v>
      </c>
      <c r="AV752" s="148" t="s">
        <v>90</v>
      </c>
      <c r="AW752" s="148" t="s">
        <v>33</v>
      </c>
      <c r="AX752" s="148" t="s">
        <v>80</v>
      </c>
      <c r="AY752" s="150" t="s">
        <v>337</v>
      </c>
    </row>
    <row r="753" spans="2:65" s="141" customFormat="1" x14ac:dyDescent="0.2">
      <c r="B753" s="142"/>
      <c r="D753" s="143" t="s">
        <v>346</v>
      </c>
      <c r="E753" s="144"/>
      <c r="F753" s="145" t="s">
        <v>2722</v>
      </c>
      <c r="H753" s="144"/>
      <c r="L753" s="142"/>
      <c r="M753" s="146"/>
      <c r="T753" s="147"/>
      <c r="AT753" s="144" t="s">
        <v>346</v>
      </c>
      <c r="AU753" s="144" t="s">
        <v>90</v>
      </c>
      <c r="AV753" s="141" t="s">
        <v>87</v>
      </c>
      <c r="AW753" s="141" t="s">
        <v>33</v>
      </c>
      <c r="AX753" s="141" t="s">
        <v>80</v>
      </c>
      <c r="AY753" s="144" t="s">
        <v>337</v>
      </c>
    </row>
    <row r="754" spans="2:65" s="148" customFormat="1" x14ac:dyDescent="0.2">
      <c r="B754" s="149"/>
      <c r="D754" s="143" t="s">
        <v>346</v>
      </c>
      <c r="E754" s="150"/>
      <c r="F754" s="151" t="s">
        <v>6</v>
      </c>
      <c r="H754" s="152">
        <v>21</v>
      </c>
      <c r="L754" s="149"/>
      <c r="M754" s="153"/>
      <c r="T754" s="154"/>
      <c r="AT754" s="150" t="s">
        <v>346</v>
      </c>
      <c r="AU754" s="150" t="s">
        <v>90</v>
      </c>
      <c r="AV754" s="148" t="s">
        <v>90</v>
      </c>
      <c r="AW754" s="148" t="s">
        <v>33</v>
      </c>
      <c r="AX754" s="148" t="s">
        <v>80</v>
      </c>
      <c r="AY754" s="150" t="s">
        <v>337</v>
      </c>
    </row>
    <row r="755" spans="2:65" s="141" customFormat="1" x14ac:dyDescent="0.2">
      <c r="B755" s="142"/>
      <c r="D755" s="143" t="s">
        <v>346</v>
      </c>
      <c r="E755" s="144"/>
      <c r="F755" s="145" t="s">
        <v>2742</v>
      </c>
      <c r="H755" s="144"/>
      <c r="L755" s="142"/>
      <c r="M755" s="146"/>
      <c r="T755" s="147"/>
      <c r="AT755" s="144" t="s">
        <v>346</v>
      </c>
      <c r="AU755" s="144" t="s">
        <v>90</v>
      </c>
      <c r="AV755" s="141" t="s">
        <v>87</v>
      </c>
      <c r="AW755" s="141" t="s">
        <v>33</v>
      </c>
      <c r="AX755" s="141" t="s">
        <v>80</v>
      </c>
      <c r="AY755" s="144" t="s">
        <v>337</v>
      </c>
    </row>
    <row r="756" spans="2:65" s="148" customFormat="1" x14ac:dyDescent="0.2">
      <c r="B756" s="149"/>
      <c r="D756" s="143" t="s">
        <v>346</v>
      </c>
      <c r="E756" s="150"/>
      <c r="F756" s="151" t="s">
        <v>532</v>
      </c>
      <c r="H756" s="152">
        <v>20</v>
      </c>
      <c r="L756" s="149"/>
      <c r="M756" s="153"/>
      <c r="T756" s="154"/>
      <c r="AT756" s="150" t="s">
        <v>346</v>
      </c>
      <c r="AU756" s="150" t="s">
        <v>90</v>
      </c>
      <c r="AV756" s="148" t="s">
        <v>90</v>
      </c>
      <c r="AW756" s="148" t="s">
        <v>33</v>
      </c>
      <c r="AX756" s="148" t="s">
        <v>80</v>
      </c>
      <c r="AY756" s="150" t="s">
        <v>337</v>
      </c>
    </row>
    <row r="757" spans="2:65" s="141" customFormat="1" x14ac:dyDescent="0.2">
      <c r="B757" s="142"/>
      <c r="D757" s="143" t="s">
        <v>346</v>
      </c>
      <c r="E757" s="144"/>
      <c r="F757" s="145" t="s">
        <v>2757</v>
      </c>
      <c r="H757" s="144"/>
      <c r="L757" s="142"/>
      <c r="M757" s="146"/>
      <c r="T757" s="147"/>
      <c r="AT757" s="144" t="s">
        <v>346</v>
      </c>
      <c r="AU757" s="144" t="s">
        <v>90</v>
      </c>
      <c r="AV757" s="141" t="s">
        <v>87</v>
      </c>
      <c r="AW757" s="141" t="s">
        <v>33</v>
      </c>
      <c r="AX757" s="141" t="s">
        <v>80</v>
      </c>
      <c r="AY757" s="144" t="s">
        <v>337</v>
      </c>
    </row>
    <row r="758" spans="2:65" s="148" customFormat="1" x14ac:dyDescent="0.2">
      <c r="B758" s="149"/>
      <c r="D758" s="143" t="s">
        <v>346</v>
      </c>
      <c r="E758" s="150"/>
      <c r="F758" s="151" t="s">
        <v>446</v>
      </c>
      <c r="H758" s="152">
        <v>8</v>
      </c>
      <c r="L758" s="149"/>
      <c r="M758" s="153"/>
      <c r="T758" s="154"/>
      <c r="AT758" s="150" t="s">
        <v>346</v>
      </c>
      <c r="AU758" s="150" t="s">
        <v>90</v>
      </c>
      <c r="AV758" s="148" t="s">
        <v>90</v>
      </c>
      <c r="AW758" s="148" t="s">
        <v>33</v>
      </c>
      <c r="AX758" s="148" t="s">
        <v>80</v>
      </c>
      <c r="AY758" s="150" t="s">
        <v>337</v>
      </c>
    </row>
    <row r="759" spans="2:65" s="155" customFormat="1" x14ac:dyDescent="0.2">
      <c r="B759" s="156"/>
      <c r="D759" s="143" t="s">
        <v>346</v>
      </c>
      <c r="E759" s="157"/>
      <c r="F759" s="158" t="s">
        <v>351</v>
      </c>
      <c r="H759" s="159">
        <v>86</v>
      </c>
      <c r="L759" s="156"/>
      <c r="M759" s="160"/>
      <c r="T759" s="161"/>
      <c r="AT759" s="157" t="s">
        <v>346</v>
      </c>
      <c r="AU759" s="157" t="s">
        <v>90</v>
      </c>
      <c r="AV759" s="155" t="s">
        <v>344</v>
      </c>
      <c r="AW759" s="155" t="s">
        <v>33</v>
      </c>
      <c r="AX759" s="155" t="s">
        <v>87</v>
      </c>
      <c r="AY759" s="157" t="s">
        <v>337</v>
      </c>
    </row>
    <row r="760" spans="2:65" s="16" customFormat="1" ht="16.5" customHeight="1" x14ac:dyDescent="0.2">
      <c r="B760" s="17"/>
      <c r="C760" s="128">
        <v>25</v>
      </c>
      <c r="D760" s="128" t="s">
        <v>339</v>
      </c>
      <c r="E760" s="129" t="s">
        <v>5534</v>
      </c>
      <c r="F760" s="130" t="s">
        <v>5535</v>
      </c>
      <c r="G760" s="131" t="s">
        <v>449</v>
      </c>
      <c r="H760" s="132">
        <v>86</v>
      </c>
      <c r="I760" s="133"/>
      <c r="J760" s="134">
        <f>ROUND(I760*H760,2)</f>
        <v>0</v>
      </c>
      <c r="K760" s="130" t="s">
        <v>343</v>
      </c>
      <c r="L760" s="17"/>
      <c r="M760" s="135"/>
      <c r="N760" s="136" t="s">
        <v>45</v>
      </c>
      <c r="P760" s="137">
        <f>O760*H760</f>
        <v>0</v>
      </c>
      <c r="Q760" s="137">
        <v>0</v>
      </c>
      <c r="R760" s="137">
        <f>Q760*H760</f>
        <v>0</v>
      </c>
      <c r="S760" s="137">
        <v>0.09</v>
      </c>
      <c r="T760" s="138">
        <f>S760*H760</f>
        <v>7.7399999999999993</v>
      </c>
      <c r="AR760" s="139" t="s">
        <v>344</v>
      </c>
      <c r="AT760" s="139" t="s">
        <v>339</v>
      </c>
      <c r="AU760" s="139" t="s">
        <v>90</v>
      </c>
      <c r="AY760" s="2" t="s">
        <v>337</v>
      </c>
      <c r="BE760" s="140">
        <f>IF(N760="základní",J760,0)</f>
        <v>0</v>
      </c>
      <c r="BF760" s="140">
        <f>IF(N760="snížená",J760,0)</f>
        <v>0</v>
      </c>
      <c r="BG760" s="140">
        <f>IF(N760="zákl. přenesená",J760,0)</f>
        <v>0</v>
      </c>
      <c r="BH760" s="140">
        <f>IF(N760="sníž. přenesená",J760,0)</f>
        <v>0</v>
      </c>
      <c r="BI760" s="140">
        <f>IF(N760="nulová",J760,0)</f>
        <v>0</v>
      </c>
      <c r="BJ760" s="2" t="s">
        <v>87</v>
      </c>
      <c r="BK760" s="140">
        <f>ROUND(I760*H760,2)</f>
        <v>0</v>
      </c>
      <c r="BL760" s="2" t="s">
        <v>344</v>
      </c>
      <c r="BM760" s="139" t="s">
        <v>5536</v>
      </c>
    </row>
    <row r="761" spans="2:65" s="16" customFormat="1" ht="16.5" customHeight="1" x14ac:dyDescent="0.2">
      <c r="B761" s="17"/>
      <c r="C761" s="128">
        <v>26</v>
      </c>
      <c r="D761" s="128" t="s">
        <v>339</v>
      </c>
      <c r="E761" s="129" t="s">
        <v>5537</v>
      </c>
      <c r="F761" s="130" t="s">
        <v>5538</v>
      </c>
      <c r="G761" s="131" t="s">
        <v>342</v>
      </c>
      <c r="H761" s="132">
        <v>0.57299999999999995</v>
      </c>
      <c r="I761" s="133"/>
      <c r="J761" s="134">
        <f>ROUND(I761*H761,2)</f>
        <v>0</v>
      </c>
      <c r="K761" s="130" t="s">
        <v>343</v>
      </c>
      <c r="L761" s="17"/>
      <c r="M761" s="135"/>
      <c r="N761" s="136" t="s">
        <v>45</v>
      </c>
      <c r="P761" s="137">
        <f>O761*H761</f>
        <v>0</v>
      </c>
      <c r="Q761" s="137">
        <v>0</v>
      </c>
      <c r="R761" s="137">
        <f>Q761*H761</f>
        <v>0</v>
      </c>
      <c r="S761" s="137">
        <v>2.4</v>
      </c>
      <c r="T761" s="138">
        <f>S761*H761</f>
        <v>1.3751999999999998</v>
      </c>
      <c r="AR761" s="139" t="s">
        <v>344</v>
      </c>
      <c r="AT761" s="139" t="s">
        <v>339</v>
      </c>
      <c r="AU761" s="139" t="s">
        <v>90</v>
      </c>
      <c r="AY761" s="2" t="s">
        <v>337</v>
      </c>
      <c r="BE761" s="140">
        <f>IF(N761="základní",J761,0)</f>
        <v>0</v>
      </c>
      <c r="BF761" s="140">
        <f>IF(N761="snížená",J761,0)</f>
        <v>0</v>
      </c>
      <c r="BG761" s="140">
        <f>IF(N761="zákl. přenesená",J761,0)</f>
        <v>0</v>
      </c>
      <c r="BH761" s="140">
        <f>IF(N761="sníž. přenesená",J761,0)</f>
        <v>0</v>
      </c>
      <c r="BI761" s="140">
        <f>IF(N761="nulová",J761,0)</f>
        <v>0</v>
      </c>
      <c r="BJ761" s="2" t="s">
        <v>87</v>
      </c>
      <c r="BK761" s="140">
        <f>ROUND(I761*H761,2)</f>
        <v>0</v>
      </c>
      <c r="BL761" s="2" t="s">
        <v>344</v>
      </c>
      <c r="BM761" s="139" t="s">
        <v>5539</v>
      </c>
    </row>
    <row r="762" spans="2:65" s="141" customFormat="1" x14ac:dyDescent="0.2">
      <c r="B762" s="142"/>
      <c r="D762" s="143" t="s">
        <v>346</v>
      </c>
      <c r="E762" s="144"/>
      <c r="F762" s="145" t="s">
        <v>5527</v>
      </c>
      <c r="H762" s="144"/>
      <c r="L762" s="142"/>
      <c r="M762" s="146"/>
      <c r="T762" s="147"/>
      <c r="AT762" s="144" t="s">
        <v>346</v>
      </c>
      <c r="AU762" s="144" t="s">
        <v>90</v>
      </c>
      <c r="AV762" s="141" t="s">
        <v>87</v>
      </c>
      <c r="AW762" s="141" t="s">
        <v>33</v>
      </c>
      <c r="AX762" s="141" t="s">
        <v>80</v>
      </c>
      <c r="AY762" s="144" t="s">
        <v>337</v>
      </c>
    </row>
    <row r="763" spans="2:65" s="148" customFormat="1" x14ac:dyDescent="0.2">
      <c r="B763" s="149"/>
      <c r="D763" s="143" t="s">
        <v>346</v>
      </c>
      <c r="E763" s="150"/>
      <c r="F763" s="151" t="s">
        <v>5540</v>
      </c>
      <c r="H763" s="152">
        <v>6.9000000000000006E-2</v>
      </c>
      <c r="L763" s="149"/>
      <c r="M763" s="153"/>
      <c r="T763" s="154"/>
      <c r="AT763" s="150" t="s">
        <v>346</v>
      </c>
      <c r="AU763" s="150" t="s">
        <v>90</v>
      </c>
      <c r="AV763" s="148" t="s">
        <v>90</v>
      </c>
      <c r="AW763" s="148" t="s">
        <v>33</v>
      </c>
      <c r="AX763" s="148" t="s">
        <v>80</v>
      </c>
      <c r="AY763" s="150" t="s">
        <v>337</v>
      </c>
    </row>
    <row r="764" spans="2:65" s="141" customFormat="1" x14ac:dyDescent="0.2">
      <c r="B764" s="142"/>
      <c r="D764" s="143" t="s">
        <v>346</v>
      </c>
      <c r="E764" s="144"/>
      <c r="F764" s="145" t="s">
        <v>2695</v>
      </c>
      <c r="H764" s="144"/>
      <c r="L764" s="142"/>
      <c r="M764" s="146"/>
      <c r="T764" s="147"/>
      <c r="AT764" s="144" t="s">
        <v>346</v>
      </c>
      <c r="AU764" s="144" t="s">
        <v>90</v>
      </c>
      <c r="AV764" s="141" t="s">
        <v>87</v>
      </c>
      <c r="AW764" s="141" t="s">
        <v>33</v>
      </c>
      <c r="AX764" s="141" t="s">
        <v>80</v>
      </c>
      <c r="AY764" s="144" t="s">
        <v>337</v>
      </c>
    </row>
    <row r="765" spans="2:65" s="148" customFormat="1" x14ac:dyDescent="0.2">
      <c r="B765" s="149"/>
      <c r="D765" s="143" t="s">
        <v>346</v>
      </c>
      <c r="E765" s="150"/>
      <c r="F765" s="151" t="s">
        <v>5540</v>
      </c>
      <c r="H765" s="152">
        <v>6.9000000000000006E-2</v>
      </c>
      <c r="L765" s="149"/>
      <c r="M765" s="153"/>
      <c r="T765" s="154"/>
      <c r="AT765" s="150" t="s">
        <v>346</v>
      </c>
      <c r="AU765" s="150" t="s">
        <v>90</v>
      </c>
      <c r="AV765" s="148" t="s">
        <v>90</v>
      </c>
      <c r="AW765" s="148" t="s">
        <v>33</v>
      </c>
      <c r="AX765" s="148" t="s">
        <v>80</v>
      </c>
      <c r="AY765" s="150" t="s">
        <v>337</v>
      </c>
    </row>
    <row r="766" spans="2:65" s="141" customFormat="1" x14ac:dyDescent="0.2">
      <c r="B766" s="142"/>
      <c r="D766" s="143" t="s">
        <v>346</v>
      </c>
      <c r="E766" s="144"/>
      <c r="F766" s="145" t="s">
        <v>2722</v>
      </c>
      <c r="H766" s="144"/>
      <c r="L766" s="142"/>
      <c r="M766" s="146"/>
      <c r="T766" s="147"/>
      <c r="AT766" s="144" t="s">
        <v>346</v>
      </c>
      <c r="AU766" s="144" t="s">
        <v>90</v>
      </c>
      <c r="AV766" s="141" t="s">
        <v>87</v>
      </c>
      <c r="AW766" s="141" t="s">
        <v>33</v>
      </c>
      <c r="AX766" s="141" t="s">
        <v>80</v>
      </c>
      <c r="AY766" s="144" t="s">
        <v>337</v>
      </c>
    </row>
    <row r="767" spans="2:65" s="148" customFormat="1" x14ac:dyDescent="0.2">
      <c r="B767" s="149"/>
      <c r="D767" s="143" t="s">
        <v>346</v>
      </c>
      <c r="E767" s="150"/>
      <c r="F767" s="151" t="s">
        <v>5540</v>
      </c>
      <c r="H767" s="152">
        <v>6.9000000000000006E-2</v>
      </c>
      <c r="L767" s="149"/>
      <c r="M767" s="153"/>
      <c r="T767" s="154"/>
      <c r="AT767" s="150" t="s">
        <v>346</v>
      </c>
      <c r="AU767" s="150" t="s">
        <v>90</v>
      </c>
      <c r="AV767" s="148" t="s">
        <v>90</v>
      </c>
      <c r="AW767" s="148" t="s">
        <v>33</v>
      </c>
      <c r="AX767" s="148" t="s">
        <v>80</v>
      </c>
      <c r="AY767" s="150" t="s">
        <v>337</v>
      </c>
    </row>
    <row r="768" spans="2:65" s="141" customFormat="1" x14ac:dyDescent="0.2">
      <c r="B768" s="142"/>
      <c r="D768" s="143" t="s">
        <v>346</v>
      </c>
      <c r="E768" s="144"/>
      <c r="F768" s="145" t="s">
        <v>2742</v>
      </c>
      <c r="H768" s="144"/>
      <c r="L768" s="142"/>
      <c r="M768" s="146"/>
      <c r="T768" s="147"/>
      <c r="AT768" s="144" t="s">
        <v>346</v>
      </c>
      <c r="AU768" s="144" t="s">
        <v>90</v>
      </c>
      <c r="AV768" s="141" t="s">
        <v>87</v>
      </c>
      <c r="AW768" s="141" t="s">
        <v>33</v>
      </c>
      <c r="AX768" s="141" t="s">
        <v>80</v>
      </c>
      <c r="AY768" s="144" t="s">
        <v>337</v>
      </c>
    </row>
    <row r="769" spans="2:65" s="148" customFormat="1" x14ac:dyDescent="0.2">
      <c r="B769" s="149"/>
      <c r="D769" s="143" t="s">
        <v>346</v>
      </c>
      <c r="E769" s="150"/>
      <c r="F769" s="151" t="s">
        <v>5540</v>
      </c>
      <c r="H769" s="152">
        <v>6.9000000000000006E-2</v>
      </c>
      <c r="L769" s="149"/>
      <c r="M769" s="153"/>
      <c r="T769" s="154"/>
      <c r="AT769" s="150" t="s">
        <v>346</v>
      </c>
      <c r="AU769" s="150" t="s">
        <v>90</v>
      </c>
      <c r="AV769" s="148" t="s">
        <v>90</v>
      </c>
      <c r="AW769" s="148" t="s">
        <v>33</v>
      </c>
      <c r="AX769" s="148" t="s">
        <v>80</v>
      </c>
      <c r="AY769" s="150" t="s">
        <v>337</v>
      </c>
    </row>
    <row r="770" spans="2:65" s="148" customFormat="1" x14ac:dyDescent="0.2">
      <c r="B770" s="149"/>
      <c r="D770" s="143" t="s">
        <v>346</v>
      </c>
      <c r="E770" s="150"/>
      <c r="F770" s="151" t="s">
        <v>5541</v>
      </c>
      <c r="H770" s="152">
        <v>6.8000000000000005E-2</v>
      </c>
      <c r="L770" s="149"/>
      <c r="M770" s="153"/>
      <c r="T770" s="154"/>
      <c r="AT770" s="150" t="s">
        <v>346</v>
      </c>
      <c r="AU770" s="150" t="s">
        <v>90</v>
      </c>
      <c r="AV770" s="148" t="s">
        <v>90</v>
      </c>
      <c r="AW770" s="148" t="s">
        <v>33</v>
      </c>
      <c r="AX770" s="148" t="s">
        <v>80</v>
      </c>
      <c r="AY770" s="150" t="s">
        <v>337</v>
      </c>
    </row>
    <row r="771" spans="2:65" s="148" customFormat="1" x14ac:dyDescent="0.2">
      <c r="B771" s="149"/>
      <c r="D771" s="143" t="s">
        <v>346</v>
      </c>
      <c r="E771" s="150"/>
      <c r="F771" s="151" t="s">
        <v>5542</v>
      </c>
      <c r="H771" s="152">
        <v>0.13200000000000001</v>
      </c>
      <c r="L771" s="149"/>
      <c r="M771" s="153"/>
      <c r="T771" s="154"/>
      <c r="AT771" s="150" t="s">
        <v>346</v>
      </c>
      <c r="AU771" s="150" t="s">
        <v>90</v>
      </c>
      <c r="AV771" s="148" t="s">
        <v>90</v>
      </c>
      <c r="AW771" s="148" t="s">
        <v>33</v>
      </c>
      <c r="AX771" s="148" t="s">
        <v>80</v>
      </c>
      <c r="AY771" s="150" t="s">
        <v>337</v>
      </c>
    </row>
    <row r="772" spans="2:65" s="148" customFormat="1" x14ac:dyDescent="0.2">
      <c r="B772" s="149"/>
      <c r="D772" s="143" t="s">
        <v>346</v>
      </c>
      <c r="E772" s="150"/>
      <c r="F772" s="151" t="s">
        <v>5543</v>
      </c>
      <c r="H772" s="152">
        <v>9.7000000000000003E-2</v>
      </c>
      <c r="L772" s="149"/>
      <c r="M772" s="153"/>
      <c r="T772" s="154"/>
      <c r="AT772" s="150" t="s">
        <v>346</v>
      </c>
      <c r="AU772" s="150" t="s">
        <v>90</v>
      </c>
      <c r="AV772" s="148" t="s">
        <v>90</v>
      </c>
      <c r="AW772" s="148" t="s">
        <v>33</v>
      </c>
      <c r="AX772" s="148" t="s">
        <v>80</v>
      </c>
      <c r="AY772" s="150" t="s">
        <v>337</v>
      </c>
    </row>
    <row r="773" spans="2:65" s="155" customFormat="1" x14ac:dyDescent="0.2">
      <c r="B773" s="156"/>
      <c r="D773" s="143" t="s">
        <v>346</v>
      </c>
      <c r="E773" s="157"/>
      <c r="F773" s="158" t="s">
        <v>351</v>
      </c>
      <c r="H773" s="159">
        <v>0.57299999999999995</v>
      </c>
      <c r="L773" s="156"/>
      <c r="M773" s="160"/>
      <c r="T773" s="161"/>
      <c r="AT773" s="157" t="s">
        <v>346</v>
      </c>
      <c r="AU773" s="157" t="s">
        <v>90</v>
      </c>
      <c r="AV773" s="155" t="s">
        <v>344</v>
      </c>
      <c r="AW773" s="155" t="s">
        <v>33</v>
      </c>
      <c r="AX773" s="155" t="s">
        <v>87</v>
      </c>
      <c r="AY773" s="157" t="s">
        <v>337</v>
      </c>
    </row>
    <row r="774" spans="2:65" s="16" customFormat="1" ht="16.5" customHeight="1" x14ac:dyDescent="0.2">
      <c r="B774" s="17"/>
      <c r="C774" s="128">
        <v>27</v>
      </c>
      <c r="D774" s="128" t="s">
        <v>339</v>
      </c>
      <c r="E774" s="129" t="s">
        <v>5544</v>
      </c>
      <c r="F774" s="130" t="s">
        <v>5545</v>
      </c>
      <c r="G774" s="131" t="s">
        <v>724</v>
      </c>
      <c r="H774" s="132">
        <v>7.4160000000000004</v>
      </c>
      <c r="I774" s="133"/>
      <c r="J774" s="134">
        <f>ROUND(I774*H774,2)</f>
        <v>0</v>
      </c>
      <c r="K774" s="130" t="s">
        <v>343</v>
      </c>
      <c r="L774" s="17"/>
      <c r="M774" s="135"/>
      <c r="N774" s="136" t="s">
        <v>45</v>
      </c>
      <c r="P774" s="137">
        <f>O774*H774</f>
        <v>0</v>
      </c>
      <c r="Q774" s="137">
        <v>1.47E-3</v>
      </c>
      <c r="R774" s="137">
        <f>Q774*H774</f>
        <v>1.090152E-2</v>
      </c>
      <c r="S774" s="137">
        <v>3.9E-2</v>
      </c>
      <c r="T774" s="138">
        <f>S774*H774</f>
        <v>0.28922400000000004</v>
      </c>
      <c r="AR774" s="139" t="s">
        <v>344</v>
      </c>
      <c r="AT774" s="139" t="s">
        <v>339</v>
      </c>
      <c r="AU774" s="139" t="s">
        <v>90</v>
      </c>
      <c r="AY774" s="2" t="s">
        <v>337</v>
      </c>
      <c r="BE774" s="140">
        <f>IF(N774="základní",J774,0)</f>
        <v>0</v>
      </c>
      <c r="BF774" s="140">
        <f>IF(N774="snížená",J774,0)</f>
        <v>0</v>
      </c>
      <c r="BG774" s="140">
        <f>IF(N774="zákl. přenesená",J774,0)</f>
        <v>0</v>
      </c>
      <c r="BH774" s="140">
        <f>IF(N774="sníž. přenesená",J774,0)</f>
        <v>0</v>
      </c>
      <c r="BI774" s="140">
        <f>IF(N774="nulová",J774,0)</f>
        <v>0</v>
      </c>
      <c r="BJ774" s="2" t="s">
        <v>87</v>
      </c>
      <c r="BK774" s="140">
        <f>ROUND(I774*H774,2)</f>
        <v>0</v>
      </c>
      <c r="BL774" s="2" t="s">
        <v>344</v>
      </c>
      <c r="BM774" s="139" t="s">
        <v>5546</v>
      </c>
    </row>
    <row r="775" spans="2:65" s="141" customFormat="1" x14ac:dyDescent="0.2">
      <c r="B775" s="142"/>
      <c r="D775" s="143" t="s">
        <v>346</v>
      </c>
      <c r="E775" s="144"/>
      <c r="F775" s="145" t="s">
        <v>5547</v>
      </c>
      <c r="H775" s="144"/>
      <c r="L775" s="142"/>
      <c r="M775" s="146"/>
      <c r="T775" s="147"/>
      <c r="AT775" s="144" t="s">
        <v>346</v>
      </c>
      <c r="AU775" s="144" t="s">
        <v>90</v>
      </c>
      <c r="AV775" s="141" t="s">
        <v>87</v>
      </c>
      <c r="AW775" s="141" t="s">
        <v>33</v>
      </c>
      <c r="AX775" s="141" t="s">
        <v>80</v>
      </c>
      <c r="AY775" s="144" t="s">
        <v>337</v>
      </c>
    </row>
    <row r="776" spans="2:65" s="141" customFormat="1" x14ac:dyDescent="0.2">
      <c r="B776" s="142"/>
      <c r="D776" s="143" t="s">
        <v>346</v>
      </c>
      <c r="E776" s="144"/>
      <c r="F776" s="145" t="s">
        <v>4173</v>
      </c>
      <c r="H776" s="144"/>
      <c r="L776" s="142"/>
      <c r="M776" s="146"/>
      <c r="T776" s="147"/>
      <c r="AT776" s="144" t="s">
        <v>346</v>
      </c>
      <c r="AU776" s="144" t="s">
        <v>90</v>
      </c>
      <c r="AV776" s="141" t="s">
        <v>87</v>
      </c>
      <c r="AW776" s="141" t="s">
        <v>33</v>
      </c>
      <c r="AX776" s="141" t="s">
        <v>80</v>
      </c>
      <c r="AY776" s="144" t="s">
        <v>337</v>
      </c>
    </row>
    <row r="777" spans="2:65" s="148" customFormat="1" x14ac:dyDescent="0.2">
      <c r="B777" s="149"/>
      <c r="D777" s="143" t="s">
        <v>346</v>
      </c>
      <c r="E777" s="150"/>
      <c r="F777" s="151" t="s">
        <v>5548</v>
      </c>
      <c r="H777" s="152">
        <v>1.3280000000000001</v>
      </c>
      <c r="L777" s="149"/>
      <c r="M777" s="153"/>
      <c r="T777" s="154"/>
      <c r="AT777" s="150" t="s">
        <v>346</v>
      </c>
      <c r="AU777" s="150" t="s">
        <v>90</v>
      </c>
      <c r="AV777" s="148" t="s">
        <v>90</v>
      </c>
      <c r="AW777" s="148" t="s">
        <v>33</v>
      </c>
      <c r="AX777" s="148" t="s">
        <v>80</v>
      </c>
      <c r="AY777" s="150" t="s">
        <v>337</v>
      </c>
    </row>
    <row r="778" spans="2:65" s="141" customFormat="1" x14ac:dyDescent="0.2">
      <c r="B778" s="142"/>
      <c r="D778" s="143" t="s">
        <v>346</v>
      </c>
      <c r="E778" s="144"/>
      <c r="F778" s="145" t="s">
        <v>5549</v>
      </c>
      <c r="H778" s="144"/>
      <c r="L778" s="142"/>
      <c r="M778" s="146"/>
      <c r="T778" s="147"/>
      <c r="AT778" s="144" t="s">
        <v>346</v>
      </c>
      <c r="AU778" s="144" t="s">
        <v>90</v>
      </c>
      <c r="AV778" s="141" t="s">
        <v>87</v>
      </c>
      <c r="AW778" s="141" t="s">
        <v>33</v>
      </c>
      <c r="AX778" s="141" t="s">
        <v>80</v>
      </c>
      <c r="AY778" s="144" t="s">
        <v>337</v>
      </c>
    </row>
    <row r="779" spans="2:65" s="148" customFormat="1" x14ac:dyDescent="0.2">
      <c r="B779" s="149"/>
      <c r="D779" s="143" t="s">
        <v>346</v>
      </c>
      <c r="E779" s="150"/>
      <c r="F779" s="151" t="s">
        <v>5550</v>
      </c>
      <c r="H779" s="152">
        <v>0.44400000000000001</v>
      </c>
      <c r="L779" s="149"/>
      <c r="M779" s="153"/>
      <c r="T779" s="154"/>
      <c r="AT779" s="150" t="s">
        <v>346</v>
      </c>
      <c r="AU779" s="150" t="s">
        <v>90</v>
      </c>
      <c r="AV779" s="148" t="s">
        <v>90</v>
      </c>
      <c r="AW779" s="148" t="s">
        <v>33</v>
      </c>
      <c r="AX779" s="148" t="s">
        <v>80</v>
      </c>
      <c r="AY779" s="150" t="s">
        <v>337</v>
      </c>
    </row>
    <row r="780" spans="2:65" s="141" customFormat="1" x14ac:dyDescent="0.2">
      <c r="B780" s="142"/>
      <c r="D780" s="143" t="s">
        <v>346</v>
      </c>
      <c r="E780" s="144"/>
      <c r="F780" s="145" t="s">
        <v>4177</v>
      </c>
      <c r="H780" s="144"/>
      <c r="L780" s="142"/>
      <c r="M780" s="146"/>
      <c r="T780" s="147"/>
      <c r="AT780" s="144" t="s">
        <v>346</v>
      </c>
      <c r="AU780" s="144" t="s">
        <v>90</v>
      </c>
      <c r="AV780" s="141" t="s">
        <v>87</v>
      </c>
      <c r="AW780" s="141" t="s">
        <v>33</v>
      </c>
      <c r="AX780" s="141" t="s">
        <v>80</v>
      </c>
      <c r="AY780" s="144" t="s">
        <v>337</v>
      </c>
    </row>
    <row r="781" spans="2:65" s="148" customFormat="1" x14ac:dyDescent="0.2">
      <c r="B781" s="149"/>
      <c r="D781" s="143" t="s">
        <v>346</v>
      </c>
      <c r="E781" s="150"/>
      <c r="F781" s="151" t="s">
        <v>5551</v>
      </c>
      <c r="H781" s="152">
        <v>3.1440000000000001</v>
      </c>
      <c r="L781" s="149"/>
      <c r="M781" s="153"/>
      <c r="T781" s="154"/>
      <c r="AT781" s="150" t="s">
        <v>346</v>
      </c>
      <c r="AU781" s="150" t="s">
        <v>90</v>
      </c>
      <c r="AV781" s="148" t="s">
        <v>90</v>
      </c>
      <c r="AW781" s="148" t="s">
        <v>33</v>
      </c>
      <c r="AX781" s="148" t="s">
        <v>80</v>
      </c>
      <c r="AY781" s="150" t="s">
        <v>337</v>
      </c>
    </row>
    <row r="782" spans="2:65" s="141" customFormat="1" x14ac:dyDescent="0.2">
      <c r="B782" s="142"/>
      <c r="D782" s="143" t="s">
        <v>346</v>
      </c>
      <c r="E782" s="144"/>
      <c r="F782" s="145" t="s">
        <v>5552</v>
      </c>
      <c r="H782" s="144"/>
      <c r="L782" s="142"/>
      <c r="M782" s="146"/>
      <c r="T782" s="147"/>
      <c r="AT782" s="144" t="s">
        <v>346</v>
      </c>
      <c r="AU782" s="144" t="s">
        <v>90</v>
      </c>
      <c r="AV782" s="141" t="s">
        <v>87</v>
      </c>
      <c r="AW782" s="141" t="s">
        <v>33</v>
      </c>
      <c r="AX782" s="141" t="s">
        <v>80</v>
      </c>
      <c r="AY782" s="144" t="s">
        <v>337</v>
      </c>
    </row>
    <row r="783" spans="2:65" s="148" customFormat="1" x14ac:dyDescent="0.2">
      <c r="B783" s="149"/>
      <c r="D783" s="143" t="s">
        <v>346</v>
      </c>
      <c r="E783" s="150"/>
      <c r="F783" s="151" t="s">
        <v>5553</v>
      </c>
      <c r="H783" s="152">
        <v>2.5</v>
      </c>
      <c r="L783" s="149"/>
      <c r="M783" s="153"/>
      <c r="T783" s="154"/>
      <c r="AT783" s="150" t="s">
        <v>346</v>
      </c>
      <c r="AU783" s="150" t="s">
        <v>90</v>
      </c>
      <c r="AV783" s="148" t="s">
        <v>90</v>
      </c>
      <c r="AW783" s="148" t="s">
        <v>33</v>
      </c>
      <c r="AX783" s="148" t="s">
        <v>80</v>
      </c>
      <c r="AY783" s="150" t="s">
        <v>337</v>
      </c>
    </row>
    <row r="784" spans="2:65" s="155" customFormat="1" x14ac:dyDescent="0.2">
      <c r="B784" s="156"/>
      <c r="D784" s="143" t="s">
        <v>346</v>
      </c>
      <c r="E784" s="157"/>
      <c r="F784" s="158" t="s">
        <v>351</v>
      </c>
      <c r="H784" s="159">
        <v>7.4160000000000004</v>
      </c>
      <c r="L784" s="156"/>
      <c r="M784" s="160"/>
      <c r="T784" s="161"/>
      <c r="AT784" s="157" t="s">
        <v>346</v>
      </c>
      <c r="AU784" s="157" t="s">
        <v>90</v>
      </c>
      <c r="AV784" s="155" t="s">
        <v>344</v>
      </c>
      <c r="AW784" s="155" t="s">
        <v>33</v>
      </c>
      <c r="AX784" s="155" t="s">
        <v>87</v>
      </c>
      <c r="AY784" s="157" t="s">
        <v>337</v>
      </c>
    </row>
    <row r="785" spans="2:65" s="16" customFormat="1" ht="16.5" customHeight="1" x14ac:dyDescent="0.2">
      <c r="B785" s="17"/>
      <c r="C785" s="128">
        <v>28</v>
      </c>
      <c r="D785" s="128" t="s">
        <v>339</v>
      </c>
      <c r="E785" s="129" t="s">
        <v>5554</v>
      </c>
      <c r="F785" s="130" t="s">
        <v>5555</v>
      </c>
      <c r="G785" s="131" t="s">
        <v>724</v>
      </c>
      <c r="H785" s="132">
        <v>1.25</v>
      </c>
      <c r="I785" s="133"/>
      <c r="J785" s="134">
        <f>ROUND(I785*H785,2)</f>
        <v>0</v>
      </c>
      <c r="K785" s="130" t="s">
        <v>343</v>
      </c>
      <c r="L785" s="17"/>
      <c r="M785" s="135"/>
      <c r="N785" s="136" t="s">
        <v>45</v>
      </c>
      <c r="P785" s="137">
        <f>O785*H785</f>
        <v>0</v>
      </c>
      <c r="Q785" s="137">
        <v>3.9500000000000004E-3</v>
      </c>
      <c r="R785" s="137">
        <f>Q785*H785</f>
        <v>4.9375000000000009E-3</v>
      </c>
      <c r="S785" s="137">
        <v>0.16</v>
      </c>
      <c r="T785" s="138">
        <f>S785*H785</f>
        <v>0.2</v>
      </c>
      <c r="AR785" s="139" t="s">
        <v>344</v>
      </c>
      <c r="AT785" s="139" t="s">
        <v>339</v>
      </c>
      <c r="AU785" s="139" t="s">
        <v>90</v>
      </c>
      <c r="AY785" s="2" t="s">
        <v>337</v>
      </c>
      <c r="BE785" s="140">
        <f>IF(N785="základní",J785,0)</f>
        <v>0</v>
      </c>
      <c r="BF785" s="140">
        <f>IF(N785="snížená",J785,0)</f>
        <v>0</v>
      </c>
      <c r="BG785" s="140">
        <f>IF(N785="zákl. přenesená",J785,0)</f>
        <v>0</v>
      </c>
      <c r="BH785" s="140">
        <f>IF(N785="sníž. přenesená",J785,0)</f>
        <v>0</v>
      </c>
      <c r="BI785" s="140">
        <f>IF(N785="nulová",J785,0)</f>
        <v>0</v>
      </c>
      <c r="BJ785" s="2" t="s">
        <v>87</v>
      </c>
      <c r="BK785" s="140">
        <f>ROUND(I785*H785,2)</f>
        <v>0</v>
      </c>
      <c r="BL785" s="2" t="s">
        <v>344</v>
      </c>
      <c r="BM785" s="139" t="s">
        <v>5556</v>
      </c>
    </row>
    <row r="786" spans="2:65" s="141" customFormat="1" ht="22.5" x14ac:dyDescent="0.2">
      <c r="B786" s="142"/>
      <c r="D786" s="143" t="s">
        <v>346</v>
      </c>
      <c r="E786" s="144"/>
      <c r="F786" s="145" t="s">
        <v>5557</v>
      </c>
      <c r="H786" s="144"/>
      <c r="L786" s="142"/>
      <c r="M786" s="146"/>
      <c r="T786" s="147"/>
      <c r="AT786" s="144" t="s">
        <v>346</v>
      </c>
      <c r="AU786" s="144" t="s">
        <v>90</v>
      </c>
      <c r="AV786" s="141" t="s">
        <v>87</v>
      </c>
      <c r="AW786" s="141" t="s">
        <v>33</v>
      </c>
      <c r="AX786" s="141" t="s">
        <v>80</v>
      </c>
      <c r="AY786" s="144" t="s">
        <v>337</v>
      </c>
    </row>
    <row r="787" spans="2:65" s="148" customFormat="1" x14ac:dyDescent="0.2">
      <c r="B787" s="149"/>
      <c r="D787" s="143" t="s">
        <v>346</v>
      </c>
      <c r="E787" s="150"/>
      <c r="F787" s="151" t="s">
        <v>5558</v>
      </c>
      <c r="H787" s="152">
        <v>1.25</v>
      </c>
      <c r="L787" s="149"/>
      <c r="M787" s="153"/>
      <c r="T787" s="154"/>
      <c r="AT787" s="150" t="s">
        <v>346</v>
      </c>
      <c r="AU787" s="150" t="s">
        <v>90</v>
      </c>
      <c r="AV787" s="148" t="s">
        <v>90</v>
      </c>
      <c r="AW787" s="148" t="s">
        <v>33</v>
      </c>
      <c r="AX787" s="148" t="s">
        <v>87</v>
      </c>
      <c r="AY787" s="150" t="s">
        <v>337</v>
      </c>
    </row>
    <row r="788" spans="2:65" s="16" customFormat="1" ht="16.5" customHeight="1" x14ac:dyDescent="0.2">
      <c r="B788" s="17"/>
      <c r="C788" s="128">
        <v>29</v>
      </c>
      <c r="D788" s="128" t="s">
        <v>339</v>
      </c>
      <c r="E788" s="129" t="s">
        <v>5559</v>
      </c>
      <c r="F788" s="130" t="s">
        <v>5560</v>
      </c>
      <c r="G788" s="131" t="s">
        <v>724</v>
      </c>
      <c r="H788" s="132">
        <v>2.5</v>
      </c>
      <c r="I788" s="133"/>
      <c r="J788" s="134">
        <f>ROUND(I788*H788,2)</f>
        <v>0</v>
      </c>
      <c r="K788" s="130" t="s">
        <v>343</v>
      </c>
      <c r="L788" s="17"/>
      <c r="M788" s="135"/>
      <c r="N788" s="136" t="s">
        <v>45</v>
      </c>
      <c r="P788" s="137">
        <f>O788*H788</f>
        <v>0</v>
      </c>
      <c r="Q788" s="137">
        <v>1.56E-3</v>
      </c>
      <c r="R788" s="137">
        <f>Q788*H788</f>
        <v>3.8999999999999998E-3</v>
      </c>
      <c r="S788" s="137">
        <v>2.5000000000000001E-2</v>
      </c>
      <c r="T788" s="138">
        <f>S788*H788</f>
        <v>6.25E-2</v>
      </c>
      <c r="AR788" s="139" t="s">
        <v>344</v>
      </c>
      <c r="AT788" s="139" t="s">
        <v>339</v>
      </c>
      <c r="AU788" s="139" t="s">
        <v>90</v>
      </c>
      <c r="AY788" s="2" t="s">
        <v>337</v>
      </c>
      <c r="BE788" s="140">
        <f>IF(N788="základní",J788,0)</f>
        <v>0</v>
      </c>
      <c r="BF788" s="140">
        <f>IF(N788="snížená",J788,0)</f>
        <v>0</v>
      </c>
      <c r="BG788" s="140">
        <f>IF(N788="zákl. přenesená",J788,0)</f>
        <v>0</v>
      </c>
      <c r="BH788" s="140">
        <f>IF(N788="sníž. přenesená",J788,0)</f>
        <v>0</v>
      </c>
      <c r="BI788" s="140">
        <f>IF(N788="nulová",J788,0)</f>
        <v>0</v>
      </c>
      <c r="BJ788" s="2" t="s">
        <v>87</v>
      </c>
      <c r="BK788" s="140">
        <f>ROUND(I788*H788,2)</f>
        <v>0</v>
      </c>
      <c r="BL788" s="2" t="s">
        <v>344</v>
      </c>
      <c r="BM788" s="139" t="s">
        <v>5561</v>
      </c>
    </row>
    <row r="789" spans="2:65" s="141" customFormat="1" x14ac:dyDescent="0.2">
      <c r="B789" s="142"/>
      <c r="D789" s="143" t="s">
        <v>346</v>
      </c>
      <c r="E789" s="144"/>
      <c r="F789" s="145" t="s">
        <v>5562</v>
      </c>
      <c r="H789" s="144"/>
      <c r="L789" s="142"/>
      <c r="M789" s="146"/>
      <c r="T789" s="147"/>
      <c r="AT789" s="144" t="s">
        <v>346</v>
      </c>
      <c r="AU789" s="144" t="s">
        <v>90</v>
      </c>
      <c r="AV789" s="141" t="s">
        <v>87</v>
      </c>
      <c r="AW789" s="141" t="s">
        <v>33</v>
      </c>
      <c r="AX789" s="141" t="s">
        <v>80</v>
      </c>
      <c r="AY789" s="144" t="s">
        <v>337</v>
      </c>
    </row>
    <row r="790" spans="2:65" s="148" customFormat="1" x14ac:dyDescent="0.2">
      <c r="B790" s="149"/>
      <c r="D790" s="143" t="s">
        <v>346</v>
      </c>
      <c r="E790" s="150"/>
      <c r="F790" s="151" t="s">
        <v>5553</v>
      </c>
      <c r="H790" s="152">
        <v>2.5</v>
      </c>
      <c r="L790" s="149"/>
      <c r="M790" s="153"/>
      <c r="T790" s="154"/>
      <c r="AT790" s="150" t="s">
        <v>346</v>
      </c>
      <c r="AU790" s="150" t="s">
        <v>90</v>
      </c>
      <c r="AV790" s="148" t="s">
        <v>90</v>
      </c>
      <c r="AW790" s="148" t="s">
        <v>33</v>
      </c>
      <c r="AX790" s="148" t="s">
        <v>87</v>
      </c>
      <c r="AY790" s="150" t="s">
        <v>337</v>
      </c>
    </row>
    <row r="791" spans="2:65" s="16" customFormat="1" ht="16.5" customHeight="1" x14ac:dyDescent="0.2">
      <c r="B791" s="17"/>
      <c r="C791" s="128">
        <v>30</v>
      </c>
      <c r="D791" s="128" t="s">
        <v>339</v>
      </c>
      <c r="E791" s="129" t="s">
        <v>5563</v>
      </c>
      <c r="F791" s="130" t="s">
        <v>5564</v>
      </c>
      <c r="G791" s="131" t="s">
        <v>425</v>
      </c>
      <c r="H791" s="132">
        <v>57.59</v>
      </c>
      <c r="I791" s="133"/>
      <c r="J791" s="134">
        <f>ROUND(I791*H791,2)</f>
        <v>0</v>
      </c>
      <c r="K791" s="130" t="s">
        <v>343</v>
      </c>
      <c r="L791" s="17"/>
      <c r="M791" s="135"/>
      <c r="N791" s="136" t="s">
        <v>45</v>
      </c>
      <c r="P791" s="137">
        <f>O791*H791</f>
        <v>0</v>
      </c>
      <c r="Q791" s="137">
        <v>3.5E-4</v>
      </c>
      <c r="R791" s="137">
        <f>Q791*H791</f>
        <v>2.0156500000000001E-2</v>
      </c>
      <c r="S791" s="137">
        <v>0</v>
      </c>
      <c r="T791" s="138">
        <f>S791*H791</f>
        <v>0</v>
      </c>
      <c r="AR791" s="139" t="s">
        <v>344</v>
      </c>
      <c r="AT791" s="139" t="s">
        <v>339</v>
      </c>
      <c r="AU791" s="139" t="s">
        <v>90</v>
      </c>
      <c r="AY791" s="2" t="s">
        <v>337</v>
      </c>
      <c r="BE791" s="140">
        <f>IF(N791="základní",J791,0)</f>
        <v>0</v>
      </c>
      <c r="BF791" s="140">
        <f>IF(N791="snížená",J791,0)</f>
        <v>0</v>
      </c>
      <c r="BG791" s="140">
        <f>IF(N791="zákl. přenesená",J791,0)</f>
        <v>0</v>
      </c>
      <c r="BH791" s="140">
        <f>IF(N791="sníž. přenesená",J791,0)</f>
        <v>0</v>
      </c>
      <c r="BI791" s="140">
        <f>IF(N791="nulová",J791,0)</f>
        <v>0</v>
      </c>
      <c r="BJ791" s="2" t="s">
        <v>87</v>
      </c>
      <c r="BK791" s="140">
        <f>ROUND(I791*H791,2)</f>
        <v>0</v>
      </c>
      <c r="BL791" s="2" t="s">
        <v>344</v>
      </c>
      <c r="BM791" s="139" t="s">
        <v>5565</v>
      </c>
    </row>
    <row r="792" spans="2:65" s="141" customFormat="1" x14ac:dyDescent="0.2">
      <c r="B792" s="142"/>
      <c r="D792" s="143" t="s">
        <v>346</v>
      </c>
      <c r="E792" s="144"/>
      <c r="F792" s="145" t="s">
        <v>5566</v>
      </c>
      <c r="H792" s="144"/>
      <c r="L792" s="142"/>
      <c r="M792" s="146"/>
      <c r="T792" s="147"/>
      <c r="AT792" s="144" t="s">
        <v>346</v>
      </c>
      <c r="AU792" s="144" t="s">
        <v>90</v>
      </c>
      <c r="AV792" s="141" t="s">
        <v>87</v>
      </c>
      <c r="AW792" s="141" t="s">
        <v>33</v>
      </c>
      <c r="AX792" s="141" t="s">
        <v>80</v>
      </c>
      <c r="AY792" s="144" t="s">
        <v>337</v>
      </c>
    </row>
    <row r="793" spans="2:65" s="141" customFormat="1" x14ac:dyDescent="0.2">
      <c r="B793" s="142"/>
      <c r="D793" s="143" t="s">
        <v>346</v>
      </c>
      <c r="E793" s="144"/>
      <c r="F793" s="145" t="s">
        <v>5567</v>
      </c>
      <c r="H793" s="144"/>
      <c r="L793" s="142"/>
      <c r="M793" s="146"/>
      <c r="T793" s="147"/>
      <c r="AT793" s="144" t="s">
        <v>346</v>
      </c>
      <c r="AU793" s="144" t="s">
        <v>90</v>
      </c>
      <c r="AV793" s="141" t="s">
        <v>87</v>
      </c>
      <c r="AW793" s="141" t="s">
        <v>33</v>
      </c>
      <c r="AX793" s="141" t="s">
        <v>80</v>
      </c>
      <c r="AY793" s="144" t="s">
        <v>337</v>
      </c>
    </row>
    <row r="794" spans="2:65" s="148" customFormat="1" x14ac:dyDescent="0.2">
      <c r="B794" s="149"/>
      <c r="D794" s="143" t="s">
        <v>346</v>
      </c>
      <c r="E794" s="150"/>
      <c r="F794" s="151" t="s">
        <v>5568</v>
      </c>
      <c r="H794" s="152">
        <v>18.25</v>
      </c>
      <c r="L794" s="149"/>
      <c r="M794" s="153"/>
      <c r="T794" s="154"/>
      <c r="AT794" s="150" t="s">
        <v>346</v>
      </c>
      <c r="AU794" s="150" t="s">
        <v>90</v>
      </c>
      <c r="AV794" s="148" t="s">
        <v>90</v>
      </c>
      <c r="AW794" s="148" t="s">
        <v>33</v>
      </c>
      <c r="AX794" s="148" t="s">
        <v>80</v>
      </c>
      <c r="AY794" s="150" t="s">
        <v>337</v>
      </c>
    </row>
    <row r="795" spans="2:65" s="141" customFormat="1" x14ac:dyDescent="0.2">
      <c r="B795" s="142"/>
      <c r="D795" s="143" t="s">
        <v>346</v>
      </c>
      <c r="E795" s="144"/>
      <c r="F795" s="145" t="s">
        <v>5569</v>
      </c>
      <c r="H795" s="144"/>
      <c r="L795" s="142"/>
      <c r="M795" s="146"/>
      <c r="T795" s="147"/>
      <c r="AT795" s="144" t="s">
        <v>346</v>
      </c>
      <c r="AU795" s="144" t="s">
        <v>90</v>
      </c>
      <c r="AV795" s="141" t="s">
        <v>87</v>
      </c>
      <c r="AW795" s="141" t="s">
        <v>33</v>
      </c>
      <c r="AX795" s="141" t="s">
        <v>80</v>
      </c>
      <c r="AY795" s="144" t="s">
        <v>337</v>
      </c>
    </row>
    <row r="796" spans="2:65" s="148" customFormat="1" x14ac:dyDescent="0.2">
      <c r="B796" s="149"/>
      <c r="D796" s="143" t="s">
        <v>346</v>
      </c>
      <c r="E796" s="150"/>
      <c r="F796" s="151" t="s">
        <v>5570</v>
      </c>
      <c r="H796" s="152">
        <v>34.4</v>
      </c>
      <c r="L796" s="149"/>
      <c r="M796" s="153"/>
      <c r="T796" s="154"/>
      <c r="AT796" s="150" t="s">
        <v>346</v>
      </c>
      <c r="AU796" s="150" t="s">
        <v>90</v>
      </c>
      <c r="AV796" s="148" t="s">
        <v>90</v>
      </c>
      <c r="AW796" s="148" t="s">
        <v>33</v>
      </c>
      <c r="AX796" s="148" t="s">
        <v>80</v>
      </c>
      <c r="AY796" s="150" t="s">
        <v>337</v>
      </c>
    </row>
    <row r="797" spans="2:65" s="141" customFormat="1" x14ac:dyDescent="0.2">
      <c r="B797" s="142"/>
      <c r="D797" s="143" t="s">
        <v>346</v>
      </c>
      <c r="E797" s="144"/>
      <c r="F797" s="145" t="s">
        <v>5571</v>
      </c>
      <c r="H797" s="144"/>
      <c r="L797" s="142"/>
      <c r="M797" s="146"/>
      <c r="T797" s="147"/>
      <c r="AT797" s="144" t="s">
        <v>346</v>
      </c>
      <c r="AU797" s="144" t="s">
        <v>90</v>
      </c>
      <c r="AV797" s="141" t="s">
        <v>87</v>
      </c>
      <c r="AW797" s="141" t="s">
        <v>33</v>
      </c>
      <c r="AX797" s="141" t="s">
        <v>80</v>
      </c>
      <c r="AY797" s="144" t="s">
        <v>337</v>
      </c>
    </row>
    <row r="798" spans="2:65" s="141" customFormat="1" x14ac:dyDescent="0.2">
      <c r="B798" s="142"/>
      <c r="D798" s="143" t="s">
        <v>346</v>
      </c>
      <c r="E798" s="144"/>
      <c r="F798" s="145" t="s">
        <v>2664</v>
      </c>
      <c r="H798" s="144"/>
      <c r="L798" s="142"/>
      <c r="M798" s="146"/>
      <c r="T798" s="147"/>
      <c r="AT798" s="144" t="s">
        <v>346</v>
      </c>
      <c r="AU798" s="144" t="s">
        <v>90</v>
      </c>
      <c r="AV798" s="141" t="s">
        <v>87</v>
      </c>
      <c r="AW798" s="141" t="s">
        <v>33</v>
      </c>
      <c r="AX798" s="141" t="s">
        <v>80</v>
      </c>
      <c r="AY798" s="144" t="s">
        <v>337</v>
      </c>
    </row>
    <row r="799" spans="2:65" s="148" customFormat="1" x14ac:dyDescent="0.2">
      <c r="B799" s="149"/>
      <c r="D799" s="143" t="s">
        <v>346</v>
      </c>
      <c r="E799" s="150"/>
      <c r="F799" s="151" t="s">
        <v>5572</v>
      </c>
      <c r="H799" s="152">
        <v>0.67500000000000004</v>
      </c>
      <c r="L799" s="149"/>
      <c r="M799" s="153"/>
      <c r="T799" s="154"/>
      <c r="AT799" s="150" t="s">
        <v>346</v>
      </c>
      <c r="AU799" s="150" t="s">
        <v>90</v>
      </c>
      <c r="AV799" s="148" t="s">
        <v>90</v>
      </c>
      <c r="AW799" s="148" t="s">
        <v>33</v>
      </c>
      <c r="AX799" s="148" t="s">
        <v>80</v>
      </c>
      <c r="AY799" s="150" t="s">
        <v>337</v>
      </c>
    </row>
    <row r="800" spans="2:65" s="141" customFormat="1" x14ac:dyDescent="0.2">
      <c r="B800" s="142"/>
      <c r="D800" s="143" t="s">
        <v>346</v>
      </c>
      <c r="E800" s="144"/>
      <c r="F800" s="145" t="s">
        <v>2695</v>
      </c>
      <c r="H800" s="144"/>
      <c r="L800" s="142"/>
      <c r="M800" s="146"/>
      <c r="T800" s="147"/>
      <c r="AT800" s="144" t="s">
        <v>346</v>
      </c>
      <c r="AU800" s="144" t="s">
        <v>90</v>
      </c>
      <c r="AV800" s="141" t="s">
        <v>87</v>
      </c>
      <c r="AW800" s="141" t="s">
        <v>33</v>
      </c>
      <c r="AX800" s="141" t="s">
        <v>80</v>
      </c>
      <c r="AY800" s="144" t="s">
        <v>337</v>
      </c>
    </row>
    <row r="801" spans="2:65" s="148" customFormat="1" x14ac:dyDescent="0.2">
      <c r="B801" s="149"/>
      <c r="D801" s="143" t="s">
        <v>346</v>
      </c>
      <c r="E801" s="150"/>
      <c r="F801" s="151" t="s">
        <v>5572</v>
      </c>
      <c r="H801" s="152">
        <v>0.67500000000000004</v>
      </c>
      <c r="L801" s="149"/>
      <c r="M801" s="153"/>
      <c r="T801" s="154"/>
      <c r="AT801" s="150" t="s">
        <v>346</v>
      </c>
      <c r="AU801" s="150" t="s">
        <v>90</v>
      </c>
      <c r="AV801" s="148" t="s">
        <v>90</v>
      </c>
      <c r="AW801" s="148" t="s">
        <v>33</v>
      </c>
      <c r="AX801" s="148" t="s">
        <v>80</v>
      </c>
      <c r="AY801" s="150" t="s">
        <v>337</v>
      </c>
    </row>
    <row r="802" spans="2:65" s="141" customFormat="1" x14ac:dyDescent="0.2">
      <c r="B802" s="142"/>
      <c r="D802" s="143" t="s">
        <v>346</v>
      </c>
      <c r="E802" s="144"/>
      <c r="F802" s="145" t="s">
        <v>2722</v>
      </c>
      <c r="H802" s="144"/>
      <c r="L802" s="142"/>
      <c r="M802" s="146"/>
      <c r="T802" s="147"/>
      <c r="AT802" s="144" t="s">
        <v>346</v>
      </c>
      <c r="AU802" s="144" t="s">
        <v>90</v>
      </c>
      <c r="AV802" s="141" t="s">
        <v>87</v>
      </c>
      <c r="AW802" s="141" t="s">
        <v>33</v>
      </c>
      <c r="AX802" s="141" t="s">
        <v>80</v>
      </c>
      <c r="AY802" s="144" t="s">
        <v>337</v>
      </c>
    </row>
    <row r="803" spans="2:65" s="148" customFormat="1" x14ac:dyDescent="0.2">
      <c r="B803" s="149"/>
      <c r="D803" s="143" t="s">
        <v>346</v>
      </c>
      <c r="E803" s="150"/>
      <c r="F803" s="151" t="s">
        <v>5572</v>
      </c>
      <c r="H803" s="152">
        <v>0.67500000000000004</v>
      </c>
      <c r="L803" s="149"/>
      <c r="M803" s="153"/>
      <c r="T803" s="154"/>
      <c r="AT803" s="150" t="s">
        <v>346</v>
      </c>
      <c r="AU803" s="150" t="s">
        <v>90</v>
      </c>
      <c r="AV803" s="148" t="s">
        <v>90</v>
      </c>
      <c r="AW803" s="148" t="s">
        <v>33</v>
      </c>
      <c r="AX803" s="148" t="s">
        <v>80</v>
      </c>
      <c r="AY803" s="150" t="s">
        <v>337</v>
      </c>
    </row>
    <row r="804" spans="2:65" s="141" customFormat="1" x14ac:dyDescent="0.2">
      <c r="B804" s="142"/>
      <c r="D804" s="143" t="s">
        <v>346</v>
      </c>
      <c r="E804" s="144"/>
      <c r="F804" s="145" t="s">
        <v>2742</v>
      </c>
      <c r="H804" s="144"/>
      <c r="L804" s="142"/>
      <c r="M804" s="146"/>
      <c r="T804" s="147"/>
      <c r="AT804" s="144" t="s">
        <v>346</v>
      </c>
      <c r="AU804" s="144" t="s">
        <v>90</v>
      </c>
      <c r="AV804" s="141" t="s">
        <v>87</v>
      </c>
      <c r="AW804" s="141" t="s">
        <v>33</v>
      </c>
      <c r="AX804" s="141" t="s">
        <v>80</v>
      </c>
      <c r="AY804" s="144" t="s">
        <v>337</v>
      </c>
    </row>
    <row r="805" spans="2:65" s="148" customFormat="1" x14ac:dyDescent="0.2">
      <c r="B805" s="149"/>
      <c r="D805" s="143" t="s">
        <v>346</v>
      </c>
      <c r="E805" s="150"/>
      <c r="F805" s="151" t="s">
        <v>5572</v>
      </c>
      <c r="H805" s="152">
        <v>0.67500000000000004</v>
      </c>
      <c r="L805" s="149"/>
      <c r="M805" s="153"/>
      <c r="T805" s="154"/>
      <c r="AT805" s="150" t="s">
        <v>346</v>
      </c>
      <c r="AU805" s="150" t="s">
        <v>90</v>
      </c>
      <c r="AV805" s="148" t="s">
        <v>90</v>
      </c>
      <c r="AW805" s="148" t="s">
        <v>33</v>
      </c>
      <c r="AX805" s="148" t="s">
        <v>80</v>
      </c>
      <c r="AY805" s="150" t="s">
        <v>337</v>
      </c>
    </row>
    <row r="806" spans="2:65" s="148" customFormat="1" x14ac:dyDescent="0.2">
      <c r="B806" s="149"/>
      <c r="D806" s="143" t="s">
        <v>346</v>
      </c>
      <c r="E806" s="150"/>
      <c r="F806" s="151" t="s">
        <v>5573</v>
      </c>
      <c r="H806" s="152">
        <v>0.56499999999999995</v>
      </c>
      <c r="L806" s="149"/>
      <c r="M806" s="153"/>
      <c r="T806" s="154"/>
      <c r="AT806" s="150" t="s">
        <v>346</v>
      </c>
      <c r="AU806" s="150" t="s">
        <v>90</v>
      </c>
      <c r="AV806" s="148" t="s">
        <v>90</v>
      </c>
      <c r="AW806" s="148" t="s">
        <v>33</v>
      </c>
      <c r="AX806" s="148" t="s">
        <v>80</v>
      </c>
      <c r="AY806" s="150" t="s">
        <v>337</v>
      </c>
    </row>
    <row r="807" spans="2:65" s="148" customFormat="1" x14ac:dyDescent="0.2">
      <c r="B807" s="149"/>
      <c r="D807" s="143" t="s">
        <v>346</v>
      </c>
      <c r="E807" s="150"/>
      <c r="F807" s="151" t="s">
        <v>5574</v>
      </c>
      <c r="H807" s="152">
        <v>0.7</v>
      </c>
      <c r="L807" s="149"/>
      <c r="M807" s="153"/>
      <c r="T807" s="154"/>
      <c r="AT807" s="150" t="s">
        <v>346</v>
      </c>
      <c r="AU807" s="150" t="s">
        <v>90</v>
      </c>
      <c r="AV807" s="148" t="s">
        <v>90</v>
      </c>
      <c r="AW807" s="148" t="s">
        <v>33</v>
      </c>
      <c r="AX807" s="148" t="s">
        <v>80</v>
      </c>
      <c r="AY807" s="150" t="s">
        <v>337</v>
      </c>
    </row>
    <row r="808" spans="2:65" s="148" customFormat="1" x14ac:dyDescent="0.2">
      <c r="B808" s="149"/>
      <c r="D808" s="143" t="s">
        <v>346</v>
      </c>
      <c r="E808" s="150"/>
      <c r="F808" s="151" t="s">
        <v>5575</v>
      </c>
      <c r="H808" s="152">
        <v>0.97499999999999998</v>
      </c>
      <c r="L808" s="149"/>
      <c r="M808" s="153"/>
      <c r="T808" s="154"/>
      <c r="AT808" s="150" t="s">
        <v>346</v>
      </c>
      <c r="AU808" s="150" t="s">
        <v>90</v>
      </c>
      <c r="AV808" s="148" t="s">
        <v>90</v>
      </c>
      <c r="AW808" s="148" t="s">
        <v>33</v>
      </c>
      <c r="AX808" s="148" t="s">
        <v>80</v>
      </c>
      <c r="AY808" s="150" t="s">
        <v>337</v>
      </c>
    </row>
    <row r="809" spans="2:65" s="155" customFormat="1" x14ac:dyDescent="0.2">
      <c r="B809" s="156"/>
      <c r="D809" s="143" t="s">
        <v>346</v>
      </c>
      <c r="E809" s="157"/>
      <c r="F809" s="158" t="s">
        <v>351</v>
      </c>
      <c r="H809" s="159">
        <v>57.59</v>
      </c>
      <c r="L809" s="156"/>
      <c r="M809" s="160"/>
      <c r="T809" s="161"/>
      <c r="AT809" s="157" t="s">
        <v>346</v>
      </c>
      <c r="AU809" s="157" t="s">
        <v>90</v>
      </c>
      <c r="AV809" s="155" t="s">
        <v>344</v>
      </c>
      <c r="AW809" s="155" t="s">
        <v>33</v>
      </c>
      <c r="AX809" s="155" t="s">
        <v>87</v>
      </c>
      <c r="AY809" s="157" t="s">
        <v>337</v>
      </c>
    </row>
    <row r="810" spans="2:65" s="16" customFormat="1" ht="21.75" customHeight="1" x14ac:dyDescent="0.2">
      <c r="B810" s="17"/>
      <c r="C810" s="128">
        <v>31</v>
      </c>
      <c r="D810" s="128" t="s">
        <v>339</v>
      </c>
      <c r="E810" s="129" t="s">
        <v>5576</v>
      </c>
      <c r="F810" s="130" t="s">
        <v>5577</v>
      </c>
      <c r="G810" s="131" t="s">
        <v>425</v>
      </c>
      <c r="H810" s="132">
        <v>167.61</v>
      </c>
      <c r="I810" s="133"/>
      <c r="J810" s="134">
        <f>ROUND(I810*H810,2)</f>
        <v>0</v>
      </c>
      <c r="K810" s="130" t="s">
        <v>343</v>
      </c>
      <c r="L810" s="17"/>
      <c r="M810" s="135"/>
      <c r="N810" s="136" t="s">
        <v>45</v>
      </c>
      <c r="P810" s="137">
        <f>O810*H810</f>
        <v>0</v>
      </c>
      <c r="Q810" s="137">
        <v>0</v>
      </c>
      <c r="R810" s="137">
        <f>Q810*H810</f>
        <v>0</v>
      </c>
      <c r="S810" s="137">
        <v>0.05</v>
      </c>
      <c r="T810" s="138">
        <f>S810*H810</f>
        <v>8.3805000000000014</v>
      </c>
      <c r="AR810" s="139" t="s">
        <v>344</v>
      </c>
      <c r="AT810" s="139" t="s">
        <v>339</v>
      </c>
      <c r="AU810" s="139" t="s">
        <v>90</v>
      </c>
      <c r="AY810" s="2" t="s">
        <v>337</v>
      </c>
      <c r="BE810" s="140">
        <f>IF(N810="základní",J810,0)</f>
        <v>0</v>
      </c>
      <c r="BF810" s="140">
        <f>IF(N810="snížená",J810,0)</f>
        <v>0</v>
      </c>
      <c r="BG810" s="140">
        <f>IF(N810="zákl. přenesená",J810,0)</f>
        <v>0</v>
      </c>
      <c r="BH810" s="140">
        <f>IF(N810="sníž. přenesená",J810,0)</f>
        <v>0</v>
      </c>
      <c r="BI810" s="140">
        <f>IF(N810="nulová",J810,0)</f>
        <v>0</v>
      </c>
      <c r="BJ810" s="2" t="s">
        <v>87</v>
      </c>
      <c r="BK810" s="140">
        <f>ROUND(I810*H810,2)</f>
        <v>0</v>
      </c>
      <c r="BL810" s="2" t="s">
        <v>344</v>
      </c>
      <c r="BM810" s="139" t="s">
        <v>5578</v>
      </c>
    </row>
    <row r="811" spans="2:65" s="141" customFormat="1" x14ac:dyDescent="0.2">
      <c r="B811" s="142"/>
      <c r="D811" s="143" t="s">
        <v>346</v>
      </c>
      <c r="E811" s="144"/>
      <c r="F811" s="145" t="s">
        <v>5579</v>
      </c>
      <c r="H811" s="144"/>
      <c r="L811" s="142"/>
      <c r="M811" s="146"/>
      <c r="T811" s="147"/>
      <c r="AT811" s="144" t="s">
        <v>346</v>
      </c>
      <c r="AU811" s="144" t="s">
        <v>90</v>
      </c>
      <c r="AV811" s="141" t="s">
        <v>87</v>
      </c>
      <c r="AW811" s="141" t="s">
        <v>33</v>
      </c>
      <c r="AX811" s="141" t="s">
        <v>80</v>
      </c>
      <c r="AY811" s="144" t="s">
        <v>337</v>
      </c>
    </row>
    <row r="812" spans="2:65" s="148" customFormat="1" x14ac:dyDescent="0.2">
      <c r="B812" s="149"/>
      <c r="D812" s="143" t="s">
        <v>346</v>
      </c>
      <c r="E812" s="150"/>
      <c r="F812" s="151" t="s">
        <v>595</v>
      </c>
      <c r="H812" s="152">
        <v>13.76</v>
      </c>
      <c r="L812" s="149"/>
      <c r="M812" s="153"/>
      <c r="T812" s="154"/>
      <c r="AT812" s="150" t="s">
        <v>346</v>
      </c>
      <c r="AU812" s="150" t="s">
        <v>90</v>
      </c>
      <c r="AV812" s="148" t="s">
        <v>90</v>
      </c>
      <c r="AW812" s="148" t="s">
        <v>33</v>
      </c>
      <c r="AX812" s="148" t="s">
        <v>80</v>
      </c>
      <c r="AY812" s="150" t="s">
        <v>337</v>
      </c>
    </row>
    <row r="813" spans="2:65" s="148" customFormat="1" x14ac:dyDescent="0.2">
      <c r="B813" s="149"/>
      <c r="D813" s="143" t="s">
        <v>346</v>
      </c>
      <c r="E813" s="150"/>
      <c r="F813" s="151" t="s">
        <v>581</v>
      </c>
      <c r="H813" s="152">
        <v>11.83</v>
      </c>
      <c r="L813" s="149"/>
      <c r="M813" s="153"/>
      <c r="T813" s="154"/>
      <c r="AT813" s="150" t="s">
        <v>346</v>
      </c>
      <c r="AU813" s="150" t="s">
        <v>90</v>
      </c>
      <c r="AV813" s="148" t="s">
        <v>90</v>
      </c>
      <c r="AW813" s="148" t="s">
        <v>33</v>
      </c>
      <c r="AX813" s="148" t="s">
        <v>80</v>
      </c>
      <c r="AY813" s="150" t="s">
        <v>337</v>
      </c>
    </row>
    <row r="814" spans="2:65" s="148" customFormat="1" x14ac:dyDescent="0.2">
      <c r="B814" s="149"/>
      <c r="D814" s="143" t="s">
        <v>346</v>
      </c>
      <c r="E814" s="150"/>
      <c r="F814" s="151" t="s">
        <v>582</v>
      </c>
      <c r="H814" s="152">
        <v>3.72</v>
      </c>
      <c r="L814" s="149"/>
      <c r="M814" s="153"/>
      <c r="T814" s="154"/>
      <c r="AT814" s="150" t="s">
        <v>346</v>
      </c>
      <c r="AU814" s="150" t="s">
        <v>90</v>
      </c>
      <c r="AV814" s="148" t="s">
        <v>90</v>
      </c>
      <c r="AW814" s="148" t="s">
        <v>33</v>
      </c>
      <c r="AX814" s="148" t="s">
        <v>80</v>
      </c>
      <c r="AY814" s="150" t="s">
        <v>337</v>
      </c>
    </row>
    <row r="815" spans="2:65" s="148" customFormat="1" x14ac:dyDescent="0.2">
      <c r="B815" s="149"/>
      <c r="D815" s="143" t="s">
        <v>346</v>
      </c>
      <c r="E815" s="150"/>
      <c r="F815" s="151" t="s">
        <v>583</v>
      </c>
      <c r="H815" s="152">
        <v>35.92</v>
      </c>
      <c r="L815" s="149"/>
      <c r="M815" s="153"/>
      <c r="T815" s="154"/>
      <c r="AT815" s="150" t="s">
        <v>346</v>
      </c>
      <c r="AU815" s="150" t="s">
        <v>90</v>
      </c>
      <c r="AV815" s="148" t="s">
        <v>90</v>
      </c>
      <c r="AW815" s="148" t="s">
        <v>33</v>
      </c>
      <c r="AX815" s="148" t="s">
        <v>80</v>
      </c>
      <c r="AY815" s="150" t="s">
        <v>337</v>
      </c>
    </row>
    <row r="816" spans="2:65" s="148" customFormat="1" x14ac:dyDescent="0.2">
      <c r="B816" s="149"/>
      <c r="D816" s="143" t="s">
        <v>346</v>
      </c>
      <c r="E816" s="150"/>
      <c r="F816" s="151" t="s">
        <v>584</v>
      </c>
      <c r="H816" s="152">
        <v>4.03</v>
      </c>
      <c r="L816" s="149"/>
      <c r="M816" s="153"/>
      <c r="T816" s="154"/>
      <c r="AT816" s="150" t="s">
        <v>346</v>
      </c>
      <c r="AU816" s="150" t="s">
        <v>90</v>
      </c>
      <c r="AV816" s="148" t="s">
        <v>90</v>
      </c>
      <c r="AW816" s="148" t="s">
        <v>33</v>
      </c>
      <c r="AX816" s="148" t="s">
        <v>80</v>
      </c>
      <c r="AY816" s="150" t="s">
        <v>337</v>
      </c>
    </row>
    <row r="817" spans="2:65" s="148" customFormat="1" x14ac:dyDescent="0.2">
      <c r="B817" s="149"/>
      <c r="D817" s="143" t="s">
        <v>346</v>
      </c>
      <c r="E817" s="150"/>
      <c r="F817" s="151" t="s">
        <v>586</v>
      </c>
      <c r="H817" s="152">
        <v>25.8</v>
      </c>
      <c r="L817" s="149"/>
      <c r="M817" s="153"/>
      <c r="T817" s="154"/>
      <c r="AT817" s="150" t="s">
        <v>346</v>
      </c>
      <c r="AU817" s="150" t="s">
        <v>90</v>
      </c>
      <c r="AV817" s="148" t="s">
        <v>90</v>
      </c>
      <c r="AW817" s="148" t="s">
        <v>33</v>
      </c>
      <c r="AX817" s="148" t="s">
        <v>80</v>
      </c>
      <c r="AY817" s="150" t="s">
        <v>337</v>
      </c>
    </row>
    <row r="818" spans="2:65" s="148" customFormat="1" x14ac:dyDescent="0.2">
      <c r="B818" s="149"/>
      <c r="D818" s="143" t="s">
        <v>346</v>
      </c>
      <c r="E818" s="150"/>
      <c r="F818" s="151" t="s">
        <v>596</v>
      </c>
      <c r="H818" s="152">
        <v>17.38</v>
      </c>
      <c r="L818" s="149"/>
      <c r="M818" s="153"/>
      <c r="T818" s="154"/>
      <c r="AT818" s="150" t="s">
        <v>346</v>
      </c>
      <c r="AU818" s="150" t="s">
        <v>90</v>
      </c>
      <c r="AV818" s="148" t="s">
        <v>90</v>
      </c>
      <c r="AW818" s="148" t="s">
        <v>33</v>
      </c>
      <c r="AX818" s="148" t="s">
        <v>80</v>
      </c>
      <c r="AY818" s="150" t="s">
        <v>337</v>
      </c>
    </row>
    <row r="819" spans="2:65" s="148" customFormat="1" x14ac:dyDescent="0.2">
      <c r="B819" s="149"/>
      <c r="D819" s="143" t="s">
        <v>346</v>
      </c>
      <c r="E819" s="150"/>
      <c r="F819" s="151" t="s">
        <v>597</v>
      </c>
      <c r="H819" s="152">
        <v>21.64</v>
      </c>
      <c r="L819" s="149"/>
      <c r="M819" s="153"/>
      <c r="T819" s="154"/>
      <c r="AT819" s="150" t="s">
        <v>346</v>
      </c>
      <c r="AU819" s="150" t="s">
        <v>90</v>
      </c>
      <c r="AV819" s="148" t="s">
        <v>90</v>
      </c>
      <c r="AW819" s="148" t="s">
        <v>33</v>
      </c>
      <c r="AX819" s="148" t="s">
        <v>80</v>
      </c>
      <c r="AY819" s="150" t="s">
        <v>337</v>
      </c>
    </row>
    <row r="820" spans="2:65" s="148" customFormat="1" x14ac:dyDescent="0.2">
      <c r="B820" s="149"/>
      <c r="D820" s="143" t="s">
        <v>346</v>
      </c>
      <c r="E820" s="150"/>
      <c r="F820" s="151" t="s">
        <v>625</v>
      </c>
      <c r="H820" s="152">
        <v>7.34</v>
      </c>
      <c r="L820" s="149"/>
      <c r="M820" s="153"/>
      <c r="T820" s="154"/>
      <c r="AT820" s="150" t="s">
        <v>346</v>
      </c>
      <c r="AU820" s="150" t="s">
        <v>90</v>
      </c>
      <c r="AV820" s="148" t="s">
        <v>90</v>
      </c>
      <c r="AW820" s="148" t="s">
        <v>33</v>
      </c>
      <c r="AX820" s="148" t="s">
        <v>80</v>
      </c>
      <c r="AY820" s="150" t="s">
        <v>337</v>
      </c>
    </row>
    <row r="821" spans="2:65" s="148" customFormat="1" x14ac:dyDescent="0.2">
      <c r="B821" s="149"/>
      <c r="D821" s="143" t="s">
        <v>346</v>
      </c>
      <c r="E821" s="150"/>
      <c r="F821" s="151" t="s">
        <v>626</v>
      </c>
      <c r="H821" s="152">
        <v>7.44</v>
      </c>
      <c r="L821" s="149"/>
      <c r="M821" s="153"/>
      <c r="T821" s="154"/>
      <c r="AT821" s="150" t="s">
        <v>346</v>
      </c>
      <c r="AU821" s="150" t="s">
        <v>90</v>
      </c>
      <c r="AV821" s="148" t="s">
        <v>90</v>
      </c>
      <c r="AW821" s="148" t="s">
        <v>33</v>
      </c>
      <c r="AX821" s="148" t="s">
        <v>80</v>
      </c>
      <c r="AY821" s="150" t="s">
        <v>337</v>
      </c>
    </row>
    <row r="822" spans="2:65" s="148" customFormat="1" x14ac:dyDescent="0.2">
      <c r="B822" s="149"/>
      <c r="D822" s="143" t="s">
        <v>346</v>
      </c>
      <c r="E822" s="150"/>
      <c r="F822" s="151" t="s">
        <v>627</v>
      </c>
      <c r="H822" s="152">
        <v>7.44</v>
      </c>
      <c r="L822" s="149"/>
      <c r="M822" s="153"/>
      <c r="T822" s="154"/>
      <c r="AT822" s="150" t="s">
        <v>346</v>
      </c>
      <c r="AU822" s="150" t="s">
        <v>90</v>
      </c>
      <c r="AV822" s="148" t="s">
        <v>90</v>
      </c>
      <c r="AW822" s="148" t="s">
        <v>33</v>
      </c>
      <c r="AX822" s="148" t="s">
        <v>80</v>
      </c>
      <c r="AY822" s="150" t="s">
        <v>337</v>
      </c>
    </row>
    <row r="823" spans="2:65" s="148" customFormat="1" x14ac:dyDescent="0.2">
      <c r="B823" s="149"/>
      <c r="D823" s="143" t="s">
        <v>346</v>
      </c>
      <c r="E823" s="150"/>
      <c r="F823" s="151" t="s">
        <v>628</v>
      </c>
      <c r="H823" s="152">
        <v>11.31</v>
      </c>
      <c r="L823" s="149"/>
      <c r="M823" s="153"/>
      <c r="T823" s="154"/>
      <c r="AT823" s="150" t="s">
        <v>346</v>
      </c>
      <c r="AU823" s="150" t="s">
        <v>90</v>
      </c>
      <c r="AV823" s="148" t="s">
        <v>90</v>
      </c>
      <c r="AW823" s="148" t="s">
        <v>33</v>
      </c>
      <c r="AX823" s="148" t="s">
        <v>80</v>
      </c>
      <c r="AY823" s="150" t="s">
        <v>337</v>
      </c>
    </row>
    <row r="824" spans="2:65" s="155" customFormat="1" x14ac:dyDescent="0.2">
      <c r="B824" s="156"/>
      <c r="D824" s="143" t="s">
        <v>346</v>
      </c>
      <c r="E824" s="157"/>
      <c r="F824" s="158" t="s">
        <v>351</v>
      </c>
      <c r="H824" s="159">
        <v>167.61</v>
      </c>
      <c r="L824" s="156"/>
      <c r="M824" s="160"/>
      <c r="T824" s="161"/>
      <c r="AT824" s="157" t="s">
        <v>346</v>
      </c>
      <c r="AU824" s="157" t="s">
        <v>90</v>
      </c>
      <c r="AV824" s="155" t="s">
        <v>344</v>
      </c>
      <c r="AW824" s="155" t="s">
        <v>33</v>
      </c>
      <c r="AX824" s="155" t="s">
        <v>87</v>
      </c>
      <c r="AY824" s="157" t="s">
        <v>337</v>
      </c>
    </row>
    <row r="825" spans="2:65" s="16" customFormat="1" ht="21.75" customHeight="1" x14ac:dyDescent="0.2">
      <c r="B825" s="17"/>
      <c r="C825" s="128">
        <v>32</v>
      </c>
      <c r="D825" s="128" t="s">
        <v>339</v>
      </c>
      <c r="E825" s="129" t="s">
        <v>5580</v>
      </c>
      <c r="F825" s="130" t="s">
        <v>5581</v>
      </c>
      <c r="G825" s="131" t="s">
        <v>425</v>
      </c>
      <c r="H825" s="132">
        <v>4022.76</v>
      </c>
      <c r="I825" s="133"/>
      <c r="J825" s="134">
        <f>ROUND(I825*H825,2)</f>
        <v>0</v>
      </c>
      <c r="K825" s="130" t="s">
        <v>343</v>
      </c>
      <c r="L825" s="17"/>
      <c r="M825" s="135"/>
      <c r="N825" s="136" t="s">
        <v>45</v>
      </c>
      <c r="P825" s="137">
        <f>O825*H825</f>
        <v>0</v>
      </c>
      <c r="Q825" s="137">
        <v>0</v>
      </c>
      <c r="R825" s="137">
        <f>Q825*H825</f>
        <v>0</v>
      </c>
      <c r="S825" s="137">
        <v>4.5999999999999999E-2</v>
      </c>
      <c r="T825" s="138">
        <f>S825*H825</f>
        <v>185.04696000000001</v>
      </c>
      <c r="AR825" s="139" t="s">
        <v>344</v>
      </c>
      <c r="AT825" s="139" t="s">
        <v>339</v>
      </c>
      <c r="AU825" s="139" t="s">
        <v>90</v>
      </c>
      <c r="AY825" s="2" t="s">
        <v>337</v>
      </c>
      <c r="BE825" s="140">
        <f>IF(N825="základní",J825,0)</f>
        <v>0</v>
      </c>
      <c r="BF825" s="140">
        <f>IF(N825="snížená",J825,0)</f>
        <v>0</v>
      </c>
      <c r="BG825" s="140">
        <f>IF(N825="zákl. přenesená",J825,0)</f>
        <v>0</v>
      </c>
      <c r="BH825" s="140">
        <f>IF(N825="sníž. přenesená",J825,0)</f>
        <v>0</v>
      </c>
      <c r="BI825" s="140">
        <f>IF(N825="nulová",J825,0)</f>
        <v>0</v>
      </c>
      <c r="BJ825" s="2" t="s">
        <v>87</v>
      </c>
      <c r="BK825" s="140">
        <f>ROUND(I825*H825,2)</f>
        <v>0</v>
      </c>
      <c r="BL825" s="2" t="s">
        <v>344</v>
      </c>
      <c r="BM825" s="139" t="s">
        <v>5582</v>
      </c>
    </row>
    <row r="826" spans="2:65" s="141" customFormat="1" x14ac:dyDescent="0.2">
      <c r="B826" s="142"/>
      <c r="D826" s="143" t="s">
        <v>346</v>
      </c>
      <c r="E826" s="144"/>
      <c r="F826" s="145" t="s">
        <v>5583</v>
      </c>
      <c r="H826" s="144"/>
      <c r="L826" s="142"/>
      <c r="M826" s="146"/>
      <c r="T826" s="147"/>
      <c r="AT826" s="144" t="s">
        <v>346</v>
      </c>
      <c r="AU826" s="144" t="s">
        <v>90</v>
      </c>
      <c r="AV826" s="141" t="s">
        <v>87</v>
      </c>
      <c r="AW826" s="141" t="s">
        <v>33</v>
      </c>
      <c r="AX826" s="141" t="s">
        <v>80</v>
      </c>
      <c r="AY826" s="144" t="s">
        <v>337</v>
      </c>
    </row>
    <row r="827" spans="2:65" s="141" customFormat="1" x14ac:dyDescent="0.2">
      <c r="B827" s="142"/>
      <c r="D827" s="143" t="s">
        <v>346</v>
      </c>
      <c r="E827" s="144"/>
      <c r="F827" s="145" t="s">
        <v>5584</v>
      </c>
      <c r="H827" s="144"/>
      <c r="L827" s="142"/>
      <c r="M827" s="146"/>
      <c r="T827" s="147"/>
      <c r="AT827" s="144" t="s">
        <v>346</v>
      </c>
      <c r="AU827" s="144" t="s">
        <v>90</v>
      </c>
      <c r="AV827" s="141" t="s">
        <v>87</v>
      </c>
      <c r="AW827" s="141" t="s">
        <v>33</v>
      </c>
      <c r="AX827" s="141" t="s">
        <v>80</v>
      </c>
      <c r="AY827" s="144" t="s">
        <v>337</v>
      </c>
    </row>
    <row r="828" spans="2:65" s="141" customFormat="1" x14ac:dyDescent="0.2">
      <c r="B828" s="142"/>
      <c r="D828" s="143" t="s">
        <v>346</v>
      </c>
      <c r="E828" s="144"/>
      <c r="F828" s="145" t="s">
        <v>5585</v>
      </c>
      <c r="H828" s="144"/>
      <c r="L828" s="142"/>
      <c r="M828" s="146"/>
      <c r="T828" s="147"/>
      <c r="AT828" s="144" t="s">
        <v>346</v>
      </c>
      <c r="AU828" s="144" t="s">
        <v>90</v>
      </c>
      <c r="AV828" s="141" t="s">
        <v>87</v>
      </c>
      <c r="AW828" s="141" t="s">
        <v>33</v>
      </c>
      <c r="AX828" s="141" t="s">
        <v>80</v>
      </c>
      <c r="AY828" s="144" t="s">
        <v>337</v>
      </c>
    </row>
    <row r="829" spans="2:65" s="141" customFormat="1" x14ac:dyDescent="0.2">
      <c r="B829" s="142"/>
      <c r="D829" s="143" t="s">
        <v>346</v>
      </c>
      <c r="E829" s="144"/>
      <c r="F829" s="145" t="s">
        <v>5586</v>
      </c>
      <c r="H829" s="144"/>
      <c r="L829" s="142"/>
      <c r="M829" s="146"/>
      <c r="T829" s="147"/>
      <c r="AT829" s="144" t="s">
        <v>346</v>
      </c>
      <c r="AU829" s="144" t="s">
        <v>90</v>
      </c>
      <c r="AV829" s="141" t="s">
        <v>87</v>
      </c>
      <c r="AW829" s="141" t="s">
        <v>33</v>
      </c>
      <c r="AX829" s="141" t="s">
        <v>80</v>
      </c>
      <c r="AY829" s="144" t="s">
        <v>337</v>
      </c>
    </row>
    <row r="830" spans="2:65" s="148" customFormat="1" x14ac:dyDescent="0.2">
      <c r="B830" s="149"/>
      <c r="D830" s="143" t="s">
        <v>346</v>
      </c>
      <c r="E830" s="150"/>
      <c r="F830" s="151" t="s">
        <v>5587</v>
      </c>
      <c r="H830" s="152">
        <v>29.117999999999999</v>
      </c>
      <c r="L830" s="149"/>
      <c r="M830" s="153"/>
      <c r="T830" s="154"/>
      <c r="AT830" s="150" t="s">
        <v>346</v>
      </c>
      <c r="AU830" s="150" t="s">
        <v>90</v>
      </c>
      <c r="AV830" s="148" t="s">
        <v>90</v>
      </c>
      <c r="AW830" s="148" t="s">
        <v>33</v>
      </c>
      <c r="AX830" s="148" t="s">
        <v>80</v>
      </c>
      <c r="AY830" s="150" t="s">
        <v>337</v>
      </c>
    </row>
    <row r="831" spans="2:65" s="141" customFormat="1" x14ac:dyDescent="0.2">
      <c r="B831" s="142"/>
      <c r="D831" s="143" t="s">
        <v>346</v>
      </c>
      <c r="E831" s="144"/>
      <c r="F831" s="145" t="s">
        <v>5588</v>
      </c>
      <c r="H831" s="144"/>
      <c r="L831" s="142"/>
      <c r="M831" s="146"/>
      <c r="T831" s="147"/>
      <c r="AT831" s="144" t="s">
        <v>346</v>
      </c>
      <c r="AU831" s="144" t="s">
        <v>90</v>
      </c>
      <c r="AV831" s="141" t="s">
        <v>87</v>
      </c>
      <c r="AW831" s="141" t="s">
        <v>33</v>
      </c>
      <c r="AX831" s="141" t="s">
        <v>80</v>
      </c>
      <c r="AY831" s="144" t="s">
        <v>337</v>
      </c>
    </row>
    <row r="832" spans="2:65" s="148" customFormat="1" x14ac:dyDescent="0.2">
      <c r="B832" s="149"/>
      <c r="D832" s="143" t="s">
        <v>346</v>
      </c>
      <c r="E832" s="150"/>
      <c r="F832" s="151" t="s">
        <v>5589</v>
      </c>
      <c r="H832" s="152">
        <v>456.85700000000003</v>
      </c>
      <c r="L832" s="149"/>
      <c r="M832" s="153"/>
      <c r="T832" s="154"/>
      <c r="AT832" s="150" t="s">
        <v>346</v>
      </c>
      <c r="AU832" s="150" t="s">
        <v>90</v>
      </c>
      <c r="AV832" s="148" t="s">
        <v>90</v>
      </c>
      <c r="AW832" s="148" t="s">
        <v>33</v>
      </c>
      <c r="AX832" s="148" t="s">
        <v>80</v>
      </c>
      <c r="AY832" s="150" t="s">
        <v>337</v>
      </c>
    </row>
    <row r="833" spans="2:65" s="141" customFormat="1" x14ac:dyDescent="0.2">
      <c r="B833" s="142"/>
      <c r="D833" s="143" t="s">
        <v>346</v>
      </c>
      <c r="E833" s="144"/>
      <c r="F833" s="145" t="s">
        <v>5590</v>
      </c>
      <c r="H833" s="144"/>
      <c r="L833" s="142"/>
      <c r="M833" s="146"/>
      <c r="T833" s="147"/>
      <c r="AT833" s="144" t="s">
        <v>346</v>
      </c>
      <c r="AU833" s="144" t="s">
        <v>90</v>
      </c>
      <c r="AV833" s="141" t="s">
        <v>87</v>
      </c>
      <c r="AW833" s="141" t="s">
        <v>33</v>
      </c>
      <c r="AX833" s="141" t="s">
        <v>80</v>
      </c>
      <c r="AY833" s="144" t="s">
        <v>337</v>
      </c>
    </row>
    <row r="834" spans="2:65" s="148" customFormat="1" x14ac:dyDescent="0.2">
      <c r="B834" s="149"/>
      <c r="D834" s="143" t="s">
        <v>346</v>
      </c>
      <c r="E834" s="150"/>
      <c r="F834" s="151" t="s">
        <v>5591</v>
      </c>
      <c r="H834" s="152">
        <v>99.188000000000002</v>
      </c>
      <c r="L834" s="149"/>
      <c r="M834" s="153"/>
      <c r="T834" s="154"/>
      <c r="AT834" s="150" t="s">
        <v>346</v>
      </c>
      <c r="AU834" s="150" t="s">
        <v>90</v>
      </c>
      <c r="AV834" s="148" t="s">
        <v>90</v>
      </c>
      <c r="AW834" s="148" t="s">
        <v>33</v>
      </c>
      <c r="AX834" s="148" t="s">
        <v>80</v>
      </c>
      <c r="AY834" s="150" t="s">
        <v>337</v>
      </c>
    </row>
    <row r="835" spans="2:65" s="141" customFormat="1" x14ac:dyDescent="0.2">
      <c r="B835" s="142"/>
      <c r="D835" s="143" t="s">
        <v>346</v>
      </c>
      <c r="E835" s="144"/>
      <c r="F835" s="145" t="s">
        <v>5592</v>
      </c>
      <c r="H835" s="144"/>
      <c r="L835" s="142"/>
      <c r="M835" s="146"/>
      <c r="T835" s="147"/>
      <c r="AT835" s="144" t="s">
        <v>346</v>
      </c>
      <c r="AU835" s="144" t="s">
        <v>90</v>
      </c>
      <c r="AV835" s="141" t="s">
        <v>87</v>
      </c>
      <c r="AW835" s="141" t="s">
        <v>33</v>
      </c>
      <c r="AX835" s="141" t="s">
        <v>80</v>
      </c>
      <c r="AY835" s="144" t="s">
        <v>337</v>
      </c>
    </row>
    <row r="836" spans="2:65" s="148" customFormat="1" x14ac:dyDescent="0.2">
      <c r="B836" s="149"/>
      <c r="D836" s="143" t="s">
        <v>346</v>
      </c>
      <c r="E836" s="150"/>
      <c r="F836" s="151" t="s">
        <v>5593</v>
      </c>
      <c r="H836" s="152">
        <v>3437.5970000000002</v>
      </c>
      <c r="L836" s="149"/>
      <c r="M836" s="153"/>
      <c r="T836" s="154"/>
      <c r="AT836" s="150" t="s">
        <v>346</v>
      </c>
      <c r="AU836" s="150" t="s">
        <v>90</v>
      </c>
      <c r="AV836" s="148" t="s">
        <v>90</v>
      </c>
      <c r="AW836" s="148" t="s">
        <v>33</v>
      </c>
      <c r="AX836" s="148" t="s">
        <v>80</v>
      </c>
      <c r="AY836" s="150" t="s">
        <v>337</v>
      </c>
    </row>
    <row r="837" spans="2:65" s="155" customFormat="1" x14ac:dyDescent="0.2">
      <c r="B837" s="156"/>
      <c r="D837" s="143" t="s">
        <v>346</v>
      </c>
      <c r="E837" s="157"/>
      <c r="F837" s="158" t="s">
        <v>351</v>
      </c>
      <c r="H837" s="159">
        <v>4022.76</v>
      </c>
      <c r="L837" s="156"/>
      <c r="M837" s="160"/>
      <c r="T837" s="161"/>
      <c r="AT837" s="157" t="s">
        <v>346</v>
      </c>
      <c r="AU837" s="157" t="s">
        <v>90</v>
      </c>
      <c r="AV837" s="155" t="s">
        <v>344</v>
      </c>
      <c r="AW837" s="155" t="s">
        <v>33</v>
      </c>
      <c r="AX837" s="155" t="s">
        <v>87</v>
      </c>
      <c r="AY837" s="157" t="s">
        <v>337</v>
      </c>
    </row>
    <row r="838" spans="2:65" s="16" customFormat="1" ht="16.5" customHeight="1" x14ac:dyDescent="0.2">
      <c r="B838" s="17"/>
      <c r="C838" s="128">
        <v>33</v>
      </c>
      <c r="D838" s="128" t="s">
        <v>339</v>
      </c>
      <c r="E838" s="129" t="s">
        <v>5594</v>
      </c>
      <c r="F838" s="130" t="s">
        <v>5595</v>
      </c>
      <c r="G838" s="131" t="s">
        <v>425</v>
      </c>
      <c r="H838" s="132">
        <v>26.02</v>
      </c>
      <c r="I838" s="133"/>
      <c r="J838" s="134">
        <f>ROUND(I838*H838,2)</f>
        <v>0</v>
      </c>
      <c r="K838" s="130" t="s">
        <v>343</v>
      </c>
      <c r="L838" s="17"/>
      <c r="M838" s="135"/>
      <c r="N838" s="136" t="s">
        <v>45</v>
      </c>
      <c r="P838" s="137">
        <f>O838*H838</f>
        <v>0</v>
      </c>
      <c r="Q838" s="137">
        <v>0</v>
      </c>
      <c r="R838" s="137">
        <f>Q838*H838</f>
        <v>0</v>
      </c>
      <c r="S838" s="137">
        <v>6.8000000000000005E-2</v>
      </c>
      <c r="T838" s="138">
        <f>S838*H838</f>
        <v>1.76936</v>
      </c>
      <c r="AR838" s="139" t="s">
        <v>344</v>
      </c>
      <c r="AT838" s="139" t="s">
        <v>339</v>
      </c>
      <c r="AU838" s="139" t="s">
        <v>90</v>
      </c>
      <c r="AY838" s="2" t="s">
        <v>337</v>
      </c>
      <c r="BE838" s="140">
        <f>IF(N838="základní",J838,0)</f>
        <v>0</v>
      </c>
      <c r="BF838" s="140">
        <f>IF(N838="snížená",J838,0)</f>
        <v>0</v>
      </c>
      <c r="BG838" s="140">
        <f>IF(N838="zákl. přenesená",J838,0)</f>
        <v>0</v>
      </c>
      <c r="BH838" s="140">
        <f>IF(N838="sníž. přenesená",J838,0)</f>
        <v>0</v>
      </c>
      <c r="BI838" s="140">
        <f>IF(N838="nulová",J838,0)</f>
        <v>0</v>
      </c>
      <c r="BJ838" s="2" t="s">
        <v>87</v>
      </c>
      <c r="BK838" s="140">
        <f>ROUND(I838*H838,2)</f>
        <v>0</v>
      </c>
      <c r="BL838" s="2" t="s">
        <v>344</v>
      </c>
      <c r="BM838" s="139" t="s">
        <v>5596</v>
      </c>
    </row>
    <row r="839" spans="2:65" s="141" customFormat="1" x14ac:dyDescent="0.2">
      <c r="B839" s="142"/>
      <c r="D839" s="143" t="s">
        <v>346</v>
      </c>
      <c r="E839" s="144"/>
      <c r="F839" s="145" t="s">
        <v>5597</v>
      </c>
      <c r="H839" s="144"/>
      <c r="L839" s="142"/>
      <c r="M839" s="146"/>
      <c r="T839" s="147"/>
      <c r="AT839" s="144" t="s">
        <v>346</v>
      </c>
      <c r="AU839" s="144" t="s">
        <v>90</v>
      </c>
      <c r="AV839" s="141" t="s">
        <v>87</v>
      </c>
      <c r="AW839" s="141" t="s">
        <v>33</v>
      </c>
      <c r="AX839" s="141" t="s">
        <v>80</v>
      </c>
      <c r="AY839" s="144" t="s">
        <v>337</v>
      </c>
    </row>
    <row r="840" spans="2:65" s="141" customFormat="1" x14ac:dyDescent="0.2">
      <c r="B840" s="142"/>
      <c r="D840" s="143" t="s">
        <v>346</v>
      </c>
      <c r="E840" s="144"/>
      <c r="F840" s="145" t="s">
        <v>357</v>
      </c>
      <c r="H840" s="144"/>
      <c r="L840" s="142"/>
      <c r="M840" s="146"/>
      <c r="T840" s="147"/>
      <c r="AT840" s="144" t="s">
        <v>346</v>
      </c>
      <c r="AU840" s="144" t="s">
        <v>90</v>
      </c>
      <c r="AV840" s="141" t="s">
        <v>87</v>
      </c>
      <c r="AW840" s="141" t="s">
        <v>33</v>
      </c>
      <c r="AX840" s="141" t="s">
        <v>80</v>
      </c>
      <c r="AY840" s="144" t="s">
        <v>337</v>
      </c>
    </row>
    <row r="841" spans="2:65" s="141" customFormat="1" x14ac:dyDescent="0.2">
      <c r="B841" s="142"/>
      <c r="D841" s="143" t="s">
        <v>346</v>
      </c>
      <c r="E841" s="144"/>
      <c r="F841" s="145" t="s">
        <v>5598</v>
      </c>
      <c r="H841" s="144"/>
      <c r="L841" s="142"/>
      <c r="M841" s="146"/>
      <c r="T841" s="147"/>
      <c r="AT841" s="144" t="s">
        <v>346</v>
      </c>
      <c r="AU841" s="144" t="s">
        <v>90</v>
      </c>
      <c r="AV841" s="141" t="s">
        <v>87</v>
      </c>
      <c r="AW841" s="141" t="s">
        <v>33</v>
      </c>
      <c r="AX841" s="141" t="s">
        <v>80</v>
      </c>
      <c r="AY841" s="144" t="s">
        <v>337</v>
      </c>
    </row>
    <row r="842" spans="2:65" s="148" customFormat="1" x14ac:dyDescent="0.2">
      <c r="B842" s="149"/>
      <c r="D842" s="143" t="s">
        <v>346</v>
      </c>
      <c r="E842" s="150"/>
      <c r="F842" s="151" t="s">
        <v>5599</v>
      </c>
      <c r="H842" s="152">
        <v>0.42</v>
      </c>
      <c r="L842" s="149"/>
      <c r="M842" s="153"/>
      <c r="T842" s="154"/>
      <c r="AT842" s="150" t="s">
        <v>346</v>
      </c>
      <c r="AU842" s="150" t="s">
        <v>90</v>
      </c>
      <c r="AV842" s="148" t="s">
        <v>90</v>
      </c>
      <c r="AW842" s="148" t="s">
        <v>33</v>
      </c>
      <c r="AX842" s="148" t="s">
        <v>80</v>
      </c>
      <c r="AY842" s="150" t="s">
        <v>337</v>
      </c>
    </row>
    <row r="843" spans="2:65" s="141" customFormat="1" x14ac:dyDescent="0.2">
      <c r="B843" s="142"/>
      <c r="D843" s="143" t="s">
        <v>346</v>
      </c>
      <c r="E843" s="144"/>
      <c r="F843" s="145" t="s">
        <v>5600</v>
      </c>
      <c r="H843" s="144"/>
      <c r="L843" s="142"/>
      <c r="M843" s="146"/>
      <c r="T843" s="147"/>
      <c r="AT843" s="144" t="s">
        <v>346</v>
      </c>
      <c r="AU843" s="144" t="s">
        <v>90</v>
      </c>
      <c r="AV843" s="141" t="s">
        <v>87</v>
      </c>
      <c r="AW843" s="141" t="s">
        <v>33</v>
      </c>
      <c r="AX843" s="141" t="s">
        <v>80</v>
      </c>
      <c r="AY843" s="144" t="s">
        <v>337</v>
      </c>
    </row>
    <row r="844" spans="2:65" s="141" customFormat="1" x14ac:dyDescent="0.2">
      <c r="B844" s="142"/>
      <c r="D844" s="143" t="s">
        <v>346</v>
      </c>
      <c r="E844" s="144"/>
      <c r="F844" s="145" t="s">
        <v>3392</v>
      </c>
      <c r="H844" s="144"/>
      <c r="L844" s="142"/>
      <c r="M844" s="146"/>
      <c r="T844" s="147"/>
      <c r="AT844" s="144" t="s">
        <v>346</v>
      </c>
      <c r="AU844" s="144" t="s">
        <v>90</v>
      </c>
      <c r="AV844" s="141" t="s">
        <v>87</v>
      </c>
      <c r="AW844" s="141" t="s">
        <v>33</v>
      </c>
      <c r="AX844" s="141" t="s">
        <v>80</v>
      </c>
      <c r="AY844" s="144" t="s">
        <v>337</v>
      </c>
    </row>
    <row r="845" spans="2:65" s="148" customFormat="1" x14ac:dyDescent="0.2">
      <c r="B845" s="149"/>
      <c r="D845" s="143" t="s">
        <v>346</v>
      </c>
      <c r="E845" s="150"/>
      <c r="F845" s="151" t="s">
        <v>5601</v>
      </c>
      <c r="H845" s="152">
        <v>25.6</v>
      </c>
      <c r="L845" s="149"/>
      <c r="M845" s="153"/>
      <c r="T845" s="154"/>
      <c r="AT845" s="150" t="s">
        <v>346</v>
      </c>
      <c r="AU845" s="150" t="s">
        <v>90</v>
      </c>
      <c r="AV845" s="148" t="s">
        <v>90</v>
      </c>
      <c r="AW845" s="148" t="s">
        <v>33</v>
      </c>
      <c r="AX845" s="148" t="s">
        <v>80</v>
      </c>
      <c r="AY845" s="150" t="s">
        <v>337</v>
      </c>
    </row>
    <row r="846" spans="2:65" s="155" customFormat="1" x14ac:dyDescent="0.2">
      <c r="B846" s="156"/>
      <c r="D846" s="143" t="s">
        <v>346</v>
      </c>
      <c r="E846" s="157"/>
      <c r="F846" s="158" t="s">
        <v>351</v>
      </c>
      <c r="H846" s="159">
        <v>26.02</v>
      </c>
      <c r="L846" s="156"/>
      <c r="M846" s="160"/>
      <c r="T846" s="161"/>
      <c r="AT846" s="157" t="s">
        <v>346</v>
      </c>
      <c r="AU846" s="157" t="s">
        <v>90</v>
      </c>
      <c r="AV846" s="155" t="s">
        <v>344</v>
      </c>
      <c r="AW846" s="155" t="s">
        <v>33</v>
      </c>
      <c r="AX846" s="155" t="s">
        <v>87</v>
      </c>
      <c r="AY846" s="157" t="s">
        <v>337</v>
      </c>
    </row>
    <row r="847" spans="2:65" s="16" customFormat="1" ht="16.5" customHeight="1" x14ac:dyDescent="0.2">
      <c r="B847" s="17"/>
      <c r="C847" s="128">
        <v>34</v>
      </c>
      <c r="D847" s="128" t="s">
        <v>339</v>
      </c>
      <c r="E847" s="129" t="s">
        <v>5602</v>
      </c>
      <c r="F847" s="130" t="s">
        <v>5603</v>
      </c>
      <c r="G847" s="131" t="s">
        <v>425</v>
      </c>
      <c r="H847" s="132">
        <v>105.325</v>
      </c>
      <c r="I847" s="133"/>
      <c r="J847" s="134">
        <f>ROUND(I847*H847,2)</f>
        <v>0</v>
      </c>
      <c r="K847" s="130" t="s">
        <v>343</v>
      </c>
      <c r="L847" s="17"/>
      <c r="M847" s="135"/>
      <c r="N847" s="136" t="s">
        <v>45</v>
      </c>
      <c r="P847" s="137">
        <f>O847*H847</f>
        <v>0</v>
      </c>
      <c r="Q847" s="137">
        <v>0</v>
      </c>
      <c r="R847" s="137">
        <f>Q847*H847</f>
        <v>0</v>
      </c>
      <c r="S847" s="137">
        <v>6.8000000000000005E-2</v>
      </c>
      <c r="T847" s="138">
        <f>S847*H847</f>
        <v>7.1621000000000006</v>
      </c>
      <c r="AR847" s="139" t="s">
        <v>344</v>
      </c>
      <c r="AT847" s="139" t="s">
        <v>339</v>
      </c>
      <c r="AU847" s="139" t="s">
        <v>90</v>
      </c>
      <c r="AY847" s="2" t="s">
        <v>337</v>
      </c>
      <c r="BE847" s="140">
        <f>IF(N847="základní",J847,0)</f>
        <v>0</v>
      </c>
      <c r="BF847" s="140">
        <f>IF(N847="snížená",J847,0)</f>
        <v>0</v>
      </c>
      <c r="BG847" s="140">
        <f>IF(N847="zákl. přenesená",J847,0)</f>
        <v>0</v>
      </c>
      <c r="BH847" s="140">
        <f>IF(N847="sníž. přenesená",J847,0)</f>
        <v>0</v>
      </c>
      <c r="BI847" s="140">
        <f>IF(N847="nulová",J847,0)</f>
        <v>0</v>
      </c>
      <c r="BJ847" s="2" t="s">
        <v>87</v>
      </c>
      <c r="BK847" s="140">
        <f>ROUND(I847*H847,2)</f>
        <v>0</v>
      </c>
      <c r="BL847" s="2" t="s">
        <v>344</v>
      </c>
      <c r="BM847" s="139" t="s">
        <v>5604</v>
      </c>
    </row>
    <row r="848" spans="2:65" s="141" customFormat="1" x14ac:dyDescent="0.2">
      <c r="B848" s="142"/>
      <c r="D848" s="143" t="s">
        <v>346</v>
      </c>
      <c r="E848" s="144"/>
      <c r="F848" s="145" t="s">
        <v>5597</v>
      </c>
      <c r="H848" s="144"/>
      <c r="L848" s="142"/>
      <c r="M848" s="146"/>
      <c r="T848" s="147"/>
      <c r="AT848" s="144" t="s">
        <v>346</v>
      </c>
      <c r="AU848" s="144" t="s">
        <v>90</v>
      </c>
      <c r="AV848" s="141" t="s">
        <v>87</v>
      </c>
      <c r="AW848" s="141" t="s">
        <v>33</v>
      </c>
      <c r="AX848" s="141" t="s">
        <v>80</v>
      </c>
      <c r="AY848" s="144" t="s">
        <v>337</v>
      </c>
    </row>
    <row r="849" spans="2:65" s="141" customFormat="1" x14ac:dyDescent="0.2">
      <c r="B849" s="142"/>
      <c r="D849" s="143" t="s">
        <v>346</v>
      </c>
      <c r="E849" s="144"/>
      <c r="F849" s="145" t="s">
        <v>357</v>
      </c>
      <c r="H849" s="144"/>
      <c r="L849" s="142"/>
      <c r="M849" s="146"/>
      <c r="T849" s="147"/>
      <c r="AT849" s="144" t="s">
        <v>346</v>
      </c>
      <c r="AU849" s="144" t="s">
        <v>90</v>
      </c>
      <c r="AV849" s="141" t="s">
        <v>87</v>
      </c>
      <c r="AW849" s="141" t="s">
        <v>33</v>
      </c>
      <c r="AX849" s="141" t="s">
        <v>80</v>
      </c>
      <c r="AY849" s="144" t="s">
        <v>337</v>
      </c>
    </row>
    <row r="850" spans="2:65" s="141" customFormat="1" x14ac:dyDescent="0.2">
      <c r="B850" s="142"/>
      <c r="D850" s="143" t="s">
        <v>346</v>
      </c>
      <c r="E850" s="144"/>
      <c r="F850" s="145" t="s">
        <v>5605</v>
      </c>
      <c r="H850" s="144"/>
      <c r="L850" s="142"/>
      <c r="M850" s="146"/>
      <c r="T850" s="147"/>
      <c r="AT850" s="144" t="s">
        <v>346</v>
      </c>
      <c r="AU850" s="144" t="s">
        <v>90</v>
      </c>
      <c r="AV850" s="141" t="s">
        <v>87</v>
      </c>
      <c r="AW850" s="141" t="s">
        <v>33</v>
      </c>
      <c r="AX850" s="141" t="s">
        <v>80</v>
      </c>
      <c r="AY850" s="144" t="s">
        <v>337</v>
      </c>
    </row>
    <row r="851" spans="2:65" s="148" customFormat="1" x14ac:dyDescent="0.2">
      <c r="B851" s="149"/>
      <c r="D851" s="143" t="s">
        <v>346</v>
      </c>
      <c r="E851" s="150"/>
      <c r="F851" s="151" t="s">
        <v>5606</v>
      </c>
      <c r="H851" s="152">
        <v>11.4</v>
      </c>
      <c r="L851" s="149"/>
      <c r="M851" s="153"/>
      <c r="T851" s="154"/>
      <c r="AT851" s="150" t="s">
        <v>346</v>
      </c>
      <c r="AU851" s="150" t="s">
        <v>90</v>
      </c>
      <c r="AV851" s="148" t="s">
        <v>90</v>
      </c>
      <c r="AW851" s="148" t="s">
        <v>33</v>
      </c>
      <c r="AX851" s="148" t="s">
        <v>80</v>
      </c>
      <c r="AY851" s="150" t="s">
        <v>337</v>
      </c>
    </row>
    <row r="852" spans="2:65" s="148" customFormat="1" x14ac:dyDescent="0.2">
      <c r="B852" s="149"/>
      <c r="D852" s="143" t="s">
        <v>346</v>
      </c>
      <c r="E852" s="150"/>
      <c r="F852" s="151" t="s">
        <v>5607</v>
      </c>
      <c r="H852" s="152">
        <v>9.1999999999999993</v>
      </c>
      <c r="L852" s="149"/>
      <c r="M852" s="153"/>
      <c r="T852" s="154"/>
      <c r="AT852" s="150" t="s">
        <v>346</v>
      </c>
      <c r="AU852" s="150" t="s">
        <v>90</v>
      </c>
      <c r="AV852" s="148" t="s">
        <v>90</v>
      </c>
      <c r="AW852" s="148" t="s">
        <v>33</v>
      </c>
      <c r="AX852" s="148" t="s">
        <v>80</v>
      </c>
      <c r="AY852" s="150" t="s">
        <v>337</v>
      </c>
    </row>
    <row r="853" spans="2:65" s="148" customFormat="1" x14ac:dyDescent="0.2">
      <c r="B853" s="149"/>
      <c r="D853" s="143" t="s">
        <v>346</v>
      </c>
      <c r="E853" s="150"/>
      <c r="F853" s="151" t="s">
        <v>5607</v>
      </c>
      <c r="H853" s="152">
        <v>9.1999999999999993</v>
      </c>
      <c r="L853" s="149"/>
      <c r="M853" s="153"/>
      <c r="T853" s="154"/>
      <c r="AT853" s="150" t="s">
        <v>346</v>
      </c>
      <c r="AU853" s="150" t="s">
        <v>90</v>
      </c>
      <c r="AV853" s="148" t="s">
        <v>90</v>
      </c>
      <c r="AW853" s="148" t="s">
        <v>33</v>
      </c>
      <c r="AX853" s="148" t="s">
        <v>80</v>
      </c>
      <c r="AY853" s="150" t="s">
        <v>337</v>
      </c>
    </row>
    <row r="854" spans="2:65" s="141" customFormat="1" x14ac:dyDescent="0.2">
      <c r="B854" s="142"/>
      <c r="D854" s="143" t="s">
        <v>346</v>
      </c>
      <c r="E854" s="144"/>
      <c r="F854" s="145" t="s">
        <v>5600</v>
      </c>
      <c r="H854" s="144"/>
      <c r="L854" s="142"/>
      <c r="M854" s="146"/>
      <c r="T854" s="147"/>
      <c r="AT854" s="144" t="s">
        <v>346</v>
      </c>
      <c r="AU854" s="144" t="s">
        <v>90</v>
      </c>
      <c r="AV854" s="141" t="s">
        <v>87</v>
      </c>
      <c r="AW854" s="141" t="s">
        <v>33</v>
      </c>
      <c r="AX854" s="141" t="s">
        <v>80</v>
      </c>
      <c r="AY854" s="144" t="s">
        <v>337</v>
      </c>
    </row>
    <row r="855" spans="2:65" s="141" customFormat="1" x14ac:dyDescent="0.2">
      <c r="B855" s="142"/>
      <c r="D855" s="143" t="s">
        <v>346</v>
      </c>
      <c r="E855" s="144"/>
      <c r="F855" s="145" t="s">
        <v>5608</v>
      </c>
      <c r="H855" s="144"/>
      <c r="L855" s="142"/>
      <c r="M855" s="146"/>
      <c r="T855" s="147"/>
      <c r="AT855" s="144" t="s">
        <v>346</v>
      </c>
      <c r="AU855" s="144" t="s">
        <v>90</v>
      </c>
      <c r="AV855" s="141" t="s">
        <v>87</v>
      </c>
      <c r="AW855" s="141" t="s">
        <v>33</v>
      </c>
      <c r="AX855" s="141" t="s">
        <v>80</v>
      </c>
      <c r="AY855" s="144" t="s">
        <v>337</v>
      </c>
    </row>
    <row r="856" spans="2:65" s="148" customFormat="1" x14ac:dyDescent="0.2">
      <c r="B856" s="149"/>
      <c r="D856" s="143" t="s">
        <v>346</v>
      </c>
      <c r="E856" s="150"/>
      <c r="F856" s="151" t="s">
        <v>5609</v>
      </c>
      <c r="H856" s="152">
        <v>15</v>
      </c>
      <c r="L856" s="149"/>
      <c r="M856" s="153"/>
      <c r="T856" s="154"/>
      <c r="AT856" s="150" t="s">
        <v>346</v>
      </c>
      <c r="AU856" s="150" t="s">
        <v>90</v>
      </c>
      <c r="AV856" s="148" t="s">
        <v>90</v>
      </c>
      <c r="AW856" s="148" t="s">
        <v>33</v>
      </c>
      <c r="AX856" s="148" t="s">
        <v>80</v>
      </c>
      <c r="AY856" s="150" t="s">
        <v>337</v>
      </c>
    </row>
    <row r="857" spans="2:65" s="141" customFormat="1" x14ac:dyDescent="0.2">
      <c r="B857" s="142"/>
      <c r="D857" s="143" t="s">
        <v>346</v>
      </c>
      <c r="E857" s="144"/>
      <c r="F857" s="145" t="s">
        <v>5610</v>
      </c>
      <c r="H857" s="144"/>
      <c r="L857" s="142"/>
      <c r="M857" s="146"/>
      <c r="T857" s="147"/>
      <c r="AT857" s="144" t="s">
        <v>346</v>
      </c>
      <c r="AU857" s="144" t="s">
        <v>90</v>
      </c>
      <c r="AV857" s="141" t="s">
        <v>87</v>
      </c>
      <c r="AW857" s="141" t="s">
        <v>33</v>
      </c>
      <c r="AX857" s="141" t="s">
        <v>80</v>
      </c>
      <c r="AY857" s="144" t="s">
        <v>337</v>
      </c>
    </row>
    <row r="858" spans="2:65" s="148" customFormat="1" x14ac:dyDescent="0.2">
      <c r="B858" s="149"/>
      <c r="D858" s="143" t="s">
        <v>346</v>
      </c>
      <c r="E858" s="150"/>
      <c r="F858" s="151" t="s">
        <v>5611</v>
      </c>
      <c r="H858" s="152">
        <v>6</v>
      </c>
      <c r="L858" s="149"/>
      <c r="M858" s="153"/>
      <c r="T858" s="154"/>
      <c r="AT858" s="150" t="s">
        <v>346</v>
      </c>
      <c r="AU858" s="150" t="s">
        <v>90</v>
      </c>
      <c r="AV858" s="148" t="s">
        <v>90</v>
      </c>
      <c r="AW858" s="148" t="s">
        <v>33</v>
      </c>
      <c r="AX858" s="148" t="s">
        <v>80</v>
      </c>
      <c r="AY858" s="150" t="s">
        <v>337</v>
      </c>
    </row>
    <row r="859" spans="2:65" s="148" customFormat="1" x14ac:dyDescent="0.2">
      <c r="B859" s="149"/>
      <c r="D859" s="143" t="s">
        <v>346</v>
      </c>
      <c r="E859" s="150"/>
      <c r="F859" s="151" t="s">
        <v>5612</v>
      </c>
      <c r="H859" s="152">
        <v>35.700000000000003</v>
      </c>
      <c r="L859" s="149"/>
      <c r="M859" s="153"/>
      <c r="T859" s="154"/>
      <c r="AT859" s="150" t="s">
        <v>346</v>
      </c>
      <c r="AU859" s="150" t="s">
        <v>90</v>
      </c>
      <c r="AV859" s="148" t="s">
        <v>90</v>
      </c>
      <c r="AW859" s="148" t="s">
        <v>33</v>
      </c>
      <c r="AX859" s="148" t="s">
        <v>80</v>
      </c>
      <c r="AY859" s="150" t="s">
        <v>337</v>
      </c>
    </row>
    <row r="860" spans="2:65" s="141" customFormat="1" x14ac:dyDescent="0.2">
      <c r="B860" s="142"/>
      <c r="D860" s="143" t="s">
        <v>346</v>
      </c>
      <c r="E860" s="144"/>
      <c r="F860" s="145" t="s">
        <v>5613</v>
      </c>
      <c r="H860" s="144"/>
      <c r="L860" s="142"/>
      <c r="M860" s="146"/>
      <c r="T860" s="147"/>
      <c r="AT860" s="144" t="s">
        <v>346</v>
      </c>
      <c r="AU860" s="144" t="s">
        <v>90</v>
      </c>
      <c r="AV860" s="141" t="s">
        <v>87</v>
      </c>
      <c r="AW860" s="141" t="s">
        <v>33</v>
      </c>
      <c r="AX860" s="141" t="s">
        <v>80</v>
      </c>
      <c r="AY860" s="144" t="s">
        <v>337</v>
      </c>
    </row>
    <row r="861" spans="2:65" s="148" customFormat="1" x14ac:dyDescent="0.2">
      <c r="B861" s="149"/>
      <c r="D861" s="143" t="s">
        <v>346</v>
      </c>
      <c r="E861" s="150"/>
      <c r="F861" s="151" t="s">
        <v>5614</v>
      </c>
      <c r="H861" s="152">
        <v>16.2</v>
      </c>
      <c r="L861" s="149"/>
      <c r="M861" s="153"/>
      <c r="T861" s="154"/>
      <c r="AT861" s="150" t="s">
        <v>346</v>
      </c>
      <c r="AU861" s="150" t="s">
        <v>90</v>
      </c>
      <c r="AV861" s="148" t="s">
        <v>90</v>
      </c>
      <c r="AW861" s="148" t="s">
        <v>33</v>
      </c>
      <c r="AX861" s="148" t="s">
        <v>80</v>
      </c>
      <c r="AY861" s="150" t="s">
        <v>337</v>
      </c>
    </row>
    <row r="862" spans="2:65" s="148" customFormat="1" x14ac:dyDescent="0.2">
      <c r="B862" s="149"/>
      <c r="D862" s="143" t="s">
        <v>346</v>
      </c>
      <c r="E862" s="150"/>
      <c r="F862" s="151" t="s">
        <v>5615</v>
      </c>
      <c r="H862" s="152">
        <v>2.625</v>
      </c>
      <c r="L862" s="149"/>
      <c r="M862" s="153"/>
      <c r="T862" s="154"/>
      <c r="AT862" s="150" t="s">
        <v>346</v>
      </c>
      <c r="AU862" s="150" t="s">
        <v>90</v>
      </c>
      <c r="AV862" s="148" t="s">
        <v>90</v>
      </c>
      <c r="AW862" s="148" t="s">
        <v>33</v>
      </c>
      <c r="AX862" s="148" t="s">
        <v>80</v>
      </c>
      <c r="AY862" s="150" t="s">
        <v>337</v>
      </c>
    </row>
    <row r="863" spans="2:65" s="155" customFormat="1" x14ac:dyDescent="0.2">
      <c r="B863" s="156"/>
      <c r="D863" s="143" t="s">
        <v>346</v>
      </c>
      <c r="E863" s="157"/>
      <c r="F863" s="158" t="s">
        <v>351</v>
      </c>
      <c r="H863" s="159">
        <v>105.325</v>
      </c>
      <c r="L863" s="156"/>
      <c r="M863" s="160"/>
      <c r="T863" s="161"/>
      <c r="AT863" s="157" t="s">
        <v>346</v>
      </c>
      <c r="AU863" s="157" t="s">
        <v>90</v>
      </c>
      <c r="AV863" s="155" t="s">
        <v>344</v>
      </c>
      <c r="AW863" s="155" t="s">
        <v>33</v>
      </c>
      <c r="AX863" s="155" t="s">
        <v>87</v>
      </c>
      <c r="AY863" s="157" t="s">
        <v>337</v>
      </c>
    </row>
    <row r="864" spans="2:65" s="16" customFormat="1" ht="16.5" customHeight="1" x14ac:dyDescent="0.2">
      <c r="B864" s="17"/>
      <c r="C864" s="128">
        <v>35</v>
      </c>
      <c r="D864" s="128" t="s">
        <v>339</v>
      </c>
      <c r="E864" s="129" t="s">
        <v>5616</v>
      </c>
      <c r="F864" s="130" t="s">
        <v>5617</v>
      </c>
      <c r="G864" s="131" t="s">
        <v>425</v>
      </c>
      <c r="H864" s="132">
        <v>353.58100000000002</v>
      </c>
      <c r="I864" s="133"/>
      <c r="J864" s="134">
        <f>ROUND(I864*H864,2)</f>
        <v>0</v>
      </c>
      <c r="K864" s="130" t="s">
        <v>343</v>
      </c>
      <c r="L864" s="17"/>
      <c r="M864" s="135"/>
      <c r="N864" s="136" t="s">
        <v>45</v>
      </c>
      <c r="P864" s="137">
        <f>O864*H864</f>
        <v>0</v>
      </c>
      <c r="Q864" s="137">
        <v>0</v>
      </c>
      <c r="R864" s="137">
        <f>Q864*H864</f>
        <v>0</v>
      </c>
      <c r="S864" s="137">
        <v>8.8999999999999996E-2</v>
      </c>
      <c r="T864" s="138">
        <f>S864*H864</f>
        <v>31.468709</v>
      </c>
      <c r="AR864" s="139" t="s">
        <v>344</v>
      </c>
      <c r="AT864" s="139" t="s">
        <v>339</v>
      </c>
      <c r="AU864" s="139" t="s">
        <v>90</v>
      </c>
      <c r="AY864" s="2" t="s">
        <v>337</v>
      </c>
      <c r="BE864" s="140">
        <f>IF(N864="základní",J864,0)</f>
        <v>0</v>
      </c>
      <c r="BF864" s="140">
        <f>IF(N864="snížená",J864,0)</f>
        <v>0</v>
      </c>
      <c r="BG864" s="140">
        <f>IF(N864="zákl. přenesená",J864,0)</f>
        <v>0</v>
      </c>
      <c r="BH864" s="140">
        <f>IF(N864="sníž. přenesená",J864,0)</f>
        <v>0</v>
      </c>
      <c r="BI864" s="140">
        <f>IF(N864="nulová",J864,0)</f>
        <v>0</v>
      </c>
      <c r="BJ864" s="2" t="s">
        <v>87</v>
      </c>
      <c r="BK864" s="140">
        <f>ROUND(I864*H864,2)</f>
        <v>0</v>
      </c>
      <c r="BL864" s="2" t="s">
        <v>344</v>
      </c>
      <c r="BM864" s="139" t="s">
        <v>5618</v>
      </c>
    </row>
    <row r="865" spans="2:51" s="141" customFormat="1" x14ac:dyDescent="0.2">
      <c r="B865" s="142"/>
      <c r="D865" s="143" t="s">
        <v>346</v>
      </c>
      <c r="E865" s="144"/>
      <c r="F865" s="145" t="s">
        <v>5619</v>
      </c>
      <c r="H865" s="144"/>
      <c r="L865" s="142"/>
      <c r="M865" s="146"/>
      <c r="T865" s="147"/>
      <c r="AT865" s="144" t="s">
        <v>346</v>
      </c>
      <c r="AU865" s="144" t="s">
        <v>90</v>
      </c>
      <c r="AV865" s="141" t="s">
        <v>87</v>
      </c>
      <c r="AW865" s="141" t="s">
        <v>33</v>
      </c>
      <c r="AX865" s="141" t="s">
        <v>80</v>
      </c>
      <c r="AY865" s="144" t="s">
        <v>337</v>
      </c>
    </row>
    <row r="866" spans="2:51" s="141" customFormat="1" x14ac:dyDescent="0.2">
      <c r="B866" s="142"/>
      <c r="D866" s="143" t="s">
        <v>346</v>
      </c>
      <c r="E866" s="144"/>
      <c r="F866" s="145" t="s">
        <v>3259</v>
      </c>
      <c r="H866" s="144"/>
      <c r="L866" s="142"/>
      <c r="M866" s="146"/>
      <c r="T866" s="147"/>
      <c r="AT866" s="144" t="s">
        <v>346</v>
      </c>
      <c r="AU866" s="144" t="s">
        <v>90</v>
      </c>
      <c r="AV866" s="141" t="s">
        <v>87</v>
      </c>
      <c r="AW866" s="141" t="s">
        <v>33</v>
      </c>
      <c r="AX866" s="141" t="s">
        <v>80</v>
      </c>
      <c r="AY866" s="144" t="s">
        <v>337</v>
      </c>
    </row>
    <row r="867" spans="2:51" s="148" customFormat="1" x14ac:dyDescent="0.2">
      <c r="B867" s="149"/>
      <c r="D867" s="143" t="s">
        <v>346</v>
      </c>
      <c r="E867" s="150"/>
      <c r="F867" s="151" t="s">
        <v>3688</v>
      </c>
      <c r="H867" s="152">
        <v>50.24</v>
      </c>
      <c r="L867" s="149"/>
      <c r="M867" s="153"/>
      <c r="T867" s="154"/>
      <c r="AT867" s="150" t="s">
        <v>346</v>
      </c>
      <c r="AU867" s="150" t="s">
        <v>90</v>
      </c>
      <c r="AV867" s="148" t="s">
        <v>90</v>
      </c>
      <c r="AW867" s="148" t="s">
        <v>33</v>
      </c>
      <c r="AX867" s="148" t="s">
        <v>80</v>
      </c>
      <c r="AY867" s="150" t="s">
        <v>337</v>
      </c>
    </row>
    <row r="868" spans="2:51" s="141" customFormat="1" x14ac:dyDescent="0.2">
      <c r="B868" s="142"/>
      <c r="D868" s="143" t="s">
        <v>346</v>
      </c>
      <c r="E868" s="144"/>
      <c r="F868" s="145" t="s">
        <v>3112</v>
      </c>
      <c r="H868" s="144"/>
      <c r="L868" s="142"/>
      <c r="M868" s="146"/>
      <c r="T868" s="147"/>
      <c r="AT868" s="144" t="s">
        <v>346</v>
      </c>
      <c r="AU868" s="144" t="s">
        <v>90</v>
      </c>
      <c r="AV868" s="141" t="s">
        <v>87</v>
      </c>
      <c r="AW868" s="141" t="s">
        <v>33</v>
      </c>
      <c r="AX868" s="141" t="s">
        <v>80</v>
      </c>
      <c r="AY868" s="144" t="s">
        <v>337</v>
      </c>
    </row>
    <row r="869" spans="2:51" s="141" customFormat="1" x14ac:dyDescent="0.2">
      <c r="B869" s="142"/>
      <c r="D869" s="143" t="s">
        <v>346</v>
      </c>
      <c r="E869" s="144"/>
      <c r="F869" s="145" t="s">
        <v>3689</v>
      </c>
      <c r="H869" s="144"/>
      <c r="L869" s="142"/>
      <c r="M869" s="146"/>
      <c r="T869" s="147"/>
      <c r="AT869" s="144" t="s">
        <v>346</v>
      </c>
      <c r="AU869" s="144" t="s">
        <v>90</v>
      </c>
      <c r="AV869" s="141" t="s">
        <v>87</v>
      </c>
      <c r="AW869" s="141" t="s">
        <v>33</v>
      </c>
      <c r="AX869" s="141" t="s">
        <v>80</v>
      </c>
      <c r="AY869" s="144" t="s">
        <v>337</v>
      </c>
    </row>
    <row r="870" spans="2:51" s="148" customFormat="1" x14ac:dyDescent="0.2">
      <c r="B870" s="149"/>
      <c r="D870" s="143" t="s">
        <v>346</v>
      </c>
      <c r="E870" s="150"/>
      <c r="F870" s="151" t="s">
        <v>3690</v>
      </c>
      <c r="H870" s="152">
        <v>117.26</v>
      </c>
      <c r="L870" s="149"/>
      <c r="M870" s="153"/>
      <c r="T870" s="154"/>
      <c r="AT870" s="150" t="s">
        <v>346</v>
      </c>
      <c r="AU870" s="150" t="s">
        <v>90</v>
      </c>
      <c r="AV870" s="148" t="s">
        <v>90</v>
      </c>
      <c r="AW870" s="148" t="s">
        <v>33</v>
      </c>
      <c r="AX870" s="148" t="s">
        <v>80</v>
      </c>
      <c r="AY870" s="150" t="s">
        <v>337</v>
      </c>
    </row>
    <row r="871" spans="2:51" s="141" customFormat="1" x14ac:dyDescent="0.2">
      <c r="B871" s="142"/>
      <c r="D871" s="143" t="s">
        <v>346</v>
      </c>
      <c r="E871" s="144"/>
      <c r="F871" s="145" t="s">
        <v>3691</v>
      </c>
      <c r="H871" s="144"/>
      <c r="L871" s="142"/>
      <c r="M871" s="146"/>
      <c r="T871" s="147"/>
      <c r="AT871" s="144" t="s">
        <v>346</v>
      </c>
      <c r="AU871" s="144" t="s">
        <v>90</v>
      </c>
      <c r="AV871" s="141" t="s">
        <v>87</v>
      </c>
      <c r="AW871" s="141" t="s">
        <v>33</v>
      </c>
      <c r="AX871" s="141" t="s">
        <v>80</v>
      </c>
      <c r="AY871" s="144" t="s">
        <v>337</v>
      </c>
    </row>
    <row r="872" spans="2:51" s="148" customFormat="1" x14ac:dyDescent="0.2">
      <c r="B872" s="149"/>
      <c r="D872" s="143" t="s">
        <v>346</v>
      </c>
      <c r="E872" s="150"/>
      <c r="F872" s="151" t="s">
        <v>3692</v>
      </c>
      <c r="H872" s="152">
        <v>48.448</v>
      </c>
      <c r="L872" s="149"/>
      <c r="M872" s="153"/>
      <c r="T872" s="154"/>
      <c r="AT872" s="150" t="s">
        <v>346</v>
      </c>
      <c r="AU872" s="150" t="s">
        <v>90</v>
      </c>
      <c r="AV872" s="148" t="s">
        <v>90</v>
      </c>
      <c r="AW872" s="148" t="s">
        <v>33</v>
      </c>
      <c r="AX872" s="148" t="s">
        <v>80</v>
      </c>
      <c r="AY872" s="150" t="s">
        <v>337</v>
      </c>
    </row>
    <row r="873" spans="2:51" s="141" customFormat="1" x14ac:dyDescent="0.2">
      <c r="B873" s="142"/>
      <c r="D873" s="143" t="s">
        <v>346</v>
      </c>
      <c r="E873" s="144"/>
      <c r="F873" s="145" t="s">
        <v>3545</v>
      </c>
      <c r="H873" s="144"/>
      <c r="L873" s="142"/>
      <c r="M873" s="146"/>
      <c r="T873" s="147"/>
      <c r="AT873" s="144" t="s">
        <v>346</v>
      </c>
      <c r="AU873" s="144" t="s">
        <v>90</v>
      </c>
      <c r="AV873" s="141" t="s">
        <v>87</v>
      </c>
      <c r="AW873" s="141" t="s">
        <v>33</v>
      </c>
      <c r="AX873" s="141" t="s">
        <v>80</v>
      </c>
      <c r="AY873" s="144" t="s">
        <v>337</v>
      </c>
    </row>
    <row r="874" spans="2:51" s="148" customFormat="1" x14ac:dyDescent="0.2">
      <c r="B874" s="149"/>
      <c r="D874" s="143" t="s">
        <v>346</v>
      </c>
      <c r="E874" s="150"/>
      <c r="F874" s="151" t="s">
        <v>3693</v>
      </c>
      <c r="H874" s="152">
        <v>-8.74</v>
      </c>
      <c r="L874" s="149"/>
      <c r="M874" s="153"/>
      <c r="T874" s="154"/>
      <c r="AT874" s="150" t="s">
        <v>346</v>
      </c>
      <c r="AU874" s="150" t="s">
        <v>90</v>
      </c>
      <c r="AV874" s="148" t="s">
        <v>90</v>
      </c>
      <c r="AW874" s="148" t="s">
        <v>33</v>
      </c>
      <c r="AX874" s="148" t="s">
        <v>80</v>
      </c>
      <c r="AY874" s="150" t="s">
        <v>337</v>
      </c>
    </row>
    <row r="875" spans="2:51" s="141" customFormat="1" x14ac:dyDescent="0.2">
      <c r="B875" s="142"/>
      <c r="D875" s="143" t="s">
        <v>346</v>
      </c>
      <c r="E875" s="144"/>
      <c r="F875" s="145" t="s">
        <v>3460</v>
      </c>
      <c r="H875" s="144"/>
      <c r="L875" s="142"/>
      <c r="M875" s="146"/>
      <c r="T875" s="147"/>
      <c r="AT875" s="144" t="s">
        <v>346</v>
      </c>
      <c r="AU875" s="144" t="s">
        <v>90</v>
      </c>
      <c r="AV875" s="141" t="s">
        <v>87</v>
      </c>
      <c r="AW875" s="141" t="s">
        <v>33</v>
      </c>
      <c r="AX875" s="141" t="s">
        <v>80</v>
      </c>
      <c r="AY875" s="144" t="s">
        <v>337</v>
      </c>
    </row>
    <row r="876" spans="2:51" s="148" customFormat="1" x14ac:dyDescent="0.2">
      <c r="B876" s="149"/>
      <c r="D876" s="143" t="s">
        <v>346</v>
      </c>
      <c r="E876" s="150"/>
      <c r="F876" s="151" t="s">
        <v>3694</v>
      </c>
      <c r="H876" s="152">
        <v>13.39</v>
      </c>
      <c r="L876" s="149"/>
      <c r="M876" s="153"/>
      <c r="T876" s="154"/>
      <c r="AT876" s="150" t="s">
        <v>346</v>
      </c>
      <c r="AU876" s="150" t="s">
        <v>90</v>
      </c>
      <c r="AV876" s="148" t="s">
        <v>90</v>
      </c>
      <c r="AW876" s="148" t="s">
        <v>33</v>
      </c>
      <c r="AX876" s="148" t="s">
        <v>80</v>
      </c>
      <c r="AY876" s="150" t="s">
        <v>337</v>
      </c>
    </row>
    <row r="877" spans="2:51" s="141" customFormat="1" x14ac:dyDescent="0.2">
      <c r="B877" s="142"/>
      <c r="D877" s="143" t="s">
        <v>346</v>
      </c>
      <c r="E877" s="144"/>
      <c r="F877" s="145" t="s">
        <v>3695</v>
      </c>
      <c r="H877" s="144"/>
      <c r="L877" s="142"/>
      <c r="M877" s="146"/>
      <c r="T877" s="147"/>
      <c r="AT877" s="144" t="s">
        <v>346</v>
      </c>
      <c r="AU877" s="144" t="s">
        <v>90</v>
      </c>
      <c r="AV877" s="141" t="s">
        <v>87</v>
      </c>
      <c r="AW877" s="141" t="s">
        <v>33</v>
      </c>
      <c r="AX877" s="141" t="s">
        <v>80</v>
      </c>
      <c r="AY877" s="144" t="s">
        <v>337</v>
      </c>
    </row>
    <row r="878" spans="2:51" s="141" customFormat="1" x14ac:dyDescent="0.2">
      <c r="B878" s="142"/>
      <c r="D878" s="143" t="s">
        <v>346</v>
      </c>
      <c r="E878" s="144"/>
      <c r="F878" s="145" t="s">
        <v>3696</v>
      </c>
      <c r="H878" s="144"/>
      <c r="L878" s="142"/>
      <c r="M878" s="146"/>
      <c r="T878" s="147"/>
      <c r="AT878" s="144" t="s">
        <v>346</v>
      </c>
      <c r="AU878" s="144" t="s">
        <v>90</v>
      </c>
      <c r="AV878" s="141" t="s">
        <v>87</v>
      </c>
      <c r="AW878" s="141" t="s">
        <v>33</v>
      </c>
      <c r="AX878" s="141" t="s">
        <v>80</v>
      </c>
      <c r="AY878" s="144" t="s">
        <v>337</v>
      </c>
    </row>
    <row r="879" spans="2:51" s="148" customFormat="1" x14ac:dyDescent="0.2">
      <c r="B879" s="149"/>
      <c r="D879" s="143" t="s">
        <v>346</v>
      </c>
      <c r="E879" s="150"/>
      <c r="F879" s="151" t="s">
        <v>3697</v>
      </c>
      <c r="H879" s="152">
        <v>6.55</v>
      </c>
      <c r="L879" s="149"/>
      <c r="M879" s="153"/>
      <c r="T879" s="154"/>
      <c r="AT879" s="150" t="s">
        <v>346</v>
      </c>
      <c r="AU879" s="150" t="s">
        <v>90</v>
      </c>
      <c r="AV879" s="148" t="s">
        <v>90</v>
      </c>
      <c r="AW879" s="148" t="s">
        <v>33</v>
      </c>
      <c r="AX879" s="148" t="s">
        <v>80</v>
      </c>
      <c r="AY879" s="150" t="s">
        <v>337</v>
      </c>
    </row>
    <row r="880" spans="2:51" s="141" customFormat="1" x14ac:dyDescent="0.2">
      <c r="B880" s="142"/>
      <c r="D880" s="143" t="s">
        <v>346</v>
      </c>
      <c r="E880" s="144"/>
      <c r="F880" s="145" t="s">
        <v>3698</v>
      </c>
      <c r="H880" s="144"/>
      <c r="L880" s="142"/>
      <c r="M880" s="146"/>
      <c r="T880" s="147"/>
      <c r="AT880" s="144" t="s">
        <v>346</v>
      </c>
      <c r="AU880" s="144" t="s">
        <v>90</v>
      </c>
      <c r="AV880" s="141" t="s">
        <v>87</v>
      </c>
      <c r="AW880" s="141" t="s">
        <v>33</v>
      </c>
      <c r="AX880" s="141" t="s">
        <v>80</v>
      </c>
      <c r="AY880" s="144" t="s">
        <v>337</v>
      </c>
    </row>
    <row r="881" spans="2:51" s="148" customFormat="1" x14ac:dyDescent="0.2">
      <c r="B881" s="149"/>
      <c r="D881" s="143" t="s">
        <v>346</v>
      </c>
      <c r="E881" s="150"/>
      <c r="F881" s="151" t="s">
        <v>3699</v>
      </c>
      <c r="H881" s="152">
        <v>50.33</v>
      </c>
      <c r="L881" s="149"/>
      <c r="M881" s="153"/>
      <c r="T881" s="154"/>
      <c r="AT881" s="150" t="s">
        <v>346</v>
      </c>
      <c r="AU881" s="150" t="s">
        <v>90</v>
      </c>
      <c r="AV881" s="148" t="s">
        <v>90</v>
      </c>
      <c r="AW881" s="148" t="s">
        <v>33</v>
      </c>
      <c r="AX881" s="148" t="s">
        <v>80</v>
      </c>
      <c r="AY881" s="150" t="s">
        <v>337</v>
      </c>
    </row>
    <row r="882" spans="2:51" s="141" customFormat="1" x14ac:dyDescent="0.2">
      <c r="B882" s="142"/>
      <c r="D882" s="143" t="s">
        <v>346</v>
      </c>
      <c r="E882" s="144"/>
      <c r="F882" s="145" t="s">
        <v>3700</v>
      </c>
      <c r="H882" s="144"/>
      <c r="L882" s="142"/>
      <c r="M882" s="146"/>
      <c r="T882" s="147"/>
      <c r="AT882" s="144" t="s">
        <v>346</v>
      </c>
      <c r="AU882" s="144" t="s">
        <v>90</v>
      </c>
      <c r="AV882" s="141" t="s">
        <v>87</v>
      </c>
      <c r="AW882" s="141" t="s">
        <v>33</v>
      </c>
      <c r="AX882" s="141" t="s">
        <v>80</v>
      </c>
      <c r="AY882" s="144" t="s">
        <v>337</v>
      </c>
    </row>
    <row r="883" spans="2:51" s="148" customFormat="1" x14ac:dyDescent="0.2">
      <c r="B883" s="149"/>
      <c r="D883" s="143" t="s">
        <v>346</v>
      </c>
      <c r="E883" s="150"/>
      <c r="F883" s="151" t="s">
        <v>3701</v>
      </c>
      <c r="H883" s="152">
        <v>11.6</v>
      </c>
      <c r="L883" s="149"/>
      <c r="M883" s="153"/>
      <c r="T883" s="154"/>
      <c r="AT883" s="150" t="s">
        <v>346</v>
      </c>
      <c r="AU883" s="150" t="s">
        <v>90</v>
      </c>
      <c r="AV883" s="148" t="s">
        <v>90</v>
      </c>
      <c r="AW883" s="148" t="s">
        <v>33</v>
      </c>
      <c r="AX883" s="148" t="s">
        <v>80</v>
      </c>
      <c r="AY883" s="150" t="s">
        <v>337</v>
      </c>
    </row>
    <row r="884" spans="2:51" s="148" customFormat="1" x14ac:dyDescent="0.2">
      <c r="B884" s="149"/>
      <c r="D884" s="143" t="s">
        <v>346</v>
      </c>
      <c r="E884" s="150"/>
      <c r="F884" s="151" t="s">
        <v>3702</v>
      </c>
      <c r="H884" s="152">
        <v>4.4000000000000004</v>
      </c>
      <c r="L884" s="149"/>
      <c r="M884" s="153"/>
      <c r="T884" s="154"/>
      <c r="AT884" s="150" t="s">
        <v>346</v>
      </c>
      <c r="AU884" s="150" t="s">
        <v>90</v>
      </c>
      <c r="AV884" s="148" t="s">
        <v>90</v>
      </c>
      <c r="AW884" s="148" t="s">
        <v>33</v>
      </c>
      <c r="AX884" s="148" t="s">
        <v>80</v>
      </c>
      <c r="AY884" s="150" t="s">
        <v>337</v>
      </c>
    </row>
    <row r="885" spans="2:51" s="141" customFormat="1" x14ac:dyDescent="0.2">
      <c r="B885" s="142"/>
      <c r="D885" s="143" t="s">
        <v>346</v>
      </c>
      <c r="E885" s="144"/>
      <c r="F885" s="145" t="s">
        <v>3101</v>
      </c>
      <c r="H885" s="144"/>
      <c r="L885" s="142"/>
      <c r="M885" s="146"/>
      <c r="T885" s="147"/>
      <c r="AT885" s="144" t="s">
        <v>346</v>
      </c>
      <c r="AU885" s="144" t="s">
        <v>90</v>
      </c>
      <c r="AV885" s="141" t="s">
        <v>87</v>
      </c>
      <c r="AW885" s="141" t="s">
        <v>33</v>
      </c>
      <c r="AX885" s="141" t="s">
        <v>80</v>
      </c>
      <c r="AY885" s="144" t="s">
        <v>337</v>
      </c>
    </row>
    <row r="886" spans="2:51" s="141" customFormat="1" x14ac:dyDescent="0.2">
      <c r="B886" s="142"/>
      <c r="D886" s="143" t="s">
        <v>346</v>
      </c>
      <c r="E886" s="144"/>
      <c r="F886" s="145" t="s">
        <v>3102</v>
      </c>
      <c r="H886" s="144"/>
      <c r="L886" s="142"/>
      <c r="M886" s="146"/>
      <c r="T886" s="147"/>
      <c r="AT886" s="144" t="s">
        <v>346</v>
      </c>
      <c r="AU886" s="144" t="s">
        <v>90</v>
      </c>
      <c r="AV886" s="141" t="s">
        <v>87</v>
      </c>
      <c r="AW886" s="141" t="s">
        <v>33</v>
      </c>
      <c r="AX886" s="141" t="s">
        <v>80</v>
      </c>
      <c r="AY886" s="144" t="s">
        <v>337</v>
      </c>
    </row>
    <row r="887" spans="2:51" s="148" customFormat="1" x14ac:dyDescent="0.2">
      <c r="B887" s="149"/>
      <c r="D887" s="143" t="s">
        <v>346</v>
      </c>
      <c r="E887" s="150"/>
      <c r="F887" s="151" t="s">
        <v>3703</v>
      </c>
      <c r="H887" s="152">
        <v>6</v>
      </c>
      <c r="L887" s="149"/>
      <c r="M887" s="153"/>
      <c r="T887" s="154"/>
      <c r="AT887" s="150" t="s">
        <v>346</v>
      </c>
      <c r="AU887" s="150" t="s">
        <v>90</v>
      </c>
      <c r="AV887" s="148" t="s">
        <v>90</v>
      </c>
      <c r="AW887" s="148" t="s">
        <v>33</v>
      </c>
      <c r="AX887" s="148" t="s">
        <v>80</v>
      </c>
      <c r="AY887" s="150" t="s">
        <v>337</v>
      </c>
    </row>
    <row r="888" spans="2:51" s="141" customFormat="1" x14ac:dyDescent="0.2">
      <c r="B888" s="142"/>
      <c r="D888" s="143" t="s">
        <v>346</v>
      </c>
      <c r="E888" s="144"/>
      <c r="F888" s="145" t="s">
        <v>3104</v>
      </c>
      <c r="H888" s="144"/>
      <c r="L888" s="142"/>
      <c r="M888" s="146"/>
      <c r="T888" s="147"/>
      <c r="AT888" s="144" t="s">
        <v>346</v>
      </c>
      <c r="AU888" s="144" t="s">
        <v>90</v>
      </c>
      <c r="AV888" s="141" t="s">
        <v>87</v>
      </c>
      <c r="AW888" s="141" t="s">
        <v>33</v>
      </c>
      <c r="AX888" s="141" t="s">
        <v>80</v>
      </c>
      <c r="AY888" s="144" t="s">
        <v>337</v>
      </c>
    </row>
    <row r="889" spans="2:51" s="148" customFormat="1" x14ac:dyDescent="0.2">
      <c r="B889" s="149"/>
      <c r="D889" s="143" t="s">
        <v>346</v>
      </c>
      <c r="E889" s="150"/>
      <c r="F889" s="151" t="s">
        <v>3704</v>
      </c>
      <c r="H889" s="152">
        <v>0.6</v>
      </c>
      <c r="L889" s="149"/>
      <c r="M889" s="153"/>
      <c r="T889" s="154"/>
      <c r="AT889" s="150" t="s">
        <v>346</v>
      </c>
      <c r="AU889" s="150" t="s">
        <v>90</v>
      </c>
      <c r="AV889" s="148" t="s">
        <v>90</v>
      </c>
      <c r="AW889" s="148" t="s">
        <v>33</v>
      </c>
      <c r="AX889" s="148" t="s">
        <v>80</v>
      </c>
      <c r="AY889" s="150" t="s">
        <v>337</v>
      </c>
    </row>
    <row r="890" spans="2:51" s="141" customFormat="1" x14ac:dyDescent="0.2">
      <c r="B890" s="142"/>
      <c r="D890" s="143" t="s">
        <v>346</v>
      </c>
      <c r="E890" s="144"/>
      <c r="F890" s="145" t="s">
        <v>3106</v>
      </c>
      <c r="H890" s="144"/>
      <c r="L890" s="142"/>
      <c r="M890" s="146"/>
      <c r="T890" s="147"/>
      <c r="AT890" s="144" t="s">
        <v>346</v>
      </c>
      <c r="AU890" s="144" t="s">
        <v>90</v>
      </c>
      <c r="AV890" s="141" t="s">
        <v>87</v>
      </c>
      <c r="AW890" s="141" t="s">
        <v>33</v>
      </c>
      <c r="AX890" s="141" t="s">
        <v>80</v>
      </c>
      <c r="AY890" s="144" t="s">
        <v>337</v>
      </c>
    </row>
    <row r="891" spans="2:51" s="148" customFormat="1" x14ac:dyDescent="0.2">
      <c r="B891" s="149"/>
      <c r="D891" s="143" t="s">
        <v>346</v>
      </c>
      <c r="E891" s="150"/>
      <c r="F891" s="151" t="s">
        <v>3705</v>
      </c>
      <c r="H891" s="152">
        <v>10.4</v>
      </c>
      <c r="L891" s="149"/>
      <c r="M891" s="153"/>
      <c r="T891" s="154"/>
      <c r="AT891" s="150" t="s">
        <v>346</v>
      </c>
      <c r="AU891" s="150" t="s">
        <v>90</v>
      </c>
      <c r="AV891" s="148" t="s">
        <v>90</v>
      </c>
      <c r="AW891" s="148" t="s">
        <v>33</v>
      </c>
      <c r="AX891" s="148" t="s">
        <v>80</v>
      </c>
      <c r="AY891" s="150" t="s">
        <v>337</v>
      </c>
    </row>
    <row r="892" spans="2:51" s="141" customFormat="1" x14ac:dyDescent="0.2">
      <c r="B892" s="142"/>
      <c r="D892" s="143" t="s">
        <v>346</v>
      </c>
      <c r="E892" s="144"/>
      <c r="F892" s="145" t="s">
        <v>3108</v>
      </c>
      <c r="H892" s="144"/>
      <c r="L892" s="142"/>
      <c r="M892" s="146"/>
      <c r="T892" s="147"/>
      <c r="AT892" s="144" t="s">
        <v>346</v>
      </c>
      <c r="AU892" s="144" t="s">
        <v>90</v>
      </c>
      <c r="AV892" s="141" t="s">
        <v>87</v>
      </c>
      <c r="AW892" s="141" t="s">
        <v>33</v>
      </c>
      <c r="AX892" s="141" t="s">
        <v>80</v>
      </c>
      <c r="AY892" s="144" t="s">
        <v>337</v>
      </c>
    </row>
    <row r="893" spans="2:51" s="148" customFormat="1" x14ac:dyDescent="0.2">
      <c r="B893" s="149"/>
      <c r="D893" s="143" t="s">
        <v>346</v>
      </c>
      <c r="E893" s="150"/>
      <c r="F893" s="151" t="s">
        <v>3388</v>
      </c>
      <c r="H893" s="152">
        <v>2.7</v>
      </c>
      <c r="L893" s="149"/>
      <c r="M893" s="153"/>
      <c r="T893" s="154"/>
      <c r="AT893" s="150" t="s">
        <v>346</v>
      </c>
      <c r="AU893" s="150" t="s">
        <v>90</v>
      </c>
      <c r="AV893" s="148" t="s">
        <v>90</v>
      </c>
      <c r="AW893" s="148" t="s">
        <v>33</v>
      </c>
      <c r="AX893" s="148" t="s">
        <v>80</v>
      </c>
      <c r="AY893" s="150" t="s">
        <v>337</v>
      </c>
    </row>
    <row r="894" spans="2:51" s="141" customFormat="1" x14ac:dyDescent="0.2">
      <c r="B894" s="142"/>
      <c r="D894" s="143" t="s">
        <v>346</v>
      </c>
      <c r="E894" s="144"/>
      <c r="F894" s="145" t="s">
        <v>3706</v>
      </c>
      <c r="H894" s="144"/>
      <c r="L894" s="142"/>
      <c r="M894" s="146"/>
      <c r="T894" s="147"/>
      <c r="AT894" s="144" t="s">
        <v>346</v>
      </c>
      <c r="AU894" s="144" t="s">
        <v>90</v>
      </c>
      <c r="AV894" s="141" t="s">
        <v>87</v>
      </c>
      <c r="AW894" s="141" t="s">
        <v>33</v>
      </c>
      <c r="AX894" s="141" t="s">
        <v>80</v>
      </c>
      <c r="AY894" s="144" t="s">
        <v>337</v>
      </c>
    </row>
    <row r="895" spans="2:51" s="141" customFormat="1" x14ac:dyDescent="0.2">
      <c r="B895" s="142"/>
      <c r="D895" s="143" t="s">
        <v>346</v>
      </c>
      <c r="E895" s="144"/>
      <c r="F895" s="145" t="s">
        <v>759</v>
      </c>
      <c r="H895" s="144"/>
      <c r="L895" s="142"/>
      <c r="M895" s="146"/>
      <c r="T895" s="147"/>
      <c r="AT895" s="144" t="s">
        <v>346</v>
      </c>
      <c r="AU895" s="144" t="s">
        <v>90</v>
      </c>
      <c r="AV895" s="141" t="s">
        <v>87</v>
      </c>
      <c r="AW895" s="141" t="s">
        <v>33</v>
      </c>
      <c r="AX895" s="141" t="s">
        <v>80</v>
      </c>
      <c r="AY895" s="144" t="s">
        <v>337</v>
      </c>
    </row>
    <row r="896" spans="2:51" s="148" customFormat="1" x14ac:dyDescent="0.2">
      <c r="B896" s="149"/>
      <c r="D896" s="143" t="s">
        <v>346</v>
      </c>
      <c r="E896" s="150"/>
      <c r="F896" s="151" t="s">
        <v>3707</v>
      </c>
      <c r="H896" s="152">
        <v>1.35</v>
      </c>
      <c r="L896" s="149"/>
      <c r="M896" s="153"/>
      <c r="T896" s="154"/>
      <c r="AT896" s="150" t="s">
        <v>346</v>
      </c>
      <c r="AU896" s="150" t="s">
        <v>90</v>
      </c>
      <c r="AV896" s="148" t="s">
        <v>90</v>
      </c>
      <c r="AW896" s="148" t="s">
        <v>33</v>
      </c>
      <c r="AX896" s="148" t="s">
        <v>80</v>
      </c>
      <c r="AY896" s="150" t="s">
        <v>337</v>
      </c>
    </row>
    <row r="897" spans="2:65" s="148" customFormat="1" x14ac:dyDescent="0.2">
      <c r="B897" s="149"/>
      <c r="D897" s="143" t="s">
        <v>346</v>
      </c>
      <c r="E897" s="150"/>
      <c r="F897" s="151" t="s">
        <v>3555</v>
      </c>
      <c r="H897" s="152">
        <v>15.2</v>
      </c>
      <c r="L897" s="149"/>
      <c r="M897" s="153"/>
      <c r="T897" s="154"/>
      <c r="AT897" s="150" t="s">
        <v>346</v>
      </c>
      <c r="AU897" s="150" t="s">
        <v>90</v>
      </c>
      <c r="AV897" s="148" t="s">
        <v>90</v>
      </c>
      <c r="AW897" s="148" t="s">
        <v>33</v>
      </c>
      <c r="AX897" s="148" t="s">
        <v>80</v>
      </c>
      <c r="AY897" s="150" t="s">
        <v>337</v>
      </c>
    </row>
    <row r="898" spans="2:65" s="141" customFormat="1" x14ac:dyDescent="0.2">
      <c r="B898" s="142"/>
      <c r="D898" s="143" t="s">
        <v>346</v>
      </c>
      <c r="E898" s="144"/>
      <c r="F898" s="145" t="s">
        <v>3708</v>
      </c>
      <c r="H898" s="144"/>
      <c r="L898" s="142"/>
      <c r="M898" s="146"/>
      <c r="T898" s="147"/>
      <c r="AT898" s="144" t="s">
        <v>346</v>
      </c>
      <c r="AU898" s="144" t="s">
        <v>90</v>
      </c>
      <c r="AV898" s="141" t="s">
        <v>87</v>
      </c>
      <c r="AW898" s="141" t="s">
        <v>33</v>
      </c>
      <c r="AX898" s="141" t="s">
        <v>80</v>
      </c>
      <c r="AY898" s="144" t="s">
        <v>337</v>
      </c>
    </row>
    <row r="899" spans="2:65" s="148" customFormat="1" x14ac:dyDescent="0.2">
      <c r="B899" s="149"/>
      <c r="D899" s="143" t="s">
        <v>346</v>
      </c>
      <c r="E899" s="150"/>
      <c r="F899" s="151" t="s">
        <v>3709</v>
      </c>
      <c r="H899" s="152">
        <v>10.42</v>
      </c>
      <c r="L899" s="149"/>
      <c r="M899" s="153"/>
      <c r="T899" s="154"/>
      <c r="AT899" s="150" t="s">
        <v>346</v>
      </c>
      <c r="AU899" s="150" t="s">
        <v>90</v>
      </c>
      <c r="AV899" s="148" t="s">
        <v>90</v>
      </c>
      <c r="AW899" s="148" t="s">
        <v>33</v>
      </c>
      <c r="AX899" s="148" t="s">
        <v>80</v>
      </c>
      <c r="AY899" s="150" t="s">
        <v>337</v>
      </c>
    </row>
    <row r="900" spans="2:65" s="141" customFormat="1" x14ac:dyDescent="0.2">
      <c r="B900" s="142"/>
      <c r="D900" s="143" t="s">
        <v>346</v>
      </c>
      <c r="E900" s="144"/>
      <c r="F900" s="145" t="s">
        <v>3710</v>
      </c>
      <c r="H900" s="144"/>
      <c r="L900" s="142"/>
      <c r="M900" s="146"/>
      <c r="T900" s="147"/>
      <c r="AT900" s="144" t="s">
        <v>346</v>
      </c>
      <c r="AU900" s="144" t="s">
        <v>90</v>
      </c>
      <c r="AV900" s="141" t="s">
        <v>87</v>
      </c>
      <c r="AW900" s="141" t="s">
        <v>33</v>
      </c>
      <c r="AX900" s="141" t="s">
        <v>80</v>
      </c>
      <c r="AY900" s="144" t="s">
        <v>337</v>
      </c>
    </row>
    <row r="901" spans="2:65" s="148" customFormat="1" x14ac:dyDescent="0.2">
      <c r="B901" s="149"/>
      <c r="D901" s="143" t="s">
        <v>346</v>
      </c>
      <c r="E901" s="150"/>
      <c r="F901" s="151" t="s">
        <v>3711</v>
      </c>
      <c r="H901" s="152">
        <v>13.433</v>
      </c>
      <c r="L901" s="149"/>
      <c r="M901" s="153"/>
      <c r="T901" s="154"/>
      <c r="AT901" s="150" t="s">
        <v>346</v>
      </c>
      <c r="AU901" s="150" t="s">
        <v>90</v>
      </c>
      <c r="AV901" s="148" t="s">
        <v>90</v>
      </c>
      <c r="AW901" s="148" t="s">
        <v>33</v>
      </c>
      <c r="AX901" s="148" t="s">
        <v>80</v>
      </c>
      <c r="AY901" s="150" t="s">
        <v>337</v>
      </c>
    </row>
    <row r="902" spans="2:65" s="155" customFormat="1" x14ac:dyDescent="0.2">
      <c r="B902" s="156"/>
      <c r="D902" s="143" t="s">
        <v>346</v>
      </c>
      <c r="E902" s="157"/>
      <c r="F902" s="158" t="s">
        <v>351</v>
      </c>
      <c r="H902" s="159">
        <v>353.58100000000002</v>
      </c>
      <c r="L902" s="156"/>
      <c r="M902" s="160"/>
      <c r="T902" s="161"/>
      <c r="AT902" s="157" t="s">
        <v>346</v>
      </c>
      <c r="AU902" s="157" t="s">
        <v>90</v>
      </c>
      <c r="AV902" s="155" t="s">
        <v>344</v>
      </c>
      <c r="AW902" s="155" t="s">
        <v>33</v>
      </c>
      <c r="AX902" s="155" t="s">
        <v>87</v>
      </c>
      <c r="AY902" s="157" t="s">
        <v>337</v>
      </c>
    </row>
    <row r="903" spans="2:65" s="116" customFormat="1" ht="22.9" customHeight="1" x14ac:dyDescent="0.2">
      <c r="B903" s="117"/>
      <c r="D903" s="118" t="s">
        <v>79</v>
      </c>
      <c r="E903" s="126" t="s">
        <v>4924</v>
      </c>
      <c r="F903" s="126" t="s">
        <v>4925</v>
      </c>
      <c r="J903" s="127">
        <f>BK903</f>
        <v>0</v>
      </c>
      <c r="L903" s="117"/>
      <c r="M903" s="121"/>
      <c r="P903" s="122">
        <f>SUM(P904:P979)</f>
        <v>0</v>
      </c>
      <c r="R903" s="122">
        <f>SUM(R904:R979)</f>
        <v>3.3000000000000002E-2</v>
      </c>
      <c r="T903" s="123">
        <f>SUM(T904:T979)</f>
        <v>0</v>
      </c>
      <c r="AR903" s="118" t="s">
        <v>87</v>
      </c>
      <c r="AT903" s="124" t="s">
        <v>79</v>
      </c>
      <c r="AU903" s="124" t="s">
        <v>87</v>
      </c>
      <c r="AY903" s="118" t="s">
        <v>337</v>
      </c>
      <c r="BK903" s="125">
        <f>SUM(BK904:BK979)</f>
        <v>0</v>
      </c>
    </row>
    <row r="904" spans="2:65" s="16" customFormat="1" ht="24.2" customHeight="1" x14ac:dyDescent="0.2">
      <c r="B904" s="17"/>
      <c r="C904" s="128">
        <v>36</v>
      </c>
      <c r="D904" s="128" t="s">
        <v>339</v>
      </c>
      <c r="E904" s="129" t="s">
        <v>5620</v>
      </c>
      <c r="F904" s="130" t="s">
        <v>5621</v>
      </c>
      <c r="G904" s="131" t="s">
        <v>990</v>
      </c>
      <c r="H904" s="132">
        <v>3</v>
      </c>
      <c r="I904" s="133"/>
      <c r="J904" s="134">
        <f>ROUND(I904*H904,2)</f>
        <v>0</v>
      </c>
      <c r="K904" s="130" t="s">
        <v>343</v>
      </c>
      <c r="L904" s="17"/>
      <c r="M904" s="135"/>
      <c r="N904" s="136" t="s">
        <v>45</v>
      </c>
      <c r="P904" s="137">
        <f>O904*H904</f>
        <v>0</v>
      </c>
      <c r="Q904" s="137">
        <v>5.4999999999999997E-3</v>
      </c>
      <c r="R904" s="137">
        <f>Q904*H904</f>
        <v>1.6500000000000001E-2</v>
      </c>
      <c r="S904" s="137">
        <v>0</v>
      </c>
      <c r="T904" s="138">
        <f>S904*H904</f>
        <v>0</v>
      </c>
      <c r="AR904" s="139" t="s">
        <v>344</v>
      </c>
      <c r="AT904" s="139" t="s">
        <v>339</v>
      </c>
      <c r="AU904" s="139" t="s">
        <v>90</v>
      </c>
      <c r="AY904" s="2" t="s">
        <v>337</v>
      </c>
      <c r="BE904" s="140">
        <f>IF(N904="základní",J904,0)</f>
        <v>0</v>
      </c>
      <c r="BF904" s="140">
        <f>IF(N904="snížená",J904,0)</f>
        <v>0</v>
      </c>
      <c r="BG904" s="140">
        <f>IF(N904="zákl. přenesená",J904,0)</f>
        <v>0</v>
      </c>
      <c r="BH904" s="140">
        <f>IF(N904="sníž. přenesená",J904,0)</f>
        <v>0</v>
      </c>
      <c r="BI904" s="140">
        <f>IF(N904="nulová",J904,0)</f>
        <v>0</v>
      </c>
      <c r="BJ904" s="2" t="s">
        <v>87</v>
      </c>
      <c r="BK904" s="140">
        <f>ROUND(I904*H904,2)</f>
        <v>0</v>
      </c>
      <c r="BL904" s="2" t="s">
        <v>344</v>
      </c>
      <c r="BM904" s="139" t="s">
        <v>5622</v>
      </c>
    </row>
    <row r="905" spans="2:65" s="141" customFormat="1" x14ac:dyDescent="0.2">
      <c r="B905" s="142"/>
      <c r="D905" s="143" t="s">
        <v>346</v>
      </c>
      <c r="E905" s="144"/>
      <c r="F905" s="145" t="s">
        <v>5623</v>
      </c>
      <c r="H905" s="144"/>
      <c r="L905" s="142"/>
      <c r="M905" s="146"/>
      <c r="T905" s="147"/>
      <c r="AT905" s="144" t="s">
        <v>346</v>
      </c>
      <c r="AU905" s="144" t="s">
        <v>90</v>
      </c>
      <c r="AV905" s="141" t="s">
        <v>87</v>
      </c>
      <c r="AW905" s="141" t="s">
        <v>33</v>
      </c>
      <c r="AX905" s="141" t="s">
        <v>80</v>
      </c>
      <c r="AY905" s="144" t="s">
        <v>337</v>
      </c>
    </row>
    <row r="906" spans="2:65" s="148" customFormat="1" x14ac:dyDescent="0.2">
      <c r="B906" s="149"/>
      <c r="D906" s="143" t="s">
        <v>346</v>
      </c>
      <c r="E906" s="150"/>
      <c r="F906" s="151" t="s">
        <v>5624</v>
      </c>
      <c r="H906" s="152">
        <v>3</v>
      </c>
      <c r="L906" s="149"/>
      <c r="M906" s="153"/>
      <c r="T906" s="154"/>
      <c r="AT906" s="150" t="s">
        <v>346</v>
      </c>
      <c r="AU906" s="150" t="s">
        <v>90</v>
      </c>
      <c r="AV906" s="148" t="s">
        <v>90</v>
      </c>
      <c r="AW906" s="148" t="s">
        <v>33</v>
      </c>
      <c r="AX906" s="148" t="s">
        <v>87</v>
      </c>
      <c r="AY906" s="150" t="s">
        <v>337</v>
      </c>
    </row>
    <row r="907" spans="2:65" s="16" customFormat="1" ht="16.5" customHeight="1" x14ac:dyDescent="0.2">
      <c r="B907" s="17"/>
      <c r="C907" s="128">
        <v>37</v>
      </c>
      <c r="D907" s="128" t="s">
        <v>339</v>
      </c>
      <c r="E907" s="129" t="s">
        <v>5625</v>
      </c>
      <c r="F907" s="130" t="s">
        <v>5626</v>
      </c>
      <c r="G907" s="131" t="s">
        <v>990</v>
      </c>
      <c r="H907" s="132">
        <v>3</v>
      </c>
      <c r="I907" s="133"/>
      <c r="J907" s="134">
        <f>ROUND(I907*H907,2)</f>
        <v>0</v>
      </c>
      <c r="K907" s="130" t="s">
        <v>343</v>
      </c>
      <c r="L907" s="17"/>
      <c r="M907" s="135"/>
      <c r="N907" s="136" t="s">
        <v>45</v>
      </c>
      <c r="P907" s="137">
        <f>O907*H907</f>
        <v>0</v>
      </c>
      <c r="Q907" s="137">
        <v>5.4999999999999997E-3</v>
      </c>
      <c r="R907" s="137">
        <f>Q907*H907</f>
        <v>1.6500000000000001E-2</v>
      </c>
      <c r="S907" s="137">
        <v>0</v>
      </c>
      <c r="T907" s="138">
        <f>S907*H907</f>
        <v>0</v>
      </c>
      <c r="AR907" s="139" t="s">
        <v>344</v>
      </c>
      <c r="AT907" s="139" t="s">
        <v>339</v>
      </c>
      <c r="AU907" s="139" t="s">
        <v>90</v>
      </c>
      <c r="AY907" s="2" t="s">
        <v>337</v>
      </c>
      <c r="BE907" s="140">
        <f>IF(N907="základní",J907,0)</f>
        <v>0</v>
      </c>
      <c r="BF907" s="140">
        <f>IF(N907="snížená",J907,0)</f>
        <v>0</v>
      </c>
      <c r="BG907" s="140">
        <f>IF(N907="zákl. přenesená",J907,0)</f>
        <v>0</v>
      </c>
      <c r="BH907" s="140">
        <f>IF(N907="sníž. přenesená",J907,0)</f>
        <v>0</v>
      </c>
      <c r="BI907" s="140">
        <f>IF(N907="nulová",J907,0)</f>
        <v>0</v>
      </c>
      <c r="BJ907" s="2" t="s">
        <v>87</v>
      </c>
      <c r="BK907" s="140">
        <f>ROUND(I907*H907,2)</f>
        <v>0</v>
      </c>
      <c r="BL907" s="2" t="s">
        <v>344</v>
      </c>
      <c r="BM907" s="139" t="s">
        <v>5627</v>
      </c>
    </row>
    <row r="908" spans="2:65" s="16" customFormat="1" ht="16.5" customHeight="1" x14ac:dyDescent="0.2">
      <c r="B908" s="17"/>
      <c r="C908" s="128">
        <v>38</v>
      </c>
      <c r="D908" s="128" t="s">
        <v>339</v>
      </c>
      <c r="E908" s="129" t="s">
        <v>5628</v>
      </c>
      <c r="F908" s="130" t="s">
        <v>5629</v>
      </c>
      <c r="G908" s="131" t="s">
        <v>990</v>
      </c>
      <c r="H908" s="132">
        <v>1946.675</v>
      </c>
      <c r="I908" s="133"/>
      <c r="J908" s="134">
        <f>ROUND(I908*H908,2)</f>
        <v>0</v>
      </c>
      <c r="K908" s="130" t="s">
        <v>343</v>
      </c>
      <c r="L908" s="17"/>
      <c r="M908" s="135"/>
      <c r="N908" s="136" t="s">
        <v>45</v>
      </c>
      <c r="P908" s="137">
        <f>O908*H908</f>
        <v>0</v>
      </c>
      <c r="Q908" s="137">
        <v>0</v>
      </c>
      <c r="R908" s="137">
        <f>Q908*H908</f>
        <v>0</v>
      </c>
      <c r="S908" s="137">
        <v>0</v>
      </c>
      <c r="T908" s="138">
        <f>S908*H908</f>
        <v>0</v>
      </c>
      <c r="AR908" s="139" t="s">
        <v>344</v>
      </c>
      <c r="AT908" s="139" t="s">
        <v>339</v>
      </c>
      <c r="AU908" s="139" t="s">
        <v>90</v>
      </c>
      <c r="AY908" s="2" t="s">
        <v>337</v>
      </c>
      <c r="BE908" s="140">
        <f>IF(N908="základní",J908,0)</f>
        <v>0</v>
      </c>
      <c r="BF908" s="140">
        <f>IF(N908="snížená",J908,0)</f>
        <v>0</v>
      </c>
      <c r="BG908" s="140">
        <f>IF(N908="zákl. přenesená",J908,0)</f>
        <v>0</v>
      </c>
      <c r="BH908" s="140">
        <f>IF(N908="sníž. přenesená",J908,0)</f>
        <v>0</v>
      </c>
      <c r="BI908" s="140">
        <f>IF(N908="nulová",J908,0)</f>
        <v>0</v>
      </c>
      <c r="BJ908" s="2" t="s">
        <v>87</v>
      </c>
      <c r="BK908" s="140">
        <f>ROUND(I908*H908,2)</f>
        <v>0</v>
      </c>
      <c r="BL908" s="2" t="s">
        <v>344</v>
      </c>
      <c r="BM908" s="139" t="s">
        <v>5630</v>
      </c>
    </row>
    <row r="909" spans="2:65" s="16" customFormat="1" ht="16.5" customHeight="1" x14ac:dyDescent="0.2">
      <c r="B909" s="17"/>
      <c r="C909" s="128">
        <v>39</v>
      </c>
      <c r="D909" s="128" t="s">
        <v>339</v>
      </c>
      <c r="E909" s="129" t="s">
        <v>4926</v>
      </c>
      <c r="F909" s="130" t="s">
        <v>4927</v>
      </c>
      <c r="G909" s="131" t="s">
        <v>990</v>
      </c>
      <c r="H909" s="132">
        <v>1946.675</v>
      </c>
      <c r="I909" s="133"/>
      <c r="J909" s="134">
        <f>ROUND(I909*H909,2)</f>
        <v>0</v>
      </c>
      <c r="K909" s="130" t="s">
        <v>343</v>
      </c>
      <c r="L909" s="17"/>
      <c r="M909" s="135"/>
      <c r="N909" s="136" t="s">
        <v>45</v>
      </c>
      <c r="P909" s="137">
        <f>O909*H909</f>
        <v>0</v>
      </c>
      <c r="Q909" s="137">
        <v>0</v>
      </c>
      <c r="R909" s="137">
        <f>Q909*H909</f>
        <v>0</v>
      </c>
      <c r="S909" s="137">
        <v>0</v>
      </c>
      <c r="T909" s="138">
        <f>S909*H909</f>
        <v>0</v>
      </c>
      <c r="AR909" s="139" t="s">
        <v>344</v>
      </c>
      <c r="AT909" s="139" t="s">
        <v>339</v>
      </c>
      <c r="AU909" s="139" t="s">
        <v>90</v>
      </c>
      <c r="AY909" s="2" t="s">
        <v>337</v>
      </c>
      <c r="BE909" s="140">
        <f>IF(N909="základní",J909,0)</f>
        <v>0</v>
      </c>
      <c r="BF909" s="140">
        <f>IF(N909="snížená",J909,0)</f>
        <v>0</v>
      </c>
      <c r="BG909" s="140">
        <f>IF(N909="zákl. přenesená",J909,0)</f>
        <v>0</v>
      </c>
      <c r="BH909" s="140">
        <f>IF(N909="sníž. přenesená",J909,0)</f>
        <v>0</v>
      </c>
      <c r="BI909" s="140">
        <f>IF(N909="nulová",J909,0)</f>
        <v>0</v>
      </c>
      <c r="BJ909" s="2" t="s">
        <v>87</v>
      </c>
      <c r="BK909" s="140">
        <f>ROUND(I909*H909,2)</f>
        <v>0</v>
      </c>
      <c r="BL909" s="2" t="s">
        <v>344</v>
      </c>
      <c r="BM909" s="139" t="s">
        <v>5631</v>
      </c>
    </row>
    <row r="910" spans="2:65" s="16" customFormat="1" ht="16.5" customHeight="1" x14ac:dyDescent="0.2">
      <c r="B910" s="17"/>
      <c r="C910" s="128">
        <v>40</v>
      </c>
      <c r="D910" s="128" t="s">
        <v>339</v>
      </c>
      <c r="E910" s="129" t="s">
        <v>4929</v>
      </c>
      <c r="F910" s="130" t="s">
        <v>4930</v>
      </c>
      <c r="G910" s="131" t="s">
        <v>990</v>
      </c>
      <c r="H910" s="132">
        <v>27253.45</v>
      </c>
      <c r="I910" s="133"/>
      <c r="J910" s="134">
        <f>ROUND(I910*H910,2)</f>
        <v>0</v>
      </c>
      <c r="K910" s="130" t="s">
        <v>343</v>
      </c>
      <c r="L910" s="17"/>
      <c r="M910" s="135"/>
      <c r="N910" s="136" t="s">
        <v>45</v>
      </c>
      <c r="P910" s="137">
        <f>O910*H910</f>
        <v>0</v>
      </c>
      <c r="Q910" s="137">
        <v>0</v>
      </c>
      <c r="R910" s="137">
        <f>Q910*H910</f>
        <v>0</v>
      </c>
      <c r="S910" s="137">
        <v>0</v>
      </c>
      <c r="T910" s="138">
        <f>S910*H910</f>
        <v>0</v>
      </c>
      <c r="AR910" s="139" t="s">
        <v>344</v>
      </c>
      <c r="AT910" s="139" t="s">
        <v>339</v>
      </c>
      <c r="AU910" s="139" t="s">
        <v>90</v>
      </c>
      <c r="AY910" s="2" t="s">
        <v>337</v>
      </c>
      <c r="BE910" s="140">
        <f>IF(N910="základní",J910,0)</f>
        <v>0</v>
      </c>
      <c r="BF910" s="140">
        <f>IF(N910="snížená",J910,0)</f>
        <v>0</v>
      </c>
      <c r="BG910" s="140">
        <f>IF(N910="zákl. přenesená",J910,0)</f>
        <v>0</v>
      </c>
      <c r="BH910" s="140">
        <f>IF(N910="sníž. přenesená",J910,0)</f>
        <v>0</v>
      </c>
      <c r="BI910" s="140">
        <f>IF(N910="nulová",J910,0)</f>
        <v>0</v>
      </c>
      <c r="BJ910" s="2" t="s">
        <v>87</v>
      </c>
      <c r="BK910" s="140">
        <f>ROUND(I910*H910,2)</f>
        <v>0</v>
      </c>
      <c r="BL910" s="2" t="s">
        <v>344</v>
      </c>
      <c r="BM910" s="139" t="s">
        <v>5632</v>
      </c>
    </row>
    <row r="911" spans="2:65" s="148" customFormat="1" x14ac:dyDescent="0.2">
      <c r="B911" s="149"/>
      <c r="D911" s="143" t="s">
        <v>346</v>
      </c>
      <c r="F911" s="151" t="s">
        <v>5633</v>
      </c>
      <c r="H911" s="152">
        <v>27253.45</v>
      </c>
      <c r="L911" s="149"/>
      <c r="M911" s="153"/>
      <c r="T911" s="154"/>
      <c r="AT911" s="150" t="s">
        <v>346</v>
      </c>
      <c r="AU911" s="150" t="s">
        <v>90</v>
      </c>
      <c r="AV911" s="148" t="s">
        <v>90</v>
      </c>
      <c r="AW911" s="148" t="s">
        <v>3</v>
      </c>
      <c r="AX911" s="148" t="s">
        <v>87</v>
      </c>
      <c r="AY911" s="150" t="s">
        <v>337</v>
      </c>
    </row>
    <row r="912" spans="2:65" s="16" customFormat="1" ht="21.75" customHeight="1" x14ac:dyDescent="0.2">
      <c r="B912" s="17"/>
      <c r="C912" s="128">
        <v>41</v>
      </c>
      <c r="D912" s="128" t="s">
        <v>339</v>
      </c>
      <c r="E912" s="129" t="s">
        <v>5634</v>
      </c>
      <c r="F912" s="130" t="s">
        <v>5635</v>
      </c>
      <c r="G912" s="131" t="s">
        <v>990</v>
      </c>
      <c r="H912" s="132">
        <v>5.8419999999999996</v>
      </c>
      <c r="I912" s="133"/>
      <c r="J912" s="134">
        <f>ROUND(I912*H912,2)</f>
        <v>0</v>
      </c>
      <c r="K912" s="130" t="s">
        <v>343</v>
      </c>
      <c r="L912" s="17"/>
      <c r="M912" s="135"/>
      <c r="N912" s="136" t="s">
        <v>45</v>
      </c>
      <c r="P912" s="137">
        <f>O912*H912</f>
        <v>0</v>
      </c>
      <c r="Q912" s="137">
        <v>0</v>
      </c>
      <c r="R912" s="137">
        <f>Q912*H912</f>
        <v>0</v>
      </c>
      <c r="S912" s="137">
        <v>0</v>
      </c>
      <c r="T912" s="138">
        <f>S912*H912</f>
        <v>0</v>
      </c>
      <c r="AR912" s="139" t="s">
        <v>344</v>
      </c>
      <c r="AT912" s="139" t="s">
        <v>339</v>
      </c>
      <c r="AU912" s="139" t="s">
        <v>90</v>
      </c>
      <c r="AY912" s="2" t="s">
        <v>337</v>
      </c>
      <c r="BE912" s="140">
        <f>IF(N912="základní",J912,0)</f>
        <v>0</v>
      </c>
      <c r="BF912" s="140">
        <f>IF(N912="snížená",J912,0)</f>
        <v>0</v>
      </c>
      <c r="BG912" s="140">
        <f>IF(N912="zákl. přenesená",J912,0)</f>
        <v>0</v>
      </c>
      <c r="BH912" s="140">
        <f>IF(N912="sníž. přenesená",J912,0)</f>
        <v>0</v>
      </c>
      <c r="BI912" s="140">
        <f>IF(N912="nulová",J912,0)</f>
        <v>0</v>
      </c>
      <c r="BJ912" s="2" t="s">
        <v>87</v>
      </c>
      <c r="BK912" s="140">
        <f>ROUND(I912*H912,2)</f>
        <v>0</v>
      </c>
      <c r="BL912" s="2" t="s">
        <v>344</v>
      </c>
      <c r="BM912" s="139" t="s">
        <v>5636</v>
      </c>
    </row>
    <row r="913" spans="2:65" s="141" customFormat="1" x14ac:dyDescent="0.2">
      <c r="B913" s="142"/>
      <c r="D913" s="143" t="s">
        <v>346</v>
      </c>
      <c r="E913" s="144"/>
      <c r="F913" s="145" t="s">
        <v>5637</v>
      </c>
      <c r="H913" s="144"/>
      <c r="L913" s="142"/>
      <c r="M913" s="146"/>
      <c r="T913" s="147"/>
      <c r="AT913" s="144" t="s">
        <v>346</v>
      </c>
      <c r="AU913" s="144" t="s">
        <v>90</v>
      </c>
      <c r="AV913" s="141" t="s">
        <v>87</v>
      </c>
      <c r="AW913" s="141" t="s">
        <v>33</v>
      </c>
      <c r="AX913" s="141" t="s">
        <v>80</v>
      </c>
      <c r="AY913" s="144" t="s">
        <v>337</v>
      </c>
    </row>
    <row r="914" spans="2:65" s="148" customFormat="1" x14ac:dyDescent="0.2">
      <c r="B914" s="149"/>
      <c r="D914" s="143" t="s">
        <v>346</v>
      </c>
      <c r="E914" s="150"/>
      <c r="F914" s="151" t="s">
        <v>5638</v>
      </c>
      <c r="H914" s="152">
        <v>5.8419999999999996</v>
      </c>
      <c r="L914" s="149"/>
      <c r="M914" s="153"/>
      <c r="T914" s="154"/>
      <c r="AT914" s="150" t="s">
        <v>346</v>
      </c>
      <c r="AU914" s="150" t="s">
        <v>90</v>
      </c>
      <c r="AV914" s="148" t="s">
        <v>90</v>
      </c>
      <c r="AW914" s="148" t="s">
        <v>33</v>
      </c>
      <c r="AX914" s="148" t="s">
        <v>80</v>
      </c>
      <c r="AY914" s="150" t="s">
        <v>337</v>
      </c>
    </row>
    <row r="915" spans="2:65" s="172" customFormat="1" x14ac:dyDescent="0.2">
      <c r="B915" s="173"/>
      <c r="D915" s="143" t="s">
        <v>346</v>
      </c>
      <c r="E915" s="174" t="s">
        <v>5184</v>
      </c>
      <c r="F915" s="175" t="s">
        <v>609</v>
      </c>
      <c r="H915" s="176">
        <v>5.8419999999999996</v>
      </c>
      <c r="L915" s="173"/>
      <c r="M915" s="177"/>
      <c r="T915" s="178"/>
      <c r="AT915" s="174" t="s">
        <v>346</v>
      </c>
      <c r="AU915" s="174" t="s">
        <v>90</v>
      </c>
      <c r="AV915" s="172" t="s">
        <v>113</v>
      </c>
      <c r="AW915" s="172" t="s">
        <v>33</v>
      </c>
      <c r="AX915" s="172" t="s">
        <v>87</v>
      </c>
      <c r="AY915" s="174" t="s">
        <v>337</v>
      </c>
    </row>
    <row r="916" spans="2:65" s="16" customFormat="1" ht="16.5" customHeight="1" x14ac:dyDescent="0.2">
      <c r="B916" s="17"/>
      <c r="C916" s="128">
        <v>42</v>
      </c>
      <c r="D916" s="128" t="s">
        <v>339</v>
      </c>
      <c r="E916" s="129" t="s">
        <v>5639</v>
      </c>
      <c r="F916" s="130" t="s">
        <v>5640</v>
      </c>
      <c r="G916" s="131" t="s">
        <v>990</v>
      </c>
      <c r="H916" s="132">
        <v>12.141</v>
      </c>
      <c r="I916" s="133"/>
      <c r="J916" s="134">
        <f>ROUND(I916*H916,2)</f>
        <v>0</v>
      </c>
      <c r="K916" s="130" t="s">
        <v>343</v>
      </c>
      <c r="L916" s="17"/>
      <c r="M916" s="135"/>
      <c r="N916" s="136" t="s">
        <v>45</v>
      </c>
      <c r="P916" s="137">
        <f>O916*H916</f>
        <v>0</v>
      </c>
      <c r="Q916" s="137">
        <v>0</v>
      </c>
      <c r="R916" s="137">
        <f>Q916*H916</f>
        <v>0</v>
      </c>
      <c r="S916" s="137">
        <v>0</v>
      </c>
      <c r="T916" s="138">
        <f>S916*H916</f>
        <v>0</v>
      </c>
      <c r="AR916" s="139" t="s">
        <v>344</v>
      </c>
      <c r="AT916" s="139" t="s">
        <v>339</v>
      </c>
      <c r="AU916" s="139" t="s">
        <v>90</v>
      </c>
      <c r="AY916" s="2" t="s">
        <v>337</v>
      </c>
      <c r="BE916" s="140">
        <f>IF(N916="základní",J916,0)</f>
        <v>0</v>
      </c>
      <c r="BF916" s="140">
        <f>IF(N916="snížená",J916,0)</f>
        <v>0</v>
      </c>
      <c r="BG916" s="140">
        <f>IF(N916="zákl. přenesená",J916,0)</f>
        <v>0</v>
      </c>
      <c r="BH916" s="140">
        <f>IF(N916="sníž. přenesená",J916,0)</f>
        <v>0</v>
      </c>
      <c r="BI916" s="140">
        <f>IF(N916="nulová",J916,0)</f>
        <v>0</v>
      </c>
      <c r="BJ916" s="2" t="s">
        <v>87</v>
      </c>
      <c r="BK916" s="140">
        <f>ROUND(I916*H916,2)</f>
        <v>0</v>
      </c>
      <c r="BL916" s="2" t="s">
        <v>344</v>
      </c>
      <c r="BM916" s="139" t="s">
        <v>5641</v>
      </c>
    </row>
    <row r="917" spans="2:65" s="141" customFormat="1" x14ac:dyDescent="0.2">
      <c r="B917" s="142"/>
      <c r="D917" s="143" t="s">
        <v>346</v>
      </c>
      <c r="E917" s="144"/>
      <c r="F917" s="145" t="s">
        <v>5642</v>
      </c>
      <c r="H917" s="144"/>
      <c r="L917" s="142"/>
      <c r="M917" s="146"/>
      <c r="T917" s="147"/>
      <c r="AT917" s="144" t="s">
        <v>346</v>
      </c>
      <c r="AU917" s="144" t="s">
        <v>90</v>
      </c>
      <c r="AV917" s="141" t="s">
        <v>87</v>
      </c>
      <c r="AW917" s="141" t="s">
        <v>33</v>
      </c>
      <c r="AX917" s="141" t="s">
        <v>80</v>
      </c>
      <c r="AY917" s="144" t="s">
        <v>337</v>
      </c>
    </row>
    <row r="918" spans="2:65" s="148" customFormat="1" x14ac:dyDescent="0.2">
      <c r="B918" s="149"/>
      <c r="D918" s="143" t="s">
        <v>346</v>
      </c>
      <c r="E918" s="150"/>
      <c r="F918" s="151" t="s">
        <v>5643</v>
      </c>
      <c r="H918" s="152">
        <v>2.65</v>
      </c>
      <c r="L918" s="149"/>
      <c r="M918" s="153"/>
      <c r="T918" s="154"/>
      <c r="AT918" s="150" t="s">
        <v>346</v>
      </c>
      <c r="AU918" s="150" t="s">
        <v>90</v>
      </c>
      <c r="AV918" s="148" t="s">
        <v>90</v>
      </c>
      <c r="AW918" s="148" t="s">
        <v>33</v>
      </c>
      <c r="AX918" s="148" t="s">
        <v>80</v>
      </c>
      <c r="AY918" s="150" t="s">
        <v>337</v>
      </c>
    </row>
    <row r="919" spans="2:65" s="141" customFormat="1" x14ac:dyDescent="0.2">
      <c r="B919" s="142"/>
      <c r="D919" s="143" t="s">
        <v>346</v>
      </c>
      <c r="E919" s="144"/>
      <c r="F919" s="145" t="s">
        <v>5644</v>
      </c>
      <c r="H919" s="144"/>
      <c r="L919" s="142"/>
      <c r="M919" s="146"/>
      <c r="T919" s="147"/>
      <c r="AT919" s="144" t="s">
        <v>346</v>
      </c>
      <c r="AU919" s="144" t="s">
        <v>90</v>
      </c>
      <c r="AV919" s="141" t="s">
        <v>87</v>
      </c>
      <c r="AW919" s="141" t="s">
        <v>33</v>
      </c>
      <c r="AX919" s="141" t="s">
        <v>80</v>
      </c>
      <c r="AY919" s="144" t="s">
        <v>337</v>
      </c>
    </row>
    <row r="920" spans="2:65" s="148" customFormat="1" x14ac:dyDescent="0.2">
      <c r="B920" s="149"/>
      <c r="D920" s="143" t="s">
        <v>346</v>
      </c>
      <c r="E920" s="150"/>
      <c r="F920" s="151" t="s">
        <v>5645</v>
      </c>
      <c r="H920" s="152">
        <v>9.4909999999999997</v>
      </c>
      <c r="L920" s="149"/>
      <c r="M920" s="153"/>
      <c r="T920" s="154"/>
      <c r="AT920" s="150" t="s">
        <v>346</v>
      </c>
      <c r="AU920" s="150" t="s">
        <v>90</v>
      </c>
      <c r="AV920" s="148" t="s">
        <v>90</v>
      </c>
      <c r="AW920" s="148" t="s">
        <v>33</v>
      </c>
      <c r="AX920" s="148" t="s">
        <v>80</v>
      </c>
      <c r="AY920" s="150" t="s">
        <v>337</v>
      </c>
    </row>
    <row r="921" spans="2:65" s="172" customFormat="1" x14ac:dyDescent="0.2">
      <c r="B921" s="173"/>
      <c r="D921" s="143" t="s">
        <v>346</v>
      </c>
      <c r="E921" s="174" t="s">
        <v>5186</v>
      </c>
      <c r="F921" s="175" t="s">
        <v>609</v>
      </c>
      <c r="H921" s="176">
        <v>12.141</v>
      </c>
      <c r="L921" s="173"/>
      <c r="M921" s="177"/>
      <c r="T921" s="178"/>
      <c r="AT921" s="174" t="s">
        <v>346</v>
      </c>
      <c r="AU921" s="174" t="s">
        <v>90</v>
      </c>
      <c r="AV921" s="172" t="s">
        <v>113</v>
      </c>
      <c r="AW921" s="172" t="s">
        <v>33</v>
      </c>
      <c r="AX921" s="172" t="s">
        <v>87</v>
      </c>
      <c r="AY921" s="174" t="s">
        <v>337</v>
      </c>
    </row>
    <row r="922" spans="2:65" s="16" customFormat="1" ht="21.75" customHeight="1" x14ac:dyDescent="0.2">
      <c r="B922" s="17"/>
      <c r="C922" s="128">
        <v>43</v>
      </c>
      <c r="D922" s="128" t="s">
        <v>339</v>
      </c>
      <c r="E922" s="129" t="s">
        <v>5646</v>
      </c>
      <c r="F922" s="130" t="s">
        <v>5647</v>
      </c>
      <c r="G922" s="131" t="s">
        <v>990</v>
      </c>
      <c r="H922" s="132">
        <v>3</v>
      </c>
      <c r="I922" s="133"/>
      <c r="J922" s="134">
        <f>ROUND(I922*H922,2)</f>
        <v>0</v>
      </c>
      <c r="K922" s="130" t="s">
        <v>343</v>
      </c>
      <c r="L922" s="17"/>
      <c r="M922" s="135"/>
      <c r="N922" s="136" t="s">
        <v>45</v>
      </c>
      <c r="P922" s="137">
        <f>O922*H922</f>
        <v>0</v>
      </c>
      <c r="Q922" s="137">
        <v>0</v>
      </c>
      <c r="R922" s="137">
        <f>Q922*H922</f>
        <v>0</v>
      </c>
      <c r="S922" s="137">
        <v>0</v>
      </c>
      <c r="T922" s="138">
        <f>S922*H922</f>
        <v>0</v>
      </c>
      <c r="AR922" s="139" t="s">
        <v>344</v>
      </c>
      <c r="AT922" s="139" t="s">
        <v>339</v>
      </c>
      <c r="AU922" s="139" t="s">
        <v>90</v>
      </c>
      <c r="AY922" s="2" t="s">
        <v>337</v>
      </c>
      <c r="BE922" s="140">
        <f>IF(N922="základní",J922,0)</f>
        <v>0</v>
      </c>
      <c r="BF922" s="140">
        <f>IF(N922="snížená",J922,0)</f>
        <v>0</v>
      </c>
      <c r="BG922" s="140">
        <f>IF(N922="zákl. přenesená",J922,0)</f>
        <v>0</v>
      </c>
      <c r="BH922" s="140">
        <f>IF(N922="sníž. přenesená",J922,0)</f>
        <v>0</v>
      </c>
      <c r="BI922" s="140">
        <f>IF(N922="nulová",J922,0)</f>
        <v>0</v>
      </c>
      <c r="BJ922" s="2" t="s">
        <v>87</v>
      </c>
      <c r="BK922" s="140">
        <f>ROUND(I922*H922,2)</f>
        <v>0</v>
      </c>
      <c r="BL922" s="2" t="s">
        <v>344</v>
      </c>
      <c r="BM922" s="139" t="s">
        <v>5648</v>
      </c>
    </row>
    <row r="923" spans="2:65" s="16" customFormat="1" ht="24.2" customHeight="1" x14ac:dyDescent="0.2">
      <c r="B923" s="17"/>
      <c r="C923" s="128">
        <v>44</v>
      </c>
      <c r="D923" s="128" t="s">
        <v>339</v>
      </c>
      <c r="E923" s="129" t="s">
        <v>5649</v>
      </c>
      <c r="F923" s="130" t="s">
        <v>5650</v>
      </c>
      <c r="G923" s="131" t="s">
        <v>990</v>
      </c>
      <c r="H923" s="132">
        <v>943.87099999999998</v>
      </c>
      <c r="I923" s="133"/>
      <c r="J923" s="134">
        <f>ROUND(I923*H923,2)</f>
        <v>0</v>
      </c>
      <c r="K923" s="130" t="s">
        <v>343</v>
      </c>
      <c r="L923" s="17"/>
      <c r="M923" s="135"/>
      <c r="N923" s="136" t="s">
        <v>45</v>
      </c>
      <c r="P923" s="137">
        <f>O923*H923</f>
        <v>0</v>
      </c>
      <c r="Q923" s="137">
        <v>0</v>
      </c>
      <c r="R923" s="137">
        <f>Q923*H923</f>
        <v>0</v>
      </c>
      <c r="S923" s="137">
        <v>0</v>
      </c>
      <c r="T923" s="138">
        <f>S923*H923</f>
        <v>0</v>
      </c>
      <c r="AR923" s="139" t="s">
        <v>344</v>
      </c>
      <c r="AT923" s="139" t="s">
        <v>339</v>
      </c>
      <c r="AU923" s="139" t="s">
        <v>90</v>
      </c>
      <c r="AY923" s="2" t="s">
        <v>337</v>
      </c>
      <c r="BE923" s="140">
        <f>IF(N923="základní",J923,0)</f>
        <v>0</v>
      </c>
      <c r="BF923" s="140">
        <f>IF(N923="snížená",J923,0)</f>
        <v>0</v>
      </c>
      <c r="BG923" s="140">
        <f>IF(N923="zákl. přenesená",J923,0)</f>
        <v>0</v>
      </c>
      <c r="BH923" s="140">
        <f>IF(N923="sníž. přenesená",J923,0)</f>
        <v>0</v>
      </c>
      <c r="BI923" s="140">
        <f>IF(N923="nulová",J923,0)</f>
        <v>0</v>
      </c>
      <c r="BJ923" s="2" t="s">
        <v>87</v>
      </c>
      <c r="BK923" s="140">
        <f>ROUND(I923*H923,2)</f>
        <v>0</v>
      </c>
      <c r="BL923" s="2" t="s">
        <v>344</v>
      </c>
      <c r="BM923" s="139" t="s">
        <v>5651</v>
      </c>
    </row>
    <row r="924" spans="2:65" s="141" customFormat="1" x14ac:dyDescent="0.2">
      <c r="B924" s="142"/>
      <c r="D924" s="143" t="s">
        <v>346</v>
      </c>
      <c r="E924" s="144"/>
      <c r="F924" s="145" t="s">
        <v>5652</v>
      </c>
      <c r="H924" s="144"/>
      <c r="L924" s="142"/>
      <c r="M924" s="146"/>
      <c r="T924" s="147"/>
      <c r="AT924" s="144" t="s">
        <v>346</v>
      </c>
      <c r="AU924" s="144" t="s">
        <v>90</v>
      </c>
      <c r="AV924" s="141" t="s">
        <v>87</v>
      </c>
      <c r="AW924" s="141" t="s">
        <v>33</v>
      </c>
      <c r="AX924" s="141" t="s">
        <v>80</v>
      </c>
      <c r="AY924" s="144" t="s">
        <v>337</v>
      </c>
    </row>
    <row r="925" spans="2:65" s="148" customFormat="1" x14ac:dyDescent="0.2">
      <c r="B925" s="149"/>
      <c r="D925" s="143" t="s">
        <v>346</v>
      </c>
      <c r="E925" s="150"/>
      <c r="F925" s="151" t="s">
        <v>5653</v>
      </c>
      <c r="H925" s="152">
        <v>242.14699999999999</v>
      </c>
      <c r="L925" s="149"/>
      <c r="M925" s="153"/>
      <c r="T925" s="154"/>
      <c r="AT925" s="150" t="s">
        <v>346</v>
      </c>
      <c r="AU925" s="150" t="s">
        <v>90</v>
      </c>
      <c r="AV925" s="148" t="s">
        <v>90</v>
      </c>
      <c r="AW925" s="148" t="s">
        <v>33</v>
      </c>
      <c r="AX925" s="148" t="s">
        <v>80</v>
      </c>
      <c r="AY925" s="150" t="s">
        <v>337</v>
      </c>
    </row>
    <row r="926" spans="2:65" s="141" customFormat="1" x14ac:dyDescent="0.2">
      <c r="B926" s="142"/>
      <c r="D926" s="143" t="s">
        <v>346</v>
      </c>
      <c r="E926" s="144"/>
      <c r="F926" s="145" t="s">
        <v>5654</v>
      </c>
      <c r="H926" s="144"/>
      <c r="L926" s="142"/>
      <c r="M926" s="146"/>
      <c r="T926" s="147"/>
      <c r="AT926" s="144" t="s">
        <v>346</v>
      </c>
      <c r="AU926" s="144" t="s">
        <v>90</v>
      </c>
      <c r="AV926" s="141" t="s">
        <v>87</v>
      </c>
      <c r="AW926" s="141" t="s">
        <v>33</v>
      </c>
      <c r="AX926" s="141" t="s">
        <v>80</v>
      </c>
      <c r="AY926" s="144" t="s">
        <v>337</v>
      </c>
    </row>
    <row r="927" spans="2:65" s="148" customFormat="1" x14ac:dyDescent="0.2">
      <c r="B927" s="149"/>
      <c r="D927" s="143" t="s">
        <v>346</v>
      </c>
      <c r="E927" s="150"/>
      <c r="F927" s="151" t="s">
        <v>5655</v>
      </c>
      <c r="H927" s="152">
        <v>374.24599999999998</v>
      </c>
      <c r="L927" s="149"/>
      <c r="M927" s="153"/>
      <c r="T927" s="154"/>
      <c r="AT927" s="150" t="s">
        <v>346</v>
      </c>
      <c r="AU927" s="150" t="s">
        <v>90</v>
      </c>
      <c r="AV927" s="148" t="s">
        <v>90</v>
      </c>
      <c r="AW927" s="148" t="s">
        <v>33</v>
      </c>
      <c r="AX927" s="148" t="s">
        <v>80</v>
      </c>
      <c r="AY927" s="150" t="s">
        <v>337</v>
      </c>
    </row>
    <row r="928" spans="2:65" s="141" customFormat="1" x14ac:dyDescent="0.2">
      <c r="B928" s="142"/>
      <c r="D928" s="143" t="s">
        <v>346</v>
      </c>
      <c r="E928" s="144"/>
      <c r="F928" s="145" t="s">
        <v>5656</v>
      </c>
      <c r="H928" s="144"/>
      <c r="L928" s="142"/>
      <c r="M928" s="146"/>
      <c r="T928" s="147"/>
      <c r="AT928" s="144" t="s">
        <v>346</v>
      </c>
      <c r="AU928" s="144" t="s">
        <v>90</v>
      </c>
      <c r="AV928" s="141" t="s">
        <v>87</v>
      </c>
      <c r="AW928" s="141" t="s">
        <v>33</v>
      </c>
      <c r="AX928" s="141" t="s">
        <v>80</v>
      </c>
      <c r="AY928" s="144" t="s">
        <v>337</v>
      </c>
    </row>
    <row r="929" spans="2:65" s="148" customFormat="1" x14ac:dyDescent="0.2">
      <c r="B929" s="149"/>
      <c r="D929" s="143" t="s">
        <v>346</v>
      </c>
      <c r="E929" s="150"/>
      <c r="F929" s="151" t="s">
        <v>5657</v>
      </c>
      <c r="H929" s="152">
        <v>54.688000000000002</v>
      </c>
      <c r="L929" s="149"/>
      <c r="M929" s="153"/>
      <c r="T929" s="154"/>
      <c r="AT929" s="150" t="s">
        <v>346</v>
      </c>
      <c r="AU929" s="150" t="s">
        <v>90</v>
      </c>
      <c r="AV929" s="148" t="s">
        <v>90</v>
      </c>
      <c r="AW929" s="148" t="s">
        <v>33</v>
      </c>
      <c r="AX929" s="148" t="s">
        <v>80</v>
      </c>
      <c r="AY929" s="150" t="s">
        <v>337</v>
      </c>
    </row>
    <row r="930" spans="2:65" s="148" customFormat="1" x14ac:dyDescent="0.2">
      <c r="B930" s="149"/>
      <c r="D930" s="143" t="s">
        <v>346</v>
      </c>
      <c r="E930" s="150"/>
      <c r="F930" s="151" t="s">
        <v>5658</v>
      </c>
      <c r="H930" s="152">
        <v>108.72499999999999</v>
      </c>
      <c r="L930" s="149"/>
      <c r="M930" s="153"/>
      <c r="T930" s="154"/>
      <c r="AT930" s="150" t="s">
        <v>346</v>
      </c>
      <c r="AU930" s="150" t="s">
        <v>90</v>
      </c>
      <c r="AV930" s="148" t="s">
        <v>90</v>
      </c>
      <c r="AW930" s="148" t="s">
        <v>33</v>
      </c>
      <c r="AX930" s="148" t="s">
        <v>80</v>
      </c>
      <c r="AY930" s="150" t="s">
        <v>337</v>
      </c>
    </row>
    <row r="931" spans="2:65" s="148" customFormat="1" x14ac:dyDescent="0.2">
      <c r="B931" s="149"/>
      <c r="D931" s="143" t="s">
        <v>346</v>
      </c>
      <c r="E931" s="150"/>
      <c r="F931" s="151" t="s">
        <v>5659</v>
      </c>
      <c r="H931" s="152">
        <v>164.065</v>
      </c>
      <c r="L931" s="149"/>
      <c r="M931" s="153"/>
      <c r="T931" s="154"/>
      <c r="AT931" s="150" t="s">
        <v>346</v>
      </c>
      <c r="AU931" s="150" t="s">
        <v>90</v>
      </c>
      <c r="AV931" s="148" t="s">
        <v>90</v>
      </c>
      <c r="AW931" s="148" t="s">
        <v>33</v>
      </c>
      <c r="AX931" s="148" t="s">
        <v>80</v>
      </c>
      <c r="AY931" s="150" t="s">
        <v>337</v>
      </c>
    </row>
    <row r="932" spans="2:65" s="172" customFormat="1" x14ac:dyDescent="0.2">
      <c r="B932" s="173"/>
      <c r="D932" s="143" t="s">
        <v>346</v>
      </c>
      <c r="E932" s="174" t="s">
        <v>5188</v>
      </c>
      <c r="F932" s="175" t="s">
        <v>609</v>
      </c>
      <c r="H932" s="176">
        <v>943.87099999999998</v>
      </c>
      <c r="L932" s="173"/>
      <c r="M932" s="177"/>
      <c r="T932" s="178"/>
      <c r="AT932" s="174" t="s">
        <v>346</v>
      </c>
      <c r="AU932" s="174" t="s">
        <v>90</v>
      </c>
      <c r="AV932" s="172" t="s">
        <v>113</v>
      </c>
      <c r="AW932" s="172" t="s">
        <v>33</v>
      </c>
      <c r="AX932" s="172" t="s">
        <v>87</v>
      </c>
      <c r="AY932" s="174" t="s">
        <v>337</v>
      </c>
    </row>
    <row r="933" spans="2:65" s="16" customFormat="1" ht="24.2" customHeight="1" x14ac:dyDescent="0.2">
      <c r="B933" s="17"/>
      <c r="C933" s="128">
        <v>45</v>
      </c>
      <c r="D933" s="128" t="s">
        <v>339</v>
      </c>
      <c r="E933" s="129" t="s">
        <v>5660</v>
      </c>
      <c r="F933" s="130" t="s">
        <v>5661</v>
      </c>
      <c r="G933" s="131" t="s">
        <v>990</v>
      </c>
      <c r="H933" s="132">
        <v>103.717</v>
      </c>
      <c r="I933" s="133"/>
      <c r="J933" s="134">
        <f>ROUND(I933*H933,2)</f>
        <v>0</v>
      </c>
      <c r="K933" s="130" t="s">
        <v>343</v>
      </c>
      <c r="L933" s="17"/>
      <c r="M933" s="135"/>
      <c r="N933" s="136" t="s">
        <v>45</v>
      </c>
      <c r="P933" s="137">
        <f>O933*H933</f>
        <v>0</v>
      </c>
      <c r="Q933" s="137">
        <v>0</v>
      </c>
      <c r="R933" s="137">
        <f>Q933*H933</f>
        <v>0</v>
      </c>
      <c r="S933" s="137">
        <v>0</v>
      </c>
      <c r="T933" s="138">
        <f>S933*H933</f>
        <v>0</v>
      </c>
      <c r="AR933" s="139" t="s">
        <v>344</v>
      </c>
      <c r="AT933" s="139" t="s">
        <v>339</v>
      </c>
      <c r="AU933" s="139" t="s">
        <v>90</v>
      </c>
      <c r="AY933" s="2" t="s">
        <v>337</v>
      </c>
      <c r="BE933" s="140">
        <f>IF(N933="základní",J933,0)</f>
        <v>0</v>
      </c>
      <c r="BF933" s="140">
        <f>IF(N933="snížená",J933,0)</f>
        <v>0</v>
      </c>
      <c r="BG933" s="140">
        <f>IF(N933="zákl. přenesená",J933,0)</f>
        <v>0</v>
      </c>
      <c r="BH933" s="140">
        <f>IF(N933="sníž. přenesená",J933,0)</f>
        <v>0</v>
      </c>
      <c r="BI933" s="140">
        <f>IF(N933="nulová",J933,0)</f>
        <v>0</v>
      </c>
      <c r="BJ933" s="2" t="s">
        <v>87</v>
      </c>
      <c r="BK933" s="140">
        <f>ROUND(I933*H933,2)</f>
        <v>0</v>
      </c>
      <c r="BL933" s="2" t="s">
        <v>344</v>
      </c>
      <c r="BM933" s="139" t="s">
        <v>5662</v>
      </c>
    </row>
    <row r="934" spans="2:65" s="141" customFormat="1" x14ac:dyDescent="0.2">
      <c r="B934" s="142"/>
      <c r="D934" s="143" t="s">
        <v>346</v>
      </c>
      <c r="E934" s="144"/>
      <c r="F934" s="145" t="s">
        <v>5663</v>
      </c>
      <c r="H934" s="144"/>
      <c r="L934" s="142"/>
      <c r="M934" s="146"/>
      <c r="T934" s="147"/>
      <c r="AT934" s="144" t="s">
        <v>346</v>
      </c>
      <c r="AU934" s="144" t="s">
        <v>90</v>
      </c>
      <c r="AV934" s="141" t="s">
        <v>87</v>
      </c>
      <c r="AW934" s="141" t="s">
        <v>33</v>
      </c>
      <c r="AX934" s="141" t="s">
        <v>80</v>
      </c>
      <c r="AY934" s="144" t="s">
        <v>337</v>
      </c>
    </row>
    <row r="935" spans="2:65" s="148" customFormat="1" x14ac:dyDescent="0.2">
      <c r="B935" s="149"/>
      <c r="D935" s="143" t="s">
        <v>346</v>
      </c>
      <c r="E935" s="150"/>
      <c r="F935" s="151" t="s">
        <v>5664</v>
      </c>
      <c r="H935" s="152">
        <v>85.5</v>
      </c>
      <c r="L935" s="149"/>
      <c r="M935" s="153"/>
      <c r="T935" s="154"/>
      <c r="AT935" s="150" t="s">
        <v>346</v>
      </c>
      <c r="AU935" s="150" t="s">
        <v>90</v>
      </c>
      <c r="AV935" s="148" t="s">
        <v>90</v>
      </c>
      <c r="AW935" s="148" t="s">
        <v>33</v>
      </c>
      <c r="AX935" s="148" t="s">
        <v>80</v>
      </c>
      <c r="AY935" s="150" t="s">
        <v>337</v>
      </c>
    </row>
    <row r="936" spans="2:65" s="141" customFormat="1" x14ac:dyDescent="0.2">
      <c r="B936" s="142"/>
      <c r="D936" s="143" t="s">
        <v>346</v>
      </c>
      <c r="E936" s="144"/>
      <c r="F936" s="145" t="s">
        <v>5665</v>
      </c>
      <c r="H936" s="144"/>
      <c r="L936" s="142"/>
      <c r="M936" s="146"/>
      <c r="T936" s="147"/>
      <c r="AT936" s="144" t="s">
        <v>346</v>
      </c>
      <c r="AU936" s="144" t="s">
        <v>90</v>
      </c>
      <c r="AV936" s="141" t="s">
        <v>87</v>
      </c>
      <c r="AW936" s="141" t="s">
        <v>33</v>
      </c>
      <c r="AX936" s="141" t="s">
        <v>80</v>
      </c>
      <c r="AY936" s="144" t="s">
        <v>337</v>
      </c>
    </row>
    <row r="937" spans="2:65" s="148" customFormat="1" x14ac:dyDescent="0.2">
      <c r="B937" s="149"/>
      <c r="D937" s="143" t="s">
        <v>346</v>
      </c>
      <c r="E937" s="150"/>
      <c r="F937" s="151" t="s">
        <v>5666</v>
      </c>
      <c r="H937" s="152">
        <v>1.6060000000000001</v>
      </c>
      <c r="L937" s="149"/>
      <c r="M937" s="153"/>
      <c r="T937" s="154"/>
      <c r="AT937" s="150" t="s">
        <v>346</v>
      </c>
      <c r="AU937" s="150" t="s">
        <v>90</v>
      </c>
      <c r="AV937" s="148" t="s">
        <v>90</v>
      </c>
      <c r="AW937" s="148" t="s">
        <v>33</v>
      </c>
      <c r="AX937" s="148" t="s">
        <v>80</v>
      </c>
      <c r="AY937" s="150" t="s">
        <v>337</v>
      </c>
    </row>
    <row r="938" spans="2:65" s="148" customFormat="1" x14ac:dyDescent="0.2">
      <c r="B938" s="149"/>
      <c r="D938" s="143" t="s">
        <v>346</v>
      </c>
      <c r="E938" s="150"/>
      <c r="F938" s="151" t="s">
        <v>5667</v>
      </c>
      <c r="H938" s="152">
        <v>2.3359999999999999</v>
      </c>
      <c r="L938" s="149"/>
      <c r="M938" s="153"/>
      <c r="T938" s="154"/>
      <c r="AT938" s="150" t="s">
        <v>346</v>
      </c>
      <c r="AU938" s="150" t="s">
        <v>90</v>
      </c>
      <c r="AV938" s="148" t="s">
        <v>90</v>
      </c>
      <c r="AW938" s="148" t="s">
        <v>33</v>
      </c>
      <c r="AX938" s="148" t="s">
        <v>80</v>
      </c>
      <c r="AY938" s="150" t="s">
        <v>337</v>
      </c>
    </row>
    <row r="939" spans="2:65" s="148" customFormat="1" x14ac:dyDescent="0.2">
      <c r="B939" s="149"/>
      <c r="D939" s="143" t="s">
        <v>346</v>
      </c>
      <c r="E939" s="150"/>
      <c r="F939" s="151" t="s">
        <v>5668</v>
      </c>
      <c r="H939" s="152">
        <v>5.16</v>
      </c>
      <c r="L939" s="149"/>
      <c r="M939" s="153"/>
      <c r="T939" s="154"/>
      <c r="AT939" s="150" t="s">
        <v>346</v>
      </c>
      <c r="AU939" s="150" t="s">
        <v>90</v>
      </c>
      <c r="AV939" s="148" t="s">
        <v>90</v>
      </c>
      <c r="AW939" s="148" t="s">
        <v>33</v>
      </c>
      <c r="AX939" s="148" t="s">
        <v>80</v>
      </c>
      <c r="AY939" s="150" t="s">
        <v>337</v>
      </c>
    </row>
    <row r="940" spans="2:65" s="148" customFormat="1" x14ac:dyDescent="0.2">
      <c r="B940" s="149"/>
      <c r="D940" s="143" t="s">
        <v>346</v>
      </c>
      <c r="E940" s="150"/>
      <c r="F940" s="151" t="s">
        <v>5669</v>
      </c>
      <c r="H940" s="152">
        <v>7.74</v>
      </c>
      <c r="L940" s="149"/>
      <c r="M940" s="153"/>
      <c r="T940" s="154"/>
      <c r="AT940" s="150" t="s">
        <v>346</v>
      </c>
      <c r="AU940" s="150" t="s">
        <v>90</v>
      </c>
      <c r="AV940" s="148" t="s">
        <v>90</v>
      </c>
      <c r="AW940" s="148" t="s">
        <v>33</v>
      </c>
      <c r="AX940" s="148" t="s">
        <v>80</v>
      </c>
      <c r="AY940" s="150" t="s">
        <v>337</v>
      </c>
    </row>
    <row r="941" spans="2:65" s="148" customFormat="1" x14ac:dyDescent="0.2">
      <c r="B941" s="149"/>
      <c r="D941" s="143" t="s">
        <v>346</v>
      </c>
      <c r="E941" s="150"/>
      <c r="F941" s="151" t="s">
        <v>5670</v>
      </c>
      <c r="H941" s="152">
        <v>1.375</v>
      </c>
      <c r="L941" s="149"/>
      <c r="M941" s="153"/>
      <c r="T941" s="154"/>
      <c r="AT941" s="150" t="s">
        <v>346</v>
      </c>
      <c r="AU941" s="150" t="s">
        <v>90</v>
      </c>
      <c r="AV941" s="148" t="s">
        <v>90</v>
      </c>
      <c r="AW941" s="148" t="s">
        <v>33</v>
      </c>
      <c r="AX941" s="148" t="s">
        <v>80</v>
      </c>
      <c r="AY941" s="150" t="s">
        <v>337</v>
      </c>
    </row>
    <row r="942" spans="2:65" s="172" customFormat="1" x14ac:dyDescent="0.2">
      <c r="B942" s="173"/>
      <c r="D942" s="143" t="s">
        <v>346</v>
      </c>
      <c r="E942" s="174" t="s">
        <v>5161</v>
      </c>
      <c r="F942" s="175" t="s">
        <v>609</v>
      </c>
      <c r="H942" s="176">
        <v>103.717</v>
      </c>
      <c r="L942" s="173"/>
      <c r="M942" s="177"/>
      <c r="T942" s="178"/>
      <c r="AT942" s="174" t="s">
        <v>346</v>
      </c>
      <c r="AU942" s="174" t="s">
        <v>90</v>
      </c>
      <c r="AV942" s="172" t="s">
        <v>113</v>
      </c>
      <c r="AW942" s="172" t="s">
        <v>33</v>
      </c>
      <c r="AX942" s="172" t="s">
        <v>87</v>
      </c>
      <c r="AY942" s="174" t="s">
        <v>337</v>
      </c>
    </row>
    <row r="943" spans="2:65" s="16" customFormat="1" ht="24.2" customHeight="1" x14ac:dyDescent="0.2">
      <c r="B943" s="17"/>
      <c r="C943" s="128">
        <v>46</v>
      </c>
      <c r="D943" s="128" t="s">
        <v>339</v>
      </c>
      <c r="E943" s="129" t="s">
        <v>5671</v>
      </c>
      <c r="F943" s="130" t="s">
        <v>5672</v>
      </c>
      <c r="G943" s="131" t="s">
        <v>990</v>
      </c>
      <c r="H943" s="132">
        <v>434.07299999999998</v>
      </c>
      <c r="I943" s="133"/>
      <c r="J943" s="134">
        <f>ROUND(I943*H943,2)</f>
        <v>0</v>
      </c>
      <c r="K943" s="130" t="s">
        <v>343</v>
      </c>
      <c r="L943" s="17"/>
      <c r="M943" s="135"/>
      <c r="N943" s="136" t="s">
        <v>45</v>
      </c>
      <c r="P943" s="137">
        <f>O943*H943</f>
        <v>0</v>
      </c>
      <c r="Q943" s="137">
        <v>0</v>
      </c>
      <c r="R943" s="137">
        <f>Q943*H943</f>
        <v>0</v>
      </c>
      <c r="S943" s="137">
        <v>0</v>
      </c>
      <c r="T943" s="138">
        <f>S943*H943</f>
        <v>0</v>
      </c>
      <c r="AR943" s="139" t="s">
        <v>344</v>
      </c>
      <c r="AT943" s="139" t="s">
        <v>339</v>
      </c>
      <c r="AU943" s="139" t="s">
        <v>90</v>
      </c>
      <c r="AY943" s="2" t="s">
        <v>337</v>
      </c>
      <c r="BE943" s="140">
        <f>IF(N943="základní",J943,0)</f>
        <v>0</v>
      </c>
      <c r="BF943" s="140">
        <f>IF(N943="snížená",J943,0)</f>
        <v>0</v>
      </c>
      <c r="BG943" s="140">
        <f>IF(N943="zákl. přenesená",J943,0)</f>
        <v>0</v>
      </c>
      <c r="BH943" s="140">
        <f>IF(N943="sníž. přenesená",J943,0)</f>
        <v>0</v>
      </c>
      <c r="BI943" s="140">
        <f>IF(N943="nulová",J943,0)</f>
        <v>0</v>
      </c>
      <c r="BJ943" s="2" t="s">
        <v>87</v>
      </c>
      <c r="BK943" s="140">
        <f>ROUND(I943*H943,2)</f>
        <v>0</v>
      </c>
      <c r="BL943" s="2" t="s">
        <v>344</v>
      </c>
      <c r="BM943" s="139" t="s">
        <v>5673</v>
      </c>
    </row>
    <row r="944" spans="2:65" s="141" customFormat="1" x14ac:dyDescent="0.2">
      <c r="B944" s="142"/>
      <c r="D944" s="143" t="s">
        <v>346</v>
      </c>
      <c r="E944" s="144"/>
      <c r="F944" s="145" t="s">
        <v>5674</v>
      </c>
      <c r="H944" s="144"/>
      <c r="L944" s="142"/>
      <c r="M944" s="146"/>
      <c r="T944" s="147"/>
      <c r="AT944" s="144" t="s">
        <v>346</v>
      </c>
      <c r="AU944" s="144" t="s">
        <v>90</v>
      </c>
      <c r="AV944" s="141" t="s">
        <v>87</v>
      </c>
      <c r="AW944" s="141" t="s">
        <v>33</v>
      </c>
      <c r="AX944" s="141" t="s">
        <v>80</v>
      </c>
      <c r="AY944" s="144" t="s">
        <v>337</v>
      </c>
    </row>
    <row r="945" spans="2:65" s="148" customFormat="1" x14ac:dyDescent="0.2">
      <c r="B945" s="149"/>
      <c r="D945" s="143" t="s">
        <v>346</v>
      </c>
      <c r="E945" s="150"/>
      <c r="F945" s="151" t="s">
        <v>5675</v>
      </c>
      <c r="H945" s="152">
        <v>1938.136</v>
      </c>
      <c r="L945" s="149"/>
      <c r="M945" s="153"/>
      <c r="T945" s="154"/>
      <c r="AT945" s="150" t="s">
        <v>346</v>
      </c>
      <c r="AU945" s="150" t="s">
        <v>90</v>
      </c>
      <c r="AV945" s="148" t="s">
        <v>90</v>
      </c>
      <c r="AW945" s="148" t="s">
        <v>33</v>
      </c>
      <c r="AX945" s="148" t="s">
        <v>80</v>
      </c>
      <c r="AY945" s="150" t="s">
        <v>337</v>
      </c>
    </row>
    <row r="946" spans="2:65" s="172" customFormat="1" x14ac:dyDescent="0.2">
      <c r="B946" s="173"/>
      <c r="D946" s="143" t="s">
        <v>346</v>
      </c>
      <c r="E946" s="174" t="s">
        <v>5676</v>
      </c>
      <c r="F946" s="175" t="s">
        <v>609</v>
      </c>
      <c r="H946" s="176">
        <v>1938.136</v>
      </c>
      <c r="L946" s="173"/>
      <c r="M946" s="177"/>
      <c r="T946" s="178"/>
      <c r="AT946" s="174" t="s">
        <v>346</v>
      </c>
      <c r="AU946" s="174" t="s">
        <v>90</v>
      </c>
      <c r="AV946" s="172" t="s">
        <v>113</v>
      </c>
      <c r="AW946" s="172" t="s">
        <v>33</v>
      </c>
      <c r="AX946" s="172" t="s">
        <v>80</v>
      </c>
      <c r="AY946" s="174" t="s">
        <v>337</v>
      </c>
    </row>
    <row r="947" spans="2:65" s="141" customFormat="1" x14ac:dyDescent="0.2">
      <c r="B947" s="142"/>
      <c r="D947" s="143" t="s">
        <v>346</v>
      </c>
      <c r="E947" s="144"/>
      <c r="F947" s="145" t="s">
        <v>5677</v>
      </c>
      <c r="H947" s="144"/>
      <c r="L947" s="142"/>
      <c r="M947" s="146"/>
      <c r="T947" s="147"/>
      <c r="AT947" s="144" t="s">
        <v>346</v>
      </c>
      <c r="AU947" s="144" t="s">
        <v>90</v>
      </c>
      <c r="AV947" s="141" t="s">
        <v>87</v>
      </c>
      <c r="AW947" s="141" t="s">
        <v>33</v>
      </c>
      <c r="AX947" s="141" t="s">
        <v>80</v>
      </c>
      <c r="AY947" s="144" t="s">
        <v>337</v>
      </c>
    </row>
    <row r="948" spans="2:65" s="148" customFormat="1" x14ac:dyDescent="0.2">
      <c r="B948" s="149"/>
      <c r="D948" s="143" t="s">
        <v>346</v>
      </c>
      <c r="E948" s="150"/>
      <c r="F948" s="151" t="s">
        <v>5678</v>
      </c>
      <c r="H948" s="152">
        <v>-5.8419999999999996</v>
      </c>
      <c r="L948" s="149"/>
      <c r="M948" s="153"/>
      <c r="T948" s="154"/>
      <c r="AT948" s="150" t="s">
        <v>346</v>
      </c>
      <c r="AU948" s="150" t="s">
        <v>90</v>
      </c>
      <c r="AV948" s="148" t="s">
        <v>90</v>
      </c>
      <c r="AW948" s="148" t="s">
        <v>33</v>
      </c>
      <c r="AX948" s="148" t="s">
        <v>80</v>
      </c>
      <c r="AY948" s="150" t="s">
        <v>337</v>
      </c>
    </row>
    <row r="949" spans="2:65" s="148" customFormat="1" x14ac:dyDescent="0.2">
      <c r="B949" s="149"/>
      <c r="D949" s="143" t="s">
        <v>346</v>
      </c>
      <c r="E949" s="150"/>
      <c r="F949" s="151" t="s">
        <v>5679</v>
      </c>
      <c r="H949" s="152">
        <v>-12.141</v>
      </c>
      <c r="L949" s="149"/>
      <c r="M949" s="153"/>
      <c r="T949" s="154"/>
      <c r="AT949" s="150" t="s">
        <v>346</v>
      </c>
      <c r="AU949" s="150" t="s">
        <v>90</v>
      </c>
      <c r="AV949" s="148" t="s">
        <v>90</v>
      </c>
      <c r="AW949" s="148" t="s">
        <v>33</v>
      </c>
      <c r="AX949" s="148" t="s">
        <v>80</v>
      </c>
      <c r="AY949" s="150" t="s">
        <v>337</v>
      </c>
    </row>
    <row r="950" spans="2:65" s="148" customFormat="1" x14ac:dyDescent="0.2">
      <c r="B950" s="149"/>
      <c r="D950" s="143" t="s">
        <v>346</v>
      </c>
      <c r="E950" s="150"/>
      <c r="F950" s="151" t="s">
        <v>5680</v>
      </c>
      <c r="H950" s="152">
        <v>-943.87099999999998</v>
      </c>
      <c r="L950" s="149"/>
      <c r="M950" s="153"/>
      <c r="T950" s="154"/>
      <c r="AT950" s="150" t="s">
        <v>346</v>
      </c>
      <c r="AU950" s="150" t="s">
        <v>90</v>
      </c>
      <c r="AV950" s="148" t="s">
        <v>90</v>
      </c>
      <c r="AW950" s="148" t="s">
        <v>33</v>
      </c>
      <c r="AX950" s="148" t="s">
        <v>80</v>
      </c>
      <c r="AY950" s="150" t="s">
        <v>337</v>
      </c>
    </row>
    <row r="951" spans="2:65" s="148" customFormat="1" x14ac:dyDescent="0.2">
      <c r="B951" s="149"/>
      <c r="D951" s="143" t="s">
        <v>346</v>
      </c>
      <c r="E951" s="150"/>
      <c r="F951" s="151" t="s">
        <v>5681</v>
      </c>
      <c r="H951" s="152">
        <v>-103.717</v>
      </c>
      <c r="L951" s="149"/>
      <c r="M951" s="153"/>
      <c r="T951" s="154"/>
      <c r="AT951" s="150" t="s">
        <v>346</v>
      </c>
      <c r="AU951" s="150" t="s">
        <v>90</v>
      </c>
      <c r="AV951" s="148" t="s">
        <v>90</v>
      </c>
      <c r="AW951" s="148" t="s">
        <v>33</v>
      </c>
      <c r="AX951" s="148" t="s">
        <v>80</v>
      </c>
      <c r="AY951" s="150" t="s">
        <v>337</v>
      </c>
    </row>
    <row r="952" spans="2:65" s="148" customFormat="1" x14ac:dyDescent="0.2">
      <c r="B952" s="149"/>
      <c r="D952" s="143" t="s">
        <v>346</v>
      </c>
      <c r="E952" s="150"/>
      <c r="F952" s="151" t="s">
        <v>5682</v>
      </c>
      <c r="H952" s="152">
        <v>-389.33499999999998</v>
      </c>
      <c r="L952" s="149"/>
      <c r="M952" s="153"/>
      <c r="T952" s="154"/>
      <c r="AT952" s="150" t="s">
        <v>346</v>
      </c>
      <c r="AU952" s="150" t="s">
        <v>90</v>
      </c>
      <c r="AV952" s="148" t="s">
        <v>90</v>
      </c>
      <c r="AW952" s="148" t="s">
        <v>33</v>
      </c>
      <c r="AX952" s="148" t="s">
        <v>80</v>
      </c>
      <c r="AY952" s="150" t="s">
        <v>337</v>
      </c>
    </row>
    <row r="953" spans="2:65" s="148" customFormat="1" x14ac:dyDescent="0.2">
      <c r="B953" s="149"/>
      <c r="D953" s="143" t="s">
        <v>346</v>
      </c>
      <c r="E953" s="150"/>
      <c r="F953" s="151" t="s">
        <v>5683</v>
      </c>
      <c r="H953" s="152">
        <v>-15.196</v>
      </c>
      <c r="L953" s="149"/>
      <c r="M953" s="153"/>
      <c r="T953" s="154"/>
      <c r="AT953" s="150" t="s">
        <v>346</v>
      </c>
      <c r="AU953" s="150" t="s">
        <v>90</v>
      </c>
      <c r="AV953" s="148" t="s">
        <v>90</v>
      </c>
      <c r="AW953" s="148" t="s">
        <v>33</v>
      </c>
      <c r="AX953" s="148" t="s">
        <v>80</v>
      </c>
      <c r="AY953" s="150" t="s">
        <v>337</v>
      </c>
    </row>
    <row r="954" spans="2:65" s="148" customFormat="1" x14ac:dyDescent="0.2">
      <c r="B954" s="149"/>
      <c r="D954" s="143" t="s">
        <v>346</v>
      </c>
      <c r="E954" s="150"/>
      <c r="F954" s="151" t="s">
        <v>5684</v>
      </c>
      <c r="H954" s="152">
        <v>-30.986000000000001</v>
      </c>
      <c r="L954" s="149"/>
      <c r="M954" s="153"/>
      <c r="T954" s="154"/>
      <c r="AT954" s="150" t="s">
        <v>346</v>
      </c>
      <c r="AU954" s="150" t="s">
        <v>90</v>
      </c>
      <c r="AV954" s="148" t="s">
        <v>90</v>
      </c>
      <c r="AW954" s="148" t="s">
        <v>33</v>
      </c>
      <c r="AX954" s="148" t="s">
        <v>80</v>
      </c>
      <c r="AY954" s="150" t="s">
        <v>337</v>
      </c>
    </row>
    <row r="955" spans="2:65" s="148" customFormat="1" x14ac:dyDescent="0.2">
      <c r="B955" s="149"/>
      <c r="D955" s="143" t="s">
        <v>346</v>
      </c>
      <c r="E955" s="150"/>
      <c r="F955" s="151" t="s">
        <v>5685</v>
      </c>
      <c r="H955" s="152">
        <v>-2.9750000000000001</v>
      </c>
      <c r="L955" s="149"/>
      <c r="M955" s="153"/>
      <c r="T955" s="154"/>
      <c r="AT955" s="150" t="s">
        <v>346</v>
      </c>
      <c r="AU955" s="150" t="s">
        <v>90</v>
      </c>
      <c r="AV955" s="148" t="s">
        <v>90</v>
      </c>
      <c r="AW955" s="148" t="s">
        <v>33</v>
      </c>
      <c r="AX955" s="148" t="s">
        <v>80</v>
      </c>
      <c r="AY955" s="150" t="s">
        <v>337</v>
      </c>
    </row>
    <row r="956" spans="2:65" s="155" customFormat="1" x14ac:dyDescent="0.2">
      <c r="B956" s="156"/>
      <c r="D956" s="143" t="s">
        <v>346</v>
      </c>
      <c r="E956" s="157"/>
      <c r="F956" s="158" t="s">
        <v>351</v>
      </c>
      <c r="H956" s="159">
        <v>434.07299999999998</v>
      </c>
      <c r="L956" s="156"/>
      <c r="M956" s="160"/>
      <c r="T956" s="161"/>
      <c r="AT956" s="157" t="s">
        <v>346</v>
      </c>
      <c r="AU956" s="157" t="s">
        <v>90</v>
      </c>
      <c r="AV956" s="155" t="s">
        <v>344</v>
      </c>
      <c r="AW956" s="155" t="s">
        <v>33</v>
      </c>
      <c r="AX956" s="155" t="s">
        <v>87</v>
      </c>
      <c r="AY956" s="157" t="s">
        <v>337</v>
      </c>
    </row>
    <row r="957" spans="2:65" s="16" customFormat="1" ht="24.2" customHeight="1" x14ac:dyDescent="0.2">
      <c r="B957" s="17"/>
      <c r="C957" s="128">
        <v>47</v>
      </c>
      <c r="D957" s="128" t="s">
        <v>339</v>
      </c>
      <c r="E957" s="129" t="s">
        <v>5686</v>
      </c>
      <c r="F957" s="130" t="s">
        <v>5687</v>
      </c>
      <c r="G957" s="131" t="s">
        <v>990</v>
      </c>
      <c r="H957" s="132">
        <v>389.33499999999998</v>
      </c>
      <c r="I957" s="133"/>
      <c r="J957" s="134">
        <f>ROUND(I957*H957,2)</f>
        <v>0</v>
      </c>
      <c r="K957" s="130" t="s">
        <v>343</v>
      </c>
      <c r="L957" s="17"/>
      <c r="M957" s="135"/>
      <c r="N957" s="136" t="s">
        <v>45</v>
      </c>
      <c r="P957" s="137">
        <f>O957*H957</f>
        <v>0</v>
      </c>
      <c r="Q957" s="137">
        <v>0</v>
      </c>
      <c r="R957" s="137">
        <f>Q957*H957</f>
        <v>0</v>
      </c>
      <c r="S957" s="137">
        <v>0</v>
      </c>
      <c r="T957" s="138">
        <f>S957*H957</f>
        <v>0</v>
      </c>
      <c r="AR957" s="139" t="s">
        <v>344</v>
      </c>
      <c r="AT957" s="139" t="s">
        <v>339</v>
      </c>
      <c r="AU957" s="139" t="s">
        <v>90</v>
      </c>
      <c r="AY957" s="2" t="s">
        <v>337</v>
      </c>
      <c r="BE957" s="140">
        <f>IF(N957="základní",J957,0)</f>
        <v>0</v>
      </c>
      <c r="BF957" s="140">
        <f>IF(N957="snížená",J957,0)</f>
        <v>0</v>
      </c>
      <c r="BG957" s="140">
        <f>IF(N957="zákl. přenesená",J957,0)</f>
        <v>0</v>
      </c>
      <c r="BH957" s="140">
        <f>IF(N957="sníž. přenesená",J957,0)</f>
        <v>0</v>
      </c>
      <c r="BI957" s="140">
        <f>IF(N957="nulová",J957,0)</f>
        <v>0</v>
      </c>
      <c r="BJ957" s="2" t="s">
        <v>87</v>
      </c>
      <c r="BK957" s="140">
        <f>ROUND(I957*H957,2)</f>
        <v>0</v>
      </c>
      <c r="BL957" s="2" t="s">
        <v>344</v>
      </c>
      <c r="BM957" s="139" t="s">
        <v>5688</v>
      </c>
    </row>
    <row r="958" spans="2:65" s="141" customFormat="1" x14ac:dyDescent="0.2">
      <c r="B958" s="142"/>
      <c r="D958" s="143" t="s">
        <v>346</v>
      </c>
      <c r="E958" s="144"/>
      <c r="F958" s="145" t="s">
        <v>5689</v>
      </c>
      <c r="H958" s="144"/>
      <c r="L958" s="142"/>
      <c r="M958" s="146"/>
      <c r="T958" s="147"/>
      <c r="AT958" s="144" t="s">
        <v>346</v>
      </c>
      <c r="AU958" s="144" t="s">
        <v>90</v>
      </c>
      <c r="AV958" s="141" t="s">
        <v>87</v>
      </c>
      <c r="AW958" s="141" t="s">
        <v>33</v>
      </c>
      <c r="AX958" s="141" t="s">
        <v>80</v>
      </c>
      <c r="AY958" s="144" t="s">
        <v>337</v>
      </c>
    </row>
    <row r="959" spans="2:65" s="148" customFormat="1" x14ac:dyDescent="0.2">
      <c r="B959" s="149"/>
      <c r="D959" s="143" t="s">
        <v>346</v>
      </c>
      <c r="E959" s="150"/>
      <c r="F959" s="151" t="s">
        <v>5690</v>
      </c>
      <c r="H959" s="152">
        <v>389.33499999999998</v>
      </c>
      <c r="L959" s="149"/>
      <c r="M959" s="153"/>
      <c r="T959" s="154"/>
      <c r="AT959" s="150" t="s">
        <v>346</v>
      </c>
      <c r="AU959" s="150" t="s">
        <v>90</v>
      </c>
      <c r="AV959" s="148" t="s">
        <v>90</v>
      </c>
      <c r="AW959" s="148" t="s">
        <v>33</v>
      </c>
      <c r="AX959" s="148" t="s">
        <v>80</v>
      </c>
      <c r="AY959" s="150" t="s">
        <v>337</v>
      </c>
    </row>
    <row r="960" spans="2:65" s="172" customFormat="1" x14ac:dyDescent="0.2">
      <c r="B960" s="173"/>
      <c r="D960" s="143" t="s">
        <v>346</v>
      </c>
      <c r="E960" s="174" t="s">
        <v>5159</v>
      </c>
      <c r="F960" s="175" t="s">
        <v>609</v>
      </c>
      <c r="H960" s="176">
        <v>389.33499999999998</v>
      </c>
      <c r="L960" s="173"/>
      <c r="M960" s="177"/>
      <c r="T960" s="178"/>
      <c r="AT960" s="174" t="s">
        <v>346</v>
      </c>
      <c r="AU960" s="174" t="s">
        <v>90</v>
      </c>
      <c r="AV960" s="172" t="s">
        <v>113</v>
      </c>
      <c r="AW960" s="172" t="s">
        <v>33</v>
      </c>
      <c r="AX960" s="172" t="s">
        <v>87</v>
      </c>
      <c r="AY960" s="174" t="s">
        <v>337</v>
      </c>
    </row>
    <row r="961" spans="2:65" s="16" customFormat="1" ht="24.2" customHeight="1" x14ac:dyDescent="0.2">
      <c r="B961" s="17"/>
      <c r="C961" s="128">
        <v>48</v>
      </c>
      <c r="D961" s="128" t="s">
        <v>339</v>
      </c>
      <c r="E961" s="129" t="s">
        <v>5691</v>
      </c>
      <c r="F961" s="130" t="s">
        <v>5692</v>
      </c>
      <c r="G961" s="131" t="s">
        <v>990</v>
      </c>
      <c r="H961" s="132">
        <v>15.196</v>
      </c>
      <c r="I961" s="133"/>
      <c r="J961" s="134">
        <f>ROUND(I961*H961,2)</f>
        <v>0</v>
      </c>
      <c r="K961" s="130" t="s">
        <v>343</v>
      </c>
      <c r="L961" s="17"/>
      <c r="M961" s="135"/>
      <c r="N961" s="136" t="s">
        <v>45</v>
      </c>
      <c r="P961" s="137">
        <f>O961*H961</f>
        <v>0</v>
      </c>
      <c r="Q961" s="137">
        <v>0</v>
      </c>
      <c r="R961" s="137">
        <f>Q961*H961</f>
        <v>0</v>
      </c>
      <c r="S961" s="137">
        <v>0</v>
      </c>
      <c r="T961" s="138">
        <f>S961*H961</f>
        <v>0</v>
      </c>
      <c r="AR961" s="139" t="s">
        <v>344</v>
      </c>
      <c r="AT961" s="139" t="s">
        <v>339</v>
      </c>
      <c r="AU961" s="139" t="s">
        <v>90</v>
      </c>
      <c r="AY961" s="2" t="s">
        <v>337</v>
      </c>
      <c r="BE961" s="140">
        <f>IF(N961="základní",J961,0)</f>
        <v>0</v>
      </c>
      <c r="BF961" s="140">
        <f>IF(N961="snížená",J961,0)</f>
        <v>0</v>
      </c>
      <c r="BG961" s="140">
        <f>IF(N961="zákl. přenesená",J961,0)</f>
        <v>0</v>
      </c>
      <c r="BH961" s="140">
        <f>IF(N961="sníž. přenesená",J961,0)</f>
        <v>0</v>
      </c>
      <c r="BI961" s="140">
        <f>IF(N961="nulová",J961,0)</f>
        <v>0</v>
      </c>
      <c r="BJ961" s="2" t="s">
        <v>87</v>
      </c>
      <c r="BK961" s="140">
        <f>ROUND(I961*H961,2)</f>
        <v>0</v>
      </c>
      <c r="BL961" s="2" t="s">
        <v>344</v>
      </c>
      <c r="BM961" s="139" t="s">
        <v>5693</v>
      </c>
    </row>
    <row r="962" spans="2:65" s="141" customFormat="1" x14ac:dyDescent="0.2">
      <c r="B962" s="142"/>
      <c r="D962" s="143" t="s">
        <v>346</v>
      </c>
      <c r="E962" s="144"/>
      <c r="F962" s="145" t="s">
        <v>5694</v>
      </c>
      <c r="H962" s="144"/>
      <c r="L962" s="142"/>
      <c r="M962" s="146"/>
      <c r="T962" s="147"/>
      <c r="AT962" s="144" t="s">
        <v>346</v>
      </c>
      <c r="AU962" s="144" t="s">
        <v>90</v>
      </c>
      <c r="AV962" s="141" t="s">
        <v>87</v>
      </c>
      <c r="AW962" s="141" t="s">
        <v>33</v>
      </c>
      <c r="AX962" s="141" t="s">
        <v>80</v>
      </c>
      <c r="AY962" s="144" t="s">
        <v>337</v>
      </c>
    </row>
    <row r="963" spans="2:65" s="148" customFormat="1" x14ac:dyDescent="0.2">
      <c r="B963" s="149"/>
      <c r="D963" s="143" t="s">
        <v>346</v>
      </c>
      <c r="E963" s="150"/>
      <c r="F963" s="151" t="s">
        <v>5695</v>
      </c>
      <c r="H963" s="152">
        <v>15.196</v>
      </c>
      <c r="L963" s="149"/>
      <c r="M963" s="153"/>
      <c r="T963" s="154"/>
      <c r="AT963" s="150" t="s">
        <v>346</v>
      </c>
      <c r="AU963" s="150" t="s">
        <v>90</v>
      </c>
      <c r="AV963" s="148" t="s">
        <v>90</v>
      </c>
      <c r="AW963" s="148" t="s">
        <v>33</v>
      </c>
      <c r="AX963" s="148" t="s">
        <v>80</v>
      </c>
      <c r="AY963" s="150" t="s">
        <v>337</v>
      </c>
    </row>
    <row r="964" spans="2:65" s="172" customFormat="1" x14ac:dyDescent="0.2">
      <c r="B964" s="173"/>
      <c r="D964" s="143" t="s">
        <v>346</v>
      </c>
      <c r="E964" s="174" t="s">
        <v>5155</v>
      </c>
      <c r="F964" s="175" t="s">
        <v>609</v>
      </c>
      <c r="H964" s="176">
        <v>15.196</v>
      </c>
      <c r="L964" s="173"/>
      <c r="M964" s="177"/>
      <c r="T964" s="178"/>
      <c r="AT964" s="174" t="s">
        <v>346</v>
      </c>
      <c r="AU964" s="174" t="s">
        <v>90</v>
      </c>
      <c r="AV964" s="172" t="s">
        <v>113</v>
      </c>
      <c r="AW964" s="172" t="s">
        <v>33</v>
      </c>
      <c r="AX964" s="172" t="s">
        <v>87</v>
      </c>
      <c r="AY964" s="174" t="s">
        <v>337</v>
      </c>
    </row>
    <row r="965" spans="2:65" s="16" customFormat="1" ht="24.2" customHeight="1" x14ac:dyDescent="0.2">
      <c r="B965" s="17"/>
      <c r="C965" s="128">
        <v>49</v>
      </c>
      <c r="D965" s="128" t="s">
        <v>339</v>
      </c>
      <c r="E965" s="129" t="s">
        <v>5696</v>
      </c>
      <c r="F965" s="130" t="s">
        <v>5697</v>
      </c>
      <c r="G965" s="131" t="s">
        <v>990</v>
      </c>
      <c r="H965" s="132">
        <v>30.986000000000001</v>
      </c>
      <c r="I965" s="133"/>
      <c r="J965" s="134">
        <f>ROUND(I965*H965,2)</f>
        <v>0</v>
      </c>
      <c r="K965" s="130" t="s">
        <v>343</v>
      </c>
      <c r="L965" s="17"/>
      <c r="M965" s="135"/>
      <c r="N965" s="136" t="s">
        <v>45</v>
      </c>
      <c r="P965" s="137">
        <f>O965*H965</f>
        <v>0</v>
      </c>
      <c r="Q965" s="137">
        <v>0</v>
      </c>
      <c r="R965" s="137">
        <f>Q965*H965</f>
        <v>0</v>
      </c>
      <c r="S965" s="137">
        <v>0</v>
      </c>
      <c r="T965" s="138">
        <f>S965*H965</f>
        <v>0</v>
      </c>
      <c r="AR965" s="139" t="s">
        <v>344</v>
      </c>
      <c r="AT965" s="139" t="s">
        <v>339</v>
      </c>
      <c r="AU965" s="139" t="s">
        <v>90</v>
      </c>
      <c r="AY965" s="2" t="s">
        <v>337</v>
      </c>
      <c r="BE965" s="140">
        <f>IF(N965="základní",J965,0)</f>
        <v>0</v>
      </c>
      <c r="BF965" s="140">
        <f>IF(N965="snížená",J965,0)</f>
        <v>0</v>
      </c>
      <c r="BG965" s="140">
        <f>IF(N965="zákl. přenesená",J965,0)</f>
        <v>0</v>
      </c>
      <c r="BH965" s="140">
        <f>IF(N965="sníž. přenesená",J965,0)</f>
        <v>0</v>
      </c>
      <c r="BI965" s="140">
        <f>IF(N965="nulová",J965,0)</f>
        <v>0</v>
      </c>
      <c r="BJ965" s="2" t="s">
        <v>87</v>
      </c>
      <c r="BK965" s="140">
        <f>ROUND(I965*H965,2)</f>
        <v>0</v>
      </c>
      <c r="BL965" s="2" t="s">
        <v>344</v>
      </c>
      <c r="BM965" s="139" t="s">
        <v>5698</v>
      </c>
    </row>
    <row r="966" spans="2:65" s="141" customFormat="1" x14ac:dyDescent="0.2">
      <c r="B966" s="142"/>
      <c r="D966" s="143" t="s">
        <v>346</v>
      </c>
      <c r="E966" s="144"/>
      <c r="F966" s="145" t="s">
        <v>5699</v>
      </c>
      <c r="H966" s="144"/>
      <c r="L966" s="142"/>
      <c r="M966" s="146"/>
      <c r="T966" s="147"/>
      <c r="AT966" s="144" t="s">
        <v>346</v>
      </c>
      <c r="AU966" s="144" t="s">
        <v>90</v>
      </c>
      <c r="AV966" s="141" t="s">
        <v>87</v>
      </c>
      <c r="AW966" s="141" t="s">
        <v>33</v>
      </c>
      <c r="AX966" s="141" t="s">
        <v>80</v>
      </c>
      <c r="AY966" s="144" t="s">
        <v>337</v>
      </c>
    </row>
    <row r="967" spans="2:65" s="148" customFormat="1" x14ac:dyDescent="0.2">
      <c r="B967" s="149"/>
      <c r="D967" s="143" t="s">
        <v>346</v>
      </c>
      <c r="E967" s="150"/>
      <c r="F967" s="151" t="s">
        <v>5700</v>
      </c>
      <c r="H967" s="152">
        <v>5.1349999999999998</v>
      </c>
      <c r="L967" s="149"/>
      <c r="M967" s="153"/>
      <c r="T967" s="154"/>
      <c r="AT967" s="150" t="s">
        <v>346</v>
      </c>
      <c r="AU967" s="150" t="s">
        <v>90</v>
      </c>
      <c r="AV967" s="148" t="s">
        <v>90</v>
      </c>
      <c r="AW967" s="148" t="s">
        <v>33</v>
      </c>
      <c r="AX967" s="148" t="s">
        <v>80</v>
      </c>
      <c r="AY967" s="150" t="s">
        <v>337</v>
      </c>
    </row>
    <row r="968" spans="2:65" s="148" customFormat="1" x14ac:dyDescent="0.2">
      <c r="B968" s="149"/>
      <c r="D968" s="143" t="s">
        <v>346</v>
      </c>
      <c r="E968" s="150"/>
      <c r="F968" s="151" t="s">
        <v>5701</v>
      </c>
      <c r="H968" s="152">
        <v>11.528</v>
      </c>
      <c r="L968" s="149"/>
      <c r="M968" s="153"/>
      <c r="T968" s="154"/>
      <c r="AT968" s="150" t="s">
        <v>346</v>
      </c>
      <c r="AU968" s="150" t="s">
        <v>90</v>
      </c>
      <c r="AV968" s="148" t="s">
        <v>90</v>
      </c>
      <c r="AW968" s="148" t="s">
        <v>33</v>
      </c>
      <c r="AX968" s="148" t="s">
        <v>80</v>
      </c>
      <c r="AY968" s="150" t="s">
        <v>337</v>
      </c>
    </row>
    <row r="969" spans="2:65" s="141" customFormat="1" x14ac:dyDescent="0.2">
      <c r="B969" s="142"/>
      <c r="D969" s="143" t="s">
        <v>346</v>
      </c>
      <c r="E969" s="144"/>
      <c r="F969" s="145" t="s">
        <v>5702</v>
      </c>
      <c r="H969" s="144"/>
      <c r="L969" s="142"/>
      <c r="M969" s="146"/>
      <c r="T969" s="147"/>
      <c r="AT969" s="144" t="s">
        <v>346</v>
      </c>
      <c r="AU969" s="144" t="s">
        <v>90</v>
      </c>
      <c r="AV969" s="141" t="s">
        <v>87</v>
      </c>
      <c r="AW969" s="141" t="s">
        <v>33</v>
      </c>
      <c r="AX969" s="141" t="s">
        <v>80</v>
      </c>
      <c r="AY969" s="144" t="s">
        <v>337</v>
      </c>
    </row>
    <row r="970" spans="2:65" s="141" customFormat="1" x14ac:dyDescent="0.2">
      <c r="B970" s="142"/>
      <c r="D970" s="143" t="s">
        <v>346</v>
      </c>
      <c r="E970" s="144"/>
      <c r="F970" s="145" t="s">
        <v>5703</v>
      </c>
      <c r="H970" s="144"/>
      <c r="L970" s="142"/>
      <c r="M970" s="146"/>
      <c r="T970" s="147"/>
      <c r="AT970" s="144" t="s">
        <v>346</v>
      </c>
      <c r="AU970" s="144" t="s">
        <v>90</v>
      </c>
      <c r="AV970" s="141" t="s">
        <v>87</v>
      </c>
      <c r="AW970" s="141" t="s">
        <v>33</v>
      </c>
      <c r="AX970" s="141" t="s">
        <v>80</v>
      </c>
      <c r="AY970" s="144" t="s">
        <v>337</v>
      </c>
    </row>
    <row r="971" spans="2:65" s="148" customFormat="1" x14ac:dyDescent="0.2">
      <c r="B971" s="149"/>
      <c r="D971" s="143" t="s">
        <v>346</v>
      </c>
      <c r="E971" s="150"/>
      <c r="F971" s="151" t="s">
        <v>5704</v>
      </c>
      <c r="H971" s="152">
        <v>3.581</v>
      </c>
      <c r="L971" s="149"/>
      <c r="M971" s="153"/>
      <c r="T971" s="154"/>
      <c r="AT971" s="150" t="s">
        <v>346</v>
      </c>
      <c r="AU971" s="150" t="s">
        <v>90</v>
      </c>
      <c r="AV971" s="148" t="s">
        <v>90</v>
      </c>
      <c r="AW971" s="148" t="s">
        <v>33</v>
      </c>
      <c r="AX971" s="148" t="s">
        <v>80</v>
      </c>
      <c r="AY971" s="150" t="s">
        <v>337</v>
      </c>
    </row>
    <row r="972" spans="2:65" s="148" customFormat="1" x14ac:dyDescent="0.2">
      <c r="B972" s="149"/>
      <c r="D972" s="143" t="s">
        <v>346</v>
      </c>
      <c r="E972" s="150"/>
      <c r="F972" s="151" t="s">
        <v>5705</v>
      </c>
      <c r="H972" s="152">
        <v>10.742000000000001</v>
      </c>
      <c r="L972" s="149"/>
      <c r="M972" s="153"/>
      <c r="T972" s="154"/>
      <c r="AT972" s="150" t="s">
        <v>346</v>
      </c>
      <c r="AU972" s="150" t="s">
        <v>90</v>
      </c>
      <c r="AV972" s="148" t="s">
        <v>90</v>
      </c>
      <c r="AW972" s="148" t="s">
        <v>33</v>
      </c>
      <c r="AX972" s="148" t="s">
        <v>80</v>
      </c>
      <c r="AY972" s="150" t="s">
        <v>337</v>
      </c>
    </row>
    <row r="973" spans="2:65" s="172" customFormat="1" x14ac:dyDescent="0.2">
      <c r="B973" s="173"/>
      <c r="D973" s="143" t="s">
        <v>346</v>
      </c>
      <c r="E973" s="174" t="s">
        <v>5153</v>
      </c>
      <c r="F973" s="175" t="s">
        <v>609</v>
      </c>
      <c r="H973" s="176">
        <v>30.986000000000001</v>
      </c>
      <c r="L973" s="173"/>
      <c r="M973" s="177"/>
      <c r="T973" s="178"/>
      <c r="AT973" s="174" t="s">
        <v>346</v>
      </c>
      <c r="AU973" s="174" t="s">
        <v>90</v>
      </c>
      <c r="AV973" s="172" t="s">
        <v>113</v>
      </c>
      <c r="AW973" s="172" t="s">
        <v>33</v>
      </c>
      <c r="AX973" s="172" t="s">
        <v>87</v>
      </c>
      <c r="AY973" s="174" t="s">
        <v>337</v>
      </c>
    </row>
    <row r="974" spans="2:65" s="16" customFormat="1" ht="16.5" customHeight="1" x14ac:dyDescent="0.2">
      <c r="B974" s="17"/>
      <c r="C974" s="128">
        <v>50</v>
      </c>
      <c r="D974" s="128" t="s">
        <v>339</v>
      </c>
      <c r="E974" s="129" t="s">
        <v>4933</v>
      </c>
      <c r="F974" s="130" t="s">
        <v>4934</v>
      </c>
      <c r="G974" s="131" t="s">
        <v>990</v>
      </c>
      <c r="H974" s="132">
        <v>2.9750000000000001</v>
      </c>
      <c r="I974" s="133"/>
      <c r="J974" s="134">
        <f>ROUND(I974*H974,2)</f>
        <v>0</v>
      </c>
      <c r="K974" s="130"/>
      <c r="L974" s="17"/>
      <c r="M974" s="135"/>
      <c r="N974" s="136" t="s">
        <v>45</v>
      </c>
      <c r="P974" s="137">
        <f>O974*H974</f>
        <v>0</v>
      </c>
      <c r="Q974" s="137">
        <v>0</v>
      </c>
      <c r="R974" s="137">
        <f>Q974*H974</f>
        <v>0</v>
      </c>
      <c r="S974" s="137">
        <v>0</v>
      </c>
      <c r="T974" s="138">
        <f>S974*H974</f>
        <v>0</v>
      </c>
      <c r="AR974" s="139" t="s">
        <v>344</v>
      </c>
      <c r="AT974" s="139" t="s">
        <v>339</v>
      </c>
      <c r="AU974" s="139" t="s">
        <v>90</v>
      </c>
      <c r="AY974" s="2" t="s">
        <v>337</v>
      </c>
      <c r="BE974" s="140">
        <f>IF(N974="základní",J974,0)</f>
        <v>0</v>
      </c>
      <c r="BF974" s="140">
        <f>IF(N974="snížená",J974,0)</f>
        <v>0</v>
      </c>
      <c r="BG974" s="140">
        <f>IF(N974="zákl. přenesená",J974,0)</f>
        <v>0</v>
      </c>
      <c r="BH974" s="140">
        <f>IF(N974="sníž. přenesená",J974,0)</f>
        <v>0</v>
      </c>
      <c r="BI974" s="140">
        <f>IF(N974="nulová",J974,0)</f>
        <v>0</v>
      </c>
      <c r="BJ974" s="2" t="s">
        <v>87</v>
      </c>
      <c r="BK974" s="140">
        <f>ROUND(I974*H974,2)</f>
        <v>0</v>
      </c>
      <c r="BL974" s="2" t="s">
        <v>344</v>
      </c>
      <c r="BM974" s="139" t="s">
        <v>5706</v>
      </c>
    </row>
    <row r="975" spans="2:65" s="141" customFormat="1" x14ac:dyDescent="0.2">
      <c r="B975" s="142"/>
      <c r="D975" s="143" t="s">
        <v>346</v>
      </c>
      <c r="E975" s="144"/>
      <c r="F975" s="145" t="s">
        <v>5707</v>
      </c>
      <c r="H975" s="144"/>
      <c r="L975" s="142"/>
      <c r="M975" s="146"/>
      <c r="T975" s="147"/>
      <c r="AT975" s="144" t="s">
        <v>346</v>
      </c>
      <c r="AU975" s="144" t="s">
        <v>90</v>
      </c>
      <c r="AV975" s="141" t="s">
        <v>87</v>
      </c>
      <c r="AW975" s="141" t="s">
        <v>33</v>
      </c>
      <c r="AX975" s="141" t="s">
        <v>80</v>
      </c>
      <c r="AY975" s="144" t="s">
        <v>337</v>
      </c>
    </row>
    <row r="976" spans="2:65" s="148" customFormat="1" x14ac:dyDescent="0.2">
      <c r="B976" s="149"/>
      <c r="D976" s="143" t="s">
        <v>346</v>
      </c>
      <c r="E976" s="150"/>
      <c r="F976" s="151" t="s">
        <v>5708</v>
      </c>
      <c r="H976" s="152">
        <v>1.5389999999999999</v>
      </c>
      <c r="L976" s="149"/>
      <c r="M976" s="153"/>
      <c r="T976" s="154"/>
      <c r="AT976" s="150" t="s">
        <v>346</v>
      </c>
      <c r="AU976" s="150" t="s">
        <v>90</v>
      </c>
      <c r="AV976" s="148" t="s">
        <v>90</v>
      </c>
      <c r="AW976" s="148" t="s">
        <v>33</v>
      </c>
      <c r="AX976" s="148" t="s">
        <v>80</v>
      </c>
      <c r="AY976" s="150" t="s">
        <v>337</v>
      </c>
    </row>
    <row r="977" spans="2:65" s="141" customFormat="1" x14ac:dyDescent="0.2">
      <c r="B977" s="142"/>
      <c r="D977" s="143" t="s">
        <v>346</v>
      </c>
      <c r="E977" s="144"/>
      <c r="F977" s="145" t="s">
        <v>5709</v>
      </c>
      <c r="H977" s="144"/>
      <c r="L977" s="142"/>
      <c r="M977" s="146"/>
      <c r="T977" s="147"/>
      <c r="AT977" s="144" t="s">
        <v>346</v>
      </c>
      <c r="AU977" s="144" t="s">
        <v>90</v>
      </c>
      <c r="AV977" s="141" t="s">
        <v>87</v>
      </c>
      <c r="AW977" s="141" t="s">
        <v>33</v>
      </c>
      <c r="AX977" s="141" t="s">
        <v>80</v>
      </c>
      <c r="AY977" s="144" t="s">
        <v>337</v>
      </c>
    </row>
    <row r="978" spans="2:65" s="148" customFormat="1" x14ac:dyDescent="0.2">
      <c r="B978" s="149"/>
      <c r="D978" s="143" t="s">
        <v>346</v>
      </c>
      <c r="E978" s="150"/>
      <c r="F978" s="151" t="s">
        <v>5710</v>
      </c>
      <c r="H978" s="152">
        <v>1.4359999999999999</v>
      </c>
      <c r="L978" s="149"/>
      <c r="M978" s="153"/>
      <c r="T978" s="154"/>
      <c r="AT978" s="150" t="s">
        <v>346</v>
      </c>
      <c r="AU978" s="150" t="s">
        <v>90</v>
      </c>
      <c r="AV978" s="148" t="s">
        <v>90</v>
      </c>
      <c r="AW978" s="148" t="s">
        <v>33</v>
      </c>
      <c r="AX978" s="148" t="s">
        <v>80</v>
      </c>
      <c r="AY978" s="150" t="s">
        <v>337</v>
      </c>
    </row>
    <row r="979" spans="2:65" s="172" customFormat="1" x14ac:dyDescent="0.2">
      <c r="B979" s="173"/>
      <c r="D979" s="143" t="s">
        <v>346</v>
      </c>
      <c r="E979" s="174" t="s">
        <v>5157</v>
      </c>
      <c r="F979" s="175" t="s">
        <v>609</v>
      </c>
      <c r="H979" s="176">
        <v>2.9750000000000001</v>
      </c>
      <c r="L979" s="173"/>
      <c r="M979" s="177"/>
      <c r="T979" s="178"/>
      <c r="AT979" s="174" t="s">
        <v>346</v>
      </c>
      <c r="AU979" s="174" t="s">
        <v>90</v>
      </c>
      <c r="AV979" s="172" t="s">
        <v>113</v>
      </c>
      <c r="AW979" s="172" t="s">
        <v>33</v>
      </c>
      <c r="AX979" s="172" t="s">
        <v>87</v>
      </c>
      <c r="AY979" s="174" t="s">
        <v>337</v>
      </c>
    </row>
    <row r="980" spans="2:65" s="116" customFormat="1" ht="25.9" customHeight="1" x14ac:dyDescent="0.2">
      <c r="B980" s="117"/>
      <c r="D980" s="118" t="s">
        <v>79</v>
      </c>
      <c r="E980" s="119" t="s">
        <v>992</v>
      </c>
      <c r="F980" s="119" t="s">
        <v>993</v>
      </c>
      <c r="J980" s="120">
        <f>BK980</f>
        <v>0</v>
      </c>
      <c r="L980" s="117"/>
      <c r="M980" s="121"/>
      <c r="P980" s="122">
        <f>P981+P986+P1010+P1019+P1051+P1137+P1160+P1171+P1330</f>
        <v>0</v>
      </c>
      <c r="R980" s="122">
        <f>R981+R986+R1010+R1019+R1051+R1137+R1160+R1171+R1330</f>
        <v>0.55000000000000004</v>
      </c>
      <c r="T980" s="123">
        <f>T981+T986+T1010+T1019+T1051+T1137+T1160+T1171+T1330</f>
        <v>381.22735419000003</v>
      </c>
      <c r="AR980" s="118" t="s">
        <v>90</v>
      </c>
      <c r="AT980" s="124" t="s">
        <v>79</v>
      </c>
      <c r="AU980" s="124" t="s">
        <v>80</v>
      </c>
      <c r="AY980" s="118" t="s">
        <v>337</v>
      </c>
      <c r="BK980" s="125">
        <f>BK981+BK986+BK1010+BK1019+BK1051+BK1137+BK1160+BK1171+BK1330</f>
        <v>0</v>
      </c>
    </row>
    <row r="981" spans="2:65" s="116" customFormat="1" ht="22.9" customHeight="1" x14ac:dyDescent="0.2">
      <c r="B981" s="117"/>
      <c r="D981" s="118" t="s">
        <v>79</v>
      </c>
      <c r="E981" s="126" t="s">
        <v>994</v>
      </c>
      <c r="F981" s="126" t="s">
        <v>995</v>
      </c>
      <c r="J981" s="127">
        <f>BK981</f>
        <v>0</v>
      </c>
      <c r="L981" s="117"/>
      <c r="M981" s="121"/>
      <c r="P981" s="122">
        <f>SUM(P982:P985)</f>
        <v>0</v>
      </c>
      <c r="R981" s="122">
        <f>SUM(R982:R985)</f>
        <v>0</v>
      </c>
      <c r="T981" s="123">
        <f>SUM(T982:T985)</f>
        <v>2.6495600000000001</v>
      </c>
      <c r="AR981" s="118" t="s">
        <v>90</v>
      </c>
      <c r="AT981" s="124" t="s">
        <v>79</v>
      </c>
      <c r="AU981" s="124" t="s">
        <v>87</v>
      </c>
      <c r="AY981" s="118" t="s">
        <v>337</v>
      </c>
      <c r="BK981" s="125">
        <f>SUM(BK982:BK985)</f>
        <v>0</v>
      </c>
    </row>
    <row r="982" spans="2:65" s="16" customFormat="1" ht="16.5" customHeight="1" x14ac:dyDescent="0.2">
      <c r="B982" s="17"/>
      <c r="C982" s="128">
        <v>51</v>
      </c>
      <c r="D982" s="128" t="s">
        <v>339</v>
      </c>
      <c r="E982" s="129" t="s">
        <v>5711</v>
      </c>
      <c r="F982" s="130" t="s">
        <v>5712</v>
      </c>
      <c r="G982" s="131" t="s">
        <v>425</v>
      </c>
      <c r="H982" s="132">
        <v>662.39</v>
      </c>
      <c r="I982" s="133"/>
      <c r="J982" s="134">
        <f>ROUND(I982*H982,2)</f>
        <v>0</v>
      </c>
      <c r="K982" s="130" t="s">
        <v>343</v>
      </c>
      <c r="L982" s="17"/>
      <c r="M982" s="135"/>
      <c r="N982" s="136" t="s">
        <v>45</v>
      </c>
      <c r="P982" s="137">
        <f>O982*H982</f>
        <v>0</v>
      </c>
      <c r="Q982" s="137">
        <v>0</v>
      </c>
      <c r="R982" s="137">
        <f>Q982*H982</f>
        <v>0</v>
      </c>
      <c r="S982" s="137">
        <v>4.0000000000000001E-3</v>
      </c>
      <c r="T982" s="138">
        <f>S982*H982</f>
        <v>2.6495600000000001</v>
      </c>
      <c r="AR982" s="139" t="s">
        <v>496</v>
      </c>
      <c r="AT982" s="139" t="s">
        <v>339</v>
      </c>
      <c r="AU982" s="139" t="s">
        <v>90</v>
      </c>
      <c r="AY982" s="2" t="s">
        <v>337</v>
      </c>
      <c r="BE982" s="140">
        <f>IF(N982="základní",J982,0)</f>
        <v>0</v>
      </c>
      <c r="BF982" s="140">
        <f>IF(N982="snížená",J982,0)</f>
        <v>0</v>
      </c>
      <c r="BG982" s="140">
        <f>IF(N982="zákl. přenesená",J982,0)</f>
        <v>0</v>
      </c>
      <c r="BH982" s="140">
        <f>IF(N982="sníž. přenesená",J982,0)</f>
        <v>0</v>
      </c>
      <c r="BI982" s="140">
        <f>IF(N982="nulová",J982,0)</f>
        <v>0</v>
      </c>
      <c r="BJ982" s="2" t="s">
        <v>87</v>
      </c>
      <c r="BK982" s="140">
        <f>ROUND(I982*H982,2)</f>
        <v>0</v>
      </c>
      <c r="BL982" s="2" t="s">
        <v>496</v>
      </c>
      <c r="BM982" s="139" t="s">
        <v>5713</v>
      </c>
    </row>
    <row r="983" spans="2:65" s="148" customFormat="1" x14ac:dyDescent="0.2">
      <c r="B983" s="149"/>
      <c r="D983" s="143" t="s">
        <v>346</v>
      </c>
      <c r="E983" s="150"/>
      <c r="F983" s="151" t="s">
        <v>5169</v>
      </c>
      <c r="H983" s="152">
        <v>653.25</v>
      </c>
      <c r="L983" s="149"/>
      <c r="M983" s="153"/>
      <c r="T983" s="154"/>
      <c r="AT983" s="150" t="s">
        <v>346</v>
      </c>
      <c r="AU983" s="150" t="s">
        <v>90</v>
      </c>
      <c r="AV983" s="148" t="s">
        <v>90</v>
      </c>
      <c r="AW983" s="148" t="s">
        <v>33</v>
      </c>
      <c r="AX983" s="148" t="s">
        <v>80</v>
      </c>
      <c r="AY983" s="150" t="s">
        <v>337</v>
      </c>
    </row>
    <row r="984" spans="2:65" s="148" customFormat="1" x14ac:dyDescent="0.2">
      <c r="B984" s="149"/>
      <c r="D984" s="143" t="s">
        <v>346</v>
      </c>
      <c r="E984" s="150"/>
      <c r="F984" s="151" t="s">
        <v>5167</v>
      </c>
      <c r="H984" s="152">
        <v>9.14</v>
      </c>
      <c r="L984" s="149"/>
      <c r="M984" s="153"/>
      <c r="T984" s="154"/>
      <c r="AT984" s="150" t="s">
        <v>346</v>
      </c>
      <c r="AU984" s="150" t="s">
        <v>90</v>
      </c>
      <c r="AV984" s="148" t="s">
        <v>90</v>
      </c>
      <c r="AW984" s="148" t="s">
        <v>33</v>
      </c>
      <c r="AX984" s="148" t="s">
        <v>80</v>
      </c>
      <c r="AY984" s="150" t="s">
        <v>337</v>
      </c>
    </row>
    <row r="985" spans="2:65" s="155" customFormat="1" x14ac:dyDescent="0.2">
      <c r="B985" s="156"/>
      <c r="D985" s="143" t="s">
        <v>346</v>
      </c>
      <c r="E985" s="157"/>
      <c r="F985" s="158" t="s">
        <v>351</v>
      </c>
      <c r="H985" s="159">
        <v>662.39</v>
      </c>
      <c r="L985" s="156"/>
      <c r="M985" s="160"/>
      <c r="T985" s="161"/>
      <c r="AT985" s="157" t="s">
        <v>346</v>
      </c>
      <c r="AU985" s="157" t="s">
        <v>90</v>
      </c>
      <c r="AV985" s="155" t="s">
        <v>344</v>
      </c>
      <c r="AW985" s="155" t="s">
        <v>33</v>
      </c>
      <c r="AX985" s="155" t="s">
        <v>87</v>
      </c>
      <c r="AY985" s="157" t="s">
        <v>337</v>
      </c>
    </row>
    <row r="986" spans="2:65" s="116" customFormat="1" ht="22.9" customHeight="1" x14ac:dyDescent="0.2">
      <c r="B986" s="117"/>
      <c r="D986" s="118" t="s">
        <v>79</v>
      </c>
      <c r="E986" s="126" t="s">
        <v>4061</v>
      </c>
      <c r="F986" s="126" t="s">
        <v>4062</v>
      </c>
      <c r="J986" s="127">
        <f>BK986</f>
        <v>0</v>
      </c>
      <c r="L986" s="117"/>
      <c r="M986" s="121"/>
      <c r="P986" s="122">
        <f>SUM(P987:P1009)</f>
        <v>0</v>
      </c>
      <c r="R986" s="122">
        <f>SUM(R987:R1009)</f>
        <v>0</v>
      </c>
      <c r="T986" s="123">
        <f>SUM(T987:T1009)</f>
        <v>340.10284999999999</v>
      </c>
      <c r="AR986" s="118" t="s">
        <v>90</v>
      </c>
      <c r="AT986" s="124" t="s">
        <v>79</v>
      </c>
      <c r="AU986" s="124" t="s">
        <v>87</v>
      </c>
      <c r="AY986" s="118" t="s">
        <v>337</v>
      </c>
      <c r="BK986" s="125">
        <f>SUM(BK987:BK1009)</f>
        <v>0</v>
      </c>
    </row>
    <row r="987" spans="2:65" s="16" customFormat="1" ht="16.5" customHeight="1" x14ac:dyDescent="0.2">
      <c r="B987" s="17"/>
      <c r="C987" s="128">
        <v>52</v>
      </c>
      <c r="D987" s="128" t="s">
        <v>339</v>
      </c>
      <c r="E987" s="129" t="s">
        <v>5714</v>
      </c>
      <c r="F987" s="130" t="s">
        <v>5715</v>
      </c>
      <c r="G987" s="131" t="s">
        <v>425</v>
      </c>
      <c r="H987" s="132">
        <v>651.04999999999995</v>
      </c>
      <c r="I987" s="133"/>
      <c r="J987" s="134">
        <f>ROUND(I987*H987,2)</f>
        <v>0</v>
      </c>
      <c r="K987" s="130" t="s">
        <v>343</v>
      </c>
      <c r="L987" s="17"/>
      <c r="M987" s="135"/>
      <c r="N987" s="136" t="s">
        <v>45</v>
      </c>
      <c r="P987" s="137">
        <f>O987*H987</f>
        <v>0</v>
      </c>
      <c r="Q987" s="137">
        <v>0</v>
      </c>
      <c r="R987" s="137">
        <f>Q987*H987</f>
        <v>0</v>
      </c>
      <c r="S987" s="137">
        <v>1.6500000000000001E-2</v>
      </c>
      <c r="T987" s="138">
        <f>S987*H987</f>
        <v>10.742324999999999</v>
      </c>
      <c r="AR987" s="139" t="s">
        <v>496</v>
      </c>
      <c r="AT987" s="139" t="s">
        <v>339</v>
      </c>
      <c r="AU987" s="139" t="s">
        <v>90</v>
      </c>
      <c r="AY987" s="2" t="s">
        <v>337</v>
      </c>
      <c r="BE987" s="140">
        <f>IF(N987="základní",J987,0)</f>
        <v>0</v>
      </c>
      <c r="BF987" s="140">
        <f>IF(N987="snížená",J987,0)</f>
        <v>0</v>
      </c>
      <c r="BG987" s="140">
        <f>IF(N987="zákl. přenesená",J987,0)</f>
        <v>0</v>
      </c>
      <c r="BH987" s="140">
        <f>IF(N987="sníž. přenesená",J987,0)</f>
        <v>0</v>
      </c>
      <c r="BI987" s="140">
        <f>IF(N987="nulová",J987,0)</f>
        <v>0</v>
      </c>
      <c r="BJ987" s="2" t="s">
        <v>87</v>
      </c>
      <c r="BK987" s="140">
        <f>ROUND(I987*H987,2)</f>
        <v>0</v>
      </c>
      <c r="BL987" s="2" t="s">
        <v>496</v>
      </c>
      <c r="BM987" s="139" t="s">
        <v>5716</v>
      </c>
    </row>
    <row r="988" spans="2:65" s="141" customFormat="1" x14ac:dyDescent="0.2">
      <c r="B988" s="142"/>
      <c r="D988" s="143" t="s">
        <v>346</v>
      </c>
      <c r="E988" s="144"/>
      <c r="F988" s="145" t="s">
        <v>5717</v>
      </c>
      <c r="H988" s="144"/>
      <c r="L988" s="142"/>
      <c r="M988" s="146"/>
      <c r="T988" s="147"/>
      <c r="AT988" s="144" t="s">
        <v>346</v>
      </c>
      <c r="AU988" s="144" t="s">
        <v>90</v>
      </c>
      <c r="AV988" s="141" t="s">
        <v>87</v>
      </c>
      <c r="AW988" s="141" t="s">
        <v>33</v>
      </c>
      <c r="AX988" s="141" t="s">
        <v>80</v>
      </c>
      <c r="AY988" s="144" t="s">
        <v>337</v>
      </c>
    </row>
    <row r="989" spans="2:65" s="148" customFormat="1" x14ac:dyDescent="0.2">
      <c r="B989" s="149"/>
      <c r="D989" s="143" t="s">
        <v>346</v>
      </c>
      <c r="E989" s="150"/>
      <c r="F989" s="151" t="s">
        <v>5718</v>
      </c>
      <c r="H989" s="152">
        <v>342.25</v>
      </c>
      <c r="L989" s="149"/>
      <c r="M989" s="153"/>
      <c r="T989" s="154"/>
      <c r="AT989" s="150" t="s">
        <v>346</v>
      </c>
      <c r="AU989" s="150" t="s">
        <v>90</v>
      </c>
      <c r="AV989" s="148" t="s">
        <v>90</v>
      </c>
      <c r="AW989" s="148" t="s">
        <v>33</v>
      </c>
      <c r="AX989" s="148" t="s">
        <v>80</v>
      </c>
      <c r="AY989" s="150" t="s">
        <v>337</v>
      </c>
    </row>
    <row r="990" spans="2:65" s="172" customFormat="1" x14ac:dyDescent="0.2">
      <c r="B990" s="173"/>
      <c r="D990" s="143" t="s">
        <v>346</v>
      </c>
      <c r="E990" s="174" t="s">
        <v>5174</v>
      </c>
      <c r="F990" s="175" t="s">
        <v>609</v>
      </c>
      <c r="H990" s="176">
        <v>342.25</v>
      </c>
      <c r="L990" s="173"/>
      <c r="M990" s="177"/>
      <c r="T990" s="178"/>
      <c r="AT990" s="174" t="s">
        <v>346</v>
      </c>
      <c r="AU990" s="174" t="s">
        <v>90</v>
      </c>
      <c r="AV990" s="172" t="s">
        <v>113</v>
      </c>
      <c r="AW990" s="172" t="s">
        <v>33</v>
      </c>
      <c r="AX990" s="172" t="s">
        <v>80</v>
      </c>
      <c r="AY990" s="174" t="s">
        <v>337</v>
      </c>
    </row>
    <row r="991" spans="2:65" s="141" customFormat="1" x14ac:dyDescent="0.2">
      <c r="B991" s="142"/>
      <c r="D991" s="143" t="s">
        <v>346</v>
      </c>
      <c r="E991" s="144"/>
      <c r="F991" s="145" t="s">
        <v>5719</v>
      </c>
      <c r="H991" s="144"/>
      <c r="L991" s="142"/>
      <c r="M991" s="146"/>
      <c r="T991" s="147"/>
      <c r="AT991" s="144" t="s">
        <v>346</v>
      </c>
      <c r="AU991" s="144" t="s">
        <v>90</v>
      </c>
      <c r="AV991" s="141" t="s">
        <v>87</v>
      </c>
      <c r="AW991" s="141" t="s">
        <v>33</v>
      </c>
      <c r="AX991" s="141" t="s">
        <v>80</v>
      </c>
      <c r="AY991" s="144" t="s">
        <v>337</v>
      </c>
    </row>
    <row r="992" spans="2:65" s="148" customFormat="1" x14ac:dyDescent="0.2">
      <c r="B992" s="149"/>
      <c r="D992" s="143" t="s">
        <v>346</v>
      </c>
      <c r="E992" s="150"/>
      <c r="F992" s="151" t="s">
        <v>5720</v>
      </c>
      <c r="H992" s="152">
        <v>308.8</v>
      </c>
      <c r="L992" s="149"/>
      <c r="M992" s="153"/>
      <c r="T992" s="154"/>
      <c r="AT992" s="150" t="s">
        <v>346</v>
      </c>
      <c r="AU992" s="150" t="s">
        <v>90</v>
      </c>
      <c r="AV992" s="148" t="s">
        <v>90</v>
      </c>
      <c r="AW992" s="148" t="s">
        <v>33</v>
      </c>
      <c r="AX992" s="148" t="s">
        <v>80</v>
      </c>
      <c r="AY992" s="150" t="s">
        <v>337</v>
      </c>
    </row>
    <row r="993" spans="2:65" s="172" customFormat="1" x14ac:dyDescent="0.2">
      <c r="B993" s="173"/>
      <c r="D993" s="143" t="s">
        <v>346</v>
      </c>
      <c r="E993" s="174" t="s">
        <v>5176</v>
      </c>
      <c r="F993" s="175" t="s">
        <v>609</v>
      </c>
      <c r="H993" s="176">
        <v>308.8</v>
      </c>
      <c r="L993" s="173"/>
      <c r="M993" s="177"/>
      <c r="T993" s="178"/>
      <c r="AT993" s="174" t="s">
        <v>346</v>
      </c>
      <c r="AU993" s="174" t="s">
        <v>90</v>
      </c>
      <c r="AV993" s="172" t="s">
        <v>113</v>
      </c>
      <c r="AW993" s="172" t="s">
        <v>33</v>
      </c>
      <c r="AX993" s="172" t="s">
        <v>80</v>
      </c>
      <c r="AY993" s="174" t="s">
        <v>337</v>
      </c>
    </row>
    <row r="994" spans="2:65" s="155" customFormat="1" x14ac:dyDescent="0.2">
      <c r="B994" s="156"/>
      <c r="D994" s="143" t="s">
        <v>346</v>
      </c>
      <c r="E994" s="157"/>
      <c r="F994" s="158" t="s">
        <v>351</v>
      </c>
      <c r="H994" s="159">
        <v>651.04999999999995</v>
      </c>
      <c r="L994" s="156"/>
      <c r="M994" s="160"/>
      <c r="T994" s="161"/>
      <c r="AT994" s="157" t="s">
        <v>346</v>
      </c>
      <c r="AU994" s="157" t="s">
        <v>90</v>
      </c>
      <c r="AV994" s="155" t="s">
        <v>344</v>
      </c>
      <c r="AW994" s="155" t="s">
        <v>33</v>
      </c>
      <c r="AX994" s="155" t="s">
        <v>87</v>
      </c>
      <c r="AY994" s="157" t="s">
        <v>337</v>
      </c>
    </row>
    <row r="995" spans="2:65" s="16" customFormat="1" ht="21.75" customHeight="1" x14ac:dyDescent="0.2">
      <c r="B995" s="17"/>
      <c r="C995" s="128">
        <v>53</v>
      </c>
      <c r="D995" s="128" t="s">
        <v>339</v>
      </c>
      <c r="E995" s="129" t="s">
        <v>5721</v>
      </c>
      <c r="F995" s="130" t="s">
        <v>5722</v>
      </c>
      <c r="G995" s="131" t="s">
        <v>425</v>
      </c>
      <c r="H995" s="132">
        <v>342.25</v>
      </c>
      <c r="I995" s="133"/>
      <c r="J995" s="134">
        <f>ROUND(I995*H995,2)</f>
        <v>0</v>
      </c>
      <c r="K995" s="130" t="s">
        <v>343</v>
      </c>
      <c r="L995" s="17"/>
      <c r="M995" s="135"/>
      <c r="N995" s="136" t="s">
        <v>45</v>
      </c>
      <c r="P995" s="137">
        <f>O995*H995</f>
        <v>0</v>
      </c>
      <c r="Q995" s="137">
        <v>0</v>
      </c>
      <c r="R995" s="137">
        <f>Q995*H995</f>
        <v>0</v>
      </c>
      <c r="S995" s="137">
        <v>5.4999999999999997E-3</v>
      </c>
      <c r="T995" s="138">
        <f>S995*H995</f>
        <v>1.8823749999999999</v>
      </c>
      <c r="AR995" s="139" t="s">
        <v>496</v>
      </c>
      <c r="AT995" s="139" t="s">
        <v>339</v>
      </c>
      <c r="AU995" s="139" t="s">
        <v>90</v>
      </c>
      <c r="AY995" s="2" t="s">
        <v>337</v>
      </c>
      <c r="BE995" s="140">
        <f>IF(N995="základní",J995,0)</f>
        <v>0</v>
      </c>
      <c r="BF995" s="140">
        <f>IF(N995="snížená",J995,0)</f>
        <v>0</v>
      </c>
      <c r="BG995" s="140">
        <f>IF(N995="zákl. přenesená",J995,0)</f>
        <v>0</v>
      </c>
      <c r="BH995" s="140">
        <f>IF(N995="sníž. přenesená",J995,0)</f>
        <v>0</v>
      </c>
      <c r="BI995" s="140">
        <f>IF(N995="nulová",J995,0)</f>
        <v>0</v>
      </c>
      <c r="BJ995" s="2" t="s">
        <v>87</v>
      </c>
      <c r="BK995" s="140">
        <f>ROUND(I995*H995,2)</f>
        <v>0</v>
      </c>
      <c r="BL995" s="2" t="s">
        <v>496</v>
      </c>
      <c r="BM995" s="139" t="s">
        <v>5723</v>
      </c>
    </row>
    <row r="996" spans="2:65" s="141" customFormat="1" x14ac:dyDescent="0.2">
      <c r="B996" s="142"/>
      <c r="D996" s="143" t="s">
        <v>346</v>
      </c>
      <c r="E996" s="144"/>
      <c r="F996" s="145" t="s">
        <v>5724</v>
      </c>
      <c r="H996" s="144"/>
      <c r="L996" s="142"/>
      <c r="M996" s="146"/>
      <c r="T996" s="147"/>
      <c r="AT996" s="144" t="s">
        <v>346</v>
      </c>
      <c r="AU996" s="144" t="s">
        <v>90</v>
      </c>
      <c r="AV996" s="141" t="s">
        <v>87</v>
      </c>
      <c r="AW996" s="141" t="s">
        <v>33</v>
      </c>
      <c r="AX996" s="141" t="s">
        <v>80</v>
      </c>
      <c r="AY996" s="144" t="s">
        <v>337</v>
      </c>
    </row>
    <row r="997" spans="2:65" s="148" customFormat="1" x14ac:dyDescent="0.2">
      <c r="B997" s="149"/>
      <c r="D997" s="143" t="s">
        <v>346</v>
      </c>
      <c r="E997" s="150"/>
      <c r="F997" s="151" t="s">
        <v>5174</v>
      </c>
      <c r="H997" s="152">
        <v>342.25</v>
      </c>
      <c r="L997" s="149"/>
      <c r="M997" s="153"/>
      <c r="T997" s="154"/>
      <c r="AT997" s="150" t="s">
        <v>346</v>
      </c>
      <c r="AU997" s="150" t="s">
        <v>90</v>
      </c>
      <c r="AV997" s="148" t="s">
        <v>90</v>
      </c>
      <c r="AW997" s="148" t="s">
        <v>33</v>
      </c>
      <c r="AX997" s="148" t="s">
        <v>87</v>
      </c>
      <c r="AY997" s="150" t="s">
        <v>337</v>
      </c>
    </row>
    <row r="998" spans="2:65" s="16" customFormat="1" ht="16.5" customHeight="1" x14ac:dyDescent="0.2">
      <c r="B998" s="17"/>
      <c r="C998" s="128">
        <v>54</v>
      </c>
      <c r="D998" s="128" t="s">
        <v>339</v>
      </c>
      <c r="E998" s="129" t="s">
        <v>5725</v>
      </c>
      <c r="F998" s="130" t="s">
        <v>5726</v>
      </c>
      <c r="G998" s="131" t="s">
        <v>425</v>
      </c>
      <c r="H998" s="132">
        <v>651.04999999999995</v>
      </c>
      <c r="I998" s="133"/>
      <c r="J998" s="134">
        <f>ROUND(I998*H998,2)</f>
        <v>0</v>
      </c>
      <c r="K998" s="130" t="s">
        <v>343</v>
      </c>
      <c r="L998" s="17"/>
      <c r="M998" s="135"/>
      <c r="N998" s="136" t="s">
        <v>45</v>
      </c>
      <c r="P998" s="137">
        <f>O998*H998</f>
        <v>0</v>
      </c>
      <c r="Q998" s="137">
        <v>0</v>
      </c>
      <c r="R998" s="137">
        <f>Q998*H998</f>
        <v>0</v>
      </c>
      <c r="S998" s="137">
        <v>8.4000000000000005E-2</v>
      </c>
      <c r="T998" s="138">
        <f>S998*H998</f>
        <v>54.688200000000002</v>
      </c>
      <c r="AR998" s="139" t="s">
        <v>496</v>
      </c>
      <c r="AT998" s="139" t="s">
        <v>339</v>
      </c>
      <c r="AU998" s="139" t="s">
        <v>90</v>
      </c>
      <c r="AY998" s="2" t="s">
        <v>337</v>
      </c>
      <c r="BE998" s="140">
        <f>IF(N998="základní",J998,0)</f>
        <v>0</v>
      </c>
      <c r="BF998" s="140">
        <f>IF(N998="snížená",J998,0)</f>
        <v>0</v>
      </c>
      <c r="BG998" s="140">
        <f>IF(N998="zákl. přenesená",J998,0)</f>
        <v>0</v>
      </c>
      <c r="BH998" s="140">
        <f>IF(N998="sníž. přenesená",J998,0)</f>
        <v>0</v>
      </c>
      <c r="BI998" s="140">
        <f>IF(N998="nulová",J998,0)</f>
        <v>0</v>
      </c>
      <c r="BJ998" s="2" t="s">
        <v>87</v>
      </c>
      <c r="BK998" s="140">
        <f>ROUND(I998*H998,2)</f>
        <v>0</v>
      </c>
      <c r="BL998" s="2" t="s">
        <v>496</v>
      </c>
      <c r="BM998" s="139" t="s">
        <v>5727</v>
      </c>
    </row>
    <row r="999" spans="2:65" s="148" customFormat="1" x14ac:dyDescent="0.2">
      <c r="B999" s="149"/>
      <c r="D999" s="143" t="s">
        <v>346</v>
      </c>
      <c r="E999" s="150"/>
      <c r="F999" s="151" t="s">
        <v>5174</v>
      </c>
      <c r="H999" s="152">
        <v>342.25</v>
      </c>
      <c r="L999" s="149"/>
      <c r="M999" s="153"/>
      <c r="T999" s="154"/>
      <c r="AT999" s="150" t="s">
        <v>346</v>
      </c>
      <c r="AU999" s="150" t="s">
        <v>90</v>
      </c>
      <c r="AV999" s="148" t="s">
        <v>90</v>
      </c>
      <c r="AW999" s="148" t="s">
        <v>33</v>
      </c>
      <c r="AX999" s="148" t="s">
        <v>80</v>
      </c>
      <c r="AY999" s="150" t="s">
        <v>337</v>
      </c>
    </row>
    <row r="1000" spans="2:65" s="148" customFormat="1" x14ac:dyDescent="0.2">
      <c r="B1000" s="149"/>
      <c r="D1000" s="143" t="s">
        <v>346</v>
      </c>
      <c r="E1000" s="150"/>
      <c r="F1000" s="151" t="s">
        <v>5176</v>
      </c>
      <c r="H1000" s="152">
        <v>308.8</v>
      </c>
      <c r="L1000" s="149"/>
      <c r="M1000" s="153"/>
      <c r="T1000" s="154"/>
      <c r="AT1000" s="150" t="s">
        <v>346</v>
      </c>
      <c r="AU1000" s="150" t="s">
        <v>90</v>
      </c>
      <c r="AV1000" s="148" t="s">
        <v>90</v>
      </c>
      <c r="AW1000" s="148" t="s">
        <v>33</v>
      </c>
      <c r="AX1000" s="148" t="s">
        <v>80</v>
      </c>
      <c r="AY1000" s="150" t="s">
        <v>337</v>
      </c>
    </row>
    <row r="1001" spans="2:65" s="155" customFormat="1" x14ac:dyDescent="0.2">
      <c r="B1001" s="156"/>
      <c r="D1001" s="143" t="s">
        <v>346</v>
      </c>
      <c r="E1001" s="157"/>
      <c r="F1001" s="158" t="s">
        <v>351</v>
      </c>
      <c r="H1001" s="159">
        <v>651.04999999999995</v>
      </c>
      <c r="L1001" s="156"/>
      <c r="M1001" s="160"/>
      <c r="T1001" s="161"/>
      <c r="AT1001" s="157" t="s">
        <v>346</v>
      </c>
      <c r="AU1001" s="157" t="s">
        <v>90</v>
      </c>
      <c r="AV1001" s="155" t="s">
        <v>344</v>
      </c>
      <c r="AW1001" s="155" t="s">
        <v>33</v>
      </c>
      <c r="AX1001" s="155" t="s">
        <v>87</v>
      </c>
      <c r="AY1001" s="157" t="s">
        <v>337</v>
      </c>
    </row>
    <row r="1002" spans="2:65" s="16" customFormat="1" ht="16.5" customHeight="1" x14ac:dyDescent="0.2">
      <c r="B1002" s="17"/>
      <c r="C1002" s="128">
        <v>55</v>
      </c>
      <c r="D1002" s="128" t="s">
        <v>339</v>
      </c>
      <c r="E1002" s="129" t="s">
        <v>5728</v>
      </c>
      <c r="F1002" s="130" t="s">
        <v>5729</v>
      </c>
      <c r="G1002" s="131" t="s">
        <v>425</v>
      </c>
      <c r="H1002" s="132">
        <v>651.04999999999995</v>
      </c>
      <c r="I1002" s="133"/>
      <c r="J1002" s="134">
        <f>ROUND(I1002*H1002,2)</f>
        <v>0</v>
      </c>
      <c r="K1002" s="130" t="s">
        <v>343</v>
      </c>
      <c r="L1002" s="17"/>
      <c r="M1002" s="135"/>
      <c r="N1002" s="136" t="s">
        <v>45</v>
      </c>
      <c r="P1002" s="137">
        <f>O1002*H1002</f>
        <v>0</v>
      </c>
      <c r="Q1002" s="137">
        <v>0</v>
      </c>
      <c r="R1002" s="137">
        <f>Q1002*H1002</f>
        <v>0</v>
      </c>
      <c r="S1002" s="137">
        <v>0.16700000000000001</v>
      </c>
      <c r="T1002" s="138">
        <f>S1002*H1002</f>
        <v>108.72534999999999</v>
      </c>
      <c r="AR1002" s="139" t="s">
        <v>496</v>
      </c>
      <c r="AT1002" s="139" t="s">
        <v>339</v>
      </c>
      <c r="AU1002" s="139" t="s">
        <v>90</v>
      </c>
      <c r="AY1002" s="2" t="s">
        <v>337</v>
      </c>
      <c r="BE1002" s="140">
        <f>IF(N1002="základní",J1002,0)</f>
        <v>0</v>
      </c>
      <c r="BF1002" s="140">
        <f>IF(N1002="snížená",J1002,0)</f>
        <v>0</v>
      </c>
      <c r="BG1002" s="140">
        <f>IF(N1002="zákl. přenesená",J1002,0)</f>
        <v>0</v>
      </c>
      <c r="BH1002" s="140">
        <f>IF(N1002="sníž. přenesená",J1002,0)</f>
        <v>0</v>
      </c>
      <c r="BI1002" s="140">
        <f>IF(N1002="nulová",J1002,0)</f>
        <v>0</v>
      </c>
      <c r="BJ1002" s="2" t="s">
        <v>87</v>
      </c>
      <c r="BK1002" s="140">
        <f>ROUND(I1002*H1002,2)</f>
        <v>0</v>
      </c>
      <c r="BL1002" s="2" t="s">
        <v>496</v>
      </c>
      <c r="BM1002" s="139" t="s">
        <v>5730</v>
      </c>
    </row>
    <row r="1003" spans="2:65" s="148" customFormat="1" x14ac:dyDescent="0.2">
      <c r="B1003" s="149"/>
      <c r="D1003" s="143" t="s">
        <v>346</v>
      </c>
      <c r="E1003" s="150"/>
      <c r="F1003" s="151" t="s">
        <v>5174</v>
      </c>
      <c r="H1003" s="152">
        <v>342.25</v>
      </c>
      <c r="L1003" s="149"/>
      <c r="M1003" s="153"/>
      <c r="T1003" s="154"/>
      <c r="AT1003" s="150" t="s">
        <v>346</v>
      </c>
      <c r="AU1003" s="150" t="s">
        <v>90</v>
      </c>
      <c r="AV1003" s="148" t="s">
        <v>90</v>
      </c>
      <c r="AW1003" s="148" t="s">
        <v>33</v>
      </c>
      <c r="AX1003" s="148" t="s">
        <v>80</v>
      </c>
      <c r="AY1003" s="150" t="s">
        <v>337</v>
      </c>
    </row>
    <row r="1004" spans="2:65" s="148" customFormat="1" x14ac:dyDescent="0.2">
      <c r="B1004" s="149"/>
      <c r="D1004" s="143" t="s">
        <v>346</v>
      </c>
      <c r="E1004" s="150"/>
      <c r="F1004" s="151" t="s">
        <v>5176</v>
      </c>
      <c r="H1004" s="152">
        <v>308.8</v>
      </c>
      <c r="L1004" s="149"/>
      <c r="M1004" s="153"/>
      <c r="T1004" s="154"/>
      <c r="AT1004" s="150" t="s">
        <v>346</v>
      </c>
      <c r="AU1004" s="150" t="s">
        <v>90</v>
      </c>
      <c r="AV1004" s="148" t="s">
        <v>90</v>
      </c>
      <c r="AW1004" s="148" t="s">
        <v>33</v>
      </c>
      <c r="AX1004" s="148" t="s">
        <v>80</v>
      </c>
      <c r="AY1004" s="150" t="s">
        <v>337</v>
      </c>
    </row>
    <row r="1005" spans="2:65" s="155" customFormat="1" x14ac:dyDescent="0.2">
      <c r="B1005" s="156"/>
      <c r="D1005" s="143" t="s">
        <v>346</v>
      </c>
      <c r="E1005" s="157"/>
      <c r="F1005" s="158" t="s">
        <v>351</v>
      </c>
      <c r="H1005" s="159">
        <v>651.04999999999995</v>
      </c>
      <c r="L1005" s="156"/>
      <c r="M1005" s="160"/>
      <c r="T1005" s="161"/>
      <c r="AT1005" s="157" t="s">
        <v>346</v>
      </c>
      <c r="AU1005" s="157" t="s">
        <v>90</v>
      </c>
      <c r="AV1005" s="155" t="s">
        <v>344</v>
      </c>
      <c r="AW1005" s="155" t="s">
        <v>33</v>
      </c>
      <c r="AX1005" s="155" t="s">
        <v>87</v>
      </c>
      <c r="AY1005" s="157" t="s">
        <v>337</v>
      </c>
    </row>
    <row r="1006" spans="2:65" s="16" customFormat="1" ht="21.75" customHeight="1" x14ac:dyDescent="0.2">
      <c r="B1006" s="17"/>
      <c r="C1006" s="128">
        <v>56</v>
      </c>
      <c r="D1006" s="128" t="s">
        <v>339</v>
      </c>
      <c r="E1006" s="129" t="s">
        <v>5731</v>
      </c>
      <c r="F1006" s="130" t="s">
        <v>5732</v>
      </c>
      <c r="G1006" s="131" t="s">
        <v>425</v>
      </c>
      <c r="H1006" s="132">
        <v>1953.15</v>
      </c>
      <c r="I1006" s="133"/>
      <c r="J1006" s="134">
        <f>ROUND(I1006*H1006,2)</f>
        <v>0</v>
      </c>
      <c r="K1006" s="130" t="s">
        <v>343</v>
      </c>
      <c r="L1006" s="17"/>
      <c r="M1006" s="135"/>
      <c r="N1006" s="136" t="s">
        <v>45</v>
      </c>
      <c r="P1006" s="137">
        <f>O1006*H1006</f>
        <v>0</v>
      </c>
      <c r="Q1006" s="137">
        <v>0</v>
      </c>
      <c r="R1006" s="137">
        <f>Q1006*H1006</f>
        <v>0</v>
      </c>
      <c r="S1006" s="137">
        <v>8.4000000000000005E-2</v>
      </c>
      <c r="T1006" s="138">
        <f>S1006*H1006</f>
        <v>164.06460000000001</v>
      </c>
      <c r="AR1006" s="139" t="s">
        <v>496</v>
      </c>
      <c r="AT1006" s="139" t="s">
        <v>339</v>
      </c>
      <c r="AU1006" s="139" t="s">
        <v>90</v>
      </c>
      <c r="AY1006" s="2" t="s">
        <v>337</v>
      </c>
      <c r="BE1006" s="140">
        <f>IF(N1006="základní",J1006,0)</f>
        <v>0</v>
      </c>
      <c r="BF1006" s="140">
        <f>IF(N1006="snížená",J1006,0)</f>
        <v>0</v>
      </c>
      <c r="BG1006" s="140">
        <f>IF(N1006="zákl. přenesená",J1006,0)</f>
        <v>0</v>
      </c>
      <c r="BH1006" s="140">
        <f>IF(N1006="sníž. přenesená",J1006,0)</f>
        <v>0</v>
      </c>
      <c r="BI1006" s="140">
        <f>IF(N1006="nulová",J1006,0)</f>
        <v>0</v>
      </c>
      <c r="BJ1006" s="2" t="s">
        <v>87</v>
      </c>
      <c r="BK1006" s="140">
        <f>ROUND(I1006*H1006,2)</f>
        <v>0</v>
      </c>
      <c r="BL1006" s="2" t="s">
        <v>496</v>
      </c>
      <c r="BM1006" s="139" t="s">
        <v>5733</v>
      </c>
    </row>
    <row r="1007" spans="2:65" s="148" customFormat="1" x14ac:dyDescent="0.2">
      <c r="B1007" s="149"/>
      <c r="D1007" s="143" t="s">
        <v>346</v>
      </c>
      <c r="E1007" s="150"/>
      <c r="F1007" s="151" t="s">
        <v>5734</v>
      </c>
      <c r="H1007" s="152">
        <v>1026.75</v>
      </c>
      <c r="L1007" s="149"/>
      <c r="M1007" s="153"/>
      <c r="T1007" s="154"/>
      <c r="AT1007" s="150" t="s">
        <v>346</v>
      </c>
      <c r="AU1007" s="150" t="s">
        <v>90</v>
      </c>
      <c r="AV1007" s="148" t="s">
        <v>90</v>
      </c>
      <c r="AW1007" s="148" t="s">
        <v>33</v>
      </c>
      <c r="AX1007" s="148" t="s">
        <v>80</v>
      </c>
      <c r="AY1007" s="150" t="s">
        <v>337</v>
      </c>
    </row>
    <row r="1008" spans="2:65" s="148" customFormat="1" x14ac:dyDescent="0.2">
      <c r="B1008" s="149"/>
      <c r="D1008" s="143" t="s">
        <v>346</v>
      </c>
      <c r="E1008" s="150"/>
      <c r="F1008" s="151" t="s">
        <v>5735</v>
      </c>
      <c r="H1008" s="152">
        <v>926.4</v>
      </c>
      <c r="L1008" s="149"/>
      <c r="M1008" s="153"/>
      <c r="T1008" s="154"/>
      <c r="AT1008" s="150" t="s">
        <v>346</v>
      </c>
      <c r="AU1008" s="150" t="s">
        <v>90</v>
      </c>
      <c r="AV1008" s="148" t="s">
        <v>90</v>
      </c>
      <c r="AW1008" s="148" t="s">
        <v>33</v>
      </c>
      <c r="AX1008" s="148" t="s">
        <v>80</v>
      </c>
      <c r="AY1008" s="150" t="s">
        <v>337</v>
      </c>
    </row>
    <row r="1009" spans="2:65" s="155" customFormat="1" x14ac:dyDescent="0.2">
      <c r="B1009" s="156"/>
      <c r="D1009" s="143" t="s">
        <v>346</v>
      </c>
      <c r="E1009" s="157"/>
      <c r="F1009" s="158" t="s">
        <v>351</v>
      </c>
      <c r="H1009" s="159">
        <v>1953.15</v>
      </c>
      <c r="L1009" s="156"/>
      <c r="M1009" s="160"/>
      <c r="T1009" s="161"/>
      <c r="AT1009" s="157" t="s">
        <v>346</v>
      </c>
      <c r="AU1009" s="157" t="s">
        <v>90</v>
      </c>
      <c r="AV1009" s="155" t="s">
        <v>344</v>
      </c>
      <c r="AW1009" s="155" t="s">
        <v>33</v>
      </c>
      <c r="AX1009" s="155" t="s">
        <v>87</v>
      </c>
      <c r="AY1009" s="157" t="s">
        <v>337</v>
      </c>
    </row>
    <row r="1010" spans="2:65" s="116" customFormat="1" ht="22.9" customHeight="1" x14ac:dyDescent="0.2">
      <c r="B1010" s="117"/>
      <c r="D1010" s="118" t="s">
        <v>79</v>
      </c>
      <c r="E1010" s="126" t="s">
        <v>1035</v>
      </c>
      <c r="F1010" s="126" t="s">
        <v>1036</v>
      </c>
      <c r="J1010" s="127">
        <f>BK1010</f>
        <v>0</v>
      </c>
      <c r="L1010" s="117"/>
      <c r="M1010" s="121"/>
      <c r="P1010" s="122">
        <f>SUM(P1011:P1018)</f>
        <v>0</v>
      </c>
      <c r="R1010" s="122">
        <f>SUM(R1011:R1018)</f>
        <v>0</v>
      </c>
      <c r="T1010" s="123">
        <f>SUM(T1011:T1018)</f>
        <v>9.4912717999999998</v>
      </c>
      <c r="AR1010" s="118" t="s">
        <v>90</v>
      </c>
      <c r="AT1010" s="124" t="s">
        <v>79</v>
      </c>
      <c r="AU1010" s="124" t="s">
        <v>87</v>
      </c>
      <c r="AY1010" s="118" t="s">
        <v>337</v>
      </c>
      <c r="BK1010" s="125">
        <f>SUM(BK1011:BK1018)</f>
        <v>0</v>
      </c>
    </row>
    <row r="1011" spans="2:65" s="16" customFormat="1" ht="16.5" customHeight="1" x14ac:dyDescent="0.2">
      <c r="B1011" s="17"/>
      <c r="C1011" s="128">
        <v>57</v>
      </c>
      <c r="D1011" s="128" t="s">
        <v>339</v>
      </c>
      <c r="E1011" s="129" t="s">
        <v>5736</v>
      </c>
      <c r="F1011" s="130" t="s">
        <v>5737</v>
      </c>
      <c r="G1011" s="131" t="s">
        <v>425</v>
      </c>
      <c r="H1011" s="132">
        <v>121.54</v>
      </c>
      <c r="I1011" s="133"/>
      <c r="J1011" s="134">
        <f>ROUND(I1011*H1011,2)</f>
        <v>0</v>
      </c>
      <c r="K1011" s="130" t="s">
        <v>343</v>
      </c>
      <c r="L1011" s="17"/>
      <c r="M1011" s="135"/>
      <c r="N1011" s="136" t="s">
        <v>45</v>
      </c>
      <c r="P1011" s="137">
        <f>O1011*H1011</f>
        <v>0</v>
      </c>
      <c r="Q1011" s="137">
        <v>0</v>
      </c>
      <c r="R1011" s="137">
        <f>Q1011*H1011</f>
        <v>0</v>
      </c>
      <c r="S1011" s="137">
        <v>4.2000000000000002E-4</v>
      </c>
      <c r="T1011" s="138">
        <f>S1011*H1011</f>
        <v>5.1046800000000003E-2</v>
      </c>
      <c r="AR1011" s="139" t="s">
        <v>496</v>
      </c>
      <c r="AT1011" s="139" t="s">
        <v>339</v>
      </c>
      <c r="AU1011" s="139" t="s">
        <v>90</v>
      </c>
      <c r="AY1011" s="2" t="s">
        <v>337</v>
      </c>
      <c r="BE1011" s="140">
        <f>IF(N1011="základní",J1011,0)</f>
        <v>0</v>
      </c>
      <c r="BF1011" s="140">
        <f>IF(N1011="snížená",J1011,0)</f>
        <v>0</v>
      </c>
      <c r="BG1011" s="140">
        <f>IF(N1011="zákl. přenesená",J1011,0)</f>
        <v>0</v>
      </c>
      <c r="BH1011" s="140">
        <f>IF(N1011="sníž. přenesená",J1011,0)</f>
        <v>0</v>
      </c>
      <c r="BI1011" s="140">
        <f>IF(N1011="nulová",J1011,0)</f>
        <v>0</v>
      </c>
      <c r="BJ1011" s="2" t="s">
        <v>87</v>
      </c>
      <c r="BK1011" s="140">
        <f>ROUND(I1011*H1011,2)</f>
        <v>0</v>
      </c>
      <c r="BL1011" s="2" t="s">
        <v>496</v>
      </c>
      <c r="BM1011" s="139" t="s">
        <v>5738</v>
      </c>
    </row>
    <row r="1012" spans="2:65" s="148" customFormat="1" x14ac:dyDescent="0.2">
      <c r="B1012" s="149"/>
      <c r="D1012" s="143" t="s">
        <v>346</v>
      </c>
      <c r="E1012" s="150"/>
      <c r="F1012" s="151" t="s">
        <v>5163</v>
      </c>
      <c r="H1012" s="152">
        <v>1697.96</v>
      </c>
      <c r="L1012" s="149"/>
      <c r="M1012" s="153"/>
      <c r="T1012" s="154"/>
      <c r="AT1012" s="150" t="s">
        <v>346</v>
      </c>
      <c r="AU1012" s="150" t="s">
        <v>90</v>
      </c>
      <c r="AV1012" s="148" t="s">
        <v>90</v>
      </c>
      <c r="AW1012" s="148" t="s">
        <v>33</v>
      </c>
      <c r="AX1012" s="148" t="s">
        <v>80</v>
      </c>
      <c r="AY1012" s="150" t="s">
        <v>337</v>
      </c>
    </row>
    <row r="1013" spans="2:65" s="148" customFormat="1" x14ac:dyDescent="0.2">
      <c r="B1013" s="149"/>
      <c r="D1013" s="143" t="s">
        <v>346</v>
      </c>
      <c r="E1013" s="150"/>
      <c r="F1013" s="151" t="s">
        <v>5178</v>
      </c>
      <c r="H1013" s="152">
        <v>178.69</v>
      </c>
      <c r="L1013" s="149"/>
      <c r="M1013" s="153"/>
      <c r="T1013" s="154"/>
      <c r="AT1013" s="150" t="s">
        <v>346</v>
      </c>
      <c r="AU1013" s="150" t="s">
        <v>90</v>
      </c>
      <c r="AV1013" s="148" t="s">
        <v>90</v>
      </c>
      <c r="AW1013" s="148" t="s">
        <v>33</v>
      </c>
      <c r="AX1013" s="148" t="s">
        <v>80</v>
      </c>
      <c r="AY1013" s="150" t="s">
        <v>337</v>
      </c>
    </row>
    <row r="1014" spans="2:65" s="148" customFormat="1" x14ac:dyDescent="0.2">
      <c r="B1014" s="149"/>
      <c r="D1014" s="143" t="s">
        <v>346</v>
      </c>
      <c r="E1014" s="150"/>
      <c r="F1014" s="151" t="s">
        <v>5180</v>
      </c>
      <c r="H1014" s="152">
        <v>121.54</v>
      </c>
      <c r="L1014" s="149"/>
      <c r="M1014" s="153"/>
      <c r="T1014" s="154"/>
      <c r="AT1014" s="150" t="s">
        <v>346</v>
      </c>
      <c r="AU1014" s="150" t="s">
        <v>90</v>
      </c>
      <c r="AV1014" s="148" t="s">
        <v>90</v>
      </c>
      <c r="AW1014" s="148" t="s">
        <v>33</v>
      </c>
      <c r="AX1014" s="148" t="s">
        <v>87</v>
      </c>
      <c r="AY1014" s="150" t="s">
        <v>337</v>
      </c>
    </row>
    <row r="1015" spans="2:65" s="16" customFormat="1" ht="21.75" customHeight="1" x14ac:dyDescent="0.2">
      <c r="B1015" s="17"/>
      <c r="C1015" s="128">
        <v>58</v>
      </c>
      <c r="D1015" s="128" t="s">
        <v>339</v>
      </c>
      <c r="E1015" s="129" t="s">
        <v>5739</v>
      </c>
      <c r="F1015" s="130" t="s">
        <v>5740</v>
      </c>
      <c r="G1015" s="131" t="s">
        <v>425</v>
      </c>
      <c r="H1015" s="132">
        <v>651.04999999999995</v>
      </c>
      <c r="I1015" s="133"/>
      <c r="J1015" s="134">
        <f>ROUND(I1015*H1015,2)</f>
        <v>0</v>
      </c>
      <c r="K1015" s="130" t="s">
        <v>343</v>
      </c>
      <c r="L1015" s="17"/>
      <c r="M1015" s="135"/>
      <c r="N1015" s="136" t="s">
        <v>45</v>
      </c>
      <c r="P1015" s="137">
        <f>O1015*H1015</f>
        <v>0</v>
      </c>
      <c r="Q1015" s="137">
        <v>0</v>
      </c>
      <c r="R1015" s="137">
        <f>Q1015*H1015</f>
        <v>0</v>
      </c>
      <c r="S1015" s="137">
        <v>1.4500000000000001E-2</v>
      </c>
      <c r="T1015" s="138">
        <f>S1015*H1015</f>
        <v>9.4402249999999999</v>
      </c>
      <c r="AR1015" s="139" t="s">
        <v>496</v>
      </c>
      <c r="AT1015" s="139" t="s">
        <v>339</v>
      </c>
      <c r="AU1015" s="139" t="s">
        <v>90</v>
      </c>
      <c r="AY1015" s="2" t="s">
        <v>337</v>
      </c>
      <c r="BE1015" s="140">
        <f>IF(N1015="základní",J1015,0)</f>
        <v>0</v>
      </c>
      <c r="BF1015" s="140">
        <f>IF(N1015="snížená",J1015,0)</f>
        <v>0</v>
      </c>
      <c r="BG1015" s="140">
        <f>IF(N1015="zákl. přenesená",J1015,0)</f>
        <v>0</v>
      </c>
      <c r="BH1015" s="140">
        <f>IF(N1015="sníž. přenesená",J1015,0)</f>
        <v>0</v>
      </c>
      <c r="BI1015" s="140">
        <f>IF(N1015="nulová",J1015,0)</f>
        <v>0</v>
      </c>
      <c r="BJ1015" s="2" t="s">
        <v>87</v>
      </c>
      <c r="BK1015" s="140">
        <f>ROUND(I1015*H1015,2)</f>
        <v>0</v>
      </c>
      <c r="BL1015" s="2" t="s">
        <v>496</v>
      </c>
      <c r="BM1015" s="139" t="s">
        <v>5741</v>
      </c>
    </row>
    <row r="1016" spans="2:65" s="148" customFormat="1" x14ac:dyDescent="0.2">
      <c r="B1016" s="149"/>
      <c r="D1016" s="143" t="s">
        <v>346</v>
      </c>
      <c r="E1016" s="150"/>
      <c r="F1016" s="151" t="s">
        <v>5174</v>
      </c>
      <c r="H1016" s="152">
        <v>342.25</v>
      </c>
      <c r="L1016" s="149"/>
      <c r="M1016" s="153"/>
      <c r="T1016" s="154"/>
      <c r="AT1016" s="150" t="s">
        <v>346</v>
      </c>
      <c r="AU1016" s="150" t="s">
        <v>90</v>
      </c>
      <c r="AV1016" s="148" t="s">
        <v>90</v>
      </c>
      <c r="AW1016" s="148" t="s">
        <v>33</v>
      </c>
      <c r="AX1016" s="148" t="s">
        <v>80</v>
      </c>
      <c r="AY1016" s="150" t="s">
        <v>337</v>
      </c>
    </row>
    <row r="1017" spans="2:65" s="148" customFormat="1" x14ac:dyDescent="0.2">
      <c r="B1017" s="149"/>
      <c r="D1017" s="143" t="s">
        <v>346</v>
      </c>
      <c r="E1017" s="150"/>
      <c r="F1017" s="151" t="s">
        <v>5176</v>
      </c>
      <c r="H1017" s="152">
        <v>308.8</v>
      </c>
      <c r="L1017" s="149"/>
      <c r="M1017" s="153"/>
      <c r="T1017" s="154"/>
      <c r="AT1017" s="150" t="s">
        <v>346</v>
      </c>
      <c r="AU1017" s="150" t="s">
        <v>90</v>
      </c>
      <c r="AV1017" s="148" t="s">
        <v>90</v>
      </c>
      <c r="AW1017" s="148" t="s">
        <v>33</v>
      </c>
      <c r="AX1017" s="148" t="s">
        <v>80</v>
      </c>
      <c r="AY1017" s="150" t="s">
        <v>337</v>
      </c>
    </row>
    <row r="1018" spans="2:65" s="155" customFormat="1" x14ac:dyDescent="0.2">
      <c r="B1018" s="156"/>
      <c r="D1018" s="143" t="s">
        <v>346</v>
      </c>
      <c r="E1018" s="157"/>
      <c r="F1018" s="158" t="s">
        <v>351</v>
      </c>
      <c r="H1018" s="159">
        <v>651.04999999999995</v>
      </c>
      <c r="L1018" s="156"/>
      <c r="M1018" s="160"/>
      <c r="T1018" s="161"/>
      <c r="AT1018" s="157" t="s">
        <v>346</v>
      </c>
      <c r="AU1018" s="157" t="s">
        <v>90</v>
      </c>
      <c r="AV1018" s="155" t="s">
        <v>344</v>
      </c>
      <c r="AW1018" s="155" t="s">
        <v>33</v>
      </c>
      <c r="AX1018" s="155" t="s">
        <v>87</v>
      </c>
      <c r="AY1018" s="157" t="s">
        <v>337</v>
      </c>
    </row>
    <row r="1019" spans="2:65" s="116" customFormat="1" ht="22.9" customHeight="1" x14ac:dyDescent="0.2">
      <c r="B1019" s="117"/>
      <c r="D1019" s="118" t="s">
        <v>79</v>
      </c>
      <c r="E1019" s="126" t="s">
        <v>5742</v>
      </c>
      <c r="F1019" s="126" t="s">
        <v>5743</v>
      </c>
      <c r="J1019" s="127">
        <f>BK1019</f>
        <v>0</v>
      </c>
      <c r="L1019" s="117"/>
      <c r="M1019" s="121"/>
      <c r="P1019" s="122">
        <f>SUM(P1020:P1050)</f>
        <v>0</v>
      </c>
      <c r="R1019" s="122">
        <f>SUM(R1020:R1050)</f>
        <v>0</v>
      </c>
      <c r="T1019" s="123">
        <f>SUM(T1020:T1050)</f>
        <v>1.5394918900000001</v>
      </c>
      <c r="AR1019" s="118" t="s">
        <v>90</v>
      </c>
      <c r="AT1019" s="124" t="s">
        <v>79</v>
      </c>
      <c r="AU1019" s="124" t="s">
        <v>87</v>
      </c>
      <c r="AY1019" s="118" t="s">
        <v>337</v>
      </c>
      <c r="BK1019" s="125">
        <f>SUM(BK1020:BK1050)</f>
        <v>0</v>
      </c>
    </row>
    <row r="1020" spans="2:65" s="16" customFormat="1" ht="16.5" customHeight="1" x14ac:dyDescent="0.2">
      <c r="B1020" s="17"/>
      <c r="C1020" s="128">
        <v>59</v>
      </c>
      <c r="D1020" s="128" t="s">
        <v>339</v>
      </c>
      <c r="E1020" s="129" t="s">
        <v>5744</v>
      </c>
      <c r="F1020" s="130" t="s">
        <v>5745</v>
      </c>
      <c r="G1020" s="131" t="s">
        <v>724</v>
      </c>
      <c r="H1020" s="132">
        <v>135</v>
      </c>
      <c r="I1020" s="133"/>
      <c r="J1020" s="134">
        <f>ROUND(I1020*H1020,2)</f>
        <v>0</v>
      </c>
      <c r="K1020" s="130" t="s">
        <v>343</v>
      </c>
      <c r="L1020" s="17"/>
      <c r="M1020" s="135"/>
      <c r="N1020" s="136" t="s">
        <v>45</v>
      </c>
      <c r="P1020" s="137">
        <f>O1020*H1020</f>
        <v>0</v>
      </c>
      <c r="Q1020" s="137">
        <v>0</v>
      </c>
      <c r="R1020" s="137">
        <f>Q1020*H1020</f>
        <v>0</v>
      </c>
      <c r="S1020" s="137">
        <v>1.7700000000000001E-3</v>
      </c>
      <c r="T1020" s="138">
        <f>S1020*H1020</f>
        <v>0.23895000000000002</v>
      </c>
      <c r="AR1020" s="139" t="s">
        <v>496</v>
      </c>
      <c r="AT1020" s="139" t="s">
        <v>339</v>
      </c>
      <c r="AU1020" s="139" t="s">
        <v>90</v>
      </c>
      <c r="AY1020" s="2" t="s">
        <v>337</v>
      </c>
      <c r="BE1020" s="140">
        <f>IF(N1020="základní",J1020,0)</f>
        <v>0</v>
      </c>
      <c r="BF1020" s="140">
        <f>IF(N1020="snížená",J1020,0)</f>
        <v>0</v>
      </c>
      <c r="BG1020" s="140">
        <f>IF(N1020="zákl. přenesená",J1020,0)</f>
        <v>0</v>
      </c>
      <c r="BH1020" s="140">
        <f>IF(N1020="sníž. přenesená",J1020,0)</f>
        <v>0</v>
      </c>
      <c r="BI1020" s="140">
        <f>IF(N1020="nulová",J1020,0)</f>
        <v>0</v>
      </c>
      <c r="BJ1020" s="2" t="s">
        <v>87</v>
      </c>
      <c r="BK1020" s="140">
        <f>ROUND(I1020*H1020,2)</f>
        <v>0</v>
      </c>
      <c r="BL1020" s="2" t="s">
        <v>496</v>
      </c>
      <c r="BM1020" s="139" t="s">
        <v>5746</v>
      </c>
    </row>
    <row r="1021" spans="2:65" s="141" customFormat="1" x14ac:dyDescent="0.2">
      <c r="B1021" s="142"/>
      <c r="D1021" s="143" t="s">
        <v>346</v>
      </c>
      <c r="E1021" s="144"/>
      <c r="F1021" s="145" t="s">
        <v>5747</v>
      </c>
      <c r="H1021" s="144"/>
      <c r="L1021" s="142"/>
      <c r="M1021" s="146"/>
      <c r="T1021" s="147"/>
      <c r="AT1021" s="144" t="s">
        <v>346</v>
      </c>
      <c r="AU1021" s="144" t="s">
        <v>90</v>
      </c>
      <c r="AV1021" s="141" t="s">
        <v>87</v>
      </c>
      <c r="AW1021" s="141" t="s">
        <v>33</v>
      </c>
      <c r="AX1021" s="141" t="s">
        <v>80</v>
      </c>
      <c r="AY1021" s="144" t="s">
        <v>337</v>
      </c>
    </row>
    <row r="1022" spans="2:65" s="141" customFormat="1" x14ac:dyDescent="0.2">
      <c r="B1022" s="142"/>
      <c r="D1022" s="143" t="s">
        <v>346</v>
      </c>
      <c r="E1022" s="144"/>
      <c r="F1022" s="145" t="s">
        <v>362</v>
      </c>
      <c r="H1022" s="144"/>
      <c r="L1022" s="142"/>
      <c r="M1022" s="146"/>
      <c r="T1022" s="147"/>
      <c r="AT1022" s="144" t="s">
        <v>346</v>
      </c>
      <c r="AU1022" s="144" t="s">
        <v>90</v>
      </c>
      <c r="AV1022" s="141" t="s">
        <v>87</v>
      </c>
      <c r="AW1022" s="141" t="s">
        <v>33</v>
      </c>
      <c r="AX1022" s="141" t="s">
        <v>80</v>
      </c>
      <c r="AY1022" s="144" t="s">
        <v>337</v>
      </c>
    </row>
    <row r="1023" spans="2:65" s="148" customFormat="1" x14ac:dyDescent="0.2">
      <c r="B1023" s="149"/>
      <c r="D1023" s="143" t="s">
        <v>346</v>
      </c>
      <c r="E1023" s="150"/>
      <c r="F1023" s="151" t="s">
        <v>5748</v>
      </c>
      <c r="H1023" s="152">
        <v>27</v>
      </c>
      <c r="L1023" s="149"/>
      <c r="M1023" s="153"/>
      <c r="T1023" s="154"/>
      <c r="AT1023" s="150" t="s">
        <v>346</v>
      </c>
      <c r="AU1023" s="150" t="s">
        <v>90</v>
      </c>
      <c r="AV1023" s="148" t="s">
        <v>90</v>
      </c>
      <c r="AW1023" s="148" t="s">
        <v>33</v>
      </c>
      <c r="AX1023" s="148" t="s">
        <v>80</v>
      </c>
      <c r="AY1023" s="150" t="s">
        <v>337</v>
      </c>
    </row>
    <row r="1024" spans="2:65" s="141" customFormat="1" x14ac:dyDescent="0.2">
      <c r="B1024" s="142"/>
      <c r="D1024" s="143" t="s">
        <v>346</v>
      </c>
      <c r="E1024" s="144"/>
      <c r="F1024" s="145" t="s">
        <v>367</v>
      </c>
      <c r="H1024" s="144"/>
      <c r="L1024" s="142"/>
      <c r="M1024" s="146"/>
      <c r="T1024" s="147"/>
      <c r="AT1024" s="144" t="s">
        <v>346</v>
      </c>
      <c r="AU1024" s="144" t="s">
        <v>90</v>
      </c>
      <c r="AV1024" s="141" t="s">
        <v>87</v>
      </c>
      <c r="AW1024" s="141" t="s">
        <v>33</v>
      </c>
      <c r="AX1024" s="141" t="s">
        <v>80</v>
      </c>
      <c r="AY1024" s="144" t="s">
        <v>337</v>
      </c>
    </row>
    <row r="1025" spans="2:65" s="148" customFormat="1" x14ac:dyDescent="0.2">
      <c r="B1025" s="149"/>
      <c r="D1025" s="143" t="s">
        <v>346</v>
      </c>
      <c r="E1025" s="150"/>
      <c r="F1025" s="151" t="s">
        <v>5749</v>
      </c>
      <c r="H1025" s="152">
        <v>32.4</v>
      </c>
      <c r="L1025" s="149"/>
      <c r="M1025" s="153"/>
      <c r="T1025" s="154"/>
      <c r="AT1025" s="150" t="s">
        <v>346</v>
      </c>
      <c r="AU1025" s="150" t="s">
        <v>90</v>
      </c>
      <c r="AV1025" s="148" t="s">
        <v>90</v>
      </c>
      <c r="AW1025" s="148" t="s">
        <v>33</v>
      </c>
      <c r="AX1025" s="148" t="s">
        <v>80</v>
      </c>
      <c r="AY1025" s="150" t="s">
        <v>337</v>
      </c>
    </row>
    <row r="1026" spans="2:65" s="141" customFormat="1" x14ac:dyDescent="0.2">
      <c r="B1026" s="142"/>
      <c r="D1026" s="143" t="s">
        <v>346</v>
      </c>
      <c r="E1026" s="144"/>
      <c r="F1026" s="145" t="s">
        <v>368</v>
      </c>
      <c r="H1026" s="144"/>
      <c r="L1026" s="142"/>
      <c r="M1026" s="146"/>
      <c r="T1026" s="147"/>
      <c r="AT1026" s="144" t="s">
        <v>346</v>
      </c>
      <c r="AU1026" s="144" t="s">
        <v>90</v>
      </c>
      <c r="AV1026" s="141" t="s">
        <v>87</v>
      </c>
      <c r="AW1026" s="141" t="s">
        <v>33</v>
      </c>
      <c r="AX1026" s="141" t="s">
        <v>80</v>
      </c>
      <c r="AY1026" s="144" t="s">
        <v>337</v>
      </c>
    </row>
    <row r="1027" spans="2:65" s="148" customFormat="1" x14ac:dyDescent="0.2">
      <c r="B1027" s="149"/>
      <c r="D1027" s="143" t="s">
        <v>346</v>
      </c>
      <c r="E1027" s="150"/>
      <c r="F1027" s="151" t="s">
        <v>5750</v>
      </c>
      <c r="H1027" s="152">
        <v>37.799999999999997</v>
      </c>
      <c r="L1027" s="149"/>
      <c r="M1027" s="153"/>
      <c r="T1027" s="154"/>
      <c r="AT1027" s="150" t="s">
        <v>346</v>
      </c>
      <c r="AU1027" s="150" t="s">
        <v>90</v>
      </c>
      <c r="AV1027" s="148" t="s">
        <v>90</v>
      </c>
      <c r="AW1027" s="148" t="s">
        <v>33</v>
      </c>
      <c r="AX1027" s="148" t="s">
        <v>80</v>
      </c>
      <c r="AY1027" s="150" t="s">
        <v>337</v>
      </c>
    </row>
    <row r="1028" spans="2:65" s="141" customFormat="1" x14ac:dyDescent="0.2">
      <c r="B1028" s="142"/>
      <c r="D1028" s="143" t="s">
        <v>346</v>
      </c>
      <c r="E1028" s="144"/>
      <c r="F1028" s="145" t="s">
        <v>370</v>
      </c>
      <c r="H1028" s="144"/>
      <c r="L1028" s="142"/>
      <c r="M1028" s="146"/>
      <c r="T1028" s="147"/>
      <c r="AT1028" s="144" t="s">
        <v>346</v>
      </c>
      <c r="AU1028" s="144" t="s">
        <v>90</v>
      </c>
      <c r="AV1028" s="141" t="s">
        <v>87</v>
      </c>
      <c r="AW1028" s="141" t="s">
        <v>33</v>
      </c>
      <c r="AX1028" s="141" t="s">
        <v>80</v>
      </c>
      <c r="AY1028" s="144" t="s">
        <v>337</v>
      </c>
    </row>
    <row r="1029" spans="2:65" s="148" customFormat="1" x14ac:dyDescent="0.2">
      <c r="B1029" s="149"/>
      <c r="D1029" s="143" t="s">
        <v>346</v>
      </c>
      <c r="E1029" s="150"/>
      <c r="F1029" s="151" t="s">
        <v>5750</v>
      </c>
      <c r="H1029" s="152">
        <v>37.799999999999997</v>
      </c>
      <c r="L1029" s="149"/>
      <c r="M1029" s="153"/>
      <c r="T1029" s="154"/>
      <c r="AT1029" s="150" t="s">
        <v>346</v>
      </c>
      <c r="AU1029" s="150" t="s">
        <v>90</v>
      </c>
      <c r="AV1029" s="148" t="s">
        <v>90</v>
      </c>
      <c r="AW1029" s="148" t="s">
        <v>33</v>
      </c>
      <c r="AX1029" s="148" t="s">
        <v>80</v>
      </c>
      <c r="AY1029" s="150" t="s">
        <v>337</v>
      </c>
    </row>
    <row r="1030" spans="2:65" s="155" customFormat="1" x14ac:dyDescent="0.2">
      <c r="B1030" s="156"/>
      <c r="D1030" s="143" t="s">
        <v>346</v>
      </c>
      <c r="E1030" s="157"/>
      <c r="F1030" s="158" t="s">
        <v>351</v>
      </c>
      <c r="H1030" s="159">
        <v>135</v>
      </c>
      <c r="L1030" s="156"/>
      <c r="M1030" s="160"/>
      <c r="T1030" s="161"/>
      <c r="AT1030" s="157" t="s">
        <v>346</v>
      </c>
      <c r="AU1030" s="157" t="s">
        <v>90</v>
      </c>
      <c r="AV1030" s="155" t="s">
        <v>344</v>
      </c>
      <c r="AW1030" s="155" t="s">
        <v>33</v>
      </c>
      <c r="AX1030" s="155" t="s">
        <v>87</v>
      </c>
      <c r="AY1030" s="157" t="s">
        <v>337</v>
      </c>
    </row>
    <row r="1031" spans="2:65" s="16" customFormat="1" ht="16.5" customHeight="1" x14ac:dyDescent="0.2">
      <c r="B1031" s="17"/>
      <c r="C1031" s="128">
        <v>60</v>
      </c>
      <c r="D1031" s="128" t="s">
        <v>339</v>
      </c>
      <c r="E1031" s="129" t="s">
        <v>5751</v>
      </c>
      <c r="F1031" s="130" t="s">
        <v>5752</v>
      </c>
      <c r="G1031" s="131" t="s">
        <v>724</v>
      </c>
      <c r="H1031" s="132">
        <v>305.80900000000003</v>
      </c>
      <c r="I1031" s="133"/>
      <c r="J1031" s="134">
        <f>ROUND(I1031*H1031,2)</f>
        <v>0</v>
      </c>
      <c r="K1031" s="130" t="s">
        <v>343</v>
      </c>
      <c r="L1031" s="17"/>
      <c r="M1031" s="135"/>
      <c r="N1031" s="136" t="s">
        <v>45</v>
      </c>
      <c r="P1031" s="137">
        <f>O1031*H1031</f>
        <v>0</v>
      </c>
      <c r="Q1031" s="137">
        <v>0</v>
      </c>
      <c r="R1031" s="137">
        <f>Q1031*H1031</f>
        <v>0</v>
      </c>
      <c r="S1031" s="137">
        <v>1.91E-3</v>
      </c>
      <c r="T1031" s="138">
        <f>S1031*H1031</f>
        <v>0.5840951900000001</v>
      </c>
      <c r="AR1031" s="139" t="s">
        <v>496</v>
      </c>
      <c r="AT1031" s="139" t="s">
        <v>339</v>
      </c>
      <c r="AU1031" s="139" t="s">
        <v>90</v>
      </c>
      <c r="AY1031" s="2" t="s">
        <v>337</v>
      </c>
      <c r="BE1031" s="140">
        <f>IF(N1031="základní",J1031,0)</f>
        <v>0</v>
      </c>
      <c r="BF1031" s="140">
        <f>IF(N1031="snížená",J1031,0)</f>
        <v>0</v>
      </c>
      <c r="BG1031" s="140">
        <f>IF(N1031="zákl. přenesená",J1031,0)</f>
        <v>0</v>
      </c>
      <c r="BH1031" s="140">
        <f>IF(N1031="sníž. přenesená",J1031,0)</f>
        <v>0</v>
      </c>
      <c r="BI1031" s="140">
        <f>IF(N1031="nulová",J1031,0)</f>
        <v>0</v>
      </c>
      <c r="BJ1031" s="2" t="s">
        <v>87</v>
      </c>
      <c r="BK1031" s="140">
        <f>ROUND(I1031*H1031,2)</f>
        <v>0</v>
      </c>
      <c r="BL1031" s="2" t="s">
        <v>496</v>
      </c>
      <c r="BM1031" s="139" t="s">
        <v>5753</v>
      </c>
    </row>
    <row r="1032" spans="2:65" s="141" customFormat="1" x14ac:dyDescent="0.2">
      <c r="B1032" s="142"/>
      <c r="D1032" s="143" t="s">
        <v>346</v>
      </c>
      <c r="E1032" s="144"/>
      <c r="F1032" s="145" t="s">
        <v>5754</v>
      </c>
      <c r="H1032" s="144"/>
      <c r="L1032" s="142"/>
      <c r="M1032" s="146"/>
      <c r="T1032" s="147"/>
      <c r="AT1032" s="144" t="s">
        <v>346</v>
      </c>
      <c r="AU1032" s="144" t="s">
        <v>90</v>
      </c>
      <c r="AV1032" s="141" t="s">
        <v>87</v>
      </c>
      <c r="AW1032" s="141" t="s">
        <v>33</v>
      </c>
      <c r="AX1032" s="141" t="s">
        <v>80</v>
      </c>
      <c r="AY1032" s="144" t="s">
        <v>337</v>
      </c>
    </row>
    <row r="1033" spans="2:65" s="141" customFormat="1" x14ac:dyDescent="0.2">
      <c r="B1033" s="142"/>
      <c r="D1033" s="143" t="s">
        <v>346</v>
      </c>
      <c r="E1033" s="144"/>
      <c r="F1033" s="145" t="s">
        <v>3803</v>
      </c>
      <c r="H1033" s="144"/>
      <c r="L1033" s="142"/>
      <c r="M1033" s="146"/>
      <c r="T1033" s="147"/>
      <c r="AT1033" s="144" t="s">
        <v>346</v>
      </c>
      <c r="AU1033" s="144" t="s">
        <v>90</v>
      </c>
      <c r="AV1033" s="141" t="s">
        <v>87</v>
      </c>
      <c r="AW1033" s="141" t="s">
        <v>33</v>
      </c>
      <c r="AX1033" s="141" t="s">
        <v>80</v>
      </c>
      <c r="AY1033" s="144" t="s">
        <v>337</v>
      </c>
    </row>
    <row r="1034" spans="2:65" s="148" customFormat="1" x14ac:dyDescent="0.2">
      <c r="B1034" s="149"/>
      <c r="D1034" s="143" t="s">
        <v>346</v>
      </c>
      <c r="E1034" s="150"/>
      <c r="F1034" s="151" t="s">
        <v>5755</v>
      </c>
      <c r="H1034" s="152">
        <v>38.945</v>
      </c>
      <c r="L1034" s="149"/>
      <c r="M1034" s="153"/>
      <c r="T1034" s="154"/>
      <c r="AT1034" s="150" t="s">
        <v>346</v>
      </c>
      <c r="AU1034" s="150" t="s">
        <v>90</v>
      </c>
      <c r="AV1034" s="148" t="s">
        <v>90</v>
      </c>
      <c r="AW1034" s="148" t="s">
        <v>33</v>
      </c>
      <c r="AX1034" s="148" t="s">
        <v>80</v>
      </c>
      <c r="AY1034" s="150" t="s">
        <v>337</v>
      </c>
    </row>
    <row r="1035" spans="2:65" s="141" customFormat="1" x14ac:dyDescent="0.2">
      <c r="B1035" s="142"/>
      <c r="D1035" s="143" t="s">
        <v>346</v>
      </c>
      <c r="E1035" s="144"/>
      <c r="F1035" s="145" t="s">
        <v>3805</v>
      </c>
      <c r="H1035" s="144"/>
      <c r="L1035" s="142"/>
      <c r="M1035" s="146"/>
      <c r="T1035" s="147"/>
      <c r="AT1035" s="144" t="s">
        <v>346</v>
      </c>
      <c r="AU1035" s="144" t="s">
        <v>90</v>
      </c>
      <c r="AV1035" s="141" t="s">
        <v>87</v>
      </c>
      <c r="AW1035" s="141" t="s">
        <v>33</v>
      </c>
      <c r="AX1035" s="141" t="s">
        <v>80</v>
      </c>
      <c r="AY1035" s="144" t="s">
        <v>337</v>
      </c>
    </row>
    <row r="1036" spans="2:65" s="148" customFormat="1" x14ac:dyDescent="0.2">
      <c r="B1036" s="149"/>
      <c r="D1036" s="143" t="s">
        <v>346</v>
      </c>
      <c r="E1036" s="150"/>
      <c r="F1036" s="151" t="s">
        <v>5756</v>
      </c>
      <c r="H1036" s="152">
        <v>70.573999999999998</v>
      </c>
      <c r="L1036" s="149"/>
      <c r="M1036" s="153"/>
      <c r="T1036" s="154"/>
      <c r="AT1036" s="150" t="s">
        <v>346</v>
      </c>
      <c r="AU1036" s="150" t="s">
        <v>90</v>
      </c>
      <c r="AV1036" s="148" t="s">
        <v>90</v>
      </c>
      <c r="AW1036" s="148" t="s">
        <v>33</v>
      </c>
      <c r="AX1036" s="148" t="s">
        <v>80</v>
      </c>
      <c r="AY1036" s="150" t="s">
        <v>337</v>
      </c>
    </row>
    <row r="1037" spans="2:65" s="141" customFormat="1" x14ac:dyDescent="0.2">
      <c r="B1037" s="142"/>
      <c r="D1037" s="143" t="s">
        <v>346</v>
      </c>
      <c r="E1037" s="144"/>
      <c r="F1037" s="145" t="s">
        <v>5757</v>
      </c>
      <c r="H1037" s="144"/>
      <c r="L1037" s="142"/>
      <c r="M1037" s="146"/>
      <c r="T1037" s="147"/>
      <c r="AT1037" s="144" t="s">
        <v>346</v>
      </c>
      <c r="AU1037" s="144" t="s">
        <v>90</v>
      </c>
      <c r="AV1037" s="141" t="s">
        <v>87</v>
      </c>
      <c r="AW1037" s="141" t="s">
        <v>33</v>
      </c>
      <c r="AX1037" s="141" t="s">
        <v>80</v>
      </c>
      <c r="AY1037" s="144" t="s">
        <v>337</v>
      </c>
    </row>
    <row r="1038" spans="2:65" s="148" customFormat="1" x14ac:dyDescent="0.2">
      <c r="B1038" s="149"/>
      <c r="D1038" s="143" t="s">
        <v>346</v>
      </c>
      <c r="E1038" s="150"/>
      <c r="F1038" s="151" t="s">
        <v>5758</v>
      </c>
      <c r="H1038" s="152">
        <v>121.6</v>
      </c>
      <c r="L1038" s="149"/>
      <c r="M1038" s="153"/>
      <c r="T1038" s="154"/>
      <c r="AT1038" s="150" t="s">
        <v>346</v>
      </c>
      <c r="AU1038" s="150" t="s">
        <v>90</v>
      </c>
      <c r="AV1038" s="148" t="s">
        <v>90</v>
      </c>
      <c r="AW1038" s="148" t="s">
        <v>33</v>
      </c>
      <c r="AX1038" s="148" t="s">
        <v>80</v>
      </c>
      <c r="AY1038" s="150" t="s">
        <v>337</v>
      </c>
    </row>
    <row r="1039" spans="2:65" s="141" customFormat="1" x14ac:dyDescent="0.2">
      <c r="B1039" s="142"/>
      <c r="D1039" s="143" t="s">
        <v>346</v>
      </c>
      <c r="E1039" s="144"/>
      <c r="F1039" s="145" t="s">
        <v>3812</v>
      </c>
      <c r="H1039" s="144"/>
      <c r="L1039" s="142"/>
      <c r="M1039" s="146"/>
      <c r="T1039" s="147"/>
      <c r="AT1039" s="144" t="s">
        <v>346</v>
      </c>
      <c r="AU1039" s="144" t="s">
        <v>90</v>
      </c>
      <c r="AV1039" s="141" t="s">
        <v>87</v>
      </c>
      <c r="AW1039" s="141" t="s">
        <v>33</v>
      </c>
      <c r="AX1039" s="141" t="s">
        <v>80</v>
      </c>
      <c r="AY1039" s="144" t="s">
        <v>337</v>
      </c>
    </row>
    <row r="1040" spans="2:65" s="148" customFormat="1" x14ac:dyDescent="0.2">
      <c r="B1040" s="149"/>
      <c r="D1040" s="143" t="s">
        <v>346</v>
      </c>
      <c r="E1040" s="150"/>
      <c r="F1040" s="151" t="s">
        <v>5759</v>
      </c>
      <c r="H1040" s="152">
        <v>74.69</v>
      </c>
      <c r="L1040" s="149"/>
      <c r="M1040" s="153"/>
      <c r="T1040" s="154"/>
      <c r="AT1040" s="150" t="s">
        <v>346</v>
      </c>
      <c r="AU1040" s="150" t="s">
        <v>90</v>
      </c>
      <c r="AV1040" s="148" t="s">
        <v>90</v>
      </c>
      <c r="AW1040" s="148" t="s">
        <v>33</v>
      </c>
      <c r="AX1040" s="148" t="s">
        <v>80</v>
      </c>
      <c r="AY1040" s="150" t="s">
        <v>337</v>
      </c>
    </row>
    <row r="1041" spans="2:65" s="155" customFormat="1" x14ac:dyDescent="0.2">
      <c r="B1041" s="156"/>
      <c r="D1041" s="143" t="s">
        <v>346</v>
      </c>
      <c r="E1041" s="157"/>
      <c r="F1041" s="158" t="s">
        <v>351</v>
      </c>
      <c r="H1041" s="159">
        <v>305.80900000000003</v>
      </c>
      <c r="L1041" s="156"/>
      <c r="M1041" s="160"/>
      <c r="T1041" s="161"/>
      <c r="AT1041" s="157" t="s">
        <v>346</v>
      </c>
      <c r="AU1041" s="157" t="s">
        <v>90</v>
      </c>
      <c r="AV1041" s="155" t="s">
        <v>344</v>
      </c>
      <c r="AW1041" s="155" t="s">
        <v>33</v>
      </c>
      <c r="AX1041" s="155" t="s">
        <v>87</v>
      </c>
      <c r="AY1041" s="157" t="s">
        <v>337</v>
      </c>
    </row>
    <row r="1042" spans="2:65" s="16" customFormat="1" ht="16.5" customHeight="1" x14ac:dyDescent="0.2">
      <c r="B1042" s="17"/>
      <c r="C1042" s="128">
        <v>61</v>
      </c>
      <c r="D1042" s="128" t="s">
        <v>339</v>
      </c>
      <c r="E1042" s="129" t="s">
        <v>5760</v>
      </c>
      <c r="F1042" s="130" t="s">
        <v>5761</v>
      </c>
      <c r="G1042" s="131" t="s">
        <v>724</v>
      </c>
      <c r="H1042" s="132">
        <v>429.01</v>
      </c>
      <c r="I1042" s="133"/>
      <c r="J1042" s="134">
        <f>ROUND(I1042*H1042,2)</f>
        <v>0</v>
      </c>
      <c r="K1042" s="130" t="s">
        <v>343</v>
      </c>
      <c r="L1042" s="17"/>
      <c r="M1042" s="135"/>
      <c r="N1042" s="136" t="s">
        <v>45</v>
      </c>
      <c r="P1042" s="137">
        <f>O1042*H1042</f>
        <v>0</v>
      </c>
      <c r="Q1042" s="137">
        <v>0</v>
      </c>
      <c r="R1042" s="137">
        <f>Q1042*H1042</f>
        <v>0</v>
      </c>
      <c r="S1042" s="137">
        <v>1.67E-3</v>
      </c>
      <c r="T1042" s="138">
        <f>S1042*H1042</f>
        <v>0.71644669999999999</v>
      </c>
      <c r="AR1042" s="139" t="s">
        <v>496</v>
      </c>
      <c r="AT1042" s="139" t="s">
        <v>339</v>
      </c>
      <c r="AU1042" s="139" t="s">
        <v>90</v>
      </c>
      <c r="AY1042" s="2" t="s">
        <v>337</v>
      </c>
      <c r="BE1042" s="140">
        <f>IF(N1042="základní",J1042,0)</f>
        <v>0</v>
      </c>
      <c r="BF1042" s="140">
        <f>IF(N1042="snížená",J1042,0)</f>
        <v>0</v>
      </c>
      <c r="BG1042" s="140">
        <f>IF(N1042="zákl. přenesená",J1042,0)</f>
        <v>0</v>
      </c>
      <c r="BH1042" s="140">
        <f>IF(N1042="sníž. přenesená",J1042,0)</f>
        <v>0</v>
      </c>
      <c r="BI1042" s="140">
        <f>IF(N1042="nulová",J1042,0)</f>
        <v>0</v>
      </c>
      <c r="BJ1042" s="2" t="s">
        <v>87</v>
      </c>
      <c r="BK1042" s="140">
        <f>ROUND(I1042*H1042,2)</f>
        <v>0</v>
      </c>
      <c r="BL1042" s="2" t="s">
        <v>496</v>
      </c>
      <c r="BM1042" s="139" t="s">
        <v>5762</v>
      </c>
    </row>
    <row r="1043" spans="2:65" s="141" customFormat="1" x14ac:dyDescent="0.2">
      <c r="B1043" s="142"/>
      <c r="D1043" s="143" t="s">
        <v>346</v>
      </c>
      <c r="E1043" s="144"/>
      <c r="F1043" s="145" t="s">
        <v>5763</v>
      </c>
      <c r="H1043" s="144"/>
      <c r="L1043" s="142"/>
      <c r="M1043" s="146"/>
      <c r="T1043" s="147"/>
      <c r="AT1043" s="144" t="s">
        <v>346</v>
      </c>
      <c r="AU1043" s="144" t="s">
        <v>90</v>
      </c>
      <c r="AV1043" s="141" t="s">
        <v>87</v>
      </c>
      <c r="AW1043" s="141" t="s">
        <v>33</v>
      </c>
      <c r="AX1043" s="141" t="s">
        <v>80</v>
      </c>
      <c r="AY1043" s="144" t="s">
        <v>337</v>
      </c>
    </row>
    <row r="1044" spans="2:65" s="141" customFormat="1" x14ac:dyDescent="0.2">
      <c r="B1044" s="142"/>
      <c r="D1044" s="143" t="s">
        <v>346</v>
      </c>
      <c r="E1044" s="144"/>
      <c r="F1044" s="145" t="s">
        <v>5764</v>
      </c>
      <c r="H1044" s="144"/>
      <c r="L1044" s="142"/>
      <c r="M1044" s="146"/>
      <c r="T1044" s="147"/>
      <c r="AT1044" s="144" t="s">
        <v>346</v>
      </c>
      <c r="AU1044" s="144" t="s">
        <v>90</v>
      </c>
      <c r="AV1044" s="141" t="s">
        <v>87</v>
      </c>
      <c r="AW1044" s="141" t="s">
        <v>33</v>
      </c>
      <c r="AX1044" s="141" t="s">
        <v>80</v>
      </c>
      <c r="AY1044" s="144" t="s">
        <v>337</v>
      </c>
    </row>
    <row r="1045" spans="2:65" s="148" customFormat="1" x14ac:dyDescent="0.2">
      <c r="B1045" s="149"/>
      <c r="D1045" s="143" t="s">
        <v>346</v>
      </c>
      <c r="E1045" s="150"/>
      <c r="F1045" s="151" t="s">
        <v>3798</v>
      </c>
      <c r="H1045" s="152">
        <v>412.66</v>
      </c>
      <c r="L1045" s="149"/>
      <c r="M1045" s="153"/>
      <c r="T1045" s="154"/>
      <c r="AT1045" s="150" t="s">
        <v>346</v>
      </c>
      <c r="AU1045" s="150" t="s">
        <v>90</v>
      </c>
      <c r="AV1045" s="148" t="s">
        <v>90</v>
      </c>
      <c r="AW1045" s="148" t="s">
        <v>33</v>
      </c>
      <c r="AX1045" s="148" t="s">
        <v>80</v>
      </c>
      <c r="AY1045" s="150" t="s">
        <v>337</v>
      </c>
    </row>
    <row r="1046" spans="2:65" s="141" customFormat="1" x14ac:dyDescent="0.2">
      <c r="B1046" s="142"/>
      <c r="D1046" s="143" t="s">
        <v>346</v>
      </c>
      <c r="E1046" s="144"/>
      <c r="F1046" s="145" t="s">
        <v>3801</v>
      </c>
      <c r="H1046" s="144"/>
      <c r="L1046" s="142"/>
      <c r="M1046" s="146"/>
      <c r="T1046" s="147"/>
      <c r="AT1046" s="144" t="s">
        <v>346</v>
      </c>
      <c r="AU1046" s="144" t="s">
        <v>90</v>
      </c>
      <c r="AV1046" s="141" t="s">
        <v>87</v>
      </c>
      <c r="AW1046" s="141" t="s">
        <v>33</v>
      </c>
      <c r="AX1046" s="141" t="s">
        <v>80</v>
      </c>
      <c r="AY1046" s="144" t="s">
        <v>337</v>
      </c>
    </row>
    <row r="1047" spans="2:65" s="148" customFormat="1" x14ac:dyDescent="0.2">
      <c r="B1047" s="149"/>
      <c r="D1047" s="143" t="s">
        <v>346</v>
      </c>
      <c r="E1047" s="150"/>
      <c r="F1047" s="151" t="s">
        <v>5765</v>
      </c>
      <c r="H1047" s="152">
        <v>15.45</v>
      </c>
      <c r="L1047" s="149"/>
      <c r="M1047" s="153"/>
      <c r="T1047" s="154"/>
      <c r="AT1047" s="150" t="s">
        <v>346</v>
      </c>
      <c r="AU1047" s="150" t="s">
        <v>90</v>
      </c>
      <c r="AV1047" s="148" t="s">
        <v>90</v>
      </c>
      <c r="AW1047" s="148" t="s">
        <v>33</v>
      </c>
      <c r="AX1047" s="148" t="s">
        <v>80</v>
      </c>
      <c r="AY1047" s="150" t="s">
        <v>337</v>
      </c>
    </row>
    <row r="1048" spans="2:65" s="141" customFormat="1" x14ac:dyDescent="0.2">
      <c r="B1048" s="142"/>
      <c r="D1048" s="143" t="s">
        <v>346</v>
      </c>
      <c r="E1048" s="144"/>
      <c r="F1048" s="145" t="s">
        <v>3819</v>
      </c>
      <c r="H1048" s="144"/>
      <c r="L1048" s="142"/>
      <c r="M1048" s="146"/>
      <c r="T1048" s="147"/>
      <c r="AT1048" s="144" t="s">
        <v>346</v>
      </c>
      <c r="AU1048" s="144" t="s">
        <v>90</v>
      </c>
      <c r="AV1048" s="141" t="s">
        <v>87</v>
      </c>
      <c r="AW1048" s="141" t="s">
        <v>33</v>
      </c>
      <c r="AX1048" s="141" t="s">
        <v>80</v>
      </c>
      <c r="AY1048" s="144" t="s">
        <v>337</v>
      </c>
    </row>
    <row r="1049" spans="2:65" s="148" customFormat="1" x14ac:dyDescent="0.2">
      <c r="B1049" s="149"/>
      <c r="D1049" s="143" t="s">
        <v>346</v>
      </c>
      <c r="E1049" s="150"/>
      <c r="F1049" s="151" t="s">
        <v>4607</v>
      </c>
      <c r="H1049" s="152">
        <v>0.9</v>
      </c>
      <c r="L1049" s="149"/>
      <c r="M1049" s="153"/>
      <c r="T1049" s="154"/>
      <c r="AT1049" s="150" t="s">
        <v>346</v>
      </c>
      <c r="AU1049" s="150" t="s">
        <v>90</v>
      </c>
      <c r="AV1049" s="148" t="s">
        <v>90</v>
      </c>
      <c r="AW1049" s="148" t="s">
        <v>33</v>
      </c>
      <c r="AX1049" s="148" t="s">
        <v>80</v>
      </c>
      <c r="AY1049" s="150" t="s">
        <v>337</v>
      </c>
    </row>
    <row r="1050" spans="2:65" s="155" customFormat="1" x14ac:dyDescent="0.2">
      <c r="B1050" s="156"/>
      <c r="D1050" s="143" t="s">
        <v>346</v>
      </c>
      <c r="E1050" s="157"/>
      <c r="F1050" s="158" t="s">
        <v>351</v>
      </c>
      <c r="H1050" s="159">
        <v>429.01</v>
      </c>
      <c r="L1050" s="156"/>
      <c r="M1050" s="160"/>
      <c r="T1050" s="161"/>
      <c r="AT1050" s="157" t="s">
        <v>346</v>
      </c>
      <c r="AU1050" s="157" t="s">
        <v>90</v>
      </c>
      <c r="AV1050" s="155" t="s">
        <v>344</v>
      </c>
      <c r="AW1050" s="155" t="s">
        <v>33</v>
      </c>
      <c r="AX1050" s="155" t="s">
        <v>87</v>
      </c>
      <c r="AY1050" s="157" t="s">
        <v>337</v>
      </c>
    </row>
    <row r="1051" spans="2:65" s="116" customFormat="1" ht="22.9" customHeight="1" x14ac:dyDescent="0.2">
      <c r="B1051" s="117"/>
      <c r="D1051" s="118" t="s">
        <v>79</v>
      </c>
      <c r="E1051" s="126" t="s">
        <v>5766</v>
      </c>
      <c r="F1051" s="126" t="s">
        <v>5767</v>
      </c>
      <c r="J1051" s="127">
        <f>BK1051</f>
        <v>0</v>
      </c>
      <c r="L1051" s="117"/>
      <c r="M1051" s="121"/>
      <c r="P1051" s="122">
        <f>SUM(P1052:P1136)</f>
        <v>0</v>
      </c>
      <c r="R1051" s="122">
        <f>SUM(R1052:R1136)</f>
        <v>0</v>
      </c>
      <c r="T1051" s="123">
        <f>SUM(T1052:T1136)</f>
        <v>5.3016505000000009</v>
      </c>
      <c r="AR1051" s="118" t="s">
        <v>90</v>
      </c>
      <c r="AT1051" s="124" t="s">
        <v>79</v>
      </c>
      <c r="AU1051" s="124" t="s">
        <v>87</v>
      </c>
      <c r="AY1051" s="118" t="s">
        <v>337</v>
      </c>
      <c r="BK1051" s="125">
        <f>SUM(BK1052:BK1136)</f>
        <v>0</v>
      </c>
    </row>
    <row r="1052" spans="2:65" s="16" customFormat="1" ht="16.5" customHeight="1" x14ac:dyDescent="0.2">
      <c r="B1052" s="17"/>
      <c r="C1052" s="128">
        <v>62</v>
      </c>
      <c r="D1052" s="128" t="s">
        <v>339</v>
      </c>
      <c r="E1052" s="129" t="s">
        <v>5768</v>
      </c>
      <c r="F1052" s="130" t="s">
        <v>5769</v>
      </c>
      <c r="G1052" s="131" t="s">
        <v>425</v>
      </c>
      <c r="H1052" s="132">
        <v>59.75</v>
      </c>
      <c r="I1052" s="133"/>
      <c r="J1052" s="134">
        <f>ROUND(I1052*H1052,2)</f>
        <v>0</v>
      </c>
      <c r="K1052" s="130" t="s">
        <v>343</v>
      </c>
      <c r="L1052" s="17"/>
      <c r="M1052" s="135"/>
      <c r="N1052" s="136" t="s">
        <v>45</v>
      </c>
      <c r="P1052" s="137">
        <f>O1052*H1052</f>
        <v>0</v>
      </c>
      <c r="Q1052" s="137">
        <v>0</v>
      </c>
      <c r="R1052" s="137">
        <f>Q1052*H1052</f>
        <v>0</v>
      </c>
      <c r="S1052" s="137">
        <v>2.4649999999999998E-2</v>
      </c>
      <c r="T1052" s="138">
        <f>S1052*H1052</f>
        <v>1.4728374999999998</v>
      </c>
      <c r="AR1052" s="139" t="s">
        <v>496</v>
      </c>
      <c r="AT1052" s="139" t="s">
        <v>339</v>
      </c>
      <c r="AU1052" s="139" t="s">
        <v>90</v>
      </c>
      <c r="AY1052" s="2" t="s">
        <v>337</v>
      </c>
      <c r="BE1052" s="140">
        <f>IF(N1052="základní",J1052,0)</f>
        <v>0</v>
      </c>
      <c r="BF1052" s="140">
        <f>IF(N1052="snížená",J1052,0)</f>
        <v>0</v>
      </c>
      <c r="BG1052" s="140">
        <f>IF(N1052="zákl. přenesená",J1052,0)</f>
        <v>0</v>
      </c>
      <c r="BH1052" s="140">
        <f>IF(N1052="sníž. přenesená",J1052,0)</f>
        <v>0</v>
      </c>
      <c r="BI1052" s="140">
        <f>IF(N1052="nulová",J1052,0)</f>
        <v>0</v>
      </c>
      <c r="BJ1052" s="2" t="s">
        <v>87</v>
      </c>
      <c r="BK1052" s="140">
        <f>ROUND(I1052*H1052,2)</f>
        <v>0</v>
      </c>
      <c r="BL1052" s="2" t="s">
        <v>496</v>
      </c>
      <c r="BM1052" s="139" t="s">
        <v>5770</v>
      </c>
    </row>
    <row r="1053" spans="2:65" s="141" customFormat="1" x14ac:dyDescent="0.2">
      <c r="B1053" s="142"/>
      <c r="D1053" s="143" t="s">
        <v>346</v>
      </c>
      <c r="E1053" s="144"/>
      <c r="F1053" s="145" t="s">
        <v>5771</v>
      </c>
      <c r="H1053" s="144"/>
      <c r="L1053" s="142"/>
      <c r="M1053" s="146"/>
      <c r="T1053" s="147"/>
      <c r="AT1053" s="144" t="s">
        <v>346</v>
      </c>
      <c r="AU1053" s="144" t="s">
        <v>90</v>
      </c>
      <c r="AV1053" s="141" t="s">
        <v>87</v>
      </c>
      <c r="AW1053" s="141" t="s">
        <v>33</v>
      </c>
      <c r="AX1053" s="141" t="s">
        <v>80</v>
      </c>
      <c r="AY1053" s="144" t="s">
        <v>337</v>
      </c>
    </row>
    <row r="1054" spans="2:65" s="148" customFormat="1" x14ac:dyDescent="0.2">
      <c r="B1054" s="149"/>
      <c r="D1054" s="143" t="s">
        <v>346</v>
      </c>
      <c r="E1054" s="150"/>
      <c r="F1054" s="151" t="s">
        <v>5772</v>
      </c>
      <c r="H1054" s="152">
        <v>22.1</v>
      </c>
      <c r="L1054" s="149"/>
      <c r="M1054" s="153"/>
      <c r="T1054" s="154"/>
      <c r="AT1054" s="150" t="s">
        <v>346</v>
      </c>
      <c r="AU1054" s="150" t="s">
        <v>90</v>
      </c>
      <c r="AV1054" s="148" t="s">
        <v>90</v>
      </c>
      <c r="AW1054" s="148" t="s">
        <v>33</v>
      </c>
      <c r="AX1054" s="148" t="s">
        <v>80</v>
      </c>
      <c r="AY1054" s="150" t="s">
        <v>337</v>
      </c>
    </row>
    <row r="1055" spans="2:65" s="148" customFormat="1" x14ac:dyDescent="0.2">
      <c r="B1055" s="149"/>
      <c r="D1055" s="143" t="s">
        <v>346</v>
      </c>
      <c r="E1055" s="150"/>
      <c r="F1055" s="151" t="s">
        <v>5773</v>
      </c>
      <c r="H1055" s="152">
        <v>15.6</v>
      </c>
      <c r="L1055" s="149"/>
      <c r="M1055" s="153"/>
      <c r="T1055" s="154"/>
      <c r="AT1055" s="150" t="s">
        <v>346</v>
      </c>
      <c r="AU1055" s="150" t="s">
        <v>90</v>
      </c>
      <c r="AV1055" s="148" t="s">
        <v>90</v>
      </c>
      <c r="AW1055" s="148" t="s">
        <v>33</v>
      </c>
      <c r="AX1055" s="148" t="s">
        <v>80</v>
      </c>
      <c r="AY1055" s="150" t="s">
        <v>337</v>
      </c>
    </row>
    <row r="1056" spans="2:65" s="148" customFormat="1" x14ac:dyDescent="0.2">
      <c r="B1056" s="149"/>
      <c r="D1056" s="143" t="s">
        <v>346</v>
      </c>
      <c r="E1056" s="150"/>
      <c r="F1056" s="151" t="s">
        <v>5774</v>
      </c>
      <c r="H1056" s="152">
        <v>12.15</v>
      </c>
      <c r="L1056" s="149"/>
      <c r="M1056" s="153"/>
      <c r="T1056" s="154"/>
      <c r="AT1056" s="150" t="s">
        <v>346</v>
      </c>
      <c r="AU1056" s="150" t="s">
        <v>90</v>
      </c>
      <c r="AV1056" s="148" t="s">
        <v>90</v>
      </c>
      <c r="AW1056" s="148" t="s">
        <v>33</v>
      </c>
      <c r="AX1056" s="148" t="s">
        <v>80</v>
      </c>
      <c r="AY1056" s="150" t="s">
        <v>337</v>
      </c>
    </row>
    <row r="1057" spans="2:65" s="148" customFormat="1" x14ac:dyDescent="0.2">
      <c r="B1057" s="149"/>
      <c r="D1057" s="143" t="s">
        <v>346</v>
      </c>
      <c r="E1057" s="150"/>
      <c r="F1057" s="151" t="s">
        <v>5775</v>
      </c>
      <c r="H1057" s="152">
        <v>9.9</v>
      </c>
      <c r="L1057" s="149"/>
      <c r="M1057" s="153"/>
      <c r="T1057" s="154"/>
      <c r="AT1057" s="150" t="s">
        <v>346</v>
      </c>
      <c r="AU1057" s="150" t="s">
        <v>90</v>
      </c>
      <c r="AV1057" s="148" t="s">
        <v>90</v>
      </c>
      <c r="AW1057" s="148" t="s">
        <v>33</v>
      </c>
      <c r="AX1057" s="148" t="s">
        <v>80</v>
      </c>
      <c r="AY1057" s="150" t="s">
        <v>337</v>
      </c>
    </row>
    <row r="1058" spans="2:65" s="155" customFormat="1" x14ac:dyDescent="0.2">
      <c r="B1058" s="156"/>
      <c r="D1058" s="143" t="s">
        <v>346</v>
      </c>
      <c r="E1058" s="157"/>
      <c r="F1058" s="158" t="s">
        <v>351</v>
      </c>
      <c r="H1058" s="159">
        <v>59.75</v>
      </c>
      <c r="L1058" s="156"/>
      <c r="M1058" s="160"/>
      <c r="T1058" s="161"/>
      <c r="AT1058" s="157" t="s">
        <v>346</v>
      </c>
      <c r="AU1058" s="157" t="s">
        <v>90</v>
      </c>
      <c r="AV1058" s="155" t="s">
        <v>344</v>
      </c>
      <c r="AW1058" s="155" t="s">
        <v>33</v>
      </c>
      <c r="AX1058" s="155" t="s">
        <v>87</v>
      </c>
      <c r="AY1058" s="157" t="s">
        <v>337</v>
      </c>
    </row>
    <row r="1059" spans="2:65" s="16" customFormat="1" ht="16.5" customHeight="1" x14ac:dyDescent="0.2">
      <c r="B1059" s="17"/>
      <c r="C1059" s="128">
        <v>63</v>
      </c>
      <c r="D1059" s="128" t="s">
        <v>339</v>
      </c>
      <c r="E1059" s="129" t="s">
        <v>5776</v>
      </c>
      <c r="F1059" s="130" t="s">
        <v>5777</v>
      </c>
      <c r="G1059" s="131" t="s">
        <v>425</v>
      </c>
      <c r="H1059" s="132">
        <v>59.75</v>
      </c>
      <c r="I1059" s="133"/>
      <c r="J1059" s="134">
        <f>ROUND(I1059*H1059,2)</f>
        <v>0</v>
      </c>
      <c r="K1059" s="130" t="s">
        <v>343</v>
      </c>
      <c r="L1059" s="17"/>
      <c r="M1059" s="135"/>
      <c r="N1059" s="136" t="s">
        <v>45</v>
      </c>
      <c r="P1059" s="137">
        <f>O1059*H1059</f>
        <v>0</v>
      </c>
      <c r="Q1059" s="137">
        <v>0</v>
      </c>
      <c r="R1059" s="137">
        <f>Q1059*H1059</f>
        <v>0</v>
      </c>
      <c r="S1059" s="137">
        <v>8.0000000000000002E-3</v>
      </c>
      <c r="T1059" s="138">
        <f>S1059*H1059</f>
        <v>0.47800000000000004</v>
      </c>
      <c r="AR1059" s="139" t="s">
        <v>496</v>
      </c>
      <c r="AT1059" s="139" t="s">
        <v>339</v>
      </c>
      <c r="AU1059" s="139" t="s">
        <v>90</v>
      </c>
      <c r="AY1059" s="2" t="s">
        <v>337</v>
      </c>
      <c r="BE1059" s="140">
        <f>IF(N1059="základní",J1059,0)</f>
        <v>0</v>
      </c>
      <c r="BF1059" s="140">
        <f>IF(N1059="snížená",J1059,0)</f>
        <v>0</v>
      </c>
      <c r="BG1059" s="140">
        <f>IF(N1059="zákl. přenesená",J1059,0)</f>
        <v>0</v>
      </c>
      <c r="BH1059" s="140">
        <f>IF(N1059="sníž. přenesená",J1059,0)</f>
        <v>0</v>
      </c>
      <c r="BI1059" s="140">
        <f>IF(N1059="nulová",J1059,0)</f>
        <v>0</v>
      </c>
      <c r="BJ1059" s="2" t="s">
        <v>87</v>
      </c>
      <c r="BK1059" s="140">
        <f>ROUND(I1059*H1059,2)</f>
        <v>0</v>
      </c>
      <c r="BL1059" s="2" t="s">
        <v>496</v>
      </c>
      <c r="BM1059" s="139" t="s">
        <v>5778</v>
      </c>
    </row>
    <row r="1060" spans="2:65" s="16" customFormat="1" ht="16.5" customHeight="1" x14ac:dyDescent="0.2">
      <c r="B1060" s="17"/>
      <c r="C1060" s="128">
        <v>64</v>
      </c>
      <c r="D1060" s="128" t="s">
        <v>339</v>
      </c>
      <c r="E1060" s="129" t="s">
        <v>5779</v>
      </c>
      <c r="F1060" s="130" t="s">
        <v>5780</v>
      </c>
      <c r="G1060" s="131" t="s">
        <v>425</v>
      </c>
      <c r="H1060" s="132">
        <v>44.02</v>
      </c>
      <c r="I1060" s="133"/>
      <c r="J1060" s="134">
        <f>ROUND(I1060*H1060,2)</f>
        <v>0</v>
      </c>
      <c r="K1060" s="130" t="s">
        <v>343</v>
      </c>
      <c r="L1060" s="17"/>
      <c r="M1060" s="135"/>
      <c r="N1060" s="136" t="s">
        <v>45</v>
      </c>
      <c r="P1060" s="137">
        <f>O1060*H1060</f>
        <v>0</v>
      </c>
      <c r="Q1060" s="137">
        <v>0</v>
      </c>
      <c r="R1060" s="137">
        <f>Q1060*H1060</f>
        <v>0</v>
      </c>
      <c r="S1060" s="137">
        <v>2.4649999999999998E-2</v>
      </c>
      <c r="T1060" s="138">
        <f>S1060*H1060</f>
        <v>1.0850930000000001</v>
      </c>
      <c r="AR1060" s="139" t="s">
        <v>496</v>
      </c>
      <c r="AT1060" s="139" t="s">
        <v>339</v>
      </c>
      <c r="AU1060" s="139" t="s">
        <v>90</v>
      </c>
      <c r="AY1060" s="2" t="s">
        <v>337</v>
      </c>
      <c r="BE1060" s="140">
        <f>IF(N1060="základní",J1060,0)</f>
        <v>0</v>
      </c>
      <c r="BF1060" s="140">
        <f>IF(N1060="snížená",J1060,0)</f>
        <v>0</v>
      </c>
      <c r="BG1060" s="140">
        <f>IF(N1060="zákl. přenesená",J1060,0)</f>
        <v>0</v>
      </c>
      <c r="BH1060" s="140">
        <f>IF(N1060="sníž. přenesená",J1060,0)</f>
        <v>0</v>
      </c>
      <c r="BI1060" s="140">
        <f>IF(N1060="nulová",J1060,0)</f>
        <v>0</v>
      </c>
      <c r="BJ1060" s="2" t="s">
        <v>87</v>
      </c>
      <c r="BK1060" s="140">
        <f>ROUND(I1060*H1060,2)</f>
        <v>0</v>
      </c>
      <c r="BL1060" s="2" t="s">
        <v>496</v>
      </c>
      <c r="BM1060" s="139" t="s">
        <v>5781</v>
      </c>
    </row>
    <row r="1061" spans="2:65" s="141" customFormat="1" x14ac:dyDescent="0.2">
      <c r="B1061" s="142"/>
      <c r="D1061" s="143" t="s">
        <v>346</v>
      </c>
      <c r="E1061" s="144"/>
      <c r="F1061" s="145" t="s">
        <v>5771</v>
      </c>
      <c r="H1061" s="144"/>
      <c r="L1061" s="142"/>
      <c r="M1061" s="146"/>
      <c r="T1061" s="147"/>
      <c r="AT1061" s="144" t="s">
        <v>346</v>
      </c>
      <c r="AU1061" s="144" t="s">
        <v>90</v>
      </c>
      <c r="AV1061" s="141" t="s">
        <v>87</v>
      </c>
      <c r="AW1061" s="141" t="s">
        <v>33</v>
      </c>
      <c r="AX1061" s="141" t="s">
        <v>80</v>
      </c>
      <c r="AY1061" s="144" t="s">
        <v>337</v>
      </c>
    </row>
    <row r="1062" spans="2:65" s="148" customFormat="1" x14ac:dyDescent="0.2">
      <c r="B1062" s="149"/>
      <c r="D1062" s="143" t="s">
        <v>346</v>
      </c>
      <c r="E1062" s="150"/>
      <c r="F1062" s="151" t="s">
        <v>5782</v>
      </c>
      <c r="H1062" s="152">
        <v>21.3</v>
      </c>
      <c r="L1062" s="149"/>
      <c r="M1062" s="153"/>
      <c r="T1062" s="154"/>
      <c r="AT1062" s="150" t="s">
        <v>346</v>
      </c>
      <c r="AU1062" s="150" t="s">
        <v>90</v>
      </c>
      <c r="AV1062" s="148" t="s">
        <v>90</v>
      </c>
      <c r="AW1062" s="148" t="s">
        <v>33</v>
      </c>
      <c r="AX1062" s="148" t="s">
        <v>80</v>
      </c>
      <c r="AY1062" s="150" t="s">
        <v>337</v>
      </c>
    </row>
    <row r="1063" spans="2:65" s="148" customFormat="1" x14ac:dyDescent="0.2">
      <c r="B1063" s="149"/>
      <c r="D1063" s="143" t="s">
        <v>346</v>
      </c>
      <c r="E1063" s="150"/>
      <c r="F1063" s="151" t="s">
        <v>5783</v>
      </c>
      <c r="H1063" s="152">
        <v>22.72</v>
      </c>
      <c r="L1063" s="149"/>
      <c r="M1063" s="153"/>
      <c r="T1063" s="154"/>
      <c r="AT1063" s="150" t="s">
        <v>346</v>
      </c>
      <c r="AU1063" s="150" t="s">
        <v>90</v>
      </c>
      <c r="AV1063" s="148" t="s">
        <v>90</v>
      </c>
      <c r="AW1063" s="148" t="s">
        <v>33</v>
      </c>
      <c r="AX1063" s="148" t="s">
        <v>80</v>
      </c>
      <c r="AY1063" s="150" t="s">
        <v>337</v>
      </c>
    </row>
    <row r="1064" spans="2:65" s="155" customFormat="1" x14ac:dyDescent="0.2">
      <c r="B1064" s="156"/>
      <c r="D1064" s="143" t="s">
        <v>346</v>
      </c>
      <c r="E1064" s="157"/>
      <c r="F1064" s="158" t="s">
        <v>351</v>
      </c>
      <c r="H1064" s="159">
        <v>44.02</v>
      </c>
      <c r="L1064" s="156"/>
      <c r="M1064" s="160"/>
      <c r="T1064" s="161"/>
      <c r="AT1064" s="157" t="s">
        <v>346</v>
      </c>
      <c r="AU1064" s="157" t="s">
        <v>90</v>
      </c>
      <c r="AV1064" s="155" t="s">
        <v>344</v>
      </c>
      <c r="AW1064" s="155" t="s">
        <v>33</v>
      </c>
      <c r="AX1064" s="155" t="s">
        <v>87</v>
      </c>
      <c r="AY1064" s="157" t="s">
        <v>337</v>
      </c>
    </row>
    <row r="1065" spans="2:65" s="16" customFormat="1" ht="16.5" customHeight="1" x14ac:dyDescent="0.2">
      <c r="B1065" s="17"/>
      <c r="C1065" s="128">
        <v>65</v>
      </c>
      <c r="D1065" s="128" t="s">
        <v>339</v>
      </c>
      <c r="E1065" s="129" t="s">
        <v>5784</v>
      </c>
      <c r="F1065" s="130" t="s">
        <v>5785</v>
      </c>
      <c r="G1065" s="131" t="s">
        <v>425</v>
      </c>
      <c r="H1065" s="132">
        <v>44.02</v>
      </c>
      <c r="I1065" s="133"/>
      <c r="J1065" s="134">
        <f>ROUND(I1065*H1065,2)</f>
        <v>0</v>
      </c>
      <c r="K1065" s="130" t="s">
        <v>343</v>
      </c>
      <c r="L1065" s="17"/>
      <c r="M1065" s="135"/>
      <c r="N1065" s="136" t="s">
        <v>45</v>
      </c>
      <c r="P1065" s="137">
        <f>O1065*H1065</f>
        <v>0</v>
      </c>
      <c r="Q1065" s="137">
        <v>0</v>
      </c>
      <c r="R1065" s="137">
        <f>Q1065*H1065</f>
        <v>0</v>
      </c>
      <c r="S1065" s="137">
        <v>8.0000000000000002E-3</v>
      </c>
      <c r="T1065" s="138">
        <f>S1065*H1065</f>
        <v>0.35216000000000003</v>
      </c>
      <c r="AR1065" s="139" t="s">
        <v>496</v>
      </c>
      <c r="AT1065" s="139" t="s">
        <v>339</v>
      </c>
      <c r="AU1065" s="139" t="s">
        <v>90</v>
      </c>
      <c r="AY1065" s="2" t="s">
        <v>337</v>
      </c>
      <c r="BE1065" s="140">
        <f>IF(N1065="základní",J1065,0)</f>
        <v>0</v>
      </c>
      <c r="BF1065" s="140">
        <f>IF(N1065="snížená",J1065,0)</f>
        <v>0</v>
      </c>
      <c r="BG1065" s="140">
        <f>IF(N1065="zákl. přenesená",J1065,0)</f>
        <v>0</v>
      </c>
      <c r="BH1065" s="140">
        <f>IF(N1065="sníž. přenesená",J1065,0)</f>
        <v>0</v>
      </c>
      <c r="BI1065" s="140">
        <f>IF(N1065="nulová",J1065,0)</f>
        <v>0</v>
      </c>
      <c r="BJ1065" s="2" t="s">
        <v>87</v>
      </c>
      <c r="BK1065" s="140">
        <f>ROUND(I1065*H1065,2)</f>
        <v>0</v>
      </c>
      <c r="BL1065" s="2" t="s">
        <v>496</v>
      </c>
      <c r="BM1065" s="139" t="s">
        <v>5786</v>
      </c>
    </row>
    <row r="1066" spans="2:65" s="16" customFormat="1" ht="16.5" customHeight="1" x14ac:dyDescent="0.2">
      <c r="B1066" s="17"/>
      <c r="C1066" s="128">
        <v>66</v>
      </c>
      <c r="D1066" s="128" t="s">
        <v>339</v>
      </c>
      <c r="E1066" s="129" t="s">
        <v>5787</v>
      </c>
      <c r="F1066" s="130" t="s">
        <v>5788</v>
      </c>
      <c r="G1066" s="131" t="s">
        <v>724</v>
      </c>
      <c r="H1066" s="132">
        <v>475.53</v>
      </c>
      <c r="I1066" s="133"/>
      <c r="J1066" s="134">
        <f>ROUND(I1066*H1066,2)</f>
        <v>0</v>
      </c>
      <c r="K1066" s="130" t="s">
        <v>343</v>
      </c>
      <c r="L1066" s="17"/>
      <c r="M1066" s="135"/>
      <c r="N1066" s="136" t="s">
        <v>45</v>
      </c>
      <c r="P1066" s="137">
        <f>O1066*H1066</f>
        <v>0</v>
      </c>
      <c r="Q1066" s="137">
        <v>0</v>
      </c>
      <c r="R1066" s="137">
        <f>Q1066*H1066</f>
        <v>0</v>
      </c>
      <c r="S1066" s="137">
        <v>2E-3</v>
      </c>
      <c r="T1066" s="138">
        <f>S1066*H1066</f>
        <v>0.95106000000000002</v>
      </c>
      <c r="AR1066" s="139" t="s">
        <v>496</v>
      </c>
      <c r="AT1066" s="139" t="s">
        <v>339</v>
      </c>
      <c r="AU1066" s="139" t="s">
        <v>90</v>
      </c>
      <c r="AY1066" s="2" t="s">
        <v>337</v>
      </c>
      <c r="BE1066" s="140">
        <f>IF(N1066="základní",J1066,0)</f>
        <v>0</v>
      </c>
      <c r="BF1066" s="140">
        <f>IF(N1066="snížená",J1066,0)</f>
        <v>0</v>
      </c>
      <c r="BG1066" s="140">
        <f>IF(N1066="zákl. přenesená",J1066,0)</f>
        <v>0</v>
      </c>
      <c r="BH1066" s="140">
        <f>IF(N1066="sníž. přenesená",J1066,0)</f>
        <v>0</v>
      </c>
      <c r="BI1066" s="140">
        <f>IF(N1066="nulová",J1066,0)</f>
        <v>0</v>
      </c>
      <c r="BJ1066" s="2" t="s">
        <v>87</v>
      </c>
      <c r="BK1066" s="140">
        <f>ROUND(I1066*H1066,2)</f>
        <v>0</v>
      </c>
      <c r="BL1066" s="2" t="s">
        <v>496</v>
      </c>
      <c r="BM1066" s="139" t="s">
        <v>5789</v>
      </c>
    </row>
    <row r="1067" spans="2:65" s="141" customFormat="1" x14ac:dyDescent="0.2">
      <c r="B1067" s="142"/>
      <c r="D1067" s="143" t="s">
        <v>346</v>
      </c>
      <c r="E1067" s="144"/>
      <c r="F1067" s="145" t="s">
        <v>357</v>
      </c>
      <c r="H1067" s="144"/>
      <c r="L1067" s="142"/>
      <c r="M1067" s="146"/>
      <c r="T1067" s="147"/>
      <c r="AT1067" s="144" t="s">
        <v>346</v>
      </c>
      <c r="AU1067" s="144" t="s">
        <v>90</v>
      </c>
      <c r="AV1067" s="141" t="s">
        <v>87</v>
      </c>
      <c r="AW1067" s="141" t="s">
        <v>33</v>
      </c>
      <c r="AX1067" s="141" t="s">
        <v>80</v>
      </c>
      <c r="AY1067" s="144" t="s">
        <v>337</v>
      </c>
    </row>
    <row r="1068" spans="2:65" s="148" customFormat="1" x14ac:dyDescent="0.2">
      <c r="B1068" s="149"/>
      <c r="D1068" s="143" t="s">
        <v>346</v>
      </c>
      <c r="E1068" s="150"/>
      <c r="F1068" s="151" t="s">
        <v>5790</v>
      </c>
      <c r="H1068" s="152">
        <v>25.2</v>
      </c>
      <c r="L1068" s="149"/>
      <c r="M1068" s="153"/>
      <c r="T1068" s="154"/>
      <c r="AT1068" s="150" t="s">
        <v>346</v>
      </c>
      <c r="AU1068" s="150" t="s">
        <v>90</v>
      </c>
      <c r="AV1068" s="148" t="s">
        <v>90</v>
      </c>
      <c r="AW1068" s="148" t="s">
        <v>33</v>
      </c>
      <c r="AX1068" s="148" t="s">
        <v>80</v>
      </c>
      <c r="AY1068" s="150" t="s">
        <v>337</v>
      </c>
    </row>
    <row r="1069" spans="2:65" s="148" customFormat="1" x14ac:dyDescent="0.2">
      <c r="B1069" s="149"/>
      <c r="D1069" s="143" t="s">
        <v>346</v>
      </c>
      <c r="E1069" s="150"/>
      <c r="F1069" s="151" t="s">
        <v>5791</v>
      </c>
      <c r="H1069" s="152">
        <v>4.8499999999999996</v>
      </c>
      <c r="L1069" s="149"/>
      <c r="M1069" s="153"/>
      <c r="T1069" s="154"/>
      <c r="AT1069" s="150" t="s">
        <v>346</v>
      </c>
      <c r="AU1069" s="150" t="s">
        <v>90</v>
      </c>
      <c r="AV1069" s="148" t="s">
        <v>90</v>
      </c>
      <c r="AW1069" s="148" t="s">
        <v>33</v>
      </c>
      <c r="AX1069" s="148" t="s">
        <v>80</v>
      </c>
      <c r="AY1069" s="150" t="s">
        <v>337</v>
      </c>
    </row>
    <row r="1070" spans="2:65" s="148" customFormat="1" x14ac:dyDescent="0.2">
      <c r="B1070" s="149"/>
      <c r="D1070" s="143" t="s">
        <v>346</v>
      </c>
      <c r="E1070" s="150"/>
      <c r="F1070" s="151" t="s">
        <v>5792</v>
      </c>
      <c r="H1070" s="152">
        <v>3.92</v>
      </c>
      <c r="L1070" s="149"/>
      <c r="M1070" s="153"/>
      <c r="T1070" s="154"/>
      <c r="AT1070" s="150" t="s">
        <v>346</v>
      </c>
      <c r="AU1070" s="150" t="s">
        <v>90</v>
      </c>
      <c r="AV1070" s="148" t="s">
        <v>90</v>
      </c>
      <c r="AW1070" s="148" t="s">
        <v>33</v>
      </c>
      <c r="AX1070" s="148" t="s">
        <v>80</v>
      </c>
      <c r="AY1070" s="150" t="s">
        <v>337</v>
      </c>
    </row>
    <row r="1071" spans="2:65" s="141" customFormat="1" x14ac:dyDescent="0.2">
      <c r="B1071" s="142"/>
      <c r="D1071" s="143" t="s">
        <v>346</v>
      </c>
      <c r="E1071" s="144"/>
      <c r="F1071" s="145" t="s">
        <v>362</v>
      </c>
      <c r="H1071" s="144"/>
      <c r="L1071" s="142"/>
      <c r="M1071" s="146"/>
      <c r="T1071" s="147"/>
      <c r="AT1071" s="144" t="s">
        <v>346</v>
      </c>
      <c r="AU1071" s="144" t="s">
        <v>90</v>
      </c>
      <c r="AV1071" s="141" t="s">
        <v>87</v>
      </c>
      <c r="AW1071" s="141" t="s">
        <v>33</v>
      </c>
      <c r="AX1071" s="141" t="s">
        <v>80</v>
      </c>
      <c r="AY1071" s="144" t="s">
        <v>337</v>
      </c>
    </row>
    <row r="1072" spans="2:65" s="148" customFormat="1" x14ac:dyDescent="0.2">
      <c r="B1072" s="149"/>
      <c r="D1072" s="143" t="s">
        <v>346</v>
      </c>
      <c r="E1072" s="150"/>
      <c r="F1072" s="151" t="s">
        <v>5793</v>
      </c>
      <c r="H1072" s="152">
        <v>0.9</v>
      </c>
      <c r="L1072" s="149"/>
      <c r="M1072" s="153"/>
      <c r="T1072" s="154"/>
      <c r="AT1072" s="150" t="s">
        <v>346</v>
      </c>
      <c r="AU1072" s="150" t="s">
        <v>90</v>
      </c>
      <c r="AV1072" s="148" t="s">
        <v>90</v>
      </c>
      <c r="AW1072" s="148" t="s">
        <v>33</v>
      </c>
      <c r="AX1072" s="148" t="s">
        <v>80</v>
      </c>
      <c r="AY1072" s="150" t="s">
        <v>337</v>
      </c>
    </row>
    <row r="1073" spans="2:51" s="148" customFormat="1" x14ac:dyDescent="0.2">
      <c r="B1073" s="149"/>
      <c r="D1073" s="143" t="s">
        <v>346</v>
      </c>
      <c r="E1073" s="150"/>
      <c r="F1073" s="151" t="s">
        <v>5794</v>
      </c>
      <c r="H1073" s="152">
        <v>1.95</v>
      </c>
      <c r="L1073" s="149"/>
      <c r="M1073" s="153"/>
      <c r="T1073" s="154"/>
      <c r="AT1073" s="150" t="s">
        <v>346</v>
      </c>
      <c r="AU1073" s="150" t="s">
        <v>90</v>
      </c>
      <c r="AV1073" s="148" t="s">
        <v>90</v>
      </c>
      <c r="AW1073" s="148" t="s">
        <v>33</v>
      </c>
      <c r="AX1073" s="148" t="s">
        <v>80</v>
      </c>
      <c r="AY1073" s="150" t="s">
        <v>337</v>
      </c>
    </row>
    <row r="1074" spans="2:51" s="148" customFormat="1" x14ac:dyDescent="0.2">
      <c r="B1074" s="149"/>
      <c r="D1074" s="143" t="s">
        <v>346</v>
      </c>
      <c r="E1074" s="150"/>
      <c r="F1074" s="151" t="s">
        <v>5795</v>
      </c>
      <c r="H1074" s="152">
        <v>1.35</v>
      </c>
      <c r="L1074" s="149"/>
      <c r="M1074" s="153"/>
      <c r="T1074" s="154"/>
      <c r="AT1074" s="150" t="s">
        <v>346</v>
      </c>
      <c r="AU1074" s="150" t="s">
        <v>90</v>
      </c>
      <c r="AV1074" s="148" t="s">
        <v>90</v>
      </c>
      <c r="AW1074" s="148" t="s">
        <v>33</v>
      </c>
      <c r="AX1074" s="148" t="s">
        <v>80</v>
      </c>
      <c r="AY1074" s="150" t="s">
        <v>337</v>
      </c>
    </row>
    <row r="1075" spans="2:51" s="148" customFormat="1" x14ac:dyDescent="0.2">
      <c r="B1075" s="149"/>
      <c r="D1075" s="143" t="s">
        <v>346</v>
      </c>
      <c r="E1075" s="150"/>
      <c r="F1075" s="151" t="s">
        <v>5796</v>
      </c>
      <c r="H1075" s="152">
        <v>6.12</v>
      </c>
      <c r="L1075" s="149"/>
      <c r="M1075" s="153"/>
      <c r="T1075" s="154"/>
      <c r="AT1075" s="150" t="s">
        <v>346</v>
      </c>
      <c r="AU1075" s="150" t="s">
        <v>90</v>
      </c>
      <c r="AV1075" s="148" t="s">
        <v>90</v>
      </c>
      <c r="AW1075" s="148" t="s">
        <v>33</v>
      </c>
      <c r="AX1075" s="148" t="s">
        <v>80</v>
      </c>
      <c r="AY1075" s="150" t="s">
        <v>337</v>
      </c>
    </row>
    <row r="1076" spans="2:51" s="148" customFormat="1" x14ac:dyDescent="0.2">
      <c r="B1076" s="149"/>
      <c r="D1076" s="143" t="s">
        <v>346</v>
      </c>
      <c r="E1076" s="150"/>
      <c r="F1076" s="151" t="s">
        <v>5797</v>
      </c>
      <c r="H1076" s="152">
        <v>37.450000000000003</v>
      </c>
      <c r="L1076" s="149"/>
      <c r="M1076" s="153"/>
      <c r="T1076" s="154"/>
      <c r="AT1076" s="150" t="s">
        <v>346</v>
      </c>
      <c r="AU1076" s="150" t="s">
        <v>90</v>
      </c>
      <c r="AV1076" s="148" t="s">
        <v>90</v>
      </c>
      <c r="AW1076" s="148" t="s">
        <v>33</v>
      </c>
      <c r="AX1076" s="148" t="s">
        <v>80</v>
      </c>
      <c r="AY1076" s="150" t="s">
        <v>337</v>
      </c>
    </row>
    <row r="1077" spans="2:51" s="148" customFormat="1" x14ac:dyDescent="0.2">
      <c r="B1077" s="149"/>
      <c r="D1077" s="143" t="s">
        <v>346</v>
      </c>
      <c r="E1077" s="150"/>
      <c r="F1077" s="151" t="s">
        <v>5798</v>
      </c>
      <c r="H1077" s="152">
        <v>16.5</v>
      </c>
      <c r="L1077" s="149"/>
      <c r="M1077" s="153"/>
      <c r="T1077" s="154"/>
      <c r="AT1077" s="150" t="s">
        <v>346</v>
      </c>
      <c r="AU1077" s="150" t="s">
        <v>90</v>
      </c>
      <c r="AV1077" s="148" t="s">
        <v>90</v>
      </c>
      <c r="AW1077" s="148" t="s">
        <v>33</v>
      </c>
      <c r="AX1077" s="148" t="s">
        <v>80</v>
      </c>
      <c r="AY1077" s="150" t="s">
        <v>337</v>
      </c>
    </row>
    <row r="1078" spans="2:51" s="148" customFormat="1" x14ac:dyDescent="0.2">
      <c r="B1078" s="149"/>
      <c r="D1078" s="143" t="s">
        <v>346</v>
      </c>
      <c r="E1078" s="150"/>
      <c r="F1078" s="151" t="s">
        <v>5799</v>
      </c>
      <c r="H1078" s="152">
        <v>21.6</v>
      </c>
      <c r="L1078" s="149"/>
      <c r="M1078" s="153"/>
      <c r="T1078" s="154"/>
      <c r="AT1078" s="150" t="s">
        <v>346</v>
      </c>
      <c r="AU1078" s="150" t="s">
        <v>90</v>
      </c>
      <c r="AV1078" s="148" t="s">
        <v>90</v>
      </c>
      <c r="AW1078" s="148" t="s">
        <v>33</v>
      </c>
      <c r="AX1078" s="148" t="s">
        <v>80</v>
      </c>
      <c r="AY1078" s="150" t="s">
        <v>337</v>
      </c>
    </row>
    <row r="1079" spans="2:51" s="148" customFormat="1" x14ac:dyDescent="0.2">
      <c r="B1079" s="149"/>
      <c r="D1079" s="143" t="s">
        <v>346</v>
      </c>
      <c r="E1079" s="150"/>
      <c r="F1079" s="151" t="s">
        <v>5800</v>
      </c>
      <c r="H1079" s="152">
        <v>6.78</v>
      </c>
      <c r="L1079" s="149"/>
      <c r="M1079" s="153"/>
      <c r="T1079" s="154"/>
      <c r="AT1079" s="150" t="s">
        <v>346</v>
      </c>
      <c r="AU1079" s="150" t="s">
        <v>90</v>
      </c>
      <c r="AV1079" s="148" t="s">
        <v>90</v>
      </c>
      <c r="AW1079" s="148" t="s">
        <v>33</v>
      </c>
      <c r="AX1079" s="148" t="s">
        <v>80</v>
      </c>
      <c r="AY1079" s="150" t="s">
        <v>337</v>
      </c>
    </row>
    <row r="1080" spans="2:51" s="148" customFormat="1" x14ac:dyDescent="0.2">
      <c r="B1080" s="149"/>
      <c r="D1080" s="143" t="s">
        <v>346</v>
      </c>
      <c r="E1080" s="150"/>
      <c r="F1080" s="151" t="s">
        <v>4620</v>
      </c>
      <c r="H1080" s="152">
        <v>4.95</v>
      </c>
      <c r="L1080" s="149"/>
      <c r="M1080" s="153"/>
      <c r="T1080" s="154"/>
      <c r="AT1080" s="150" t="s">
        <v>346</v>
      </c>
      <c r="AU1080" s="150" t="s">
        <v>90</v>
      </c>
      <c r="AV1080" s="148" t="s">
        <v>90</v>
      </c>
      <c r="AW1080" s="148" t="s">
        <v>33</v>
      </c>
      <c r="AX1080" s="148" t="s">
        <v>80</v>
      </c>
      <c r="AY1080" s="150" t="s">
        <v>337</v>
      </c>
    </row>
    <row r="1081" spans="2:51" s="148" customFormat="1" x14ac:dyDescent="0.2">
      <c r="B1081" s="149"/>
      <c r="D1081" s="143" t="s">
        <v>346</v>
      </c>
      <c r="E1081" s="150"/>
      <c r="F1081" s="151" t="s">
        <v>5801</v>
      </c>
      <c r="H1081" s="152">
        <v>3.6</v>
      </c>
      <c r="L1081" s="149"/>
      <c r="M1081" s="153"/>
      <c r="T1081" s="154"/>
      <c r="AT1081" s="150" t="s">
        <v>346</v>
      </c>
      <c r="AU1081" s="150" t="s">
        <v>90</v>
      </c>
      <c r="AV1081" s="148" t="s">
        <v>90</v>
      </c>
      <c r="AW1081" s="148" t="s">
        <v>33</v>
      </c>
      <c r="AX1081" s="148" t="s">
        <v>80</v>
      </c>
      <c r="AY1081" s="150" t="s">
        <v>337</v>
      </c>
    </row>
    <row r="1082" spans="2:51" s="148" customFormat="1" x14ac:dyDescent="0.2">
      <c r="B1082" s="149"/>
      <c r="D1082" s="143" t="s">
        <v>346</v>
      </c>
      <c r="E1082" s="150"/>
      <c r="F1082" s="151" t="s">
        <v>5802</v>
      </c>
      <c r="H1082" s="152">
        <v>7.8</v>
      </c>
      <c r="L1082" s="149"/>
      <c r="M1082" s="153"/>
      <c r="T1082" s="154"/>
      <c r="AT1082" s="150" t="s">
        <v>346</v>
      </c>
      <c r="AU1082" s="150" t="s">
        <v>90</v>
      </c>
      <c r="AV1082" s="148" t="s">
        <v>90</v>
      </c>
      <c r="AW1082" s="148" t="s">
        <v>33</v>
      </c>
      <c r="AX1082" s="148" t="s">
        <v>80</v>
      </c>
      <c r="AY1082" s="150" t="s">
        <v>337</v>
      </c>
    </row>
    <row r="1083" spans="2:51" s="141" customFormat="1" x14ac:dyDescent="0.2">
      <c r="B1083" s="142"/>
      <c r="D1083" s="143" t="s">
        <v>346</v>
      </c>
      <c r="E1083" s="144"/>
      <c r="F1083" s="145" t="s">
        <v>367</v>
      </c>
      <c r="H1083" s="144"/>
      <c r="L1083" s="142"/>
      <c r="M1083" s="146"/>
      <c r="T1083" s="147"/>
      <c r="AT1083" s="144" t="s">
        <v>346</v>
      </c>
      <c r="AU1083" s="144" t="s">
        <v>90</v>
      </c>
      <c r="AV1083" s="141" t="s">
        <v>87</v>
      </c>
      <c r="AW1083" s="141" t="s">
        <v>33</v>
      </c>
      <c r="AX1083" s="141" t="s">
        <v>80</v>
      </c>
      <c r="AY1083" s="144" t="s">
        <v>337</v>
      </c>
    </row>
    <row r="1084" spans="2:51" s="148" customFormat="1" x14ac:dyDescent="0.2">
      <c r="B1084" s="149"/>
      <c r="D1084" s="143" t="s">
        <v>346</v>
      </c>
      <c r="E1084" s="150"/>
      <c r="F1084" s="151" t="s">
        <v>5803</v>
      </c>
      <c r="H1084" s="152">
        <v>1.2</v>
      </c>
      <c r="L1084" s="149"/>
      <c r="M1084" s="153"/>
      <c r="T1084" s="154"/>
      <c r="AT1084" s="150" t="s">
        <v>346</v>
      </c>
      <c r="AU1084" s="150" t="s">
        <v>90</v>
      </c>
      <c r="AV1084" s="148" t="s">
        <v>90</v>
      </c>
      <c r="AW1084" s="148" t="s">
        <v>33</v>
      </c>
      <c r="AX1084" s="148" t="s">
        <v>80</v>
      </c>
      <c r="AY1084" s="150" t="s">
        <v>337</v>
      </c>
    </row>
    <row r="1085" spans="2:51" s="148" customFormat="1" x14ac:dyDescent="0.2">
      <c r="B1085" s="149"/>
      <c r="D1085" s="143" t="s">
        <v>346</v>
      </c>
      <c r="E1085" s="150"/>
      <c r="F1085" s="151" t="s">
        <v>5793</v>
      </c>
      <c r="H1085" s="152">
        <v>0.9</v>
      </c>
      <c r="L1085" s="149"/>
      <c r="M1085" s="153"/>
      <c r="T1085" s="154"/>
      <c r="AT1085" s="150" t="s">
        <v>346</v>
      </c>
      <c r="AU1085" s="150" t="s">
        <v>90</v>
      </c>
      <c r="AV1085" s="148" t="s">
        <v>90</v>
      </c>
      <c r="AW1085" s="148" t="s">
        <v>33</v>
      </c>
      <c r="AX1085" s="148" t="s">
        <v>80</v>
      </c>
      <c r="AY1085" s="150" t="s">
        <v>337</v>
      </c>
    </row>
    <row r="1086" spans="2:51" s="148" customFormat="1" x14ac:dyDescent="0.2">
      <c r="B1086" s="149"/>
      <c r="D1086" s="143" t="s">
        <v>346</v>
      </c>
      <c r="E1086" s="150"/>
      <c r="F1086" s="151" t="s">
        <v>5804</v>
      </c>
      <c r="H1086" s="152">
        <v>3.9</v>
      </c>
      <c r="L1086" s="149"/>
      <c r="M1086" s="153"/>
      <c r="T1086" s="154"/>
      <c r="AT1086" s="150" t="s">
        <v>346</v>
      </c>
      <c r="AU1086" s="150" t="s">
        <v>90</v>
      </c>
      <c r="AV1086" s="148" t="s">
        <v>90</v>
      </c>
      <c r="AW1086" s="148" t="s">
        <v>33</v>
      </c>
      <c r="AX1086" s="148" t="s">
        <v>80</v>
      </c>
      <c r="AY1086" s="150" t="s">
        <v>337</v>
      </c>
    </row>
    <row r="1087" spans="2:51" s="148" customFormat="1" x14ac:dyDescent="0.2">
      <c r="B1087" s="149"/>
      <c r="D1087" s="143" t="s">
        <v>346</v>
      </c>
      <c r="E1087" s="150"/>
      <c r="F1087" s="151" t="s">
        <v>5805</v>
      </c>
      <c r="H1087" s="152">
        <v>3.6</v>
      </c>
      <c r="L1087" s="149"/>
      <c r="M1087" s="153"/>
      <c r="T1087" s="154"/>
      <c r="AT1087" s="150" t="s">
        <v>346</v>
      </c>
      <c r="AU1087" s="150" t="s">
        <v>90</v>
      </c>
      <c r="AV1087" s="148" t="s">
        <v>90</v>
      </c>
      <c r="AW1087" s="148" t="s">
        <v>33</v>
      </c>
      <c r="AX1087" s="148" t="s">
        <v>80</v>
      </c>
      <c r="AY1087" s="150" t="s">
        <v>337</v>
      </c>
    </row>
    <row r="1088" spans="2:51" s="148" customFormat="1" x14ac:dyDescent="0.2">
      <c r="B1088" s="149"/>
      <c r="D1088" s="143" t="s">
        <v>346</v>
      </c>
      <c r="E1088" s="150"/>
      <c r="F1088" s="151" t="s">
        <v>5806</v>
      </c>
      <c r="H1088" s="152">
        <v>3.9</v>
      </c>
      <c r="L1088" s="149"/>
      <c r="M1088" s="153"/>
      <c r="T1088" s="154"/>
      <c r="AT1088" s="150" t="s">
        <v>346</v>
      </c>
      <c r="AU1088" s="150" t="s">
        <v>90</v>
      </c>
      <c r="AV1088" s="148" t="s">
        <v>90</v>
      </c>
      <c r="AW1088" s="148" t="s">
        <v>33</v>
      </c>
      <c r="AX1088" s="148" t="s">
        <v>80</v>
      </c>
      <c r="AY1088" s="150" t="s">
        <v>337</v>
      </c>
    </row>
    <row r="1089" spans="2:51" s="148" customFormat="1" x14ac:dyDescent="0.2">
      <c r="B1089" s="149"/>
      <c r="D1089" s="143" t="s">
        <v>346</v>
      </c>
      <c r="E1089" s="150"/>
      <c r="F1089" s="151" t="s">
        <v>5807</v>
      </c>
      <c r="H1089" s="152">
        <v>2.5499999999999998</v>
      </c>
      <c r="L1089" s="149"/>
      <c r="M1089" s="153"/>
      <c r="T1089" s="154"/>
      <c r="AT1089" s="150" t="s">
        <v>346</v>
      </c>
      <c r="AU1089" s="150" t="s">
        <v>90</v>
      </c>
      <c r="AV1089" s="148" t="s">
        <v>90</v>
      </c>
      <c r="AW1089" s="148" t="s">
        <v>33</v>
      </c>
      <c r="AX1089" s="148" t="s">
        <v>80</v>
      </c>
      <c r="AY1089" s="150" t="s">
        <v>337</v>
      </c>
    </row>
    <row r="1090" spans="2:51" s="148" customFormat="1" x14ac:dyDescent="0.2">
      <c r="B1090" s="149"/>
      <c r="D1090" s="143" t="s">
        <v>346</v>
      </c>
      <c r="E1090" s="150"/>
      <c r="F1090" s="151" t="s">
        <v>5808</v>
      </c>
      <c r="H1090" s="152">
        <v>2.4</v>
      </c>
      <c r="L1090" s="149"/>
      <c r="M1090" s="153"/>
      <c r="T1090" s="154"/>
      <c r="AT1090" s="150" t="s">
        <v>346</v>
      </c>
      <c r="AU1090" s="150" t="s">
        <v>90</v>
      </c>
      <c r="AV1090" s="148" t="s">
        <v>90</v>
      </c>
      <c r="AW1090" s="148" t="s">
        <v>33</v>
      </c>
      <c r="AX1090" s="148" t="s">
        <v>80</v>
      </c>
      <c r="AY1090" s="150" t="s">
        <v>337</v>
      </c>
    </row>
    <row r="1091" spans="2:51" s="148" customFormat="1" x14ac:dyDescent="0.2">
      <c r="B1091" s="149"/>
      <c r="D1091" s="143" t="s">
        <v>346</v>
      </c>
      <c r="E1091" s="150"/>
      <c r="F1091" s="151" t="s">
        <v>5809</v>
      </c>
      <c r="H1091" s="152">
        <v>42.8</v>
      </c>
      <c r="L1091" s="149"/>
      <c r="M1091" s="153"/>
      <c r="T1091" s="154"/>
      <c r="AT1091" s="150" t="s">
        <v>346</v>
      </c>
      <c r="AU1091" s="150" t="s">
        <v>90</v>
      </c>
      <c r="AV1091" s="148" t="s">
        <v>90</v>
      </c>
      <c r="AW1091" s="148" t="s">
        <v>33</v>
      </c>
      <c r="AX1091" s="148" t="s">
        <v>80</v>
      </c>
      <c r="AY1091" s="150" t="s">
        <v>337</v>
      </c>
    </row>
    <row r="1092" spans="2:51" s="148" customFormat="1" x14ac:dyDescent="0.2">
      <c r="B1092" s="149"/>
      <c r="D1092" s="143" t="s">
        <v>346</v>
      </c>
      <c r="E1092" s="150"/>
      <c r="F1092" s="151" t="s">
        <v>5798</v>
      </c>
      <c r="H1092" s="152">
        <v>16.5</v>
      </c>
      <c r="L1092" s="149"/>
      <c r="M1092" s="153"/>
      <c r="T1092" s="154"/>
      <c r="AT1092" s="150" t="s">
        <v>346</v>
      </c>
      <c r="AU1092" s="150" t="s">
        <v>90</v>
      </c>
      <c r="AV1092" s="148" t="s">
        <v>90</v>
      </c>
      <c r="AW1092" s="148" t="s">
        <v>33</v>
      </c>
      <c r="AX1092" s="148" t="s">
        <v>80</v>
      </c>
      <c r="AY1092" s="150" t="s">
        <v>337</v>
      </c>
    </row>
    <row r="1093" spans="2:51" s="148" customFormat="1" x14ac:dyDescent="0.2">
      <c r="B1093" s="149"/>
      <c r="D1093" s="143" t="s">
        <v>346</v>
      </c>
      <c r="E1093" s="150"/>
      <c r="F1093" s="151" t="s">
        <v>5810</v>
      </c>
      <c r="H1093" s="152">
        <v>16.2</v>
      </c>
      <c r="L1093" s="149"/>
      <c r="M1093" s="153"/>
      <c r="T1093" s="154"/>
      <c r="AT1093" s="150" t="s">
        <v>346</v>
      </c>
      <c r="AU1093" s="150" t="s">
        <v>90</v>
      </c>
      <c r="AV1093" s="148" t="s">
        <v>90</v>
      </c>
      <c r="AW1093" s="148" t="s">
        <v>33</v>
      </c>
      <c r="AX1093" s="148" t="s">
        <v>80</v>
      </c>
      <c r="AY1093" s="150" t="s">
        <v>337</v>
      </c>
    </row>
    <row r="1094" spans="2:51" s="148" customFormat="1" x14ac:dyDescent="0.2">
      <c r="B1094" s="149"/>
      <c r="D1094" s="143" t="s">
        <v>346</v>
      </c>
      <c r="E1094" s="150"/>
      <c r="F1094" s="151" t="s">
        <v>5811</v>
      </c>
      <c r="H1094" s="152">
        <v>9.9</v>
      </c>
      <c r="L1094" s="149"/>
      <c r="M1094" s="153"/>
      <c r="T1094" s="154"/>
      <c r="AT1094" s="150" t="s">
        <v>346</v>
      </c>
      <c r="AU1094" s="150" t="s">
        <v>90</v>
      </c>
      <c r="AV1094" s="148" t="s">
        <v>90</v>
      </c>
      <c r="AW1094" s="148" t="s">
        <v>33</v>
      </c>
      <c r="AX1094" s="148" t="s">
        <v>80</v>
      </c>
      <c r="AY1094" s="150" t="s">
        <v>337</v>
      </c>
    </row>
    <row r="1095" spans="2:51" s="148" customFormat="1" x14ac:dyDescent="0.2">
      <c r="B1095" s="149"/>
      <c r="D1095" s="143" t="s">
        <v>346</v>
      </c>
      <c r="E1095" s="150"/>
      <c r="F1095" s="151" t="s">
        <v>5812</v>
      </c>
      <c r="H1095" s="152">
        <v>5.52</v>
      </c>
      <c r="L1095" s="149"/>
      <c r="M1095" s="153"/>
      <c r="T1095" s="154"/>
      <c r="AT1095" s="150" t="s">
        <v>346</v>
      </c>
      <c r="AU1095" s="150" t="s">
        <v>90</v>
      </c>
      <c r="AV1095" s="148" t="s">
        <v>90</v>
      </c>
      <c r="AW1095" s="148" t="s">
        <v>33</v>
      </c>
      <c r="AX1095" s="148" t="s">
        <v>80</v>
      </c>
      <c r="AY1095" s="150" t="s">
        <v>337</v>
      </c>
    </row>
    <row r="1096" spans="2:51" s="148" customFormat="1" x14ac:dyDescent="0.2">
      <c r="B1096" s="149"/>
      <c r="D1096" s="143" t="s">
        <v>346</v>
      </c>
      <c r="E1096" s="150"/>
      <c r="F1096" s="151" t="s">
        <v>5795</v>
      </c>
      <c r="H1096" s="152">
        <v>1.35</v>
      </c>
      <c r="L1096" s="149"/>
      <c r="M1096" s="153"/>
      <c r="T1096" s="154"/>
      <c r="AT1096" s="150" t="s">
        <v>346</v>
      </c>
      <c r="AU1096" s="150" t="s">
        <v>90</v>
      </c>
      <c r="AV1096" s="148" t="s">
        <v>90</v>
      </c>
      <c r="AW1096" s="148" t="s">
        <v>33</v>
      </c>
      <c r="AX1096" s="148" t="s">
        <v>80</v>
      </c>
      <c r="AY1096" s="150" t="s">
        <v>337</v>
      </c>
    </row>
    <row r="1097" spans="2:51" s="148" customFormat="1" x14ac:dyDescent="0.2">
      <c r="B1097" s="149"/>
      <c r="D1097" s="143" t="s">
        <v>346</v>
      </c>
      <c r="E1097" s="150"/>
      <c r="F1097" s="151" t="s">
        <v>5813</v>
      </c>
      <c r="H1097" s="152">
        <v>4.5</v>
      </c>
      <c r="L1097" s="149"/>
      <c r="M1097" s="153"/>
      <c r="T1097" s="154"/>
      <c r="AT1097" s="150" t="s">
        <v>346</v>
      </c>
      <c r="AU1097" s="150" t="s">
        <v>90</v>
      </c>
      <c r="AV1097" s="148" t="s">
        <v>90</v>
      </c>
      <c r="AW1097" s="148" t="s">
        <v>33</v>
      </c>
      <c r="AX1097" s="148" t="s">
        <v>80</v>
      </c>
      <c r="AY1097" s="150" t="s">
        <v>337</v>
      </c>
    </row>
    <row r="1098" spans="2:51" s="141" customFormat="1" x14ac:dyDescent="0.2">
      <c r="B1098" s="142"/>
      <c r="D1098" s="143" t="s">
        <v>346</v>
      </c>
      <c r="E1098" s="144"/>
      <c r="F1098" s="145" t="s">
        <v>368</v>
      </c>
      <c r="H1098" s="144"/>
      <c r="L1098" s="142"/>
      <c r="M1098" s="146"/>
      <c r="T1098" s="147"/>
      <c r="AT1098" s="144" t="s">
        <v>346</v>
      </c>
      <c r="AU1098" s="144" t="s">
        <v>90</v>
      </c>
      <c r="AV1098" s="141" t="s">
        <v>87</v>
      </c>
      <c r="AW1098" s="141" t="s">
        <v>33</v>
      </c>
      <c r="AX1098" s="141" t="s">
        <v>80</v>
      </c>
      <c r="AY1098" s="144" t="s">
        <v>337</v>
      </c>
    </row>
    <row r="1099" spans="2:51" s="148" customFormat="1" x14ac:dyDescent="0.2">
      <c r="B1099" s="149"/>
      <c r="D1099" s="143" t="s">
        <v>346</v>
      </c>
      <c r="E1099" s="150"/>
      <c r="F1099" s="151" t="s">
        <v>5814</v>
      </c>
      <c r="H1099" s="152">
        <v>0.6</v>
      </c>
      <c r="L1099" s="149"/>
      <c r="M1099" s="153"/>
      <c r="T1099" s="154"/>
      <c r="AT1099" s="150" t="s">
        <v>346</v>
      </c>
      <c r="AU1099" s="150" t="s">
        <v>90</v>
      </c>
      <c r="AV1099" s="148" t="s">
        <v>90</v>
      </c>
      <c r="AW1099" s="148" t="s">
        <v>33</v>
      </c>
      <c r="AX1099" s="148" t="s">
        <v>80</v>
      </c>
      <c r="AY1099" s="150" t="s">
        <v>337</v>
      </c>
    </row>
    <row r="1100" spans="2:51" s="148" customFormat="1" x14ac:dyDescent="0.2">
      <c r="B1100" s="149"/>
      <c r="D1100" s="143" t="s">
        <v>346</v>
      </c>
      <c r="E1100" s="150"/>
      <c r="F1100" s="151" t="s">
        <v>5814</v>
      </c>
      <c r="H1100" s="152">
        <v>0.6</v>
      </c>
      <c r="L1100" s="149"/>
      <c r="M1100" s="153"/>
      <c r="T1100" s="154"/>
      <c r="AT1100" s="150" t="s">
        <v>346</v>
      </c>
      <c r="AU1100" s="150" t="s">
        <v>90</v>
      </c>
      <c r="AV1100" s="148" t="s">
        <v>90</v>
      </c>
      <c r="AW1100" s="148" t="s">
        <v>33</v>
      </c>
      <c r="AX1100" s="148" t="s">
        <v>80</v>
      </c>
      <c r="AY1100" s="150" t="s">
        <v>337</v>
      </c>
    </row>
    <row r="1101" spans="2:51" s="148" customFormat="1" x14ac:dyDescent="0.2">
      <c r="B1101" s="149"/>
      <c r="D1101" s="143" t="s">
        <v>346</v>
      </c>
      <c r="E1101" s="150"/>
      <c r="F1101" s="151" t="s">
        <v>5815</v>
      </c>
      <c r="H1101" s="152">
        <v>1.8</v>
      </c>
      <c r="L1101" s="149"/>
      <c r="M1101" s="153"/>
      <c r="T1101" s="154"/>
      <c r="AT1101" s="150" t="s">
        <v>346</v>
      </c>
      <c r="AU1101" s="150" t="s">
        <v>90</v>
      </c>
      <c r="AV1101" s="148" t="s">
        <v>90</v>
      </c>
      <c r="AW1101" s="148" t="s">
        <v>33</v>
      </c>
      <c r="AX1101" s="148" t="s">
        <v>80</v>
      </c>
      <c r="AY1101" s="150" t="s">
        <v>337</v>
      </c>
    </row>
    <row r="1102" spans="2:51" s="148" customFormat="1" x14ac:dyDescent="0.2">
      <c r="B1102" s="149"/>
      <c r="D1102" s="143" t="s">
        <v>346</v>
      </c>
      <c r="E1102" s="150"/>
      <c r="F1102" s="151" t="s">
        <v>5795</v>
      </c>
      <c r="H1102" s="152">
        <v>1.35</v>
      </c>
      <c r="L1102" s="149"/>
      <c r="M1102" s="153"/>
      <c r="T1102" s="154"/>
      <c r="AT1102" s="150" t="s">
        <v>346</v>
      </c>
      <c r="AU1102" s="150" t="s">
        <v>90</v>
      </c>
      <c r="AV1102" s="148" t="s">
        <v>90</v>
      </c>
      <c r="AW1102" s="148" t="s">
        <v>33</v>
      </c>
      <c r="AX1102" s="148" t="s">
        <v>80</v>
      </c>
      <c r="AY1102" s="150" t="s">
        <v>337</v>
      </c>
    </row>
    <row r="1103" spans="2:51" s="148" customFormat="1" x14ac:dyDescent="0.2">
      <c r="B1103" s="149"/>
      <c r="D1103" s="143" t="s">
        <v>346</v>
      </c>
      <c r="E1103" s="150"/>
      <c r="F1103" s="151" t="s">
        <v>5804</v>
      </c>
      <c r="H1103" s="152">
        <v>3.9</v>
      </c>
      <c r="L1103" s="149"/>
      <c r="M1103" s="153"/>
      <c r="T1103" s="154"/>
      <c r="AT1103" s="150" t="s">
        <v>346</v>
      </c>
      <c r="AU1103" s="150" t="s">
        <v>90</v>
      </c>
      <c r="AV1103" s="148" t="s">
        <v>90</v>
      </c>
      <c r="AW1103" s="148" t="s">
        <v>33</v>
      </c>
      <c r="AX1103" s="148" t="s">
        <v>80</v>
      </c>
      <c r="AY1103" s="150" t="s">
        <v>337</v>
      </c>
    </row>
    <row r="1104" spans="2:51" s="148" customFormat="1" x14ac:dyDescent="0.2">
      <c r="B1104" s="149"/>
      <c r="D1104" s="143" t="s">
        <v>346</v>
      </c>
      <c r="E1104" s="150"/>
      <c r="F1104" s="151" t="s">
        <v>5806</v>
      </c>
      <c r="H1104" s="152">
        <v>3.9</v>
      </c>
      <c r="L1104" s="149"/>
      <c r="M1104" s="153"/>
      <c r="T1104" s="154"/>
      <c r="AT1104" s="150" t="s">
        <v>346</v>
      </c>
      <c r="AU1104" s="150" t="s">
        <v>90</v>
      </c>
      <c r="AV1104" s="148" t="s">
        <v>90</v>
      </c>
      <c r="AW1104" s="148" t="s">
        <v>33</v>
      </c>
      <c r="AX1104" s="148" t="s">
        <v>80</v>
      </c>
      <c r="AY1104" s="150" t="s">
        <v>337</v>
      </c>
    </row>
    <row r="1105" spans="2:51" s="148" customFormat="1" x14ac:dyDescent="0.2">
      <c r="B1105" s="149"/>
      <c r="D1105" s="143" t="s">
        <v>346</v>
      </c>
      <c r="E1105" s="150"/>
      <c r="F1105" s="151" t="s">
        <v>5793</v>
      </c>
      <c r="H1105" s="152">
        <v>0.9</v>
      </c>
      <c r="L1105" s="149"/>
      <c r="M1105" s="153"/>
      <c r="T1105" s="154"/>
      <c r="AT1105" s="150" t="s">
        <v>346</v>
      </c>
      <c r="AU1105" s="150" t="s">
        <v>90</v>
      </c>
      <c r="AV1105" s="148" t="s">
        <v>90</v>
      </c>
      <c r="AW1105" s="148" t="s">
        <v>33</v>
      </c>
      <c r="AX1105" s="148" t="s">
        <v>80</v>
      </c>
      <c r="AY1105" s="150" t="s">
        <v>337</v>
      </c>
    </row>
    <row r="1106" spans="2:51" s="148" customFormat="1" x14ac:dyDescent="0.2">
      <c r="B1106" s="149"/>
      <c r="D1106" s="143" t="s">
        <v>346</v>
      </c>
      <c r="E1106" s="150"/>
      <c r="F1106" s="151" t="s">
        <v>5809</v>
      </c>
      <c r="H1106" s="152">
        <v>42.8</v>
      </c>
      <c r="L1106" s="149"/>
      <c r="M1106" s="153"/>
      <c r="T1106" s="154"/>
      <c r="AT1106" s="150" t="s">
        <v>346</v>
      </c>
      <c r="AU1106" s="150" t="s">
        <v>90</v>
      </c>
      <c r="AV1106" s="148" t="s">
        <v>90</v>
      </c>
      <c r="AW1106" s="148" t="s">
        <v>33</v>
      </c>
      <c r="AX1106" s="148" t="s">
        <v>80</v>
      </c>
      <c r="AY1106" s="150" t="s">
        <v>337</v>
      </c>
    </row>
    <row r="1107" spans="2:51" s="148" customFormat="1" x14ac:dyDescent="0.2">
      <c r="B1107" s="149"/>
      <c r="D1107" s="143" t="s">
        <v>346</v>
      </c>
      <c r="E1107" s="150"/>
      <c r="F1107" s="151" t="s">
        <v>5808</v>
      </c>
      <c r="H1107" s="152">
        <v>2.4</v>
      </c>
      <c r="L1107" s="149"/>
      <c r="M1107" s="153"/>
      <c r="T1107" s="154"/>
      <c r="AT1107" s="150" t="s">
        <v>346</v>
      </c>
      <c r="AU1107" s="150" t="s">
        <v>90</v>
      </c>
      <c r="AV1107" s="148" t="s">
        <v>90</v>
      </c>
      <c r="AW1107" s="148" t="s">
        <v>33</v>
      </c>
      <c r="AX1107" s="148" t="s">
        <v>80</v>
      </c>
      <c r="AY1107" s="150" t="s">
        <v>337</v>
      </c>
    </row>
    <row r="1108" spans="2:51" s="148" customFormat="1" x14ac:dyDescent="0.2">
      <c r="B1108" s="149"/>
      <c r="D1108" s="143" t="s">
        <v>346</v>
      </c>
      <c r="E1108" s="150"/>
      <c r="F1108" s="151" t="s">
        <v>5816</v>
      </c>
      <c r="H1108" s="152">
        <v>2.6</v>
      </c>
      <c r="L1108" s="149"/>
      <c r="M1108" s="153"/>
      <c r="T1108" s="154"/>
      <c r="AT1108" s="150" t="s">
        <v>346</v>
      </c>
      <c r="AU1108" s="150" t="s">
        <v>90</v>
      </c>
      <c r="AV1108" s="148" t="s">
        <v>90</v>
      </c>
      <c r="AW1108" s="148" t="s">
        <v>33</v>
      </c>
      <c r="AX1108" s="148" t="s">
        <v>80</v>
      </c>
      <c r="AY1108" s="150" t="s">
        <v>337</v>
      </c>
    </row>
    <row r="1109" spans="2:51" s="148" customFormat="1" x14ac:dyDescent="0.2">
      <c r="B1109" s="149"/>
      <c r="D1109" s="143" t="s">
        <v>346</v>
      </c>
      <c r="E1109" s="150"/>
      <c r="F1109" s="151" t="s">
        <v>5798</v>
      </c>
      <c r="H1109" s="152">
        <v>16.5</v>
      </c>
      <c r="L1109" s="149"/>
      <c r="M1109" s="153"/>
      <c r="T1109" s="154"/>
      <c r="AT1109" s="150" t="s">
        <v>346</v>
      </c>
      <c r="AU1109" s="150" t="s">
        <v>90</v>
      </c>
      <c r="AV1109" s="148" t="s">
        <v>90</v>
      </c>
      <c r="AW1109" s="148" t="s">
        <v>33</v>
      </c>
      <c r="AX1109" s="148" t="s">
        <v>80</v>
      </c>
      <c r="AY1109" s="150" t="s">
        <v>337</v>
      </c>
    </row>
    <row r="1110" spans="2:51" s="148" customFormat="1" x14ac:dyDescent="0.2">
      <c r="B1110" s="149"/>
      <c r="D1110" s="143" t="s">
        <v>346</v>
      </c>
      <c r="E1110" s="150"/>
      <c r="F1110" s="151" t="s">
        <v>5810</v>
      </c>
      <c r="H1110" s="152">
        <v>16.2</v>
      </c>
      <c r="L1110" s="149"/>
      <c r="M1110" s="153"/>
      <c r="T1110" s="154"/>
      <c r="AT1110" s="150" t="s">
        <v>346</v>
      </c>
      <c r="AU1110" s="150" t="s">
        <v>90</v>
      </c>
      <c r="AV1110" s="148" t="s">
        <v>90</v>
      </c>
      <c r="AW1110" s="148" t="s">
        <v>33</v>
      </c>
      <c r="AX1110" s="148" t="s">
        <v>80</v>
      </c>
      <c r="AY1110" s="150" t="s">
        <v>337</v>
      </c>
    </row>
    <row r="1111" spans="2:51" s="148" customFormat="1" x14ac:dyDescent="0.2">
      <c r="B1111" s="149"/>
      <c r="D1111" s="143" t="s">
        <v>346</v>
      </c>
      <c r="E1111" s="150"/>
      <c r="F1111" s="151" t="s">
        <v>5811</v>
      </c>
      <c r="H1111" s="152">
        <v>9.9</v>
      </c>
      <c r="L1111" s="149"/>
      <c r="M1111" s="153"/>
      <c r="T1111" s="154"/>
      <c r="AT1111" s="150" t="s">
        <v>346</v>
      </c>
      <c r="AU1111" s="150" t="s">
        <v>90</v>
      </c>
      <c r="AV1111" s="148" t="s">
        <v>90</v>
      </c>
      <c r="AW1111" s="148" t="s">
        <v>33</v>
      </c>
      <c r="AX1111" s="148" t="s">
        <v>80</v>
      </c>
      <c r="AY1111" s="150" t="s">
        <v>337</v>
      </c>
    </row>
    <row r="1112" spans="2:51" s="148" customFormat="1" x14ac:dyDescent="0.2">
      <c r="B1112" s="149"/>
      <c r="D1112" s="143" t="s">
        <v>346</v>
      </c>
      <c r="E1112" s="150"/>
      <c r="F1112" s="151" t="s">
        <v>5812</v>
      </c>
      <c r="H1112" s="152">
        <v>5.52</v>
      </c>
      <c r="L1112" s="149"/>
      <c r="M1112" s="153"/>
      <c r="T1112" s="154"/>
      <c r="AT1112" s="150" t="s">
        <v>346</v>
      </c>
      <c r="AU1112" s="150" t="s">
        <v>90</v>
      </c>
      <c r="AV1112" s="148" t="s">
        <v>90</v>
      </c>
      <c r="AW1112" s="148" t="s">
        <v>33</v>
      </c>
      <c r="AX1112" s="148" t="s">
        <v>80</v>
      </c>
      <c r="AY1112" s="150" t="s">
        <v>337</v>
      </c>
    </row>
    <row r="1113" spans="2:51" s="148" customFormat="1" x14ac:dyDescent="0.2">
      <c r="B1113" s="149"/>
      <c r="D1113" s="143" t="s">
        <v>346</v>
      </c>
      <c r="E1113" s="150"/>
      <c r="F1113" s="151" t="s">
        <v>5813</v>
      </c>
      <c r="H1113" s="152">
        <v>4.5</v>
      </c>
      <c r="L1113" s="149"/>
      <c r="M1113" s="153"/>
      <c r="T1113" s="154"/>
      <c r="AT1113" s="150" t="s">
        <v>346</v>
      </c>
      <c r="AU1113" s="150" t="s">
        <v>90</v>
      </c>
      <c r="AV1113" s="148" t="s">
        <v>90</v>
      </c>
      <c r="AW1113" s="148" t="s">
        <v>33</v>
      </c>
      <c r="AX1113" s="148" t="s">
        <v>80</v>
      </c>
      <c r="AY1113" s="150" t="s">
        <v>337</v>
      </c>
    </row>
    <row r="1114" spans="2:51" s="141" customFormat="1" x14ac:dyDescent="0.2">
      <c r="B1114" s="142"/>
      <c r="D1114" s="143" t="s">
        <v>346</v>
      </c>
      <c r="E1114" s="144"/>
      <c r="F1114" s="145" t="s">
        <v>370</v>
      </c>
      <c r="H1114" s="144"/>
      <c r="L1114" s="142"/>
      <c r="M1114" s="146"/>
      <c r="T1114" s="147"/>
      <c r="AT1114" s="144" t="s">
        <v>346</v>
      </c>
      <c r="AU1114" s="144" t="s">
        <v>90</v>
      </c>
      <c r="AV1114" s="141" t="s">
        <v>87</v>
      </c>
      <c r="AW1114" s="141" t="s">
        <v>33</v>
      </c>
      <c r="AX1114" s="141" t="s">
        <v>80</v>
      </c>
      <c r="AY1114" s="144" t="s">
        <v>337</v>
      </c>
    </row>
    <row r="1115" spans="2:51" s="148" customFormat="1" x14ac:dyDescent="0.2">
      <c r="B1115" s="149"/>
      <c r="D1115" s="143" t="s">
        <v>346</v>
      </c>
      <c r="E1115" s="150"/>
      <c r="F1115" s="151" t="s">
        <v>5814</v>
      </c>
      <c r="H1115" s="152">
        <v>0.6</v>
      </c>
      <c r="L1115" s="149"/>
      <c r="M1115" s="153"/>
      <c r="T1115" s="154"/>
      <c r="AT1115" s="150" t="s">
        <v>346</v>
      </c>
      <c r="AU1115" s="150" t="s">
        <v>90</v>
      </c>
      <c r="AV1115" s="148" t="s">
        <v>90</v>
      </c>
      <c r="AW1115" s="148" t="s">
        <v>33</v>
      </c>
      <c r="AX1115" s="148" t="s">
        <v>80</v>
      </c>
      <c r="AY1115" s="150" t="s">
        <v>337</v>
      </c>
    </row>
    <row r="1116" spans="2:51" s="148" customFormat="1" x14ac:dyDescent="0.2">
      <c r="B1116" s="149"/>
      <c r="D1116" s="143" t="s">
        <v>346</v>
      </c>
      <c r="E1116" s="150"/>
      <c r="F1116" s="151" t="s">
        <v>5814</v>
      </c>
      <c r="H1116" s="152">
        <v>0.6</v>
      </c>
      <c r="L1116" s="149"/>
      <c r="M1116" s="153"/>
      <c r="T1116" s="154"/>
      <c r="AT1116" s="150" t="s">
        <v>346</v>
      </c>
      <c r="AU1116" s="150" t="s">
        <v>90</v>
      </c>
      <c r="AV1116" s="148" t="s">
        <v>90</v>
      </c>
      <c r="AW1116" s="148" t="s">
        <v>33</v>
      </c>
      <c r="AX1116" s="148" t="s">
        <v>80</v>
      </c>
      <c r="AY1116" s="150" t="s">
        <v>337</v>
      </c>
    </row>
    <row r="1117" spans="2:51" s="148" customFormat="1" x14ac:dyDescent="0.2">
      <c r="B1117" s="149"/>
      <c r="D1117" s="143" t="s">
        <v>346</v>
      </c>
      <c r="E1117" s="150"/>
      <c r="F1117" s="151" t="s">
        <v>5815</v>
      </c>
      <c r="H1117" s="152">
        <v>1.8</v>
      </c>
      <c r="L1117" s="149"/>
      <c r="M1117" s="153"/>
      <c r="T1117" s="154"/>
      <c r="AT1117" s="150" t="s">
        <v>346</v>
      </c>
      <c r="AU1117" s="150" t="s">
        <v>90</v>
      </c>
      <c r="AV1117" s="148" t="s">
        <v>90</v>
      </c>
      <c r="AW1117" s="148" t="s">
        <v>33</v>
      </c>
      <c r="AX1117" s="148" t="s">
        <v>80</v>
      </c>
      <c r="AY1117" s="150" t="s">
        <v>337</v>
      </c>
    </row>
    <row r="1118" spans="2:51" s="148" customFormat="1" x14ac:dyDescent="0.2">
      <c r="B1118" s="149"/>
      <c r="D1118" s="143" t="s">
        <v>346</v>
      </c>
      <c r="E1118" s="150"/>
      <c r="F1118" s="151" t="s">
        <v>5795</v>
      </c>
      <c r="H1118" s="152">
        <v>1.35</v>
      </c>
      <c r="L1118" s="149"/>
      <c r="M1118" s="153"/>
      <c r="T1118" s="154"/>
      <c r="AT1118" s="150" t="s">
        <v>346</v>
      </c>
      <c r="AU1118" s="150" t="s">
        <v>90</v>
      </c>
      <c r="AV1118" s="148" t="s">
        <v>90</v>
      </c>
      <c r="AW1118" s="148" t="s">
        <v>33</v>
      </c>
      <c r="AX1118" s="148" t="s">
        <v>80</v>
      </c>
      <c r="AY1118" s="150" t="s">
        <v>337</v>
      </c>
    </row>
    <row r="1119" spans="2:51" s="148" customFormat="1" x14ac:dyDescent="0.2">
      <c r="B1119" s="149"/>
      <c r="D1119" s="143" t="s">
        <v>346</v>
      </c>
      <c r="E1119" s="150"/>
      <c r="F1119" s="151" t="s">
        <v>5804</v>
      </c>
      <c r="H1119" s="152">
        <v>3.9</v>
      </c>
      <c r="L1119" s="149"/>
      <c r="M1119" s="153"/>
      <c r="T1119" s="154"/>
      <c r="AT1119" s="150" t="s">
        <v>346</v>
      </c>
      <c r="AU1119" s="150" t="s">
        <v>90</v>
      </c>
      <c r="AV1119" s="148" t="s">
        <v>90</v>
      </c>
      <c r="AW1119" s="148" t="s">
        <v>33</v>
      </c>
      <c r="AX1119" s="148" t="s">
        <v>80</v>
      </c>
      <c r="AY1119" s="150" t="s">
        <v>337</v>
      </c>
    </row>
    <row r="1120" spans="2:51" s="148" customFormat="1" x14ac:dyDescent="0.2">
      <c r="B1120" s="149"/>
      <c r="D1120" s="143" t="s">
        <v>346</v>
      </c>
      <c r="E1120" s="150"/>
      <c r="F1120" s="151" t="s">
        <v>5806</v>
      </c>
      <c r="H1120" s="152">
        <v>3.9</v>
      </c>
      <c r="L1120" s="149"/>
      <c r="M1120" s="153"/>
      <c r="T1120" s="154"/>
      <c r="AT1120" s="150" t="s">
        <v>346</v>
      </c>
      <c r="AU1120" s="150" t="s">
        <v>90</v>
      </c>
      <c r="AV1120" s="148" t="s">
        <v>90</v>
      </c>
      <c r="AW1120" s="148" t="s">
        <v>33</v>
      </c>
      <c r="AX1120" s="148" t="s">
        <v>80</v>
      </c>
      <c r="AY1120" s="150" t="s">
        <v>337</v>
      </c>
    </row>
    <row r="1121" spans="2:65" s="148" customFormat="1" x14ac:dyDescent="0.2">
      <c r="B1121" s="149"/>
      <c r="D1121" s="143" t="s">
        <v>346</v>
      </c>
      <c r="E1121" s="150"/>
      <c r="F1121" s="151" t="s">
        <v>5793</v>
      </c>
      <c r="H1121" s="152">
        <v>0.9</v>
      </c>
      <c r="L1121" s="149"/>
      <c r="M1121" s="153"/>
      <c r="T1121" s="154"/>
      <c r="AT1121" s="150" t="s">
        <v>346</v>
      </c>
      <c r="AU1121" s="150" t="s">
        <v>90</v>
      </c>
      <c r="AV1121" s="148" t="s">
        <v>90</v>
      </c>
      <c r="AW1121" s="148" t="s">
        <v>33</v>
      </c>
      <c r="AX1121" s="148" t="s">
        <v>80</v>
      </c>
      <c r="AY1121" s="150" t="s">
        <v>337</v>
      </c>
    </row>
    <row r="1122" spans="2:65" s="148" customFormat="1" x14ac:dyDescent="0.2">
      <c r="B1122" s="149"/>
      <c r="D1122" s="143" t="s">
        <v>346</v>
      </c>
      <c r="E1122" s="150"/>
      <c r="F1122" s="151" t="s">
        <v>5809</v>
      </c>
      <c r="H1122" s="152">
        <v>42.8</v>
      </c>
      <c r="L1122" s="149"/>
      <c r="M1122" s="153"/>
      <c r="T1122" s="154"/>
      <c r="AT1122" s="150" t="s">
        <v>346</v>
      </c>
      <c r="AU1122" s="150" t="s">
        <v>90</v>
      </c>
      <c r="AV1122" s="148" t="s">
        <v>90</v>
      </c>
      <c r="AW1122" s="148" t="s">
        <v>33</v>
      </c>
      <c r="AX1122" s="148" t="s">
        <v>80</v>
      </c>
      <c r="AY1122" s="150" t="s">
        <v>337</v>
      </c>
    </row>
    <row r="1123" spans="2:65" s="148" customFormat="1" x14ac:dyDescent="0.2">
      <c r="B1123" s="149"/>
      <c r="D1123" s="143" t="s">
        <v>346</v>
      </c>
      <c r="E1123" s="150"/>
      <c r="F1123" s="151" t="s">
        <v>5798</v>
      </c>
      <c r="H1123" s="152">
        <v>16.5</v>
      </c>
      <c r="L1123" s="149"/>
      <c r="M1123" s="153"/>
      <c r="T1123" s="154"/>
      <c r="AT1123" s="150" t="s">
        <v>346</v>
      </c>
      <c r="AU1123" s="150" t="s">
        <v>90</v>
      </c>
      <c r="AV1123" s="148" t="s">
        <v>90</v>
      </c>
      <c r="AW1123" s="148" t="s">
        <v>33</v>
      </c>
      <c r="AX1123" s="148" t="s">
        <v>80</v>
      </c>
      <c r="AY1123" s="150" t="s">
        <v>337</v>
      </c>
    </row>
    <row r="1124" spans="2:65" s="148" customFormat="1" x14ac:dyDescent="0.2">
      <c r="B1124" s="149"/>
      <c r="D1124" s="143" t="s">
        <v>346</v>
      </c>
      <c r="E1124" s="150"/>
      <c r="F1124" s="151" t="s">
        <v>5817</v>
      </c>
      <c r="H1124" s="152">
        <v>5.4</v>
      </c>
      <c r="L1124" s="149"/>
      <c r="M1124" s="153"/>
      <c r="T1124" s="154"/>
      <c r="AT1124" s="150" t="s">
        <v>346</v>
      </c>
      <c r="AU1124" s="150" t="s">
        <v>90</v>
      </c>
      <c r="AV1124" s="148" t="s">
        <v>90</v>
      </c>
      <c r="AW1124" s="148" t="s">
        <v>33</v>
      </c>
      <c r="AX1124" s="148" t="s">
        <v>80</v>
      </c>
      <c r="AY1124" s="150" t="s">
        <v>337</v>
      </c>
    </row>
    <row r="1125" spans="2:65" s="148" customFormat="1" x14ac:dyDescent="0.2">
      <c r="B1125" s="149"/>
      <c r="D1125" s="143" t="s">
        <v>346</v>
      </c>
      <c r="E1125" s="150"/>
      <c r="F1125" s="151" t="s">
        <v>5808</v>
      </c>
      <c r="H1125" s="152">
        <v>2.4</v>
      </c>
      <c r="L1125" s="149"/>
      <c r="M1125" s="153"/>
      <c r="T1125" s="154"/>
      <c r="AT1125" s="150" t="s">
        <v>346</v>
      </c>
      <c r="AU1125" s="150" t="s">
        <v>90</v>
      </c>
      <c r="AV1125" s="148" t="s">
        <v>90</v>
      </c>
      <c r="AW1125" s="148" t="s">
        <v>33</v>
      </c>
      <c r="AX1125" s="148" t="s">
        <v>80</v>
      </c>
      <c r="AY1125" s="150" t="s">
        <v>337</v>
      </c>
    </row>
    <row r="1126" spans="2:65" s="148" customFormat="1" x14ac:dyDescent="0.2">
      <c r="B1126" s="149"/>
      <c r="D1126" s="143" t="s">
        <v>346</v>
      </c>
      <c r="E1126" s="150"/>
      <c r="F1126" s="151" t="s">
        <v>5816</v>
      </c>
      <c r="H1126" s="152">
        <v>2.6</v>
      </c>
      <c r="L1126" s="149"/>
      <c r="M1126" s="153"/>
      <c r="T1126" s="154"/>
      <c r="AT1126" s="150" t="s">
        <v>346</v>
      </c>
      <c r="AU1126" s="150" t="s">
        <v>90</v>
      </c>
      <c r="AV1126" s="148" t="s">
        <v>90</v>
      </c>
      <c r="AW1126" s="148" t="s">
        <v>33</v>
      </c>
      <c r="AX1126" s="148" t="s">
        <v>80</v>
      </c>
      <c r="AY1126" s="150" t="s">
        <v>337</v>
      </c>
    </row>
    <row r="1127" spans="2:65" s="148" customFormat="1" x14ac:dyDescent="0.2">
      <c r="B1127" s="149"/>
      <c r="D1127" s="143" t="s">
        <v>346</v>
      </c>
      <c r="E1127" s="150"/>
      <c r="F1127" s="151" t="s">
        <v>5811</v>
      </c>
      <c r="H1127" s="152">
        <v>9.9</v>
      </c>
      <c r="L1127" s="149"/>
      <c r="M1127" s="153"/>
      <c r="T1127" s="154"/>
      <c r="AT1127" s="150" t="s">
        <v>346</v>
      </c>
      <c r="AU1127" s="150" t="s">
        <v>90</v>
      </c>
      <c r="AV1127" s="148" t="s">
        <v>90</v>
      </c>
      <c r="AW1127" s="148" t="s">
        <v>33</v>
      </c>
      <c r="AX1127" s="148" t="s">
        <v>80</v>
      </c>
      <c r="AY1127" s="150" t="s">
        <v>337</v>
      </c>
    </row>
    <row r="1128" spans="2:65" s="148" customFormat="1" x14ac:dyDescent="0.2">
      <c r="B1128" s="149"/>
      <c r="D1128" s="143" t="s">
        <v>346</v>
      </c>
      <c r="E1128" s="150"/>
      <c r="F1128" s="151" t="s">
        <v>5812</v>
      </c>
      <c r="H1128" s="152">
        <v>5.52</v>
      </c>
      <c r="L1128" s="149"/>
      <c r="M1128" s="153"/>
      <c r="T1128" s="154"/>
      <c r="AT1128" s="150" t="s">
        <v>346</v>
      </c>
      <c r="AU1128" s="150" t="s">
        <v>90</v>
      </c>
      <c r="AV1128" s="148" t="s">
        <v>90</v>
      </c>
      <c r="AW1128" s="148" t="s">
        <v>33</v>
      </c>
      <c r="AX1128" s="148" t="s">
        <v>80</v>
      </c>
      <c r="AY1128" s="150" t="s">
        <v>337</v>
      </c>
    </row>
    <row r="1129" spans="2:65" s="148" customFormat="1" x14ac:dyDescent="0.2">
      <c r="B1129" s="149"/>
      <c r="D1129" s="143" t="s">
        <v>346</v>
      </c>
      <c r="E1129" s="150"/>
      <c r="F1129" s="151" t="s">
        <v>5813</v>
      </c>
      <c r="H1129" s="152">
        <v>4.5</v>
      </c>
      <c r="L1129" s="149"/>
      <c r="M1129" s="153"/>
      <c r="T1129" s="154"/>
      <c r="AT1129" s="150" t="s">
        <v>346</v>
      </c>
      <c r="AU1129" s="150" t="s">
        <v>90</v>
      </c>
      <c r="AV1129" s="148" t="s">
        <v>90</v>
      </c>
      <c r="AW1129" s="148" t="s">
        <v>33</v>
      </c>
      <c r="AX1129" s="148" t="s">
        <v>80</v>
      </c>
      <c r="AY1129" s="150" t="s">
        <v>337</v>
      </c>
    </row>
    <row r="1130" spans="2:65" s="141" customFormat="1" x14ac:dyDescent="0.2">
      <c r="B1130" s="142"/>
      <c r="D1130" s="143" t="s">
        <v>346</v>
      </c>
      <c r="E1130" s="144"/>
      <c r="F1130" s="145" t="s">
        <v>434</v>
      </c>
      <c r="H1130" s="144"/>
      <c r="L1130" s="142"/>
      <c r="M1130" s="146"/>
      <c r="T1130" s="147"/>
      <c r="AT1130" s="144" t="s">
        <v>346</v>
      </c>
      <c r="AU1130" s="144" t="s">
        <v>90</v>
      </c>
      <c r="AV1130" s="141" t="s">
        <v>87</v>
      </c>
      <c r="AW1130" s="141" t="s">
        <v>33</v>
      </c>
      <c r="AX1130" s="141" t="s">
        <v>80</v>
      </c>
      <c r="AY1130" s="144" t="s">
        <v>337</v>
      </c>
    </row>
    <row r="1131" spans="2:65" s="148" customFormat="1" x14ac:dyDescent="0.2">
      <c r="B1131" s="149"/>
      <c r="D1131" s="143" t="s">
        <v>346</v>
      </c>
      <c r="E1131" s="150"/>
      <c r="F1131" s="151" t="s">
        <v>5818</v>
      </c>
      <c r="H1131" s="152">
        <v>1.2</v>
      </c>
      <c r="L1131" s="149"/>
      <c r="M1131" s="153"/>
      <c r="T1131" s="154"/>
      <c r="AT1131" s="150" t="s">
        <v>346</v>
      </c>
      <c r="AU1131" s="150" t="s">
        <v>90</v>
      </c>
      <c r="AV1131" s="148" t="s">
        <v>90</v>
      </c>
      <c r="AW1131" s="148" t="s">
        <v>33</v>
      </c>
      <c r="AX1131" s="148" t="s">
        <v>80</v>
      </c>
      <c r="AY1131" s="150" t="s">
        <v>337</v>
      </c>
    </row>
    <row r="1132" spans="2:65" s="155" customFormat="1" x14ac:dyDescent="0.2">
      <c r="B1132" s="156"/>
      <c r="D1132" s="143" t="s">
        <v>346</v>
      </c>
      <c r="E1132" s="157"/>
      <c r="F1132" s="158" t="s">
        <v>351</v>
      </c>
      <c r="H1132" s="159">
        <v>475.53</v>
      </c>
      <c r="L1132" s="156"/>
      <c r="M1132" s="160"/>
      <c r="T1132" s="161"/>
      <c r="AT1132" s="157" t="s">
        <v>346</v>
      </c>
      <c r="AU1132" s="157" t="s">
        <v>90</v>
      </c>
      <c r="AV1132" s="155" t="s">
        <v>344</v>
      </c>
      <c r="AW1132" s="155" t="s">
        <v>33</v>
      </c>
      <c r="AX1132" s="155" t="s">
        <v>87</v>
      </c>
      <c r="AY1132" s="157" t="s">
        <v>337</v>
      </c>
    </row>
    <row r="1133" spans="2:65" s="16" customFormat="1" ht="16.5" customHeight="1" x14ac:dyDescent="0.2">
      <c r="B1133" s="17"/>
      <c r="C1133" s="128">
        <v>67</v>
      </c>
      <c r="D1133" s="128" t="s">
        <v>339</v>
      </c>
      <c r="E1133" s="129" t="s">
        <v>5819</v>
      </c>
      <c r="F1133" s="130" t="s">
        <v>5820</v>
      </c>
      <c r="G1133" s="131" t="s">
        <v>724</v>
      </c>
      <c r="H1133" s="132">
        <v>192.5</v>
      </c>
      <c r="I1133" s="133"/>
      <c r="J1133" s="134">
        <f>ROUND(I1133*H1133,2)</f>
        <v>0</v>
      </c>
      <c r="K1133" s="130"/>
      <c r="L1133" s="17"/>
      <c r="M1133" s="135"/>
      <c r="N1133" s="136" t="s">
        <v>45</v>
      </c>
      <c r="P1133" s="137">
        <f>O1133*H1133</f>
        <v>0</v>
      </c>
      <c r="Q1133" s="137">
        <v>0</v>
      </c>
      <c r="R1133" s="137">
        <f>Q1133*H1133</f>
        <v>0</v>
      </c>
      <c r="S1133" s="137">
        <v>5.0000000000000001E-3</v>
      </c>
      <c r="T1133" s="138">
        <f>S1133*H1133</f>
        <v>0.96250000000000002</v>
      </c>
      <c r="AR1133" s="139" t="s">
        <v>496</v>
      </c>
      <c r="AT1133" s="139" t="s">
        <v>339</v>
      </c>
      <c r="AU1133" s="139" t="s">
        <v>90</v>
      </c>
      <c r="AY1133" s="2" t="s">
        <v>337</v>
      </c>
      <c r="BE1133" s="140">
        <f>IF(N1133="základní",J1133,0)</f>
        <v>0</v>
      </c>
      <c r="BF1133" s="140">
        <f>IF(N1133="snížená",J1133,0)</f>
        <v>0</v>
      </c>
      <c r="BG1133" s="140">
        <f>IF(N1133="zákl. přenesená",J1133,0)</f>
        <v>0</v>
      </c>
      <c r="BH1133" s="140">
        <f>IF(N1133="sníž. přenesená",J1133,0)</f>
        <v>0</v>
      </c>
      <c r="BI1133" s="140">
        <f>IF(N1133="nulová",J1133,0)</f>
        <v>0</v>
      </c>
      <c r="BJ1133" s="2" t="s">
        <v>87</v>
      </c>
      <c r="BK1133" s="140">
        <f>ROUND(I1133*H1133,2)</f>
        <v>0</v>
      </c>
      <c r="BL1133" s="2" t="s">
        <v>496</v>
      </c>
      <c r="BM1133" s="139" t="s">
        <v>5821</v>
      </c>
    </row>
    <row r="1134" spans="2:65" s="141" customFormat="1" x14ac:dyDescent="0.2">
      <c r="B1134" s="142"/>
      <c r="D1134" s="143" t="s">
        <v>346</v>
      </c>
      <c r="E1134" s="144"/>
      <c r="F1134" s="145" t="s">
        <v>5822</v>
      </c>
      <c r="H1134" s="144"/>
      <c r="L1134" s="142"/>
      <c r="M1134" s="146"/>
      <c r="T1134" s="147"/>
      <c r="AT1134" s="144" t="s">
        <v>346</v>
      </c>
      <c r="AU1134" s="144" t="s">
        <v>90</v>
      </c>
      <c r="AV1134" s="141" t="s">
        <v>87</v>
      </c>
      <c r="AW1134" s="141" t="s">
        <v>33</v>
      </c>
      <c r="AX1134" s="141" t="s">
        <v>80</v>
      </c>
      <c r="AY1134" s="144" t="s">
        <v>337</v>
      </c>
    </row>
    <row r="1135" spans="2:65" s="141" customFormat="1" x14ac:dyDescent="0.2">
      <c r="B1135" s="142"/>
      <c r="D1135" s="143" t="s">
        <v>346</v>
      </c>
      <c r="E1135" s="144"/>
      <c r="F1135" s="145" t="s">
        <v>964</v>
      </c>
      <c r="H1135" s="144"/>
      <c r="L1135" s="142"/>
      <c r="M1135" s="146"/>
      <c r="T1135" s="147"/>
      <c r="AT1135" s="144" t="s">
        <v>346</v>
      </c>
      <c r="AU1135" s="144" t="s">
        <v>90</v>
      </c>
      <c r="AV1135" s="141" t="s">
        <v>87</v>
      </c>
      <c r="AW1135" s="141" t="s">
        <v>33</v>
      </c>
      <c r="AX1135" s="141" t="s">
        <v>80</v>
      </c>
      <c r="AY1135" s="144" t="s">
        <v>337</v>
      </c>
    </row>
    <row r="1136" spans="2:65" s="148" customFormat="1" x14ac:dyDescent="0.2">
      <c r="B1136" s="149"/>
      <c r="D1136" s="143" t="s">
        <v>346</v>
      </c>
      <c r="E1136" s="150"/>
      <c r="F1136" s="151" t="s">
        <v>5823</v>
      </c>
      <c r="H1136" s="152">
        <v>192.5</v>
      </c>
      <c r="L1136" s="149"/>
      <c r="M1136" s="153"/>
      <c r="T1136" s="154"/>
      <c r="AT1136" s="150" t="s">
        <v>346</v>
      </c>
      <c r="AU1136" s="150" t="s">
        <v>90</v>
      </c>
      <c r="AV1136" s="148" t="s">
        <v>90</v>
      </c>
      <c r="AW1136" s="148" t="s">
        <v>33</v>
      </c>
      <c r="AX1136" s="148" t="s">
        <v>87</v>
      </c>
      <c r="AY1136" s="150" t="s">
        <v>337</v>
      </c>
    </row>
    <row r="1137" spans="2:65" s="116" customFormat="1" ht="22.9" customHeight="1" x14ac:dyDescent="0.2">
      <c r="B1137" s="117"/>
      <c r="D1137" s="118" t="s">
        <v>79</v>
      </c>
      <c r="E1137" s="126" t="s">
        <v>2593</v>
      </c>
      <c r="F1137" s="126" t="s">
        <v>2594</v>
      </c>
      <c r="J1137" s="127">
        <f>BK1137</f>
        <v>0</v>
      </c>
      <c r="L1137" s="117"/>
      <c r="M1137" s="121"/>
      <c r="P1137" s="122">
        <f>SUM(P1138:P1159)</f>
        <v>0</v>
      </c>
      <c r="R1137" s="122">
        <f>SUM(R1138:R1159)</f>
        <v>0</v>
      </c>
      <c r="T1137" s="123">
        <f>SUM(T1138:T1159)</f>
        <v>11.662520000000001</v>
      </c>
      <c r="AR1137" s="118" t="s">
        <v>90</v>
      </c>
      <c r="AT1137" s="124" t="s">
        <v>79</v>
      </c>
      <c r="AU1137" s="124" t="s">
        <v>87</v>
      </c>
      <c r="AY1137" s="118" t="s">
        <v>337</v>
      </c>
      <c r="BK1137" s="125">
        <f>SUM(BK1138:BK1159)</f>
        <v>0</v>
      </c>
    </row>
    <row r="1138" spans="2:65" s="16" customFormat="1" ht="16.5" customHeight="1" x14ac:dyDescent="0.2">
      <c r="B1138" s="17"/>
      <c r="C1138" s="128">
        <v>68</v>
      </c>
      <c r="D1138" s="128" t="s">
        <v>339</v>
      </c>
      <c r="E1138" s="129" t="s">
        <v>5824</v>
      </c>
      <c r="F1138" s="130" t="s">
        <v>5825</v>
      </c>
      <c r="G1138" s="131" t="s">
        <v>425</v>
      </c>
      <c r="H1138" s="132">
        <v>219.78800000000001</v>
      </c>
      <c r="I1138" s="133"/>
      <c r="J1138" s="134">
        <f>ROUND(I1138*H1138,2)</f>
        <v>0</v>
      </c>
      <c r="K1138" s="130" t="s">
        <v>343</v>
      </c>
      <c r="L1138" s="17"/>
      <c r="M1138" s="135"/>
      <c r="N1138" s="136" t="s">
        <v>45</v>
      </c>
      <c r="P1138" s="137">
        <f>O1138*H1138</f>
        <v>0</v>
      </c>
      <c r="Q1138" s="137">
        <v>0</v>
      </c>
      <c r="R1138" s="137">
        <f>Q1138*H1138</f>
        <v>0</v>
      </c>
      <c r="S1138" s="137">
        <v>0.04</v>
      </c>
      <c r="T1138" s="138">
        <f>S1138*H1138</f>
        <v>8.7915200000000002</v>
      </c>
      <c r="AR1138" s="139" t="s">
        <v>496</v>
      </c>
      <c r="AT1138" s="139" t="s">
        <v>339</v>
      </c>
      <c r="AU1138" s="139" t="s">
        <v>90</v>
      </c>
      <c r="AY1138" s="2" t="s">
        <v>337</v>
      </c>
      <c r="BE1138" s="140">
        <f>IF(N1138="základní",J1138,0)</f>
        <v>0</v>
      </c>
      <c r="BF1138" s="140">
        <f>IF(N1138="snížená",J1138,0)</f>
        <v>0</v>
      </c>
      <c r="BG1138" s="140">
        <f>IF(N1138="zákl. přenesená",J1138,0)</f>
        <v>0</v>
      </c>
      <c r="BH1138" s="140">
        <f>IF(N1138="sníž. přenesená",J1138,0)</f>
        <v>0</v>
      </c>
      <c r="BI1138" s="140">
        <f>IF(N1138="nulová",J1138,0)</f>
        <v>0</v>
      </c>
      <c r="BJ1138" s="2" t="s">
        <v>87</v>
      </c>
      <c r="BK1138" s="140">
        <f>ROUND(I1138*H1138,2)</f>
        <v>0</v>
      </c>
      <c r="BL1138" s="2" t="s">
        <v>496</v>
      </c>
      <c r="BM1138" s="139" t="s">
        <v>5826</v>
      </c>
    </row>
    <row r="1139" spans="2:65" s="141" customFormat="1" x14ac:dyDescent="0.2">
      <c r="B1139" s="142"/>
      <c r="D1139" s="143" t="s">
        <v>346</v>
      </c>
      <c r="E1139" s="144"/>
      <c r="F1139" s="145" t="s">
        <v>4975</v>
      </c>
      <c r="H1139" s="144"/>
      <c r="L1139" s="142"/>
      <c r="M1139" s="146"/>
      <c r="T1139" s="147"/>
      <c r="AT1139" s="144" t="s">
        <v>346</v>
      </c>
      <c r="AU1139" s="144" t="s">
        <v>90</v>
      </c>
      <c r="AV1139" s="141" t="s">
        <v>87</v>
      </c>
      <c r="AW1139" s="141" t="s">
        <v>33</v>
      </c>
      <c r="AX1139" s="141" t="s">
        <v>80</v>
      </c>
      <c r="AY1139" s="144" t="s">
        <v>337</v>
      </c>
    </row>
    <row r="1140" spans="2:65" s="141" customFormat="1" x14ac:dyDescent="0.2">
      <c r="B1140" s="142"/>
      <c r="D1140" s="143" t="s">
        <v>346</v>
      </c>
      <c r="E1140" s="144"/>
      <c r="F1140" s="145" t="s">
        <v>5827</v>
      </c>
      <c r="H1140" s="144"/>
      <c r="L1140" s="142"/>
      <c r="M1140" s="146"/>
      <c r="T1140" s="147"/>
      <c r="AT1140" s="144" t="s">
        <v>346</v>
      </c>
      <c r="AU1140" s="144" t="s">
        <v>90</v>
      </c>
      <c r="AV1140" s="141" t="s">
        <v>87</v>
      </c>
      <c r="AW1140" s="141" t="s">
        <v>33</v>
      </c>
      <c r="AX1140" s="141" t="s">
        <v>80</v>
      </c>
      <c r="AY1140" s="144" t="s">
        <v>337</v>
      </c>
    </row>
    <row r="1141" spans="2:65" s="148" customFormat="1" x14ac:dyDescent="0.2">
      <c r="B1141" s="149"/>
      <c r="D1141" s="143" t="s">
        <v>346</v>
      </c>
      <c r="E1141" s="150"/>
      <c r="F1141" s="151" t="s">
        <v>5828</v>
      </c>
      <c r="H1141" s="152">
        <v>65.141999999999996</v>
      </c>
      <c r="L1141" s="149"/>
      <c r="M1141" s="153"/>
      <c r="T1141" s="154"/>
      <c r="AT1141" s="150" t="s">
        <v>346</v>
      </c>
      <c r="AU1141" s="150" t="s">
        <v>90</v>
      </c>
      <c r="AV1141" s="148" t="s">
        <v>90</v>
      </c>
      <c r="AW1141" s="148" t="s">
        <v>33</v>
      </c>
      <c r="AX1141" s="148" t="s">
        <v>80</v>
      </c>
      <c r="AY1141" s="150" t="s">
        <v>337</v>
      </c>
    </row>
    <row r="1142" spans="2:65" s="141" customFormat="1" x14ac:dyDescent="0.2">
      <c r="B1142" s="142"/>
      <c r="D1142" s="143" t="s">
        <v>346</v>
      </c>
      <c r="E1142" s="144"/>
      <c r="F1142" s="145" t="s">
        <v>5829</v>
      </c>
      <c r="H1142" s="144"/>
      <c r="L1142" s="142"/>
      <c r="M1142" s="146"/>
      <c r="T1142" s="147"/>
      <c r="AT1142" s="144" t="s">
        <v>346</v>
      </c>
      <c r="AU1142" s="144" t="s">
        <v>90</v>
      </c>
      <c r="AV1142" s="141" t="s">
        <v>87</v>
      </c>
      <c r="AW1142" s="141" t="s">
        <v>33</v>
      </c>
      <c r="AX1142" s="141" t="s">
        <v>80</v>
      </c>
      <c r="AY1142" s="144" t="s">
        <v>337</v>
      </c>
    </row>
    <row r="1143" spans="2:65" s="148" customFormat="1" x14ac:dyDescent="0.2">
      <c r="B1143" s="149"/>
      <c r="D1143" s="143" t="s">
        <v>346</v>
      </c>
      <c r="E1143" s="150"/>
      <c r="F1143" s="151" t="s">
        <v>5828</v>
      </c>
      <c r="H1143" s="152">
        <v>65.141999999999996</v>
      </c>
      <c r="L1143" s="149"/>
      <c r="M1143" s="153"/>
      <c r="T1143" s="154"/>
      <c r="AT1143" s="150" t="s">
        <v>346</v>
      </c>
      <c r="AU1143" s="150" t="s">
        <v>90</v>
      </c>
      <c r="AV1143" s="148" t="s">
        <v>90</v>
      </c>
      <c r="AW1143" s="148" t="s">
        <v>33</v>
      </c>
      <c r="AX1143" s="148" t="s">
        <v>80</v>
      </c>
      <c r="AY1143" s="150" t="s">
        <v>337</v>
      </c>
    </row>
    <row r="1144" spans="2:65" s="141" customFormat="1" x14ac:dyDescent="0.2">
      <c r="B1144" s="142"/>
      <c r="D1144" s="143" t="s">
        <v>346</v>
      </c>
      <c r="E1144" s="144"/>
      <c r="F1144" s="145" t="s">
        <v>4973</v>
      </c>
      <c r="H1144" s="144"/>
      <c r="L1144" s="142"/>
      <c r="M1144" s="146"/>
      <c r="T1144" s="147"/>
      <c r="AT1144" s="144" t="s">
        <v>346</v>
      </c>
      <c r="AU1144" s="144" t="s">
        <v>90</v>
      </c>
      <c r="AV1144" s="141" t="s">
        <v>87</v>
      </c>
      <c r="AW1144" s="141" t="s">
        <v>33</v>
      </c>
      <c r="AX1144" s="141" t="s">
        <v>80</v>
      </c>
      <c r="AY1144" s="144" t="s">
        <v>337</v>
      </c>
    </row>
    <row r="1145" spans="2:65" s="148" customFormat="1" x14ac:dyDescent="0.2">
      <c r="B1145" s="149"/>
      <c r="D1145" s="143" t="s">
        <v>346</v>
      </c>
      <c r="E1145" s="150"/>
      <c r="F1145" s="151" t="s">
        <v>5830</v>
      </c>
      <c r="H1145" s="152">
        <v>76.61</v>
      </c>
      <c r="L1145" s="149"/>
      <c r="M1145" s="153"/>
      <c r="T1145" s="154"/>
      <c r="AT1145" s="150" t="s">
        <v>346</v>
      </c>
      <c r="AU1145" s="150" t="s">
        <v>90</v>
      </c>
      <c r="AV1145" s="148" t="s">
        <v>90</v>
      </c>
      <c r="AW1145" s="148" t="s">
        <v>33</v>
      </c>
      <c r="AX1145" s="148" t="s">
        <v>80</v>
      </c>
      <c r="AY1145" s="150" t="s">
        <v>337</v>
      </c>
    </row>
    <row r="1146" spans="2:65" s="141" customFormat="1" x14ac:dyDescent="0.2">
      <c r="B1146" s="142"/>
      <c r="D1146" s="143" t="s">
        <v>346</v>
      </c>
      <c r="E1146" s="144"/>
      <c r="F1146" s="145" t="s">
        <v>5462</v>
      </c>
      <c r="H1146" s="144"/>
      <c r="L1146" s="142"/>
      <c r="M1146" s="146"/>
      <c r="T1146" s="147"/>
      <c r="AT1146" s="144" t="s">
        <v>346</v>
      </c>
      <c r="AU1146" s="144" t="s">
        <v>90</v>
      </c>
      <c r="AV1146" s="141" t="s">
        <v>87</v>
      </c>
      <c r="AW1146" s="141" t="s">
        <v>33</v>
      </c>
      <c r="AX1146" s="141" t="s">
        <v>80</v>
      </c>
      <c r="AY1146" s="144" t="s">
        <v>337</v>
      </c>
    </row>
    <row r="1147" spans="2:65" s="148" customFormat="1" x14ac:dyDescent="0.2">
      <c r="B1147" s="149"/>
      <c r="D1147" s="143" t="s">
        <v>346</v>
      </c>
      <c r="E1147" s="150"/>
      <c r="F1147" s="151" t="s">
        <v>5831</v>
      </c>
      <c r="H1147" s="152">
        <v>12.894</v>
      </c>
      <c r="L1147" s="149"/>
      <c r="M1147" s="153"/>
      <c r="T1147" s="154"/>
      <c r="AT1147" s="150" t="s">
        <v>346</v>
      </c>
      <c r="AU1147" s="150" t="s">
        <v>90</v>
      </c>
      <c r="AV1147" s="148" t="s">
        <v>90</v>
      </c>
      <c r="AW1147" s="148" t="s">
        <v>33</v>
      </c>
      <c r="AX1147" s="148" t="s">
        <v>80</v>
      </c>
      <c r="AY1147" s="150" t="s">
        <v>337</v>
      </c>
    </row>
    <row r="1148" spans="2:65" s="155" customFormat="1" x14ac:dyDescent="0.2">
      <c r="B1148" s="156"/>
      <c r="D1148" s="143" t="s">
        <v>346</v>
      </c>
      <c r="E1148" s="157"/>
      <c r="F1148" s="158" t="s">
        <v>351</v>
      </c>
      <c r="H1148" s="159">
        <v>219.78800000000001</v>
      </c>
      <c r="L1148" s="156"/>
      <c r="M1148" s="160"/>
      <c r="T1148" s="161"/>
      <c r="AT1148" s="157" t="s">
        <v>346</v>
      </c>
      <c r="AU1148" s="157" t="s">
        <v>90</v>
      </c>
      <c r="AV1148" s="155" t="s">
        <v>344</v>
      </c>
      <c r="AW1148" s="155" t="s">
        <v>33</v>
      </c>
      <c r="AX1148" s="155" t="s">
        <v>87</v>
      </c>
      <c r="AY1148" s="157" t="s">
        <v>337</v>
      </c>
    </row>
    <row r="1149" spans="2:65" s="16" customFormat="1" ht="16.5" customHeight="1" x14ac:dyDescent="0.2">
      <c r="B1149" s="17"/>
      <c r="C1149" s="128">
        <v>69</v>
      </c>
      <c r="D1149" s="128" t="s">
        <v>339</v>
      </c>
      <c r="E1149" s="129" t="s">
        <v>5832</v>
      </c>
      <c r="F1149" s="130" t="s">
        <v>5833</v>
      </c>
      <c r="G1149" s="131" t="s">
        <v>449</v>
      </c>
      <c r="H1149" s="132">
        <v>29</v>
      </c>
      <c r="I1149" s="133"/>
      <c r="J1149" s="134">
        <f>ROUND(I1149*H1149,2)</f>
        <v>0</v>
      </c>
      <c r="K1149" s="130" t="s">
        <v>343</v>
      </c>
      <c r="L1149" s="17"/>
      <c r="M1149" s="135"/>
      <c r="N1149" s="136" t="s">
        <v>45</v>
      </c>
      <c r="P1149" s="137">
        <f>O1149*H1149</f>
        <v>0</v>
      </c>
      <c r="Q1149" s="137">
        <v>0</v>
      </c>
      <c r="R1149" s="137">
        <f>Q1149*H1149</f>
        <v>0</v>
      </c>
      <c r="S1149" s="137">
        <v>9.9000000000000005E-2</v>
      </c>
      <c r="T1149" s="138">
        <f>S1149*H1149</f>
        <v>2.871</v>
      </c>
      <c r="AR1149" s="139" t="s">
        <v>496</v>
      </c>
      <c r="AT1149" s="139" t="s">
        <v>339</v>
      </c>
      <c r="AU1149" s="139" t="s">
        <v>90</v>
      </c>
      <c r="AY1149" s="2" t="s">
        <v>337</v>
      </c>
      <c r="BE1149" s="140">
        <f>IF(N1149="základní",J1149,0)</f>
        <v>0</v>
      </c>
      <c r="BF1149" s="140">
        <f>IF(N1149="snížená",J1149,0)</f>
        <v>0</v>
      </c>
      <c r="BG1149" s="140">
        <f>IF(N1149="zákl. přenesená",J1149,0)</f>
        <v>0</v>
      </c>
      <c r="BH1149" s="140">
        <f>IF(N1149="sníž. přenesená",J1149,0)</f>
        <v>0</v>
      </c>
      <c r="BI1149" s="140">
        <f>IF(N1149="nulová",J1149,0)</f>
        <v>0</v>
      </c>
      <c r="BJ1149" s="2" t="s">
        <v>87</v>
      </c>
      <c r="BK1149" s="140">
        <f>ROUND(I1149*H1149,2)</f>
        <v>0</v>
      </c>
      <c r="BL1149" s="2" t="s">
        <v>496</v>
      </c>
      <c r="BM1149" s="139" t="s">
        <v>5834</v>
      </c>
    </row>
    <row r="1150" spans="2:65" s="141" customFormat="1" x14ac:dyDescent="0.2">
      <c r="B1150" s="142"/>
      <c r="D1150" s="143" t="s">
        <v>346</v>
      </c>
      <c r="E1150" s="144"/>
      <c r="F1150" s="145" t="s">
        <v>5835</v>
      </c>
      <c r="H1150" s="144"/>
      <c r="L1150" s="142"/>
      <c r="M1150" s="146"/>
      <c r="T1150" s="147"/>
      <c r="AT1150" s="144" t="s">
        <v>346</v>
      </c>
      <c r="AU1150" s="144" t="s">
        <v>90</v>
      </c>
      <c r="AV1150" s="141" t="s">
        <v>87</v>
      </c>
      <c r="AW1150" s="141" t="s">
        <v>33</v>
      </c>
      <c r="AX1150" s="141" t="s">
        <v>80</v>
      </c>
      <c r="AY1150" s="144" t="s">
        <v>337</v>
      </c>
    </row>
    <row r="1151" spans="2:65" s="141" customFormat="1" x14ac:dyDescent="0.2">
      <c r="B1151" s="142"/>
      <c r="D1151" s="143" t="s">
        <v>346</v>
      </c>
      <c r="E1151" s="144"/>
      <c r="F1151" s="145" t="s">
        <v>5836</v>
      </c>
      <c r="H1151" s="144"/>
      <c r="L1151" s="142"/>
      <c r="M1151" s="146"/>
      <c r="T1151" s="147"/>
      <c r="AT1151" s="144" t="s">
        <v>346</v>
      </c>
      <c r="AU1151" s="144" t="s">
        <v>90</v>
      </c>
      <c r="AV1151" s="141" t="s">
        <v>87</v>
      </c>
      <c r="AW1151" s="141" t="s">
        <v>33</v>
      </c>
      <c r="AX1151" s="141" t="s">
        <v>80</v>
      </c>
      <c r="AY1151" s="144" t="s">
        <v>337</v>
      </c>
    </row>
    <row r="1152" spans="2:65" s="148" customFormat="1" x14ac:dyDescent="0.2">
      <c r="B1152" s="149"/>
      <c r="D1152" s="143" t="s">
        <v>346</v>
      </c>
      <c r="E1152" s="150"/>
      <c r="F1152" s="151" t="s">
        <v>430</v>
      </c>
      <c r="H1152" s="152">
        <v>6</v>
      </c>
      <c r="L1152" s="149"/>
      <c r="M1152" s="153"/>
      <c r="T1152" s="154"/>
      <c r="AT1152" s="150" t="s">
        <v>346</v>
      </c>
      <c r="AU1152" s="150" t="s">
        <v>90</v>
      </c>
      <c r="AV1152" s="148" t="s">
        <v>90</v>
      </c>
      <c r="AW1152" s="148" t="s">
        <v>33</v>
      </c>
      <c r="AX1152" s="148" t="s">
        <v>80</v>
      </c>
      <c r="AY1152" s="150" t="s">
        <v>337</v>
      </c>
    </row>
    <row r="1153" spans="2:65" s="141" customFormat="1" x14ac:dyDescent="0.2">
      <c r="B1153" s="142"/>
      <c r="D1153" s="143" t="s">
        <v>346</v>
      </c>
      <c r="E1153" s="144"/>
      <c r="F1153" s="145" t="s">
        <v>5837</v>
      </c>
      <c r="H1153" s="144"/>
      <c r="L1153" s="142"/>
      <c r="M1153" s="146"/>
      <c r="T1153" s="147"/>
      <c r="AT1153" s="144" t="s">
        <v>346</v>
      </c>
      <c r="AU1153" s="144" t="s">
        <v>90</v>
      </c>
      <c r="AV1153" s="141" t="s">
        <v>87</v>
      </c>
      <c r="AW1153" s="141" t="s">
        <v>33</v>
      </c>
      <c r="AX1153" s="141" t="s">
        <v>80</v>
      </c>
      <c r="AY1153" s="144" t="s">
        <v>337</v>
      </c>
    </row>
    <row r="1154" spans="2:65" s="148" customFormat="1" x14ac:dyDescent="0.2">
      <c r="B1154" s="149"/>
      <c r="D1154" s="143" t="s">
        <v>346</v>
      </c>
      <c r="E1154" s="150"/>
      <c r="F1154" s="151" t="s">
        <v>441</v>
      </c>
      <c r="H1154" s="152">
        <v>7</v>
      </c>
      <c r="L1154" s="149"/>
      <c r="M1154" s="153"/>
      <c r="T1154" s="154"/>
      <c r="AT1154" s="150" t="s">
        <v>346</v>
      </c>
      <c r="AU1154" s="150" t="s">
        <v>90</v>
      </c>
      <c r="AV1154" s="148" t="s">
        <v>90</v>
      </c>
      <c r="AW1154" s="148" t="s">
        <v>33</v>
      </c>
      <c r="AX1154" s="148" t="s">
        <v>80</v>
      </c>
      <c r="AY1154" s="150" t="s">
        <v>337</v>
      </c>
    </row>
    <row r="1155" spans="2:65" s="141" customFormat="1" x14ac:dyDescent="0.2">
      <c r="B1155" s="142"/>
      <c r="D1155" s="143" t="s">
        <v>346</v>
      </c>
      <c r="E1155" s="144"/>
      <c r="F1155" s="145" t="s">
        <v>5838</v>
      </c>
      <c r="H1155" s="144"/>
      <c r="L1155" s="142"/>
      <c r="M1155" s="146"/>
      <c r="T1155" s="147"/>
      <c r="AT1155" s="144" t="s">
        <v>346</v>
      </c>
      <c r="AU1155" s="144" t="s">
        <v>90</v>
      </c>
      <c r="AV1155" s="141" t="s">
        <v>87</v>
      </c>
      <c r="AW1155" s="141" t="s">
        <v>33</v>
      </c>
      <c r="AX1155" s="141" t="s">
        <v>80</v>
      </c>
      <c r="AY1155" s="144" t="s">
        <v>337</v>
      </c>
    </row>
    <row r="1156" spans="2:65" s="148" customFormat="1" x14ac:dyDescent="0.2">
      <c r="B1156" s="149"/>
      <c r="D1156" s="143" t="s">
        <v>346</v>
      </c>
      <c r="E1156" s="150"/>
      <c r="F1156" s="151" t="s">
        <v>446</v>
      </c>
      <c r="H1156" s="152">
        <v>8</v>
      </c>
      <c r="L1156" s="149"/>
      <c r="M1156" s="153"/>
      <c r="T1156" s="154"/>
      <c r="AT1156" s="150" t="s">
        <v>346</v>
      </c>
      <c r="AU1156" s="150" t="s">
        <v>90</v>
      </c>
      <c r="AV1156" s="148" t="s">
        <v>90</v>
      </c>
      <c r="AW1156" s="148" t="s">
        <v>33</v>
      </c>
      <c r="AX1156" s="148" t="s">
        <v>80</v>
      </c>
      <c r="AY1156" s="150" t="s">
        <v>337</v>
      </c>
    </row>
    <row r="1157" spans="2:65" s="141" customFormat="1" x14ac:dyDescent="0.2">
      <c r="B1157" s="142"/>
      <c r="D1157" s="143" t="s">
        <v>346</v>
      </c>
      <c r="E1157" s="144"/>
      <c r="F1157" s="145" t="s">
        <v>5839</v>
      </c>
      <c r="H1157" s="144"/>
      <c r="L1157" s="142"/>
      <c r="M1157" s="146"/>
      <c r="T1157" s="147"/>
      <c r="AT1157" s="144" t="s">
        <v>346</v>
      </c>
      <c r="AU1157" s="144" t="s">
        <v>90</v>
      </c>
      <c r="AV1157" s="141" t="s">
        <v>87</v>
      </c>
      <c r="AW1157" s="141" t="s">
        <v>33</v>
      </c>
      <c r="AX1157" s="141" t="s">
        <v>80</v>
      </c>
      <c r="AY1157" s="144" t="s">
        <v>337</v>
      </c>
    </row>
    <row r="1158" spans="2:65" s="148" customFormat="1" x14ac:dyDescent="0.2">
      <c r="B1158" s="149"/>
      <c r="D1158" s="143" t="s">
        <v>346</v>
      </c>
      <c r="E1158" s="150"/>
      <c r="F1158" s="151" t="s">
        <v>446</v>
      </c>
      <c r="H1158" s="152">
        <v>8</v>
      </c>
      <c r="L1158" s="149"/>
      <c r="M1158" s="153"/>
      <c r="T1158" s="154"/>
      <c r="AT1158" s="150" t="s">
        <v>346</v>
      </c>
      <c r="AU1158" s="150" t="s">
        <v>90</v>
      </c>
      <c r="AV1158" s="148" t="s">
        <v>90</v>
      </c>
      <c r="AW1158" s="148" t="s">
        <v>33</v>
      </c>
      <c r="AX1158" s="148" t="s">
        <v>80</v>
      </c>
      <c r="AY1158" s="150" t="s">
        <v>337</v>
      </c>
    </row>
    <row r="1159" spans="2:65" s="155" customFormat="1" x14ac:dyDescent="0.2">
      <c r="B1159" s="156"/>
      <c r="D1159" s="143" t="s">
        <v>346</v>
      </c>
      <c r="E1159" s="157"/>
      <c r="F1159" s="158" t="s">
        <v>351</v>
      </c>
      <c r="H1159" s="159">
        <v>29</v>
      </c>
      <c r="L1159" s="156"/>
      <c r="M1159" s="160"/>
      <c r="T1159" s="161"/>
      <c r="AT1159" s="157" t="s">
        <v>346</v>
      </c>
      <c r="AU1159" s="157" t="s">
        <v>90</v>
      </c>
      <c r="AV1159" s="155" t="s">
        <v>344</v>
      </c>
      <c r="AW1159" s="155" t="s">
        <v>33</v>
      </c>
      <c r="AX1159" s="155" t="s">
        <v>87</v>
      </c>
      <c r="AY1159" s="157" t="s">
        <v>337</v>
      </c>
    </row>
    <row r="1160" spans="2:65" s="116" customFormat="1" ht="22.9" customHeight="1" x14ac:dyDescent="0.2">
      <c r="B1160" s="117"/>
      <c r="D1160" s="118" t="s">
        <v>79</v>
      </c>
      <c r="E1160" s="126" t="s">
        <v>5840</v>
      </c>
      <c r="F1160" s="126" t="s">
        <v>5841</v>
      </c>
      <c r="J1160" s="127">
        <f>BK1160</f>
        <v>0</v>
      </c>
      <c r="L1160" s="117"/>
      <c r="M1160" s="121"/>
      <c r="P1160" s="122">
        <f>SUM(P1161:P1170)</f>
        <v>0</v>
      </c>
      <c r="R1160" s="122">
        <f>SUM(R1161:R1170)</f>
        <v>0</v>
      </c>
      <c r="T1160" s="123">
        <f>SUM(T1161:T1170)</f>
        <v>4.4672499999999999</v>
      </c>
      <c r="AR1160" s="118" t="s">
        <v>90</v>
      </c>
      <c r="AT1160" s="124" t="s">
        <v>79</v>
      </c>
      <c r="AU1160" s="124" t="s">
        <v>87</v>
      </c>
      <c r="AY1160" s="118" t="s">
        <v>337</v>
      </c>
      <c r="BK1160" s="125">
        <f>SUM(BK1161:BK1170)</f>
        <v>0</v>
      </c>
    </row>
    <row r="1161" spans="2:65" s="16" customFormat="1" ht="16.5" customHeight="1" x14ac:dyDescent="0.2">
      <c r="B1161" s="17"/>
      <c r="C1161" s="128">
        <v>70</v>
      </c>
      <c r="D1161" s="128" t="s">
        <v>339</v>
      </c>
      <c r="E1161" s="129" t="s">
        <v>5842</v>
      </c>
      <c r="F1161" s="130" t="s">
        <v>5843</v>
      </c>
      <c r="G1161" s="131" t="s">
        <v>425</v>
      </c>
      <c r="H1161" s="132">
        <v>178.69</v>
      </c>
      <c r="I1161" s="133"/>
      <c r="J1161" s="134">
        <f>ROUND(I1161*H1161,2)</f>
        <v>0</v>
      </c>
      <c r="K1161" s="130" t="s">
        <v>343</v>
      </c>
      <c r="L1161" s="17"/>
      <c r="M1161" s="135"/>
      <c r="N1161" s="136" t="s">
        <v>45</v>
      </c>
      <c r="P1161" s="137">
        <f>O1161*H1161</f>
        <v>0</v>
      </c>
      <c r="Q1161" s="137">
        <v>0</v>
      </c>
      <c r="R1161" s="137">
        <f>Q1161*H1161</f>
        <v>0</v>
      </c>
      <c r="S1161" s="137">
        <v>2.5000000000000001E-2</v>
      </c>
      <c r="T1161" s="138">
        <f>S1161*H1161</f>
        <v>4.4672499999999999</v>
      </c>
      <c r="AR1161" s="139" t="s">
        <v>496</v>
      </c>
      <c r="AT1161" s="139" t="s">
        <v>339</v>
      </c>
      <c r="AU1161" s="139" t="s">
        <v>90</v>
      </c>
      <c r="AY1161" s="2" t="s">
        <v>337</v>
      </c>
      <c r="BE1161" s="140">
        <f>IF(N1161="základní",J1161,0)</f>
        <v>0</v>
      </c>
      <c r="BF1161" s="140">
        <f>IF(N1161="snížená",J1161,0)</f>
        <v>0</v>
      </c>
      <c r="BG1161" s="140">
        <f>IF(N1161="zákl. přenesená",J1161,0)</f>
        <v>0</v>
      </c>
      <c r="BH1161" s="140">
        <f>IF(N1161="sníž. přenesená",J1161,0)</f>
        <v>0</v>
      </c>
      <c r="BI1161" s="140">
        <f>IF(N1161="nulová",J1161,0)</f>
        <v>0</v>
      </c>
      <c r="BJ1161" s="2" t="s">
        <v>87</v>
      </c>
      <c r="BK1161" s="140">
        <f>ROUND(I1161*H1161,2)</f>
        <v>0</v>
      </c>
      <c r="BL1161" s="2" t="s">
        <v>496</v>
      </c>
      <c r="BM1161" s="139" t="s">
        <v>5844</v>
      </c>
    </row>
    <row r="1162" spans="2:65" s="141" customFormat="1" x14ac:dyDescent="0.2">
      <c r="B1162" s="142"/>
      <c r="D1162" s="143" t="s">
        <v>346</v>
      </c>
      <c r="E1162" s="144"/>
      <c r="F1162" s="145" t="s">
        <v>885</v>
      </c>
      <c r="H1162" s="144"/>
      <c r="L1162" s="142"/>
      <c r="M1162" s="146"/>
      <c r="T1162" s="147"/>
      <c r="AT1162" s="144" t="s">
        <v>346</v>
      </c>
      <c r="AU1162" s="144" t="s">
        <v>90</v>
      </c>
      <c r="AV1162" s="141" t="s">
        <v>87</v>
      </c>
      <c r="AW1162" s="141" t="s">
        <v>33</v>
      </c>
      <c r="AX1162" s="141" t="s">
        <v>80</v>
      </c>
      <c r="AY1162" s="144" t="s">
        <v>337</v>
      </c>
    </row>
    <row r="1163" spans="2:65" s="148" customFormat="1" x14ac:dyDescent="0.2">
      <c r="B1163" s="149"/>
      <c r="D1163" s="143" t="s">
        <v>346</v>
      </c>
      <c r="E1163" s="150"/>
      <c r="F1163" s="151" t="s">
        <v>5845</v>
      </c>
      <c r="H1163" s="152">
        <v>54.31</v>
      </c>
      <c r="L1163" s="149"/>
      <c r="M1163" s="153"/>
      <c r="T1163" s="154"/>
      <c r="AT1163" s="150" t="s">
        <v>346</v>
      </c>
      <c r="AU1163" s="150" t="s">
        <v>90</v>
      </c>
      <c r="AV1163" s="148" t="s">
        <v>90</v>
      </c>
      <c r="AW1163" s="148" t="s">
        <v>33</v>
      </c>
      <c r="AX1163" s="148" t="s">
        <v>80</v>
      </c>
      <c r="AY1163" s="150" t="s">
        <v>337</v>
      </c>
    </row>
    <row r="1164" spans="2:65" s="148" customFormat="1" x14ac:dyDescent="0.2">
      <c r="B1164" s="149"/>
      <c r="D1164" s="143" t="s">
        <v>346</v>
      </c>
      <c r="E1164" s="150"/>
      <c r="F1164" s="151" t="s">
        <v>5846</v>
      </c>
      <c r="H1164" s="152">
        <v>27.3</v>
      </c>
      <c r="L1164" s="149"/>
      <c r="M1164" s="153"/>
      <c r="T1164" s="154"/>
      <c r="AT1164" s="150" t="s">
        <v>346</v>
      </c>
      <c r="AU1164" s="150" t="s">
        <v>90</v>
      </c>
      <c r="AV1164" s="148" t="s">
        <v>90</v>
      </c>
      <c r="AW1164" s="148" t="s">
        <v>33</v>
      </c>
      <c r="AX1164" s="148" t="s">
        <v>80</v>
      </c>
      <c r="AY1164" s="150" t="s">
        <v>337</v>
      </c>
    </row>
    <row r="1165" spans="2:65" s="148" customFormat="1" x14ac:dyDescent="0.2">
      <c r="B1165" s="149"/>
      <c r="D1165" s="143" t="s">
        <v>346</v>
      </c>
      <c r="E1165" s="150"/>
      <c r="F1165" s="151" t="s">
        <v>5847</v>
      </c>
      <c r="H1165" s="152">
        <v>22.73</v>
      </c>
      <c r="L1165" s="149"/>
      <c r="M1165" s="153"/>
      <c r="T1165" s="154"/>
      <c r="AT1165" s="150" t="s">
        <v>346</v>
      </c>
      <c r="AU1165" s="150" t="s">
        <v>90</v>
      </c>
      <c r="AV1165" s="148" t="s">
        <v>90</v>
      </c>
      <c r="AW1165" s="148" t="s">
        <v>33</v>
      </c>
      <c r="AX1165" s="148" t="s">
        <v>80</v>
      </c>
      <c r="AY1165" s="150" t="s">
        <v>337</v>
      </c>
    </row>
    <row r="1166" spans="2:65" s="148" customFormat="1" x14ac:dyDescent="0.2">
      <c r="B1166" s="149"/>
      <c r="D1166" s="143" t="s">
        <v>346</v>
      </c>
      <c r="E1166" s="150"/>
      <c r="F1166" s="151" t="s">
        <v>5848</v>
      </c>
      <c r="H1166" s="152">
        <v>19.91</v>
      </c>
      <c r="L1166" s="149"/>
      <c r="M1166" s="153"/>
      <c r="T1166" s="154"/>
      <c r="AT1166" s="150" t="s">
        <v>346</v>
      </c>
      <c r="AU1166" s="150" t="s">
        <v>90</v>
      </c>
      <c r="AV1166" s="148" t="s">
        <v>90</v>
      </c>
      <c r="AW1166" s="148" t="s">
        <v>33</v>
      </c>
      <c r="AX1166" s="148" t="s">
        <v>80</v>
      </c>
      <c r="AY1166" s="150" t="s">
        <v>337</v>
      </c>
    </row>
    <row r="1167" spans="2:65" s="148" customFormat="1" x14ac:dyDescent="0.2">
      <c r="B1167" s="149"/>
      <c r="D1167" s="143" t="s">
        <v>346</v>
      </c>
      <c r="E1167" s="150"/>
      <c r="F1167" s="151" t="s">
        <v>5849</v>
      </c>
      <c r="H1167" s="152">
        <v>13.4</v>
      </c>
      <c r="L1167" s="149"/>
      <c r="M1167" s="153"/>
      <c r="T1167" s="154"/>
      <c r="AT1167" s="150" t="s">
        <v>346</v>
      </c>
      <c r="AU1167" s="150" t="s">
        <v>90</v>
      </c>
      <c r="AV1167" s="148" t="s">
        <v>90</v>
      </c>
      <c r="AW1167" s="148" t="s">
        <v>33</v>
      </c>
      <c r="AX1167" s="148" t="s">
        <v>80</v>
      </c>
      <c r="AY1167" s="150" t="s">
        <v>337</v>
      </c>
    </row>
    <row r="1168" spans="2:65" s="148" customFormat="1" x14ac:dyDescent="0.2">
      <c r="B1168" s="149"/>
      <c r="D1168" s="143" t="s">
        <v>346</v>
      </c>
      <c r="E1168" s="150"/>
      <c r="F1168" s="151" t="s">
        <v>5850</v>
      </c>
      <c r="H1168" s="152">
        <v>41.04</v>
      </c>
      <c r="L1168" s="149"/>
      <c r="M1168" s="153"/>
      <c r="T1168" s="154"/>
      <c r="AT1168" s="150" t="s">
        <v>346</v>
      </c>
      <c r="AU1168" s="150" t="s">
        <v>90</v>
      </c>
      <c r="AV1168" s="148" t="s">
        <v>90</v>
      </c>
      <c r="AW1168" s="148" t="s">
        <v>33</v>
      </c>
      <c r="AX1168" s="148" t="s">
        <v>80</v>
      </c>
      <c r="AY1168" s="150" t="s">
        <v>337</v>
      </c>
    </row>
    <row r="1169" spans="2:65" s="172" customFormat="1" x14ac:dyDescent="0.2">
      <c r="B1169" s="173"/>
      <c r="D1169" s="143" t="s">
        <v>346</v>
      </c>
      <c r="E1169" s="174" t="s">
        <v>5178</v>
      </c>
      <c r="F1169" s="175" t="s">
        <v>609</v>
      </c>
      <c r="H1169" s="176">
        <v>178.69</v>
      </c>
      <c r="L1169" s="173"/>
      <c r="M1169" s="177"/>
      <c r="T1169" s="178"/>
      <c r="AT1169" s="174" t="s">
        <v>346</v>
      </c>
      <c r="AU1169" s="174" t="s">
        <v>90</v>
      </c>
      <c r="AV1169" s="172" t="s">
        <v>113</v>
      </c>
      <c r="AW1169" s="172" t="s">
        <v>33</v>
      </c>
      <c r="AX1169" s="172" t="s">
        <v>80</v>
      </c>
      <c r="AY1169" s="174" t="s">
        <v>337</v>
      </c>
    </row>
    <row r="1170" spans="2:65" s="155" customFormat="1" x14ac:dyDescent="0.2">
      <c r="B1170" s="156"/>
      <c r="D1170" s="143" t="s">
        <v>346</v>
      </c>
      <c r="E1170" s="157"/>
      <c r="F1170" s="158" t="s">
        <v>351</v>
      </c>
      <c r="H1170" s="159">
        <v>178.69</v>
      </c>
      <c r="L1170" s="156"/>
      <c r="M1170" s="160"/>
      <c r="T1170" s="161"/>
      <c r="AT1170" s="157" t="s">
        <v>346</v>
      </c>
      <c r="AU1170" s="157" t="s">
        <v>90</v>
      </c>
      <c r="AV1170" s="155" t="s">
        <v>344</v>
      </c>
      <c r="AW1170" s="155" t="s">
        <v>33</v>
      </c>
      <c r="AX1170" s="155" t="s">
        <v>87</v>
      </c>
      <c r="AY1170" s="157" t="s">
        <v>337</v>
      </c>
    </row>
    <row r="1171" spans="2:65" s="116" customFormat="1" ht="22.9" customHeight="1" x14ac:dyDescent="0.2">
      <c r="B1171" s="117"/>
      <c r="D1171" s="118" t="s">
        <v>79</v>
      </c>
      <c r="E1171" s="126" t="s">
        <v>1797</v>
      </c>
      <c r="F1171" s="126" t="s">
        <v>1798</v>
      </c>
      <c r="J1171" s="127">
        <f>BK1171</f>
        <v>0</v>
      </c>
      <c r="L1171" s="117"/>
      <c r="M1171" s="121"/>
      <c r="P1171" s="122">
        <f>SUM(P1172:P1329)</f>
        <v>0</v>
      </c>
      <c r="R1171" s="122">
        <f>SUM(R1172:R1329)</f>
        <v>0</v>
      </c>
      <c r="T1171" s="123">
        <f>SUM(T1172:T1329)</f>
        <v>5.8422600000000005</v>
      </c>
      <c r="AR1171" s="118" t="s">
        <v>90</v>
      </c>
      <c r="AT1171" s="124" t="s">
        <v>79</v>
      </c>
      <c r="AU1171" s="124" t="s">
        <v>87</v>
      </c>
      <c r="AY1171" s="118" t="s">
        <v>337</v>
      </c>
      <c r="BK1171" s="125">
        <f>SUM(BK1172:BK1329)</f>
        <v>0</v>
      </c>
    </row>
    <row r="1172" spans="2:65" s="16" customFormat="1" ht="16.5" customHeight="1" x14ac:dyDescent="0.2">
      <c r="B1172" s="17"/>
      <c r="C1172" s="128">
        <v>71</v>
      </c>
      <c r="D1172" s="128" t="s">
        <v>339</v>
      </c>
      <c r="E1172" s="129" t="s">
        <v>5851</v>
      </c>
      <c r="F1172" s="130" t="s">
        <v>5852</v>
      </c>
      <c r="G1172" s="131" t="s">
        <v>425</v>
      </c>
      <c r="H1172" s="132">
        <v>1947.42</v>
      </c>
      <c r="I1172" s="133"/>
      <c r="J1172" s="134">
        <f>ROUND(I1172*H1172,2)</f>
        <v>0</v>
      </c>
      <c r="K1172" s="130" t="s">
        <v>343</v>
      </c>
      <c r="L1172" s="17"/>
      <c r="M1172" s="135"/>
      <c r="N1172" s="136" t="s">
        <v>45</v>
      </c>
      <c r="P1172" s="137">
        <f>O1172*H1172</f>
        <v>0</v>
      </c>
      <c r="Q1172" s="137">
        <v>0</v>
      </c>
      <c r="R1172" s="137">
        <f>Q1172*H1172</f>
        <v>0</v>
      </c>
      <c r="S1172" s="137">
        <v>3.0000000000000001E-3</v>
      </c>
      <c r="T1172" s="138">
        <f>S1172*H1172</f>
        <v>5.8422600000000005</v>
      </c>
      <c r="AR1172" s="139" t="s">
        <v>496</v>
      </c>
      <c r="AT1172" s="139" t="s">
        <v>339</v>
      </c>
      <c r="AU1172" s="139" t="s">
        <v>90</v>
      </c>
      <c r="AY1172" s="2" t="s">
        <v>337</v>
      </c>
      <c r="BE1172" s="140">
        <f>IF(N1172="základní",J1172,0)</f>
        <v>0</v>
      </c>
      <c r="BF1172" s="140">
        <f>IF(N1172="snížená",J1172,0)</f>
        <v>0</v>
      </c>
      <c r="BG1172" s="140">
        <f>IF(N1172="zákl. přenesená",J1172,0)</f>
        <v>0</v>
      </c>
      <c r="BH1172" s="140">
        <f>IF(N1172="sníž. přenesená",J1172,0)</f>
        <v>0</v>
      </c>
      <c r="BI1172" s="140">
        <f>IF(N1172="nulová",J1172,0)</f>
        <v>0</v>
      </c>
      <c r="BJ1172" s="2" t="s">
        <v>87</v>
      </c>
      <c r="BK1172" s="140">
        <f>ROUND(I1172*H1172,2)</f>
        <v>0</v>
      </c>
      <c r="BL1172" s="2" t="s">
        <v>496</v>
      </c>
      <c r="BM1172" s="139" t="s">
        <v>5853</v>
      </c>
    </row>
    <row r="1173" spans="2:65" s="141" customFormat="1" x14ac:dyDescent="0.2">
      <c r="B1173" s="142"/>
      <c r="D1173" s="143" t="s">
        <v>346</v>
      </c>
      <c r="E1173" s="144"/>
      <c r="F1173" s="145" t="s">
        <v>5854</v>
      </c>
      <c r="H1173" s="144"/>
      <c r="L1173" s="142"/>
      <c r="M1173" s="146"/>
      <c r="T1173" s="147"/>
      <c r="AT1173" s="144" t="s">
        <v>346</v>
      </c>
      <c r="AU1173" s="144" t="s">
        <v>90</v>
      </c>
      <c r="AV1173" s="141" t="s">
        <v>87</v>
      </c>
      <c r="AW1173" s="141" t="s">
        <v>33</v>
      </c>
      <c r="AX1173" s="141" t="s">
        <v>80</v>
      </c>
      <c r="AY1173" s="144" t="s">
        <v>337</v>
      </c>
    </row>
    <row r="1174" spans="2:65" s="148" customFormat="1" x14ac:dyDescent="0.2">
      <c r="B1174" s="149"/>
      <c r="D1174" s="143" t="s">
        <v>346</v>
      </c>
      <c r="E1174" s="150"/>
      <c r="F1174" s="151" t="s">
        <v>5855</v>
      </c>
      <c r="H1174" s="152">
        <v>85.04</v>
      </c>
      <c r="L1174" s="149"/>
      <c r="M1174" s="153"/>
      <c r="T1174" s="154"/>
      <c r="AT1174" s="150" t="s">
        <v>346</v>
      </c>
      <c r="AU1174" s="150" t="s">
        <v>90</v>
      </c>
      <c r="AV1174" s="148" t="s">
        <v>90</v>
      </c>
      <c r="AW1174" s="148" t="s">
        <v>33</v>
      </c>
      <c r="AX1174" s="148" t="s">
        <v>80</v>
      </c>
      <c r="AY1174" s="150" t="s">
        <v>337</v>
      </c>
    </row>
    <row r="1175" spans="2:65" s="148" customFormat="1" x14ac:dyDescent="0.2">
      <c r="B1175" s="149"/>
      <c r="D1175" s="143" t="s">
        <v>346</v>
      </c>
      <c r="E1175" s="150"/>
      <c r="F1175" s="151" t="s">
        <v>5856</v>
      </c>
      <c r="H1175" s="152">
        <v>41.82</v>
      </c>
      <c r="L1175" s="149"/>
      <c r="M1175" s="153"/>
      <c r="T1175" s="154"/>
      <c r="AT1175" s="150" t="s">
        <v>346</v>
      </c>
      <c r="AU1175" s="150" t="s">
        <v>90</v>
      </c>
      <c r="AV1175" s="148" t="s">
        <v>90</v>
      </c>
      <c r="AW1175" s="148" t="s">
        <v>33</v>
      </c>
      <c r="AX1175" s="148" t="s">
        <v>80</v>
      </c>
      <c r="AY1175" s="150" t="s">
        <v>337</v>
      </c>
    </row>
    <row r="1176" spans="2:65" s="148" customFormat="1" x14ac:dyDescent="0.2">
      <c r="B1176" s="149"/>
      <c r="D1176" s="143" t="s">
        <v>346</v>
      </c>
      <c r="E1176" s="150"/>
      <c r="F1176" s="151" t="s">
        <v>5857</v>
      </c>
      <c r="H1176" s="152">
        <v>7.71</v>
      </c>
      <c r="L1176" s="149"/>
      <c r="M1176" s="153"/>
      <c r="T1176" s="154"/>
      <c r="AT1176" s="150" t="s">
        <v>346</v>
      </c>
      <c r="AU1176" s="150" t="s">
        <v>90</v>
      </c>
      <c r="AV1176" s="148" t="s">
        <v>90</v>
      </c>
      <c r="AW1176" s="148" t="s">
        <v>33</v>
      </c>
      <c r="AX1176" s="148" t="s">
        <v>80</v>
      </c>
      <c r="AY1176" s="150" t="s">
        <v>337</v>
      </c>
    </row>
    <row r="1177" spans="2:65" s="148" customFormat="1" x14ac:dyDescent="0.2">
      <c r="B1177" s="149"/>
      <c r="D1177" s="143" t="s">
        <v>346</v>
      </c>
      <c r="E1177" s="150"/>
      <c r="F1177" s="151" t="s">
        <v>5858</v>
      </c>
      <c r="H1177" s="152">
        <v>4.7699999999999996</v>
      </c>
      <c r="L1177" s="149"/>
      <c r="M1177" s="153"/>
      <c r="T1177" s="154"/>
      <c r="AT1177" s="150" t="s">
        <v>346</v>
      </c>
      <c r="AU1177" s="150" t="s">
        <v>90</v>
      </c>
      <c r="AV1177" s="148" t="s">
        <v>90</v>
      </c>
      <c r="AW1177" s="148" t="s">
        <v>33</v>
      </c>
      <c r="AX1177" s="148" t="s">
        <v>80</v>
      </c>
      <c r="AY1177" s="150" t="s">
        <v>337</v>
      </c>
    </row>
    <row r="1178" spans="2:65" s="148" customFormat="1" x14ac:dyDescent="0.2">
      <c r="B1178" s="149"/>
      <c r="D1178" s="143" t="s">
        <v>346</v>
      </c>
      <c r="E1178" s="150"/>
      <c r="F1178" s="151" t="s">
        <v>5859</v>
      </c>
      <c r="H1178" s="152">
        <v>3.61</v>
      </c>
      <c r="L1178" s="149"/>
      <c r="M1178" s="153"/>
      <c r="T1178" s="154"/>
      <c r="AT1178" s="150" t="s">
        <v>346</v>
      </c>
      <c r="AU1178" s="150" t="s">
        <v>90</v>
      </c>
      <c r="AV1178" s="148" t="s">
        <v>90</v>
      </c>
      <c r="AW1178" s="148" t="s">
        <v>33</v>
      </c>
      <c r="AX1178" s="148" t="s">
        <v>80</v>
      </c>
      <c r="AY1178" s="150" t="s">
        <v>337</v>
      </c>
    </row>
    <row r="1179" spans="2:65" s="148" customFormat="1" x14ac:dyDescent="0.2">
      <c r="B1179" s="149"/>
      <c r="D1179" s="143" t="s">
        <v>346</v>
      </c>
      <c r="E1179" s="150"/>
      <c r="F1179" s="151" t="s">
        <v>5860</v>
      </c>
      <c r="H1179" s="152">
        <v>13.28</v>
      </c>
      <c r="L1179" s="149"/>
      <c r="M1179" s="153"/>
      <c r="T1179" s="154"/>
      <c r="AT1179" s="150" t="s">
        <v>346</v>
      </c>
      <c r="AU1179" s="150" t="s">
        <v>90</v>
      </c>
      <c r="AV1179" s="148" t="s">
        <v>90</v>
      </c>
      <c r="AW1179" s="148" t="s">
        <v>33</v>
      </c>
      <c r="AX1179" s="148" t="s">
        <v>80</v>
      </c>
      <c r="AY1179" s="150" t="s">
        <v>337</v>
      </c>
    </row>
    <row r="1180" spans="2:65" s="148" customFormat="1" x14ac:dyDescent="0.2">
      <c r="B1180" s="149"/>
      <c r="D1180" s="143" t="s">
        <v>346</v>
      </c>
      <c r="E1180" s="150"/>
      <c r="F1180" s="151" t="s">
        <v>5861</v>
      </c>
      <c r="H1180" s="152">
        <v>3.59</v>
      </c>
      <c r="L1180" s="149"/>
      <c r="M1180" s="153"/>
      <c r="T1180" s="154"/>
      <c r="AT1180" s="150" t="s">
        <v>346</v>
      </c>
      <c r="AU1180" s="150" t="s">
        <v>90</v>
      </c>
      <c r="AV1180" s="148" t="s">
        <v>90</v>
      </c>
      <c r="AW1180" s="148" t="s">
        <v>33</v>
      </c>
      <c r="AX1180" s="148" t="s">
        <v>80</v>
      </c>
      <c r="AY1180" s="150" t="s">
        <v>337</v>
      </c>
    </row>
    <row r="1181" spans="2:65" s="148" customFormat="1" x14ac:dyDescent="0.2">
      <c r="B1181" s="149"/>
      <c r="D1181" s="143" t="s">
        <v>346</v>
      </c>
      <c r="E1181" s="150"/>
      <c r="F1181" s="151" t="s">
        <v>5862</v>
      </c>
      <c r="H1181" s="152">
        <v>13.28</v>
      </c>
      <c r="L1181" s="149"/>
      <c r="M1181" s="153"/>
      <c r="T1181" s="154"/>
      <c r="AT1181" s="150" t="s">
        <v>346</v>
      </c>
      <c r="AU1181" s="150" t="s">
        <v>90</v>
      </c>
      <c r="AV1181" s="148" t="s">
        <v>90</v>
      </c>
      <c r="AW1181" s="148" t="s">
        <v>33</v>
      </c>
      <c r="AX1181" s="148" t="s">
        <v>80</v>
      </c>
      <c r="AY1181" s="150" t="s">
        <v>337</v>
      </c>
    </row>
    <row r="1182" spans="2:65" s="148" customFormat="1" x14ac:dyDescent="0.2">
      <c r="B1182" s="149"/>
      <c r="D1182" s="143" t="s">
        <v>346</v>
      </c>
      <c r="E1182" s="150"/>
      <c r="F1182" s="151" t="s">
        <v>5863</v>
      </c>
      <c r="H1182" s="152">
        <v>3.59</v>
      </c>
      <c r="L1182" s="149"/>
      <c r="M1182" s="153"/>
      <c r="T1182" s="154"/>
      <c r="AT1182" s="150" t="s">
        <v>346</v>
      </c>
      <c r="AU1182" s="150" t="s">
        <v>90</v>
      </c>
      <c r="AV1182" s="148" t="s">
        <v>90</v>
      </c>
      <c r="AW1182" s="148" t="s">
        <v>33</v>
      </c>
      <c r="AX1182" s="148" t="s">
        <v>80</v>
      </c>
      <c r="AY1182" s="150" t="s">
        <v>337</v>
      </c>
    </row>
    <row r="1183" spans="2:65" s="148" customFormat="1" x14ac:dyDescent="0.2">
      <c r="B1183" s="149"/>
      <c r="D1183" s="143" t="s">
        <v>346</v>
      </c>
      <c r="E1183" s="150"/>
      <c r="F1183" s="151" t="s">
        <v>5864</v>
      </c>
      <c r="H1183" s="152">
        <v>13.28</v>
      </c>
      <c r="L1183" s="149"/>
      <c r="M1183" s="153"/>
      <c r="T1183" s="154"/>
      <c r="AT1183" s="150" t="s">
        <v>346</v>
      </c>
      <c r="AU1183" s="150" t="s">
        <v>90</v>
      </c>
      <c r="AV1183" s="148" t="s">
        <v>90</v>
      </c>
      <c r="AW1183" s="148" t="s">
        <v>33</v>
      </c>
      <c r="AX1183" s="148" t="s">
        <v>80</v>
      </c>
      <c r="AY1183" s="150" t="s">
        <v>337</v>
      </c>
    </row>
    <row r="1184" spans="2:65" s="148" customFormat="1" x14ac:dyDescent="0.2">
      <c r="B1184" s="149"/>
      <c r="D1184" s="143" t="s">
        <v>346</v>
      </c>
      <c r="E1184" s="150"/>
      <c r="F1184" s="151" t="s">
        <v>5865</v>
      </c>
      <c r="H1184" s="152">
        <v>3.59</v>
      </c>
      <c r="L1184" s="149"/>
      <c r="M1184" s="153"/>
      <c r="T1184" s="154"/>
      <c r="AT1184" s="150" t="s">
        <v>346</v>
      </c>
      <c r="AU1184" s="150" t="s">
        <v>90</v>
      </c>
      <c r="AV1184" s="148" t="s">
        <v>90</v>
      </c>
      <c r="AW1184" s="148" t="s">
        <v>33</v>
      </c>
      <c r="AX1184" s="148" t="s">
        <v>80</v>
      </c>
      <c r="AY1184" s="150" t="s">
        <v>337</v>
      </c>
    </row>
    <row r="1185" spans="2:51" s="148" customFormat="1" x14ac:dyDescent="0.2">
      <c r="B1185" s="149"/>
      <c r="D1185" s="143" t="s">
        <v>346</v>
      </c>
      <c r="E1185" s="150"/>
      <c r="F1185" s="151" t="s">
        <v>5866</v>
      </c>
      <c r="H1185" s="152">
        <v>13.28</v>
      </c>
      <c r="L1185" s="149"/>
      <c r="M1185" s="153"/>
      <c r="T1185" s="154"/>
      <c r="AT1185" s="150" t="s">
        <v>346</v>
      </c>
      <c r="AU1185" s="150" t="s">
        <v>90</v>
      </c>
      <c r="AV1185" s="148" t="s">
        <v>90</v>
      </c>
      <c r="AW1185" s="148" t="s">
        <v>33</v>
      </c>
      <c r="AX1185" s="148" t="s">
        <v>80</v>
      </c>
      <c r="AY1185" s="150" t="s">
        <v>337</v>
      </c>
    </row>
    <row r="1186" spans="2:51" s="148" customFormat="1" x14ac:dyDescent="0.2">
      <c r="B1186" s="149"/>
      <c r="D1186" s="143" t="s">
        <v>346</v>
      </c>
      <c r="E1186" s="150"/>
      <c r="F1186" s="151" t="s">
        <v>5867</v>
      </c>
      <c r="H1186" s="152">
        <v>3.59</v>
      </c>
      <c r="L1186" s="149"/>
      <c r="M1186" s="153"/>
      <c r="T1186" s="154"/>
      <c r="AT1186" s="150" t="s">
        <v>346</v>
      </c>
      <c r="AU1186" s="150" t="s">
        <v>90</v>
      </c>
      <c r="AV1186" s="148" t="s">
        <v>90</v>
      </c>
      <c r="AW1186" s="148" t="s">
        <v>33</v>
      </c>
      <c r="AX1186" s="148" t="s">
        <v>80</v>
      </c>
      <c r="AY1186" s="150" t="s">
        <v>337</v>
      </c>
    </row>
    <row r="1187" spans="2:51" s="148" customFormat="1" x14ac:dyDescent="0.2">
      <c r="B1187" s="149"/>
      <c r="D1187" s="143" t="s">
        <v>346</v>
      </c>
      <c r="E1187" s="150"/>
      <c r="F1187" s="151" t="s">
        <v>5868</v>
      </c>
      <c r="H1187" s="152">
        <v>13.28</v>
      </c>
      <c r="L1187" s="149"/>
      <c r="M1187" s="153"/>
      <c r="T1187" s="154"/>
      <c r="AT1187" s="150" t="s">
        <v>346</v>
      </c>
      <c r="AU1187" s="150" t="s">
        <v>90</v>
      </c>
      <c r="AV1187" s="148" t="s">
        <v>90</v>
      </c>
      <c r="AW1187" s="148" t="s">
        <v>33</v>
      </c>
      <c r="AX1187" s="148" t="s">
        <v>80</v>
      </c>
      <c r="AY1187" s="150" t="s">
        <v>337</v>
      </c>
    </row>
    <row r="1188" spans="2:51" s="148" customFormat="1" x14ac:dyDescent="0.2">
      <c r="B1188" s="149"/>
      <c r="D1188" s="143" t="s">
        <v>346</v>
      </c>
      <c r="E1188" s="150"/>
      <c r="F1188" s="151" t="s">
        <v>5869</v>
      </c>
      <c r="H1188" s="152">
        <v>3.59</v>
      </c>
      <c r="L1188" s="149"/>
      <c r="M1188" s="153"/>
      <c r="T1188" s="154"/>
      <c r="AT1188" s="150" t="s">
        <v>346</v>
      </c>
      <c r="AU1188" s="150" t="s">
        <v>90</v>
      </c>
      <c r="AV1188" s="148" t="s">
        <v>90</v>
      </c>
      <c r="AW1188" s="148" t="s">
        <v>33</v>
      </c>
      <c r="AX1188" s="148" t="s">
        <v>80</v>
      </c>
      <c r="AY1188" s="150" t="s">
        <v>337</v>
      </c>
    </row>
    <row r="1189" spans="2:51" s="148" customFormat="1" x14ac:dyDescent="0.2">
      <c r="B1189" s="149"/>
      <c r="D1189" s="143" t="s">
        <v>346</v>
      </c>
      <c r="E1189" s="150"/>
      <c r="F1189" s="151" t="s">
        <v>5870</v>
      </c>
      <c r="H1189" s="152">
        <v>13.28</v>
      </c>
      <c r="L1189" s="149"/>
      <c r="M1189" s="153"/>
      <c r="T1189" s="154"/>
      <c r="AT1189" s="150" t="s">
        <v>346</v>
      </c>
      <c r="AU1189" s="150" t="s">
        <v>90</v>
      </c>
      <c r="AV1189" s="148" t="s">
        <v>90</v>
      </c>
      <c r="AW1189" s="148" t="s">
        <v>33</v>
      </c>
      <c r="AX1189" s="148" t="s">
        <v>80</v>
      </c>
      <c r="AY1189" s="150" t="s">
        <v>337</v>
      </c>
    </row>
    <row r="1190" spans="2:51" s="148" customFormat="1" x14ac:dyDescent="0.2">
      <c r="B1190" s="149"/>
      <c r="D1190" s="143" t="s">
        <v>346</v>
      </c>
      <c r="E1190" s="150"/>
      <c r="F1190" s="151" t="s">
        <v>5871</v>
      </c>
      <c r="H1190" s="152">
        <v>3.67</v>
      </c>
      <c r="L1190" s="149"/>
      <c r="M1190" s="153"/>
      <c r="T1190" s="154"/>
      <c r="AT1190" s="150" t="s">
        <v>346</v>
      </c>
      <c r="AU1190" s="150" t="s">
        <v>90</v>
      </c>
      <c r="AV1190" s="148" t="s">
        <v>90</v>
      </c>
      <c r="AW1190" s="148" t="s">
        <v>33</v>
      </c>
      <c r="AX1190" s="148" t="s">
        <v>80</v>
      </c>
      <c r="AY1190" s="150" t="s">
        <v>337</v>
      </c>
    </row>
    <row r="1191" spans="2:51" s="148" customFormat="1" x14ac:dyDescent="0.2">
      <c r="B1191" s="149"/>
      <c r="D1191" s="143" t="s">
        <v>346</v>
      </c>
      <c r="E1191" s="150"/>
      <c r="F1191" s="151" t="s">
        <v>5872</v>
      </c>
      <c r="H1191" s="152">
        <v>13.28</v>
      </c>
      <c r="L1191" s="149"/>
      <c r="M1191" s="153"/>
      <c r="T1191" s="154"/>
      <c r="AT1191" s="150" t="s">
        <v>346</v>
      </c>
      <c r="AU1191" s="150" t="s">
        <v>90</v>
      </c>
      <c r="AV1191" s="148" t="s">
        <v>90</v>
      </c>
      <c r="AW1191" s="148" t="s">
        <v>33</v>
      </c>
      <c r="AX1191" s="148" t="s">
        <v>80</v>
      </c>
      <c r="AY1191" s="150" t="s">
        <v>337</v>
      </c>
    </row>
    <row r="1192" spans="2:51" s="148" customFormat="1" x14ac:dyDescent="0.2">
      <c r="B1192" s="149"/>
      <c r="D1192" s="143" t="s">
        <v>346</v>
      </c>
      <c r="E1192" s="150"/>
      <c r="F1192" s="151" t="s">
        <v>5873</v>
      </c>
      <c r="H1192" s="152">
        <v>4.1500000000000004</v>
      </c>
      <c r="L1192" s="149"/>
      <c r="M1192" s="153"/>
      <c r="T1192" s="154"/>
      <c r="AT1192" s="150" t="s">
        <v>346</v>
      </c>
      <c r="AU1192" s="150" t="s">
        <v>90</v>
      </c>
      <c r="AV1192" s="148" t="s">
        <v>90</v>
      </c>
      <c r="AW1192" s="148" t="s">
        <v>33</v>
      </c>
      <c r="AX1192" s="148" t="s">
        <v>80</v>
      </c>
      <c r="AY1192" s="150" t="s">
        <v>337</v>
      </c>
    </row>
    <row r="1193" spans="2:51" s="148" customFormat="1" x14ac:dyDescent="0.2">
      <c r="B1193" s="149"/>
      <c r="D1193" s="143" t="s">
        <v>346</v>
      </c>
      <c r="E1193" s="150"/>
      <c r="F1193" s="151" t="s">
        <v>5874</v>
      </c>
      <c r="H1193" s="152">
        <v>15.71</v>
      </c>
      <c r="L1193" s="149"/>
      <c r="M1193" s="153"/>
      <c r="T1193" s="154"/>
      <c r="AT1193" s="150" t="s">
        <v>346</v>
      </c>
      <c r="AU1193" s="150" t="s">
        <v>90</v>
      </c>
      <c r="AV1193" s="148" t="s">
        <v>90</v>
      </c>
      <c r="AW1193" s="148" t="s">
        <v>33</v>
      </c>
      <c r="AX1193" s="148" t="s">
        <v>80</v>
      </c>
      <c r="AY1193" s="150" t="s">
        <v>337</v>
      </c>
    </row>
    <row r="1194" spans="2:51" s="148" customFormat="1" x14ac:dyDescent="0.2">
      <c r="B1194" s="149"/>
      <c r="D1194" s="143" t="s">
        <v>346</v>
      </c>
      <c r="E1194" s="150"/>
      <c r="F1194" s="151" t="s">
        <v>5875</v>
      </c>
      <c r="H1194" s="152">
        <v>3.51</v>
      </c>
      <c r="L1194" s="149"/>
      <c r="M1194" s="153"/>
      <c r="T1194" s="154"/>
      <c r="AT1194" s="150" t="s">
        <v>346</v>
      </c>
      <c r="AU1194" s="150" t="s">
        <v>90</v>
      </c>
      <c r="AV1194" s="148" t="s">
        <v>90</v>
      </c>
      <c r="AW1194" s="148" t="s">
        <v>33</v>
      </c>
      <c r="AX1194" s="148" t="s">
        <v>80</v>
      </c>
      <c r="AY1194" s="150" t="s">
        <v>337</v>
      </c>
    </row>
    <row r="1195" spans="2:51" s="148" customFormat="1" x14ac:dyDescent="0.2">
      <c r="B1195" s="149"/>
      <c r="D1195" s="143" t="s">
        <v>346</v>
      </c>
      <c r="E1195" s="150"/>
      <c r="F1195" s="151" t="s">
        <v>5876</v>
      </c>
      <c r="H1195" s="152">
        <v>13.28</v>
      </c>
      <c r="L1195" s="149"/>
      <c r="M1195" s="153"/>
      <c r="T1195" s="154"/>
      <c r="AT1195" s="150" t="s">
        <v>346</v>
      </c>
      <c r="AU1195" s="150" t="s">
        <v>90</v>
      </c>
      <c r="AV1195" s="148" t="s">
        <v>90</v>
      </c>
      <c r="AW1195" s="148" t="s">
        <v>33</v>
      </c>
      <c r="AX1195" s="148" t="s">
        <v>80</v>
      </c>
      <c r="AY1195" s="150" t="s">
        <v>337</v>
      </c>
    </row>
    <row r="1196" spans="2:51" s="148" customFormat="1" x14ac:dyDescent="0.2">
      <c r="B1196" s="149"/>
      <c r="D1196" s="143" t="s">
        <v>346</v>
      </c>
      <c r="E1196" s="150"/>
      <c r="F1196" s="151" t="s">
        <v>5877</v>
      </c>
      <c r="H1196" s="152">
        <v>13.28</v>
      </c>
      <c r="L1196" s="149"/>
      <c r="M1196" s="153"/>
      <c r="T1196" s="154"/>
      <c r="AT1196" s="150" t="s">
        <v>346</v>
      </c>
      <c r="AU1196" s="150" t="s">
        <v>90</v>
      </c>
      <c r="AV1196" s="148" t="s">
        <v>90</v>
      </c>
      <c r="AW1196" s="148" t="s">
        <v>33</v>
      </c>
      <c r="AX1196" s="148" t="s">
        <v>80</v>
      </c>
      <c r="AY1196" s="150" t="s">
        <v>337</v>
      </c>
    </row>
    <row r="1197" spans="2:51" s="148" customFormat="1" x14ac:dyDescent="0.2">
      <c r="B1197" s="149"/>
      <c r="D1197" s="143" t="s">
        <v>346</v>
      </c>
      <c r="E1197" s="150"/>
      <c r="F1197" s="151" t="s">
        <v>5878</v>
      </c>
      <c r="H1197" s="152">
        <v>3.56</v>
      </c>
      <c r="L1197" s="149"/>
      <c r="M1197" s="153"/>
      <c r="T1197" s="154"/>
      <c r="AT1197" s="150" t="s">
        <v>346</v>
      </c>
      <c r="AU1197" s="150" t="s">
        <v>90</v>
      </c>
      <c r="AV1197" s="148" t="s">
        <v>90</v>
      </c>
      <c r="AW1197" s="148" t="s">
        <v>33</v>
      </c>
      <c r="AX1197" s="148" t="s">
        <v>80</v>
      </c>
      <c r="AY1197" s="150" t="s">
        <v>337</v>
      </c>
    </row>
    <row r="1198" spans="2:51" s="148" customFormat="1" x14ac:dyDescent="0.2">
      <c r="B1198" s="149"/>
      <c r="D1198" s="143" t="s">
        <v>346</v>
      </c>
      <c r="E1198" s="150"/>
      <c r="F1198" s="151" t="s">
        <v>5879</v>
      </c>
      <c r="H1198" s="152">
        <v>3.94</v>
      </c>
      <c r="L1198" s="149"/>
      <c r="M1198" s="153"/>
      <c r="T1198" s="154"/>
      <c r="AT1198" s="150" t="s">
        <v>346</v>
      </c>
      <c r="AU1198" s="150" t="s">
        <v>90</v>
      </c>
      <c r="AV1198" s="148" t="s">
        <v>90</v>
      </c>
      <c r="AW1198" s="148" t="s">
        <v>33</v>
      </c>
      <c r="AX1198" s="148" t="s">
        <v>80</v>
      </c>
      <c r="AY1198" s="150" t="s">
        <v>337</v>
      </c>
    </row>
    <row r="1199" spans="2:51" s="148" customFormat="1" x14ac:dyDescent="0.2">
      <c r="B1199" s="149"/>
      <c r="D1199" s="143" t="s">
        <v>346</v>
      </c>
      <c r="E1199" s="150"/>
      <c r="F1199" s="151" t="s">
        <v>5880</v>
      </c>
      <c r="H1199" s="152">
        <v>14.55</v>
      </c>
      <c r="L1199" s="149"/>
      <c r="M1199" s="153"/>
      <c r="T1199" s="154"/>
      <c r="AT1199" s="150" t="s">
        <v>346</v>
      </c>
      <c r="AU1199" s="150" t="s">
        <v>90</v>
      </c>
      <c r="AV1199" s="148" t="s">
        <v>90</v>
      </c>
      <c r="AW1199" s="148" t="s">
        <v>33</v>
      </c>
      <c r="AX1199" s="148" t="s">
        <v>80</v>
      </c>
      <c r="AY1199" s="150" t="s">
        <v>337</v>
      </c>
    </row>
    <row r="1200" spans="2:51" s="148" customFormat="1" x14ac:dyDescent="0.2">
      <c r="B1200" s="149"/>
      <c r="D1200" s="143" t="s">
        <v>346</v>
      </c>
      <c r="E1200" s="150"/>
      <c r="F1200" s="151" t="s">
        <v>5881</v>
      </c>
      <c r="H1200" s="152">
        <v>3.59</v>
      </c>
      <c r="L1200" s="149"/>
      <c r="M1200" s="153"/>
      <c r="T1200" s="154"/>
      <c r="AT1200" s="150" t="s">
        <v>346</v>
      </c>
      <c r="AU1200" s="150" t="s">
        <v>90</v>
      </c>
      <c r="AV1200" s="148" t="s">
        <v>90</v>
      </c>
      <c r="AW1200" s="148" t="s">
        <v>33</v>
      </c>
      <c r="AX1200" s="148" t="s">
        <v>80</v>
      </c>
      <c r="AY1200" s="150" t="s">
        <v>337</v>
      </c>
    </row>
    <row r="1201" spans="2:51" s="148" customFormat="1" x14ac:dyDescent="0.2">
      <c r="B1201" s="149"/>
      <c r="D1201" s="143" t="s">
        <v>346</v>
      </c>
      <c r="E1201" s="150"/>
      <c r="F1201" s="151" t="s">
        <v>5882</v>
      </c>
      <c r="H1201" s="152">
        <v>12.67</v>
      </c>
      <c r="L1201" s="149"/>
      <c r="M1201" s="153"/>
      <c r="T1201" s="154"/>
      <c r="AT1201" s="150" t="s">
        <v>346</v>
      </c>
      <c r="AU1201" s="150" t="s">
        <v>90</v>
      </c>
      <c r="AV1201" s="148" t="s">
        <v>90</v>
      </c>
      <c r="AW1201" s="148" t="s">
        <v>33</v>
      </c>
      <c r="AX1201" s="148" t="s">
        <v>80</v>
      </c>
      <c r="AY1201" s="150" t="s">
        <v>337</v>
      </c>
    </row>
    <row r="1202" spans="2:51" s="148" customFormat="1" x14ac:dyDescent="0.2">
      <c r="B1202" s="149"/>
      <c r="D1202" s="143" t="s">
        <v>346</v>
      </c>
      <c r="E1202" s="150"/>
      <c r="F1202" s="151" t="s">
        <v>5883</v>
      </c>
      <c r="H1202" s="152">
        <v>4.38</v>
      </c>
      <c r="L1202" s="149"/>
      <c r="M1202" s="153"/>
      <c r="T1202" s="154"/>
      <c r="AT1202" s="150" t="s">
        <v>346</v>
      </c>
      <c r="AU1202" s="150" t="s">
        <v>90</v>
      </c>
      <c r="AV1202" s="148" t="s">
        <v>90</v>
      </c>
      <c r="AW1202" s="148" t="s">
        <v>33</v>
      </c>
      <c r="AX1202" s="148" t="s">
        <v>80</v>
      </c>
      <c r="AY1202" s="150" t="s">
        <v>337</v>
      </c>
    </row>
    <row r="1203" spans="2:51" s="148" customFormat="1" x14ac:dyDescent="0.2">
      <c r="B1203" s="149"/>
      <c r="D1203" s="143" t="s">
        <v>346</v>
      </c>
      <c r="E1203" s="150"/>
      <c r="F1203" s="151" t="s">
        <v>5884</v>
      </c>
      <c r="H1203" s="152">
        <v>14.3</v>
      </c>
      <c r="L1203" s="149"/>
      <c r="M1203" s="153"/>
      <c r="T1203" s="154"/>
      <c r="AT1203" s="150" t="s">
        <v>346</v>
      </c>
      <c r="AU1203" s="150" t="s">
        <v>90</v>
      </c>
      <c r="AV1203" s="148" t="s">
        <v>90</v>
      </c>
      <c r="AW1203" s="148" t="s">
        <v>33</v>
      </c>
      <c r="AX1203" s="148" t="s">
        <v>80</v>
      </c>
      <c r="AY1203" s="150" t="s">
        <v>337</v>
      </c>
    </row>
    <row r="1204" spans="2:51" s="148" customFormat="1" x14ac:dyDescent="0.2">
      <c r="B1204" s="149"/>
      <c r="D1204" s="143" t="s">
        <v>346</v>
      </c>
      <c r="E1204" s="150"/>
      <c r="F1204" s="151" t="s">
        <v>5885</v>
      </c>
      <c r="H1204" s="152">
        <v>96.48</v>
      </c>
      <c r="L1204" s="149"/>
      <c r="M1204" s="153"/>
      <c r="T1204" s="154"/>
      <c r="AT1204" s="150" t="s">
        <v>346</v>
      </c>
      <c r="AU1204" s="150" t="s">
        <v>90</v>
      </c>
      <c r="AV1204" s="148" t="s">
        <v>90</v>
      </c>
      <c r="AW1204" s="148" t="s">
        <v>33</v>
      </c>
      <c r="AX1204" s="148" t="s">
        <v>80</v>
      </c>
      <c r="AY1204" s="150" t="s">
        <v>337</v>
      </c>
    </row>
    <row r="1205" spans="2:51" s="148" customFormat="1" x14ac:dyDescent="0.2">
      <c r="B1205" s="149"/>
      <c r="D1205" s="143" t="s">
        <v>346</v>
      </c>
      <c r="E1205" s="150"/>
      <c r="F1205" s="151" t="s">
        <v>5886</v>
      </c>
      <c r="H1205" s="152">
        <v>11.83</v>
      </c>
      <c r="L1205" s="149"/>
      <c r="M1205" s="153"/>
      <c r="T1205" s="154"/>
      <c r="AT1205" s="150" t="s">
        <v>346</v>
      </c>
      <c r="AU1205" s="150" t="s">
        <v>90</v>
      </c>
      <c r="AV1205" s="148" t="s">
        <v>90</v>
      </c>
      <c r="AW1205" s="148" t="s">
        <v>33</v>
      </c>
      <c r="AX1205" s="148" t="s">
        <v>80</v>
      </c>
      <c r="AY1205" s="150" t="s">
        <v>337</v>
      </c>
    </row>
    <row r="1206" spans="2:51" s="148" customFormat="1" x14ac:dyDescent="0.2">
      <c r="B1206" s="149"/>
      <c r="D1206" s="143" t="s">
        <v>346</v>
      </c>
      <c r="E1206" s="150"/>
      <c r="F1206" s="151" t="s">
        <v>5887</v>
      </c>
      <c r="H1206" s="152">
        <v>86.76</v>
      </c>
      <c r="L1206" s="149"/>
      <c r="M1206" s="153"/>
      <c r="T1206" s="154"/>
      <c r="AT1206" s="150" t="s">
        <v>346</v>
      </c>
      <c r="AU1206" s="150" t="s">
        <v>90</v>
      </c>
      <c r="AV1206" s="148" t="s">
        <v>90</v>
      </c>
      <c r="AW1206" s="148" t="s">
        <v>33</v>
      </c>
      <c r="AX1206" s="148" t="s">
        <v>80</v>
      </c>
      <c r="AY1206" s="150" t="s">
        <v>337</v>
      </c>
    </row>
    <row r="1207" spans="2:51" s="148" customFormat="1" x14ac:dyDescent="0.2">
      <c r="B1207" s="149"/>
      <c r="D1207" s="143" t="s">
        <v>346</v>
      </c>
      <c r="E1207" s="150"/>
      <c r="F1207" s="151" t="s">
        <v>5888</v>
      </c>
      <c r="H1207" s="152">
        <v>13.47</v>
      </c>
      <c r="L1207" s="149"/>
      <c r="M1207" s="153"/>
      <c r="T1207" s="154"/>
      <c r="AT1207" s="150" t="s">
        <v>346</v>
      </c>
      <c r="AU1207" s="150" t="s">
        <v>90</v>
      </c>
      <c r="AV1207" s="148" t="s">
        <v>90</v>
      </c>
      <c r="AW1207" s="148" t="s">
        <v>33</v>
      </c>
      <c r="AX1207" s="148" t="s">
        <v>80</v>
      </c>
      <c r="AY1207" s="150" t="s">
        <v>337</v>
      </c>
    </row>
    <row r="1208" spans="2:51" s="148" customFormat="1" x14ac:dyDescent="0.2">
      <c r="B1208" s="149"/>
      <c r="D1208" s="143" t="s">
        <v>346</v>
      </c>
      <c r="E1208" s="150"/>
      <c r="F1208" s="151" t="s">
        <v>5889</v>
      </c>
      <c r="H1208" s="152">
        <v>3.61</v>
      </c>
      <c r="L1208" s="149"/>
      <c r="M1208" s="153"/>
      <c r="T1208" s="154"/>
      <c r="AT1208" s="150" t="s">
        <v>346</v>
      </c>
      <c r="AU1208" s="150" t="s">
        <v>90</v>
      </c>
      <c r="AV1208" s="148" t="s">
        <v>90</v>
      </c>
      <c r="AW1208" s="148" t="s">
        <v>33</v>
      </c>
      <c r="AX1208" s="148" t="s">
        <v>80</v>
      </c>
      <c r="AY1208" s="150" t="s">
        <v>337</v>
      </c>
    </row>
    <row r="1209" spans="2:51" s="148" customFormat="1" x14ac:dyDescent="0.2">
      <c r="B1209" s="149"/>
      <c r="D1209" s="143" t="s">
        <v>346</v>
      </c>
      <c r="E1209" s="150"/>
      <c r="F1209" s="151" t="s">
        <v>5890</v>
      </c>
      <c r="H1209" s="152">
        <v>13.28</v>
      </c>
      <c r="L1209" s="149"/>
      <c r="M1209" s="153"/>
      <c r="T1209" s="154"/>
      <c r="AT1209" s="150" t="s">
        <v>346</v>
      </c>
      <c r="AU1209" s="150" t="s">
        <v>90</v>
      </c>
      <c r="AV1209" s="148" t="s">
        <v>90</v>
      </c>
      <c r="AW1209" s="148" t="s">
        <v>33</v>
      </c>
      <c r="AX1209" s="148" t="s">
        <v>80</v>
      </c>
      <c r="AY1209" s="150" t="s">
        <v>337</v>
      </c>
    </row>
    <row r="1210" spans="2:51" s="148" customFormat="1" x14ac:dyDescent="0.2">
      <c r="B1210" s="149"/>
      <c r="D1210" s="143" t="s">
        <v>346</v>
      </c>
      <c r="E1210" s="150"/>
      <c r="F1210" s="151" t="s">
        <v>5891</v>
      </c>
      <c r="H1210" s="152">
        <v>3.59</v>
      </c>
      <c r="L1210" s="149"/>
      <c r="M1210" s="153"/>
      <c r="T1210" s="154"/>
      <c r="AT1210" s="150" t="s">
        <v>346</v>
      </c>
      <c r="AU1210" s="150" t="s">
        <v>90</v>
      </c>
      <c r="AV1210" s="148" t="s">
        <v>90</v>
      </c>
      <c r="AW1210" s="148" t="s">
        <v>33</v>
      </c>
      <c r="AX1210" s="148" t="s">
        <v>80</v>
      </c>
      <c r="AY1210" s="150" t="s">
        <v>337</v>
      </c>
    </row>
    <row r="1211" spans="2:51" s="148" customFormat="1" x14ac:dyDescent="0.2">
      <c r="B1211" s="149"/>
      <c r="D1211" s="143" t="s">
        <v>346</v>
      </c>
      <c r="E1211" s="150"/>
      <c r="F1211" s="151" t="s">
        <v>5892</v>
      </c>
      <c r="H1211" s="152">
        <v>13.28</v>
      </c>
      <c r="L1211" s="149"/>
      <c r="M1211" s="153"/>
      <c r="T1211" s="154"/>
      <c r="AT1211" s="150" t="s">
        <v>346</v>
      </c>
      <c r="AU1211" s="150" t="s">
        <v>90</v>
      </c>
      <c r="AV1211" s="148" t="s">
        <v>90</v>
      </c>
      <c r="AW1211" s="148" t="s">
        <v>33</v>
      </c>
      <c r="AX1211" s="148" t="s">
        <v>80</v>
      </c>
      <c r="AY1211" s="150" t="s">
        <v>337</v>
      </c>
    </row>
    <row r="1212" spans="2:51" s="148" customFormat="1" x14ac:dyDescent="0.2">
      <c r="B1212" s="149"/>
      <c r="D1212" s="143" t="s">
        <v>346</v>
      </c>
      <c r="E1212" s="150"/>
      <c r="F1212" s="151" t="s">
        <v>5893</v>
      </c>
      <c r="H1212" s="152">
        <v>3.59</v>
      </c>
      <c r="L1212" s="149"/>
      <c r="M1212" s="153"/>
      <c r="T1212" s="154"/>
      <c r="AT1212" s="150" t="s">
        <v>346</v>
      </c>
      <c r="AU1212" s="150" t="s">
        <v>90</v>
      </c>
      <c r="AV1212" s="148" t="s">
        <v>90</v>
      </c>
      <c r="AW1212" s="148" t="s">
        <v>33</v>
      </c>
      <c r="AX1212" s="148" t="s">
        <v>80</v>
      </c>
      <c r="AY1212" s="150" t="s">
        <v>337</v>
      </c>
    </row>
    <row r="1213" spans="2:51" s="148" customFormat="1" x14ac:dyDescent="0.2">
      <c r="B1213" s="149"/>
      <c r="D1213" s="143" t="s">
        <v>346</v>
      </c>
      <c r="E1213" s="150"/>
      <c r="F1213" s="151" t="s">
        <v>5894</v>
      </c>
      <c r="H1213" s="152">
        <v>13.28</v>
      </c>
      <c r="L1213" s="149"/>
      <c r="M1213" s="153"/>
      <c r="T1213" s="154"/>
      <c r="AT1213" s="150" t="s">
        <v>346</v>
      </c>
      <c r="AU1213" s="150" t="s">
        <v>90</v>
      </c>
      <c r="AV1213" s="148" t="s">
        <v>90</v>
      </c>
      <c r="AW1213" s="148" t="s">
        <v>33</v>
      </c>
      <c r="AX1213" s="148" t="s">
        <v>80</v>
      </c>
      <c r="AY1213" s="150" t="s">
        <v>337</v>
      </c>
    </row>
    <row r="1214" spans="2:51" s="148" customFormat="1" x14ac:dyDescent="0.2">
      <c r="B1214" s="149"/>
      <c r="D1214" s="143" t="s">
        <v>346</v>
      </c>
      <c r="E1214" s="150"/>
      <c r="F1214" s="151" t="s">
        <v>5895</v>
      </c>
      <c r="H1214" s="152">
        <v>3.59</v>
      </c>
      <c r="L1214" s="149"/>
      <c r="M1214" s="153"/>
      <c r="T1214" s="154"/>
      <c r="AT1214" s="150" t="s">
        <v>346</v>
      </c>
      <c r="AU1214" s="150" t="s">
        <v>90</v>
      </c>
      <c r="AV1214" s="148" t="s">
        <v>90</v>
      </c>
      <c r="AW1214" s="148" t="s">
        <v>33</v>
      </c>
      <c r="AX1214" s="148" t="s">
        <v>80</v>
      </c>
      <c r="AY1214" s="150" t="s">
        <v>337</v>
      </c>
    </row>
    <row r="1215" spans="2:51" s="148" customFormat="1" x14ac:dyDescent="0.2">
      <c r="B1215" s="149"/>
      <c r="D1215" s="143" t="s">
        <v>346</v>
      </c>
      <c r="E1215" s="150"/>
      <c r="F1215" s="151" t="s">
        <v>5896</v>
      </c>
      <c r="H1215" s="152">
        <v>13.28</v>
      </c>
      <c r="L1215" s="149"/>
      <c r="M1215" s="153"/>
      <c r="T1215" s="154"/>
      <c r="AT1215" s="150" t="s">
        <v>346</v>
      </c>
      <c r="AU1215" s="150" t="s">
        <v>90</v>
      </c>
      <c r="AV1215" s="148" t="s">
        <v>90</v>
      </c>
      <c r="AW1215" s="148" t="s">
        <v>33</v>
      </c>
      <c r="AX1215" s="148" t="s">
        <v>80</v>
      </c>
      <c r="AY1215" s="150" t="s">
        <v>337</v>
      </c>
    </row>
    <row r="1216" spans="2:51" s="148" customFormat="1" x14ac:dyDescent="0.2">
      <c r="B1216" s="149"/>
      <c r="D1216" s="143" t="s">
        <v>346</v>
      </c>
      <c r="E1216" s="150"/>
      <c r="F1216" s="151" t="s">
        <v>5897</v>
      </c>
      <c r="H1216" s="152">
        <v>3.59</v>
      </c>
      <c r="L1216" s="149"/>
      <c r="M1216" s="153"/>
      <c r="T1216" s="154"/>
      <c r="AT1216" s="150" t="s">
        <v>346</v>
      </c>
      <c r="AU1216" s="150" t="s">
        <v>90</v>
      </c>
      <c r="AV1216" s="148" t="s">
        <v>90</v>
      </c>
      <c r="AW1216" s="148" t="s">
        <v>33</v>
      </c>
      <c r="AX1216" s="148" t="s">
        <v>80</v>
      </c>
      <c r="AY1216" s="150" t="s">
        <v>337</v>
      </c>
    </row>
    <row r="1217" spans="2:51" s="148" customFormat="1" x14ac:dyDescent="0.2">
      <c r="B1217" s="149"/>
      <c r="D1217" s="143" t="s">
        <v>346</v>
      </c>
      <c r="E1217" s="150"/>
      <c r="F1217" s="151" t="s">
        <v>5898</v>
      </c>
      <c r="H1217" s="152">
        <v>13.28</v>
      </c>
      <c r="L1217" s="149"/>
      <c r="M1217" s="153"/>
      <c r="T1217" s="154"/>
      <c r="AT1217" s="150" t="s">
        <v>346</v>
      </c>
      <c r="AU1217" s="150" t="s">
        <v>90</v>
      </c>
      <c r="AV1217" s="148" t="s">
        <v>90</v>
      </c>
      <c r="AW1217" s="148" t="s">
        <v>33</v>
      </c>
      <c r="AX1217" s="148" t="s">
        <v>80</v>
      </c>
      <c r="AY1217" s="150" t="s">
        <v>337</v>
      </c>
    </row>
    <row r="1218" spans="2:51" s="148" customFormat="1" x14ac:dyDescent="0.2">
      <c r="B1218" s="149"/>
      <c r="D1218" s="143" t="s">
        <v>346</v>
      </c>
      <c r="E1218" s="150"/>
      <c r="F1218" s="151" t="s">
        <v>5899</v>
      </c>
      <c r="H1218" s="152">
        <v>3.59</v>
      </c>
      <c r="L1218" s="149"/>
      <c r="M1218" s="153"/>
      <c r="T1218" s="154"/>
      <c r="AT1218" s="150" t="s">
        <v>346</v>
      </c>
      <c r="AU1218" s="150" t="s">
        <v>90</v>
      </c>
      <c r="AV1218" s="148" t="s">
        <v>90</v>
      </c>
      <c r="AW1218" s="148" t="s">
        <v>33</v>
      </c>
      <c r="AX1218" s="148" t="s">
        <v>80</v>
      </c>
      <c r="AY1218" s="150" t="s">
        <v>337</v>
      </c>
    </row>
    <row r="1219" spans="2:51" s="148" customFormat="1" x14ac:dyDescent="0.2">
      <c r="B1219" s="149"/>
      <c r="D1219" s="143" t="s">
        <v>346</v>
      </c>
      <c r="E1219" s="150"/>
      <c r="F1219" s="151" t="s">
        <v>5900</v>
      </c>
      <c r="H1219" s="152">
        <v>13.28</v>
      </c>
      <c r="L1219" s="149"/>
      <c r="M1219" s="153"/>
      <c r="T1219" s="154"/>
      <c r="AT1219" s="150" t="s">
        <v>346</v>
      </c>
      <c r="AU1219" s="150" t="s">
        <v>90</v>
      </c>
      <c r="AV1219" s="148" t="s">
        <v>90</v>
      </c>
      <c r="AW1219" s="148" t="s">
        <v>33</v>
      </c>
      <c r="AX1219" s="148" t="s">
        <v>80</v>
      </c>
      <c r="AY1219" s="150" t="s">
        <v>337</v>
      </c>
    </row>
    <row r="1220" spans="2:51" s="148" customFormat="1" x14ac:dyDescent="0.2">
      <c r="B1220" s="149"/>
      <c r="D1220" s="143" t="s">
        <v>346</v>
      </c>
      <c r="E1220" s="150"/>
      <c r="F1220" s="151" t="s">
        <v>5901</v>
      </c>
      <c r="H1220" s="152">
        <v>3.59</v>
      </c>
      <c r="L1220" s="149"/>
      <c r="M1220" s="153"/>
      <c r="T1220" s="154"/>
      <c r="AT1220" s="150" t="s">
        <v>346</v>
      </c>
      <c r="AU1220" s="150" t="s">
        <v>90</v>
      </c>
      <c r="AV1220" s="148" t="s">
        <v>90</v>
      </c>
      <c r="AW1220" s="148" t="s">
        <v>33</v>
      </c>
      <c r="AX1220" s="148" t="s">
        <v>80</v>
      </c>
      <c r="AY1220" s="150" t="s">
        <v>337</v>
      </c>
    </row>
    <row r="1221" spans="2:51" s="148" customFormat="1" x14ac:dyDescent="0.2">
      <c r="B1221" s="149"/>
      <c r="D1221" s="143" t="s">
        <v>346</v>
      </c>
      <c r="E1221" s="150"/>
      <c r="F1221" s="151" t="s">
        <v>5902</v>
      </c>
      <c r="H1221" s="152">
        <v>13.28</v>
      </c>
      <c r="L1221" s="149"/>
      <c r="M1221" s="153"/>
      <c r="T1221" s="154"/>
      <c r="AT1221" s="150" t="s">
        <v>346</v>
      </c>
      <c r="AU1221" s="150" t="s">
        <v>90</v>
      </c>
      <c r="AV1221" s="148" t="s">
        <v>90</v>
      </c>
      <c r="AW1221" s="148" t="s">
        <v>33</v>
      </c>
      <c r="AX1221" s="148" t="s">
        <v>80</v>
      </c>
      <c r="AY1221" s="150" t="s">
        <v>337</v>
      </c>
    </row>
    <row r="1222" spans="2:51" s="148" customFormat="1" x14ac:dyDescent="0.2">
      <c r="B1222" s="149"/>
      <c r="D1222" s="143" t="s">
        <v>346</v>
      </c>
      <c r="E1222" s="150"/>
      <c r="F1222" s="151" t="s">
        <v>5903</v>
      </c>
      <c r="H1222" s="152">
        <v>3.59</v>
      </c>
      <c r="L1222" s="149"/>
      <c r="M1222" s="153"/>
      <c r="T1222" s="154"/>
      <c r="AT1222" s="150" t="s">
        <v>346</v>
      </c>
      <c r="AU1222" s="150" t="s">
        <v>90</v>
      </c>
      <c r="AV1222" s="148" t="s">
        <v>90</v>
      </c>
      <c r="AW1222" s="148" t="s">
        <v>33</v>
      </c>
      <c r="AX1222" s="148" t="s">
        <v>80</v>
      </c>
      <c r="AY1222" s="150" t="s">
        <v>337</v>
      </c>
    </row>
    <row r="1223" spans="2:51" s="148" customFormat="1" x14ac:dyDescent="0.2">
      <c r="B1223" s="149"/>
      <c r="D1223" s="143" t="s">
        <v>346</v>
      </c>
      <c r="E1223" s="150"/>
      <c r="F1223" s="151" t="s">
        <v>5904</v>
      </c>
      <c r="H1223" s="152">
        <v>13.28</v>
      </c>
      <c r="L1223" s="149"/>
      <c r="M1223" s="153"/>
      <c r="T1223" s="154"/>
      <c r="AT1223" s="150" t="s">
        <v>346</v>
      </c>
      <c r="AU1223" s="150" t="s">
        <v>90</v>
      </c>
      <c r="AV1223" s="148" t="s">
        <v>90</v>
      </c>
      <c r="AW1223" s="148" t="s">
        <v>33</v>
      </c>
      <c r="AX1223" s="148" t="s">
        <v>80</v>
      </c>
      <c r="AY1223" s="150" t="s">
        <v>337</v>
      </c>
    </row>
    <row r="1224" spans="2:51" s="148" customFormat="1" x14ac:dyDescent="0.2">
      <c r="B1224" s="149"/>
      <c r="D1224" s="143" t="s">
        <v>346</v>
      </c>
      <c r="E1224" s="150"/>
      <c r="F1224" s="151" t="s">
        <v>5905</v>
      </c>
      <c r="H1224" s="152">
        <v>3.67</v>
      </c>
      <c r="L1224" s="149"/>
      <c r="M1224" s="153"/>
      <c r="T1224" s="154"/>
      <c r="AT1224" s="150" t="s">
        <v>346</v>
      </c>
      <c r="AU1224" s="150" t="s">
        <v>90</v>
      </c>
      <c r="AV1224" s="148" t="s">
        <v>90</v>
      </c>
      <c r="AW1224" s="148" t="s">
        <v>33</v>
      </c>
      <c r="AX1224" s="148" t="s">
        <v>80</v>
      </c>
      <c r="AY1224" s="150" t="s">
        <v>337</v>
      </c>
    </row>
    <row r="1225" spans="2:51" s="148" customFormat="1" x14ac:dyDescent="0.2">
      <c r="B1225" s="149"/>
      <c r="D1225" s="143" t="s">
        <v>346</v>
      </c>
      <c r="E1225" s="150"/>
      <c r="F1225" s="151" t="s">
        <v>5906</v>
      </c>
      <c r="H1225" s="152">
        <v>13.28</v>
      </c>
      <c r="L1225" s="149"/>
      <c r="M1225" s="153"/>
      <c r="T1225" s="154"/>
      <c r="AT1225" s="150" t="s">
        <v>346</v>
      </c>
      <c r="AU1225" s="150" t="s">
        <v>90</v>
      </c>
      <c r="AV1225" s="148" t="s">
        <v>90</v>
      </c>
      <c r="AW1225" s="148" t="s">
        <v>33</v>
      </c>
      <c r="AX1225" s="148" t="s">
        <v>80</v>
      </c>
      <c r="AY1225" s="150" t="s">
        <v>337</v>
      </c>
    </row>
    <row r="1226" spans="2:51" s="148" customFormat="1" x14ac:dyDescent="0.2">
      <c r="B1226" s="149"/>
      <c r="D1226" s="143" t="s">
        <v>346</v>
      </c>
      <c r="E1226" s="150"/>
      <c r="F1226" s="151" t="s">
        <v>5907</v>
      </c>
      <c r="H1226" s="152">
        <v>4.1500000000000004</v>
      </c>
      <c r="L1226" s="149"/>
      <c r="M1226" s="153"/>
      <c r="T1226" s="154"/>
      <c r="AT1226" s="150" t="s">
        <v>346</v>
      </c>
      <c r="AU1226" s="150" t="s">
        <v>90</v>
      </c>
      <c r="AV1226" s="148" t="s">
        <v>90</v>
      </c>
      <c r="AW1226" s="148" t="s">
        <v>33</v>
      </c>
      <c r="AX1226" s="148" t="s">
        <v>80</v>
      </c>
      <c r="AY1226" s="150" t="s">
        <v>337</v>
      </c>
    </row>
    <row r="1227" spans="2:51" s="148" customFormat="1" x14ac:dyDescent="0.2">
      <c r="B1227" s="149"/>
      <c r="D1227" s="143" t="s">
        <v>346</v>
      </c>
      <c r="E1227" s="150"/>
      <c r="F1227" s="151" t="s">
        <v>5908</v>
      </c>
      <c r="H1227" s="152">
        <v>15.71</v>
      </c>
      <c r="L1227" s="149"/>
      <c r="M1227" s="153"/>
      <c r="T1227" s="154"/>
      <c r="AT1227" s="150" t="s">
        <v>346</v>
      </c>
      <c r="AU1227" s="150" t="s">
        <v>90</v>
      </c>
      <c r="AV1227" s="148" t="s">
        <v>90</v>
      </c>
      <c r="AW1227" s="148" t="s">
        <v>33</v>
      </c>
      <c r="AX1227" s="148" t="s">
        <v>80</v>
      </c>
      <c r="AY1227" s="150" t="s">
        <v>337</v>
      </c>
    </row>
    <row r="1228" spans="2:51" s="148" customFormat="1" x14ac:dyDescent="0.2">
      <c r="B1228" s="149"/>
      <c r="D1228" s="143" t="s">
        <v>346</v>
      </c>
      <c r="E1228" s="150"/>
      <c r="F1228" s="151" t="s">
        <v>5909</v>
      </c>
      <c r="H1228" s="152">
        <v>3.51</v>
      </c>
      <c r="L1228" s="149"/>
      <c r="M1228" s="153"/>
      <c r="T1228" s="154"/>
      <c r="AT1228" s="150" t="s">
        <v>346</v>
      </c>
      <c r="AU1228" s="150" t="s">
        <v>90</v>
      </c>
      <c r="AV1228" s="148" t="s">
        <v>90</v>
      </c>
      <c r="AW1228" s="148" t="s">
        <v>33</v>
      </c>
      <c r="AX1228" s="148" t="s">
        <v>80</v>
      </c>
      <c r="AY1228" s="150" t="s">
        <v>337</v>
      </c>
    </row>
    <row r="1229" spans="2:51" s="148" customFormat="1" x14ac:dyDescent="0.2">
      <c r="B1229" s="149"/>
      <c r="D1229" s="143" t="s">
        <v>346</v>
      </c>
      <c r="E1229" s="150"/>
      <c r="F1229" s="151" t="s">
        <v>5910</v>
      </c>
      <c r="H1229" s="152">
        <v>13.28</v>
      </c>
      <c r="L1229" s="149"/>
      <c r="M1229" s="153"/>
      <c r="T1229" s="154"/>
      <c r="AT1229" s="150" t="s">
        <v>346</v>
      </c>
      <c r="AU1229" s="150" t="s">
        <v>90</v>
      </c>
      <c r="AV1229" s="148" t="s">
        <v>90</v>
      </c>
      <c r="AW1229" s="148" t="s">
        <v>33</v>
      </c>
      <c r="AX1229" s="148" t="s">
        <v>80</v>
      </c>
      <c r="AY1229" s="150" t="s">
        <v>337</v>
      </c>
    </row>
    <row r="1230" spans="2:51" s="148" customFormat="1" x14ac:dyDescent="0.2">
      <c r="B1230" s="149"/>
      <c r="D1230" s="143" t="s">
        <v>346</v>
      </c>
      <c r="E1230" s="150"/>
      <c r="F1230" s="151" t="s">
        <v>5911</v>
      </c>
      <c r="H1230" s="152">
        <v>13.28</v>
      </c>
      <c r="L1230" s="149"/>
      <c r="M1230" s="153"/>
      <c r="T1230" s="154"/>
      <c r="AT1230" s="150" t="s">
        <v>346</v>
      </c>
      <c r="AU1230" s="150" t="s">
        <v>90</v>
      </c>
      <c r="AV1230" s="148" t="s">
        <v>90</v>
      </c>
      <c r="AW1230" s="148" t="s">
        <v>33</v>
      </c>
      <c r="AX1230" s="148" t="s">
        <v>80</v>
      </c>
      <c r="AY1230" s="150" t="s">
        <v>337</v>
      </c>
    </row>
    <row r="1231" spans="2:51" s="148" customFormat="1" x14ac:dyDescent="0.2">
      <c r="B1231" s="149"/>
      <c r="D1231" s="143" t="s">
        <v>346</v>
      </c>
      <c r="E1231" s="150"/>
      <c r="F1231" s="151" t="s">
        <v>5912</v>
      </c>
      <c r="H1231" s="152">
        <v>3.56</v>
      </c>
      <c r="L1231" s="149"/>
      <c r="M1231" s="153"/>
      <c r="T1231" s="154"/>
      <c r="AT1231" s="150" t="s">
        <v>346</v>
      </c>
      <c r="AU1231" s="150" t="s">
        <v>90</v>
      </c>
      <c r="AV1231" s="148" t="s">
        <v>90</v>
      </c>
      <c r="AW1231" s="148" t="s">
        <v>33</v>
      </c>
      <c r="AX1231" s="148" t="s">
        <v>80</v>
      </c>
      <c r="AY1231" s="150" t="s">
        <v>337</v>
      </c>
    </row>
    <row r="1232" spans="2:51" s="148" customFormat="1" x14ac:dyDescent="0.2">
      <c r="B1232" s="149"/>
      <c r="D1232" s="143" t="s">
        <v>346</v>
      </c>
      <c r="E1232" s="150"/>
      <c r="F1232" s="151" t="s">
        <v>5913</v>
      </c>
      <c r="H1232" s="152">
        <v>3.94</v>
      </c>
      <c r="L1232" s="149"/>
      <c r="M1232" s="153"/>
      <c r="T1232" s="154"/>
      <c r="AT1232" s="150" t="s">
        <v>346</v>
      </c>
      <c r="AU1232" s="150" t="s">
        <v>90</v>
      </c>
      <c r="AV1232" s="148" t="s">
        <v>90</v>
      </c>
      <c r="AW1232" s="148" t="s">
        <v>33</v>
      </c>
      <c r="AX1232" s="148" t="s">
        <v>80</v>
      </c>
      <c r="AY1232" s="150" t="s">
        <v>337</v>
      </c>
    </row>
    <row r="1233" spans="2:51" s="148" customFormat="1" x14ac:dyDescent="0.2">
      <c r="B1233" s="149"/>
      <c r="D1233" s="143" t="s">
        <v>346</v>
      </c>
      <c r="E1233" s="150"/>
      <c r="F1233" s="151" t="s">
        <v>5914</v>
      </c>
      <c r="H1233" s="152">
        <v>14.55</v>
      </c>
      <c r="L1233" s="149"/>
      <c r="M1233" s="153"/>
      <c r="T1233" s="154"/>
      <c r="AT1233" s="150" t="s">
        <v>346</v>
      </c>
      <c r="AU1233" s="150" t="s">
        <v>90</v>
      </c>
      <c r="AV1233" s="148" t="s">
        <v>90</v>
      </c>
      <c r="AW1233" s="148" t="s">
        <v>33</v>
      </c>
      <c r="AX1233" s="148" t="s">
        <v>80</v>
      </c>
      <c r="AY1233" s="150" t="s">
        <v>337</v>
      </c>
    </row>
    <row r="1234" spans="2:51" s="148" customFormat="1" x14ac:dyDescent="0.2">
      <c r="B1234" s="149"/>
      <c r="D1234" s="143" t="s">
        <v>346</v>
      </c>
      <c r="E1234" s="150"/>
      <c r="F1234" s="151" t="s">
        <v>5915</v>
      </c>
      <c r="H1234" s="152">
        <v>3.59</v>
      </c>
      <c r="L1234" s="149"/>
      <c r="M1234" s="153"/>
      <c r="T1234" s="154"/>
      <c r="AT1234" s="150" t="s">
        <v>346</v>
      </c>
      <c r="AU1234" s="150" t="s">
        <v>90</v>
      </c>
      <c r="AV1234" s="148" t="s">
        <v>90</v>
      </c>
      <c r="AW1234" s="148" t="s">
        <v>33</v>
      </c>
      <c r="AX1234" s="148" t="s">
        <v>80</v>
      </c>
      <c r="AY1234" s="150" t="s">
        <v>337</v>
      </c>
    </row>
    <row r="1235" spans="2:51" s="148" customFormat="1" x14ac:dyDescent="0.2">
      <c r="B1235" s="149"/>
      <c r="D1235" s="143" t="s">
        <v>346</v>
      </c>
      <c r="E1235" s="150"/>
      <c r="F1235" s="151" t="s">
        <v>5916</v>
      </c>
      <c r="H1235" s="152">
        <v>12.67</v>
      </c>
      <c r="L1235" s="149"/>
      <c r="M1235" s="153"/>
      <c r="T1235" s="154"/>
      <c r="AT1235" s="150" t="s">
        <v>346</v>
      </c>
      <c r="AU1235" s="150" t="s">
        <v>90</v>
      </c>
      <c r="AV1235" s="148" t="s">
        <v>90</v>
      </c>
      <c r="AW1235" s="148" t="s">
        <v>33</v>
      </c>
      <c r="AX1235" s="148" t="s">
        <v>80</v>
      </c>
      <c r="AY1235" s="150" t="s">
        <v>337</v>
      </c>
    </row>
    <row r="1236" spans="2:51" s="148" customFormat="1" x14ac:dyDescent="0.2">
      <c r="B1236" s="149"/>
      <c r="D1236" s="143" t="s">
        <v>346</v>
      </c>
      <c r="E1236" s="150"/>
      <c r="F1236" s="151" t="s">
        <v>5917</v>
      </c>
      <c r="H1236" s="152">
        <v>4.38</v>
      </c>
      <c r="L1236" s="149"/>
      <c r="M1236" s="153"/>
      <c r="T1236" s="154"/>
      <c r="AT1236" s="150" t="s">
        <v>346</v>
      </c>
      <c r="AU1236" s="150" t="s">
        <v>90</v>
      </c>
      <c r="AV1236" s="148" t="s">
        <v>90</v>
      </c>
      <c r="AW1236" s="148" t="s">
        <v>33</v>
      </c>
      <c r="AX1236" s="148" t="s">
        <v>80</v>
      </c>
      <c r="AY1236" s="150" t="s">
        <v>337</v>
      </c>
    </row>
    <row r="1237" spans="2:51" s="148" customFormat="1" x14ac:dyDescent="0.2">
      <c r="B1237" s="149"/>
      <c r="D1237" s="143" t="s">
        <v>346</v>
      </c>
      <c r="E1237" s="150"/>
      <c r="F1237" s="151" t="s">
        <v>5918</v>
      </c>
      <c r="H1237" s="152">
        <v>14.3</v>
      </c>
      <c r="L1237" s="149"/>
      <c r="M1237" s="153"/>
      <c r="T1237" s="154"/>
      <c r="AT1237" s="150" t="s">
        <v>346</v>
      </c>
      <c r="AU1237" s="150" t="s">
        <v>90</v>
      </c>
      <c r="AV1237" s="148" t="s">
        <v>90</v>
      </c>
      <c r="AW1237" s="148" t="s">
        <v>33</v>
      </c>
      <c r="AX1237" s="148" t="s">
        <v>80</v>
      </c>
      <c r="AY1237" s="150" t="s">
        <v>337</v>
      </c>
    </row>
    <row r="1238" spans="2:51" s="148" customFormat="1" x14ac:dyDescent="0.2">
      <c r="B1238" s="149"/>
      <c r="D1238" s="143" t="s">
        <v>346</v>
      </c>
      <c r="E1238" s="150"/>
      <c r="F1238" s="151" t="s">
        <v>5919</v>
      </c>
      <c r="H1238" s="152">
        <v>17.03</v>
      </c>
      <c r="L1238" s="149"/>
      <c r="M1238" s="153"/>
      <c r="T1238" s="154"/>
      <c r="AT1238" s="150" t="s">
        <v>346</v>
      </c>
      <c r="AU1238" s="150" t="s">
        <v>90</v>
      </c>
      <c r="AV1238" s="148" t="s">
        <v>90</v>
      </c>
      <c r="AW1238" s="148" t="s">
        <v>33</v>
      </c>
      <c r="AX1238" s="148" t="s">
        <v>80</v>
      </c>
      <c r="AY1238" s="150" t="s">
        <v>337</v>
      </c>
    </row>
    <row r="1239" spans="2:51" s="148" customFormat="1" x14ac:dyDescent="0.2">
      <c r="B1239" s="149"/>
      <c r="D1239" s="143" t="s">
        <v>346</v>
      </c>
      <c r="E1239" s="150"/>
      <c r="F1239" s="151" t="s">
        <v>5920</v>
      </c>
      <c r="H1239" s="152">
        <v>13.28</v>
      </c>
      <c r="L1239" s="149"/>
      <c r="M1239" s="153"/>
      <c r="T1239" s="154"/>
      <c r="AT1239" s="150" t="s">
        <v>346</v>
      </c>
      <c r="AU1239" s="150" t="s">
        <v>90</v>
      </c>
      <c r="AV1239" s="148" t="s">
        <v>90</v>
      </c>
      <c r="AW1239" s="148" t="s">
        <v>33</v>
      </c>
      <c r="AX1239" s="148" t="s">
        <v>80</v>
      </c>
      <c r="AY1239" s="150" t="s">
        <v>337</v>
      </c>
    </row>
    <row r="1240" spans="2:51" s="148" customFormat="1" x14ac:dyDescent="0.2">
      <c r="B1240" s="149"/>
      <c r="D1240" s="143" t="s">
        <v>346</v>
      </c>
      <c r="E1240" s="150"/>
      <c r="F1240" s="151" t="s">
        <v>5921</v>
      </c>
      <c r="H1240" s="152">
        <v>15.6</v>
      </c>
      <c r="L1240" s="149"/>
      <c r="M1240" s="153"/>
      <c r="T1240" s="154"/>
      <c r="AT1240" s="150" t="s">
        <v>346</v>
      </c>
      <c r="AU1240" s="150" t="s">
        <v>90</v>
      </c>
      <c r="AV1240" s="148" t="s">
        <v>90</v>
      </c>
      <c r="AW1240" s="148" t="s">
        <v>33</v>
      </c>
      <c r="AX1240" s="148" t="s">
        <v>80</v>
      </c>
      <c r="AY1240" s="150" t="s">
        <v>337</v>
      </c>
    </row>
    <row r="1241" spans="2:51" s="148" customFormat="1" x14ac:dyDescent="0.2">
      <c r="B1241" s="149"/>
      <c r="D1241" s="143" t="s">
        <v>346</v>
      </c>
      <c r="E1241" s="150"/>
      <c r="F1241" s="151" t="s">
        <v>5922</v>
      </c>
      <c r="H1241" s="152">
        <v>96.48</v>
      </c>
      <c r="L1241" s="149"/>
      <c r="M1241" s="153"/>
      <c r="T1241" s="154"/>
      <c r="AT1241" s="150" t="s">
        <v>346</v>
      </c>
      <c r="AU1241" s="150" t="s">
        <v>90</v>
      </c>
      <c r="AV1241" s="148" t="s">
        <v>90</v>
      </c>
      <c r="AW1241" s="148" t="s">
        <v>33</v>
      </c>
      <c r="AX1241" s="148" t="s">
        <v>80</v>
      </c>
      <c r="AY1241" s="150" t="s">
        <v>337</v>
      </c>
    </row>
    <row r="1242" spans="2:51" s="148" customFormat="1" x14ac:dyDescent="0.2">
      <c r="B1242" s="149"/>
      <c r="D1242" s="143" t="s">
        <v>346</v>
      </c>
      <c r="E1242" s="150"/>
      <c r="F1242" s="151" t="s">
        <v>5923</v>
      </c>
      <c r="H1242" s="152">
        <v>11.81</v>
      </c>
      <c r="L1242" s="149"/>
      <c r="M1242" s="153"/>
      <c r="T1242" s="154"/>
      <c r="AT1242" s="150" t="s">
        <v>346</v>
      </c>
      <c r="AU1242" s="150" t="s">
        <v>90</v>
      </c>
      <c r="AV1242" s="148" t="s">
        <v>90</v>
      </c>
      <c r="AW1242" s="148" t="s">
        <v>33</v>
      </c>
      <c r="AX1242" s="148" t="s">
        <v>80</v>
      </c>
      <c r="AY1242" s="150" t="s">
        <v>337</v>
      </c>
    </row>
    <row r="1243" spans="2:51" s="148" customFormat="1" x14ac:dyDescent="0.2">
      <c r="B1243" s="149"/>
      <c r="D1243" s="143" t="s">
        <v>346</v>
      </c>
      <c r="E1243" s="150"/>
      <c r="F1243" s="151" t="s">
        <v>5924</v>
      </c>
      <c r="H1243" s="152">
        <v>3.61</v>
      </c>
      <c r="L1243" s="149"/>
      <c r="M1243" s="153"/>
      <c r="T1243" s="154"/>
      <c r="AT1243" s="150" t="s">
        <v>346</v>
      </c>
      <c r="AU1243" s="150" t="s">
        <v>90</v>
      </c>
      <c r="AV1243" s="148" t="s">
        <v>90</v>
      </c>
      <c r="AW1243" s="148" t="s">
        <v>33</v>
      </c>
      <c r="AX1243" s="148" t="s">
        <v>80</v>
      </c>
      <c r="AY1243" s="150" t="s">
        <v>337</v>
      </c>
    </row>
    <row r="1244" spans="2:51" s="148" customFormat="1" x14ac:dyDescent="0.2">
      <c r="B1244" s="149"/>
      <c r="D1244" s="143" t="s">
        <v>346</v>
      </c>
      <c r="E1244" s="150"/>
      <c r="F1244" s="151" t="s">
        <v>5925</v>
      </c>
      <c r="H1244" s="152">
        <v>13.28</v>
      </c>
      <c r="L1244" s="149"/>
      <c r="M1244" s="153"/>
      <c r="T1244" s="154"/>
      <c r="AT1244" s="150" t="s">
        <v>346</v>
      </c>
      <c r="AU1244" s="150" t="s">
        <v>90</v>
      </c>
      <c r="AV1244" s="148" t="s">
        <v>90</v>
      </c>
      <c r="AW1244" s="148" t="s">
        <v>33</v>
      </c>
      <c r="AX1244" s="148" t="s">
        <v>80</v>
      </c>
      <c r="AY1244" s="150" t="s">
        <v>337</v>
      </c>
    </row>
    <row r="1245" spans="2:51" s="148" customFormat="1" x14ac:dyDescent="0.2">
      <c r="B1245" s="149"/>
      <c r="D1245" s="143" t="s">
        <v>346</v>
      </c>
      <c r="E1245" s="150"/>
      <c r="F1245" s="151" t="s">
        <v>5926</v>
      </c>
      <c r="H1245" s="152">
        <v>3.59</v>
      </c>
      <c r="L1245" s="149"/>
      <c r="M1245" s="153"/>
      <c r="T1245" s="154"/>
      <c r="AT1245" s="150" t="s">
        <v>346</v>
      </c>
      <c r="AU1245" s="150" t="s">
        <v>90</v>
      </c>
      <c r="AV1245" s="148" t="s">
        <v>90</v>
      </c>
      <c r="AW1245" s="148" t="s">
        <v>33</v>
      </c>
      <c r="AX1245" s="148" t="s">
        <v>80</v>
      </c>
      <c r="AY1245" s="150" t="s">
        <v>337</v>
      </c>
    </row>
    <row r="1246" spans="2:51" s="148" customFormat="1" x14ac:dyDescent="0.2">
      <c r="B1246" s="149"/>
      <c r="D1246" s="143" t="s">
        <v>346</v>
      </c>
      <c r="E1246" s="150"/>
      <c r="F1246" s="151" t="s">
        <v>5925</v>
      </c>
      <c r="H1246" s="152">
        <v>13.28</v>
      </c>
      <c r="L1246" s="149"/>
      <c r="M1246" s="153"/>
      <c r="T1246" s="154"/>
      <c r="AT1246" s="150" t="s">
        <v>346</v>
      </c>
      <c r="AU1246" s="150" t="s">
        <v>90</v>
      </c>
      <c r="AV1246" s="148" t="s">
        <v>90</v>
      </c>
      <c r="AW1246" s="148" t="s">
        <v>33</v>
      </c>
      <c r="AX1246" s="148" t="s">
        <v>80</v>
      </c>
      <c r="AY1246" s="150" t="s">
        <v>337</v>
      </c>
    </row>
    <row r="1247" spans="2:51" s="148" customFormat="1" x14ac:dyDescent="0.2">
      <c r="B1247" s="149"/>
      <c r="D1247" s="143" t="s">
        <v>346</v>
      </c>
      <c r="E1247" s="150"/>
      <c r="F1247" s="151" t="s">
        <v>5926</v>
      </c>
      <c r="H1247" s="152">
        <v>3.59</v>
      </c>
      <c r="L1247" s="149"/>
      <c r="M1247" s="153"/>
      <c r="T1247" s="154"/>
      <c r="AT1247" s="150" t="s">
        <v>346</v>
      </c>
      <c r="AU1247" s="150" t="s">
        <v>90</v>
      </c>
      <c r="AV1247" s="148" t="s">
        <v>90</v>
      </c>
      <c r="AW1247" s="148" t="s">
        <v>33</v>
      </c>
      <c r="AX1247" s="148" t="s">
        <v>80</v>
      </c>
      <c r="AY1247" s="150" t="s">
        <v>337</v>
      </c>
    </row>
    <row r="1248" spans="2:51" s="148" customFormat="1" x14ac:dyDescent="0.2">
      <c r="B1248" s="149"/>
      <c r="D1248" s="143" t="s">
        <v>346</v>
      </c>
      <c r="E1248" s="150"/>
      <c r="F1248" s="151" t="s">
        <v>5925</v>
      </c>
      <c r="H1248" s="152">
        <v>13.28</v>
      </c>
      <c r="L1248" s="149"/>
      <c r="M1248" s="153"/>
      <c r="T1248" s="154"/>
      <c r="AT1248" s="150" t="s">
        <v>346</v>
      </c>
      <c r="AU1248" s="150" t="s">
        <v>90</v>
      </c>
      <c r="AV1248" s="148" t="s">
        <v>90</v>
      </c>
      <c r="AW1248" s="148" t="s">
        <v>33</v>
      </c>
      <c r="AX1248" s="148" t="s">
        <v>80</v>
      </c>
      <c r="AY1248" s="150" t="s">
        <v>337</v>
      </c>
    </row>
    <row r="1249" spans="2:51" s="148" customFormat="1" x14ac:dyDescent="0.2">
      <c r="B1249" s="149"/>
      <c r="D1249" s="143" t="s">
        <v>346</v>
      </c>
      <c r="E1249" s="150"/>
      <c r="F1249" s="151" t="s">
        <v>5926</v>
      </c>
      <c r="H1249" s="152">
        <v>3.59</v>
      </c>
      <c r="L1249" s="149"/>
      <c r="M1249" s="153"/>
      <c r="T1249" s="154"/>
      <c r="AT1249" s="150" t="s">
        <v>346</v>
      </c>
      <c r="AU1249" s="150" t="s">
        <v>90</v>
      </c>
      <c r="AV1249" s="148" t="s">
        <v>90</v>
      </c>
      <c r="AW1249" s="148" t="s">
        <v>33</v>
      </c>
      <c r="AX1249" s="148" t="s">
        <v>80</v>
      </c>
      <c r="AY1249" s="150" t="s">
        <v>337</v>
      </c>
    </row>
    <row r="1250" spans="2:51" s="148" customFormat="1" x14ac:dyDescent="0.2">
      <c r="B1250" s="149"/>
      <c r="D1250" s="143" t="s">
        <v>346</v>
      </c>
      <c r="E1250" s="150"/>
      <c r="F1250" s="151" t="s">
        <v>5925</v>
      </c>
      <c r="H1250" s="152">
        <v>13.28</v>
      </c>
      <c r="L1250" s="149"/>
      <c r="M1250" s="153"/>
      <c r="T1250" s="154"/>
      <c r="AT1250" s="150" t="s">
        <v>346</v>
      </c>
      <c r="AU1250" s="150" t="s">
        <v>90</v>
      </c>
      <c r="AV1250" s="148" t="s">
        <v>90</v>
      </c>
      <c r="AW1250" s="148" t="s">
        <v>33</v>
      </c>
      <c r="AX1250" s="148" t="s">
        <v>80</v>
      </c>
      <c r="AY1250" s="150" t="s">
        <v>337</v>
      </c>
    </row>
    <row r="1251" spans="2:51" s="148" customFormat="1" x14ac:dyDescent="0.2">
      <c r="B1251" s="149"/>
      <c r="D1251" s="143" t="s">
        <v>346</v>
      </c>
      <c r="E1251" s="150"/>
      <c r="F1251" s="151" t="s">
        <v>5926</v>
      </c>
      <c r="H1251" s="152">
        <v>3.59</v>
      </c>
      <c r="L1251" s="149"/>
      <c r="M1251" s="153"/>
      <c r="T1251" s="154"/>
      <c r="AT1251" s="150" t="s">
        <v>346</v>
      </c>
      <c r="AU1251" s="150" t="s">
        <v>90</v>
      </c>
      <c r="AV1251" s="148" t="s">
        <v>90</v>
      </c>
      <c r="AW1251" s="148" t="s">
        <v>33</v>
      </c>
      <c r="AX1251" s="148" t="s">
        <v>80</v>
      </c>
      <c r="AY1251" s="150" t="s">
        <v>337</v>
      </c>
    </row>
    <row r="1252" spans="2:51" s="148" customFormat="1" x14ac:dyDescent="0.2">
      <c r="B1252" s="149"/>
      <c r="D1252" s="143" t="s">
        <v>346</v>
      </c>
      <c r="E1252" s="150"/>
      <c r="F1252" s="151" t="s">
        <v>5925</v>
      </c>
      <c r="H1252" s="152">
        <v>13.28</v>
      </c>
      <c r="L1252" s="149"/>
      <c r="M1252" s="153"/>
      <c r="T1252" s="154"/>
      <c r="AT1252" s="150" t="s">
        <v>346</v>
      </c>
      <c r="AU1252" s="150" t="s">
        <v>90</v>
      </c>
      <c r="AV1252" s="148" t="s">
        <v>90</v>
      </c>
      <c r="AW1252" s="148" t="s">
        <v>33</v>
      </c>
      <c r="AX1252" s="148" t="s">
        <v>80</v>
      </c>
      <c r="AY1252" s="150" t="s">
        <v>337</v>
      </c>
    </row>
    <row r="1253" spans="2:51" s="148" customFormat="1" x14ac:dyDescent="0.2">
      <c r="B1253" s="149"/>
      <c r="D1253" s="143" t="s">
        <v>346</v>
      </c>
      <c r="E1253" s="150"/>
      <c r="F1253" s="151" t="s">
        <v>5926</v>
      </c>
      <c r="H1253" s="152">
        <v>3.59</v>
      </c>
      <c r="L1253" s="149"/>
      <c r="M1253" s="153"/>
      <c r="T1253" s="154"/>
      <c r="AT1253" s="150" t="s">
        <v>346</v>
      </c>
      <c r="AU1253" s="150" t="s">
        <v>90</v>
      </c>
      <c r="AV1253" s="148" t="s">
        <v>90</v>
      </c>
      <c r="AW1253" s="148" t="s">
        <v>33</v>
      </c>
      <c r="AX1253" s="148" t="s">
        <v>80</v>
      </c>
      <c r="AY1253" s="150" t="s">
        <v>337</v>
      </c>
    </row>
    <row r="1254" spans="2:51" s="148" customFormat="1" x14ac:dyDescent="0.2">
      <c r="B1254" s="149"/>
      <c r="D1254" s="143" t="s">
        <v>346</v>
      </c>
      <c r="E1254" s="150"/>
      <c r="F1254" s="151" t="s">
        <v>5925</v>
      </c>
      <c r="H1254" s="152">
        <v>13.28</v>
      </c>
      <c r="L1254" s="149"/>
      <c r="M1254" s="153"/>
      <c r="T1254" s="154"/>
      <c r="AT1254" s="150" t="s">
        <v>346</v>
      </c>
      <c r="AU1254" s="150" t="s">
        <v>90</v>
      </c>
      <c r="AV1254" s="148" t="s">
        <v>90</v>
      </c>
      <c r="AW1254" s="148" t="s">
        <v>33</v>
      </c>
      <c r="AX1254" s="148" t="s">
        <v>80</v>
      </c>
      <c r="AY1254" s="150" t="s">
        <v>337</v>
      </c>
    </row>
    <row r="1255" spans="2:51" s="148" customFormat="1" x14ac:dyDescent="0.2">
      <c r="B1255" s="149"/>
      <c r="D1255" s="143" t="s">
        <v>346</v>
      </c>
      <c r="E1255" s="150"/>
      <c r="F1255" s="151" t="s">
        <v>5926</v>
      </c>
      <c r="H1255" s="152">
        <v>3.59</v>
      </c>
      <c r="L1255" s="149"/>
      <c r="M1255" s="153"/>
      <c r="T1255" s="154"/>
      <c r="AT1255" s="150" t="s">
        <v>346</v>
      </c>
      <c r="AU1255" s="150" t="s">
        <v>90</v>
      </c>
      <c r="AV1255" s="148" t="s">
        <v>90</v>
      </c>
      <c r="AW1255" s="148" t="s">
        <v>33</v>
      </c>
      <c r="AX1255" s="148" t="s">
        <v>80</v>
      </c>
      <c r="AY1255" s="150" t="s">
        <v>337</v>
      </c>
    </row>
    <row r="1256" spans="2:51" s="148" customFormat="1" x14ac:dyDescent="0.2">
      <c r="B1256" s="149"/>
      <c r="D1256" s="143" t="s">
        <v>346</v>
      </c>
      <c r="E1256" s="150"/>
      <c r="F1256" s="151" t="s">
        <v>5925</v>
      </c>
      <c r="H1256" s="152">
        <v>13.28</v>
      </c>
      <c r="L1256" s="149"/>
      <c r="M1256" s="153"/>
      <c r="T1256" s="154"/>
      <c r="AT1256" s="150" t="s">
        <v>346</v>
      </c>
      <c r="AU1256" s="150" t="s">
        <v>90</v>
      </c>
      <c r="AV1256" s="148" t="s">
        <v>90</v>
      </c>
      <c r="AW1256" s="148" t="s">
        <v>33</v>
      </c>
      <c r="AX1256" s="148" t="s">
        <v>80</v>
      </c>
      <c r="AY1256" s="150" t="s">
        <v>337</v>
      </c>
    </row>
    <row r="1257" spans="2:51" s="148" customFormat="1" x14ac:dyDescent="0.2">
      <c r="B1257" s="149"/>
      <c r="D1257" s="143" t="s">
        <v>346</v>
      </c>
      <c r="E1257" s="150"/>
      <c r="F1257" s="151" t="s">
        <v>5927</v>
      </c>
      <c r="H1257" s="152">
        <v>3.59</v>
      </c>
      <c r="L1257" s="149"/>
      <c r="M1257" s="153"/>
      <c r="T1257" s="154"/>
      <c r="AT1257" s="150" t="s">
        <v>346</v>
      </c>
      <c r="AU1257" s="150" t="s">
        <v>90</v>
      </c>
      <c r="AV1257" s="148" t="s">
        <v>90</v>
      </c>
      <c r="AW1257" s="148" t="s">
        <v>33</v>
      </c>
      <c r="AX1257" s="148" t="s">
        <v>80</v>
      </c>
      <c r="AY1257" s="150" t="s">
        <v>337</v>
      </c>
    </row>
    <row r="1258" spans="2:51" s="148" customFormat="1" x14ac:dyDescent="0.2">
      <c r="B1258" s="149"/>
      <c r="D1258" s="143" t="s">
        <v>346</v>
      </c>
      <c r="E1258" s="150"/>
      <c r="F1258" s="151" t="s">
        <v>5928</v>
      </c>
      <c r="H1258" s="152">
        <v>13.28</v>
      </c>
      <c r="L1258" s="149"/>
      <c r="M1258" s="153"/>
      <c r="T1258" s="154"/>
      <c r="AT1258" s="150" t="s">
        <v>346</v>
      </c>
      <c r="AU1258" s="150" t="s">
        <v>90</v>
      </c>
      <c r="AV1258" s="148" t="s">
        <v>90</v>
      </c>
      <c r="AW1258" s="148" t="s">
        <v>33</v>
      </c>
      <c r="AX1258" s="148" t="s">
        <v>80</v>
      </c>
      <c r="AY1258" s="150" t="s">
        <v>337</v>
      </c>
    </row>
    <row r="1259" spans="2:51" s="148" customFormat="1" x14ac:dyDescent="0.2">
      <c r="B1259" s="149"/>
      <c r="D1259" s="143" t="s">
        <v>346</v>
      </c>
      <c r="E1259" s="150"/>
      <c r="F1259" s="151" t="s">
        <v>5929</v>
      </c>
      <c r="H1259" s="152">
        <v>3.67</v>
      </c>
      <c r="L1259" s="149"/>
      <c r="M1259" s="153"/>
      <c r="T1259" s="154"/>
      <c r="AT1259" s="150" t="s">
        <v>346</v>
      </c>
      <c r="AU1259" s="150" t="s">
        <v>90</v>
      </c>
      <c r="AV1259" s="148" t="s">
        <v>90</v>
      </c>
      <c r="AW1259" s="148" t="s">
        <v>33</v>
      </c>
      <c r="AX1259" s="148" t="s">
        <v>80</v>
      </c>
      <c r="AY1259" s="150" t="s">
        <v>337</v>
      </c>
    </row>
    <row r="1260" spans="2:51" s="148" customFormat="1" x14ac:dyDescent="0.2">
      <c r="B1260" s="149"/>
      <c r="D1260" s="143" t="s">
        <v>346</v>
      </c>
      <c r="E1260" s="150"/>
      <c r="F1260" s="151" t="s">
        <v>5930</v>
      </c>
      <c r="H1260" s="152">
        <v>13.28</v>
      </c>
      <c r="L1260" s="149"/>
      <c r="M1260" s="153"/>
      <c r="T1260" s="154"/>
      <c r="AT1260" s="150" t="s">
        <v>346</v>
      </c>
      <c r="AU1260" s="150" t="s">
        <v>90</v>
      </c>
      <c r="AV1260" s="148" t="s">
        <v>90</v>
      </c>
      <c r="AW1260" s="148" t="s">
        <v>33</v>
      </c>
      <c r="AX1260" s="148" t="s">
        <v>80</v>
      </c>
      <c r="AY1260" s="150" t="s">
        <v>337</v>
      </c>
    </row>
    <row r="1261" spans="2:51" s="148" customFormat="1" x14ac:dyDescent="0.2">
      <c r="B1261" s="149"/>
      <c r="D1261" s="143" t="s">
        <v>346</v>
      </c>
      <c r="E1261" s="150"/>
      <c r="F1261" s="151" t="s">
        <v>5931</v>
      </c>
      <c r="H1261" s="152">
        <v>4.1500000000000004</v>
      </c>
      <c r="L1261" s="149"/>
      <c r="M1261" s="153"/>
      <c r="T1261" s="154"/>
      <c r="AT1261" s="150" t="s">
        <v>346</v>
      </c>
      <c r="AU1261" s="150" t="s">
        <v>90</v>
      </c>
      <c r="AV1261" s="148" t="s">
        <v>90</v>
      </c>
      <c r="AW1261" s="148" t="s">
        <v>33</v>
      </c>
      <c r="AX1261" s="148" t="s">
        <v>80</v>
      </c>
      <c r="AY1261" s="150" t="s">
        <v>337</v>
      </c>
    </row>
    <row r="1262" spans="2:51" s="148" customFormat="1" x14ac:dyDescent="0.2">
      <c r="B1262" s="149"/>
      <c r="D1262" s="143" t="s">
        <v>346</v>
      </c>
      <c r="E1262" s="150"/>
      <c r="F1262" s="151" t="s">
        <v>5932</v>
      </c>
      <c r="H1262" s="152">
        <v>15.71</v>
      </c>
      <c r="L1262" s="149"/>
      <c r="M1262" s="153"/>
      <c r="T1262" s="154"/>
      <c r="AT1262" s="150" t="s">
        <v>346</v>
      </c>
      <c r="AU1262" s="150" t="s">
        <v>90</v>
      </c>
      <c r="AV1262" s="148" t="s">
        <v>90</v>
      </c>
      <c r="AW1262" s="148" t="s">
        <v>33</v>
      </c>
      <c r="AX1262" s="148" t="s">
        <v>80</v>
      </c>
      <c r="AY1262" s="150" t="s">
        <v>337</v>
      </c>
    </row>
    <row r="1263" spans="2:51" s="148" customFormat="1" x14ac:dyDescent="0.2">
      <c r="B1263" s="149"/>
      <c r="D1263" s="143" t="s">
        <v>346</v>
      </c>
      <c r="E1263" s="150"/>
      <c r="F1263" s="151" t="s">
        <v>5933</v>
      </c>
      <c r="H1263" s="152">
        <v>3.51</v>
      </c>
      <c r="L1263" s="149"/>
      <c r="M1263" s="153"/>
      <c r="T1263" s="154"/>
      <c r="AT1263" s="150" t="s">
        <v>346</v>
      </c>
      <c r="AU1263" s="150" t="s">
        <v>90</v>
      </c>
      <c r="AV1263" s="148" t="s">
        <v>90</v>
      </c>
      <c r="AW1263" s="148" t="s">
        <v>33</v>
      </c>
      <c r="AX1263" s="148" t="s">
        <v>80</v>
      </c>
      <c r="AY1263" s="150" t="s">
        <v>337</v>
      </c>
    </row>
    <row r="1264" spans="2:51" s="148" customFormat="1" x14ac:dyDescent="0.2">
      <c r="B1264" s="149"/>
      <c r="D1264" s="143" t="s">
        <v>346</v>
      </c>
      <c r="E1264" s="150"/>
      <c r="F1264" s="151" t="s">
        <v>5934</v>
      </c>
      <c r="H1264" s="152">
        <v>13.28</v>
      </c>
      <c r="L1264" s="149"/>
      <c r="M1264" s="153"/>
      <c r="T1264" s="154"/>
      <c r="AT1264" s="150" t="s">
        <v>346</v>
      </c>
      <c r="AU1264" s="150" t="s">
        <v>90</v>
      </c>
      <c r="AV1264" s="148" t="s">
        <v>90</v>
      </c>
      <c r="AW1264" s="148" t="s">
        <v>33</v>
      </c>
      <c r="AX1264" s="148" t="s">
        <v>80</v>
      </c>
      <c r="AY1264" s="150" t="s">
        <v>337</v>
      </c>
    </row>
    <row r="1265" spans="2:51" s="148" customFormat="1" x14ac:dyDescent="0.2">
      <c r="B1265" s="149"/>
      <c r="D1265" s="143" t="s">
        <v>346</v>
      </c>
      <c r="E1265" s="150"/>
      <c r="F1265" s="151" t="s">
        <v>5935</v>
      </c>
      <c r="H1265" s="152">
        <v>13.28</v>
      </c>
      <c r="L1265" s="149"/>
      <c r="M1265" s="153"/>
      <c r="T1265" s="154"/>
      <c r="AT1265" s="150" t="s">
        <v>346</v>
      </c>
      <c r="AU1265" s="150" t="s">
        <v>90</v>
      </c>
      <c r="AV1265" s="148" t="s">
        <v>90</v>
      </c>
      <c r="AW1265" s="148" t="s">
        <v>33</v>
      </c>
      <c r="AX1265" s="148" t="s">
        <v>80</v>
      </c>
      <c r="AY1265" s="150" t="s">
        <v>337</v>
      </c>
    </row>
    <row r="1266" spans="2:51" s="148" customFormat="1" x14ac:dyDescent="0.2">
      <c r="B1266" s="149"/>
      <c r="D1266" s="143" t="s">
        <v>346</v>
      </c>
      <c r="E1266" s="150"/>
      <c r="F1266" s="151" t="s">
        <v>5936</v>
      </c>
      <c r="H1266" s="152">
        <v>3.56</v>
      </c>
      <c r="L1266" s="149"/>
      <c r="M1266" s="153"/>
      <c r="T1266" s="154"/>
      <c r="AT1266" s="150" t="s">
        <v>346</v>
      </c>
      <c r="AU1266" s="150" t="s">
        <v>90</v>
      </c>
      <c r="AV1266" s="148" t="s">
        <v>90</v>
      </c>
      <c r="AW1266" s="148" t="s">
        <v>33</v>
      </c>
      <c r="AX1266" s="148" t="s">
        <v>80</v>
      </c>
      <c r="AY1266" s="150" t="s">
        <v>337</v>
      </c>
    </row>
    <row r="1267" spans="2:51" s="148" customFormat="1" x14ac:dyDescent="0.2">
      <c r="B1267" s="149"/>
      <c r="D1267" s="143" t="s">
        <v>346</v>
      </c>
      <c r="E1267" s="150"/>
      <c r="F1267" s="151" t="s">
        <v>5937</v>
      </c>
      <c r="H1267" s="152">
        <v>3.94</v>
      </c>
      <c r="L1267" s="149"/>
      <c r="M1267" s="153"/>
      <c r="T1267" s="154"/>
      <c r="AT1267" s="150" t="s">
        <v>346</v>
      </c>
      <c r="AU1267" s="150" t="s">
        <v>90</v>
      </c>
      <c r="AV1267" s="148" t="s">
        <v>90</v>
      </c>
      <c r="AW1267" s="148" t="s">
        <v>33</v>
      </c>
      <c r="AX1267" s="148" t="s">
        <v>80</v>
      </c>
      <c r="AY1267" s="150" t="s">
        <v>337</v>
      </c>
    </row>
    <row r="1268" spans="2:51" s="148" customFormat="1" x14ac:dyDescent="0.2">
      <c r="B1268" s="149"/>
      <c r="D1268" s="143" t="s">
        <v>346</v>
      </c>
      <c r="E1268" s="150"/>
      <c r="F1268" s="151" t="s">
        <v>5938</v>
      </c>
      <c r="H1268" s="152">
        <v>14.55</v>
      </c>
      <c r="L1268" s="149"/>
      <c r="M1268" s="153"/>
      <c r="T1268" s="154"/>
      <c r="AT1268" s="150" t="s">
        <v>346</v>
      </c>
      <c r="AU1268" s="150" t="s">
        <v>90</v>
      </c>
      <c r="AV1268" s="148" t="s">
        <v>90</v>
      </c>
      <c r="AW1268" s="148" t="s">
        <v>33</v>
      </c>
      <c r="AX1268" s="148" t="s">
        <v>80</v>
      </c>
      <c r="AY1268" s="150" t="s">
        <v>337</v>
      </c>
    </row>
    <row r="1269" spans="2:51" s="148" customFormat="1" x14ac:dyDescent="0.2">
      <c r="B1269" s="149"/>
      <c r="D1269" s="143" t="s">
        <v>346</v>
      </c>
      <c r="E1269" s="150"/>
      <c r="F1269" s="151" t="s">
        <v>5939</v>
      </c>
      <c r="H1269" s="152">
        <v>3.59</v>
      </c>
      <c r="L1269" s="149"/>
      <c r="M1269" s="153"/>
      <c r="T1269" s="154"/>
      <c r="AT1269" s="150" t="s">
        <v>346</v>
      </c>
      <c r="AU1269" s="150" t="s">
        <v>90</v>
      </c>
      <c r="AV1269" s="148" t="s">
        <v>90</v>
      </c>
      <c r="AW1269" s="148" t="s">
        <v>33</v>
      </c>
      <c r="AX1269" s="148" t="s">
        <v>80</v>
      </c>
      <c r="AY1269" s="150" t="s">
        <v>337</v>
      </c>
    </row>
    <row r="1270" spans="2:51" s="148" customFormat="1" x14ac:dyDescent="0.2">
      <c r="B1270" s="149"/>
      <c r="D1270" s="143" t="s">
        <v>346</v>
      </c>
      <c r="E1270" s="150"/>
      <c r="F1270" s="151" t="s">
        <v>5940</v>
      </c>
      <c r="H1270" s="152">
        <v>12.67</v>
      </c>
      <c r="L1270" s="149"/>
      <c r="M1270" s="153"/>
      <c r="T1270" s="154"/>
      <c r="AT1270" s="150" t="s">
        <v>346</v>
      </c>
      <c r="AU1270" s="150" t="s">
        <v>90</v>
      </c>
      <c r="AV1270" s="148" t="s">
        <v>90</v>
      </c>
      <c r="AW1270" s="148" t="s">
        <v>33</v>
      </c>
      <c r="AX1270" s="148" t="s">
        <v>80</v>
      </c>
      <c r="AY1270" s="150" t="s">
        <v>337</v>
      </c>
    </row>
    <row r="1271" spans="2:51" s="148" customFormat="1" x14ac:dyDescent="0.2">
      <c r="B1271" s="149"/>
      <c r="D1271" s="143" t="s">
        <v>346</v>
      </c>
      <c r="E1271" s="150"/>
      <c r="F1271" s="151" t="s">
        <v>5941</v>
      </c>
      <c r="H1271" s="152">
        <v>4.38</v>
      </c>
      <c r="L1271" s="149"/>
      <c r="M1271" s="153"/>
      <c r="T1271" s="154"/>
      <c r="AT1271" s="150" t="s">
        <v>346</v>
      </c>
      <c r="AU1271" s="150" t="s">
        <v>90</v>
      </c>
      <c r="AV1271" s="148" t="s">
        <v>90</v>
      </c>
      <c r="AW1271" s="148" t="s">
        <v>33</v>
      </c>
      <c r="AX1271" s="148" t="s">
        <v>80</v>
      </c>
      <c r="AY1271" s="150" t="s">
        <v>337</v>
      </c>
    </row>
    <row r="1272" spans="2:51" s="148" customFormat="1" x14ac:dyDescent="0.2">
      <c r="B1272" s="149"/>
      <c r="D1272" s="143" t="s">
        <v>346</v>
      </c>
      <c r="E1272" s="150"/>
      <c r="F1272" s="151" t="s">
        <v>5942</v>
      </c>
      <c r="H1272" s="152">
        <v>14.3</v>
      </c>
      <c r="L1272" s="149"/>
      <c r="M1272" s="153"/>
      <c r="T1272" s="154"/>
      <c r="AT1272" s="150" t="s">
        <v>346</v>
      </c>
      <c r="AU1272" s="150" t="s">
        <v>90</v>
      </c>
      <c r="AV1272" s="148" t="s">
        <v>90</v>
      </c>
      <c r="AW1272" s="148" t="s">
        <v>33</v>
      </c>
      <c r="AX1272" s="148" t="s">
        <v>80</v>
      </c>
      <c r="AY1272" s="150" t="s">
        <v>337</v>
      </c>
    </row>
    <row r="1273" spans="2:51" s="148" customFormat="1" x14ac:dyDescent="0.2">
      <c r="B1273" s="149"/>
      <c r="D1273" s="143" t="s">
        <v>346</v>
      </c>
      <c r="E1273" s="150"/>
      <c r="F1273" s="151" t="s">
        <v>5943</v>
      </c>
      <c r="H1273" s="152">
        <v>17.03</v>
      </c>
      <c r="L1273" s="149"/>
      <c r="M1273" s="153"/>
      <c r="T1273" s="154"/>
      <c r="AT1273" s="150" t="s">
        <v>346</v>
      </c>
      <c r="AU1273" s="150" t="s">
        <v>90</v>
      </c>
      <c r="AV1273" s="148" t="s">
        <v>90</v>
      </c>
      <c r="AW1273" s="148" t="s">
        <v>33</v>
      </c>
      <c r="AX1273" s="148" t="s">
        <v>80</v>
      </c>
      <c r="AY1273" s="150" t="s">
        <v>337</v>
      </c>
    </row>
    <row r="1274" spans="2:51" s="148" customFormat="1" x14ac:dyDescent="0.2">
      <c r="B1274" s="149"/>
      <c r="D1274" s="143" t="s">
        <v>346</v>
      </c>
      <c r="E1274" s="150"/>
      <c r="F1274" s="151" t="s">
        <v>5944</v>
      </c>
      <c r="H1274" s="152">
        <v>13.28</v>
      </c>
      <c r="L1274" s="149"/>
      <c r="M1274" s="153"/>
      <c r="T1274" s="154"/>
      <c r="AT1274" s="150" t="s">
        <v>346</v>
      </c>
      <c r="AU1274" s="150" t="s">
        <v>90</v>
      </c>
      <c r="AV1274" s="148" t="s">
        <v>90</v>
      </c>
      <c r="AW1274" s="148" t="s">
        <v>33</v>
      </c>
      <c r="AX1274" s="148" t="s">
        <v>80</v>
      </c>
      <c r="AY1274" s="150" t="s">
        <v>337</v>
      </c>
    </row>
    <row r="1275" spans="2:51" s="148" customFormat="1" x14ac:dyDescent="0.2">
      <c r="B1275" s="149"/>
      <c r="D1275" s="143" t="s">
        <v>346</v>
      </c>
      <c r="E1275" s="150"/>
      <c r="F1275" s="151" t="s">
        <v>5945</v>
      </c>
      <c r="H1275" s="152">
        <v>15.6</v>
      </c>
      <c r="L1275" s="149"/>
      <c r="M1275" s="153"/>
      <c r="T1275" s="154"/>
      <c r="AT1275" s="150" t="s">
        <v>346</v>
      </c>
      <c r="AU1275" s="150" t="s">
        <v>90</v>
      </c>
      <c r="AV1275" s="148" t="s">
        <v>90</v>
      </c>
      <c r="AW1275" s="148" t="s">
        <v>33</v>
      </c>
      <c r="AX1275" s="148" t="s">
        <v>80</v>
      </c>
      <c r="AY1275" s="150" t="s">
        <v>337</v>
      </c>
    </row>
    <row r="1276" spans="2:51" s="148" customFormat="1" x14ac:dyDescent="0.2">
      <c r="B1276" s="149"/>
      <c r="D1276" s="143" t="s">
        <v>346</v>
      </c>
      <c r="E1276" s="150"/>
      <c r="F1276" s="151" t="s">
        <v>5946</v>
      </c>
      <c r="H1276" s="152">
        <v>96.48</v>
      </c>
      <c r="L1276" s="149"/>
      <c r="M1276" s="153"/>
      <c r="T1276" s="154"/>
      <c r="AT1276" s="150" t="s">
        <v>346</v>
      </c>
      <c r="AU1276" s="150" t="s">
        <v>90</v>
      </c>
      <c r="AV1276" s="148" t="s">
        <v>90</v>
      </c>
      <c r="AW1276" s="148" t="s">
        <v>33</v>
      </c>
      <c r="AX1276" s="148" t="s">
        <v>80</v>
      </c>
      <c r="AY1276" s="150" t="s">
        <v>337</v>
      </c>
    </row>
    <row r="1277" spans="2:51" s="148" customFormat="1" x14ac:dyDescent="0.2">
      <c r="B1277" s="149"/>
      <c r="D1277" s="143" t="s">
        <v>346</v>
      </c>
      <c r="E1277" s="150"/>
      <c r="F1277" s="151" t="s">
        <v>5947</v>
      </c>
      <c r="H1277" s="152">
        <v>5.92</v>
      </c>
      <c r="L1277" s="149"/>
      <c r="M1277" s="153"/>
      <c r="T1277" s="154"/>
      <c r="AT1277" s="150" t="s">
        <v>346</v>
      </c>
      <c r="AU1277" s="150" t="s">
        <v>90</v>
      </c>
      <c r="AV1277" s="148" t="s">
        <v>90</v>
      </c>
      <c r="AW1277" s="148" t="s">
        <v>33</v>
      </c>
      <c r="AX1277" s="148" t="s">
        <v>80</v>
      </c>
      <c r="AY1277" s="150" t="s">
        <v>337</v>
      </c>
    </row>
    <row r="1278" spans="2:51" s="148" customFormat="1" x14ac:dyDescent="0.2">
      <c r="B1278" s="149"/>
      <c r="D1278" s="143" t="s">
        <v>346</v>
      </c>
      <c r="E1278" s="150"/>
      <c r="F1278" s="151" t="s">
        <v>5948</v>
      </c>
      <c r="H1278" s="152">
        <v>3.61</v>
      </c>
      <c r="L1278" s="149"/>
      <c r="M1278" s="153"/>
      <c r="T1278" s="154"/>
      <c r="AT1278" s="150" t="s">
        <v>346</v>
      </c>
      <c r="AU1278" s="150" t="s">
        <v>90</v>
      </c>
      <c r="AV1278" s="148" t="s">
        <v>90</v>
      </c>
      <c r="AW1278" s="148" t="s">
        <v>33</v>
      </c>
      <c r="AX1278" s="148" t="s">
        <v>80</v>
      </c>
      <c r="AY1278" s="150" t="s">
        <v>337</v>
      </c>
    </row>
    <row r="1279" spans="2:51" s="148" customFormat="1" x14ac:dyDescent="0.2">
      <c r="B1279" s="149"/>
      <c r="D1279" s="143" t="s">
        <v>346</v>
      </c>
      <c r="E1279" s="150"/>
      <c r="F1279" s="151" t="s">
        <v>5949</v>
      </c>
      <c r="H1279" s="152">
        <v>13.28</v>
      </c>
      <c r="L1279" s="149"/>
      <c r="M1279" s="153"/>
      <c r="T1279" s="154"/>
      <c r="AT1279" s="150" t="s">
        <v>346</v>
      </c>
      <c r="AU1279" s="150" t="s">
        <v>90</v>
      </c>
      <c r="AV1279" s="148" t="s">
        <v>90</v>
      </c>
      <c r="AW1279" s="148" t="s">
        <v>33</v>
      </c>
      <c r="AX1279" s="148" t="s">
        <v>80</v>
      </c>
      <c r="AY1279" s="150" t="s">
        <v>337</v>
      </c>
    </row>
    <row r="1280" spans="2:51" s="148" customFormat="1" x14ac:dyDescent="0.2">
      <c r="B1280" s="149"/>
      <c r="D1280" s="143" t="s">
        <v>346</v>
      </c>
      <c r="E1280" s="150"/>
      <c r="F1280" s="151" t="s">
        <v>5950</v>
      </c>
      <c r="H1280" s="152">
        <v>3.59</v>
      </c>
      <c r="L1280" s="149"/>
      <c r="M1280" s="153"/>
      <c r="T1280" s="154"/>
      <c r="AT1280" s="150" t="s">
        <v>346</v>
      </c>
      <c r="AU1280" s="150" t="s">
        <v>90</v>
      </c>
      <c r="AV1280" s="148" t="s">
        <v>90</v>
      </c>
      <c r="AW1280" s="148" t="s">
        <v>33</v>
      </c>
      <c r="AX1280" s="148" t="s">
        <v>80</v>
      </c>
      <c r="AY1280" s="150" t="s">
        <v>337</v>
      </c>
    </row>
    <row r="1281" spans="2:51" s="148" customFormat="1" x14ac:dyDescent="0.2">
      <c r="B1281" s="149"/>
      <c r="D1281" s="143" t="s">
        <v>346</v>
      </c>
      <c r="E1281" s="150"/>
      <c r="F1281" s="151" t="s">
        <v>5951</v>
      </c>
      <c r="H1281" s="152">
        <v>13.28</v>
      </c>
      <c r="L1281" s="149"/>
      <c r="M1281" s="153"/>
      <c r="T1281" s="154"/>
      <c r="AT1281" s="150" t="s">
        <v>346</v>
      </c>
      <c r="AU1281" s="150" t="s">
        <v>90</v>
      </c>
      <c r="AV1281" s="148" t="s">
        <v>90</v>
      </c>
      <c r="AW1281" s="148" t="s">
        <v>33</v>
      </c>
      <c r="AX1281" s="148" t="s">
        <v>80</v>
      </c>
      <c r="AY1281" s="150" t="s">
        <v>337</v>
      </c>
    </row>
    <row r="1282" spans="2:51" s="148" customFormat="1" x14ac:dyDescent="0.2">
      <c r="B1282" s="149"/>
      <c r="D1282" s="143" t="s">
        <v>346</v>
      </c>
      <c r="E1282" s="150"/>
      <c r="F1282" s="151" t="s">
        <v>5952</v>
      </c>
      <c r="H1282" s="152">
        <v>3.59</v>
      </c>
      <c r="L1282" s="149"/>
      <c r="M1282" s="153"/>
      <c r="T1282" s="154"/>
      <c r="AT1282" s="150" t="s">
        <v>346</v>
      </c>
      <c r="AU1282" s="150" t="s">
        <v>90</v>
      </c>
      <c r="AV1282" s="148" t="s">
        <v>90</v>
      </c>
      <c r="AW1282" s="148" t="s">
        <v>33</v>
      </c>
      <c r="AX1282" s="148" t="s">
        <v>80</v>
      </c>
      <c r="AY1282" s="150" t="s">
        <v>337</v>
      </c>
    </row>
    <row r="1283" spans="2:51" s="148" customFormat="1" x14ac:dyDescent="0.2">
      <c r="B1283" s="149"/>
      <c r="D1283" s="143" t="s">
        <v>346</v>
      </c>
      <c r="E1283" s="150"/>
      <c r="F1283" s="151" t="s">
        <v>5953</v>
      </c>
      <c r="H1283" s="152">
        <v>13.28</v>
      </c>
      <c r="L1283" s="149"/>
      <c r="M1283" s="153"/>
      <c r="T1283" s="154"/>
      <c r="AT1283" s="150" t="s">
        <v>346</v>
      </c>
      <c r="AU1283" s="150" t="s">
        <v>90</v>
      </c>
      <c r="AV1283" s="148" t="s">
        <v>90</v>
      </c>
      <c r="AW1283" s="148" t="s">
        <v>33</v>
      </c>
      <c r="AX1283" s="148" t="s">
        <v>80</v>
      </c>
      <c r="AY1283" s="150" t="s">
        <v>337</v>
      </c>
    </row>
    <row r="1284" spans="2:51" s="148" customFormat="1" x14ac:dyDescent="0.2">
      <c r="B1284" s="149"/>
      <c r="D1284" s="143" t="s">
        <v>346</v>
      </c>
      <c r="E1284" s="150"/>
      <c r="F1284" s="151" t="s">
        <v>5954</v>
      </c>
      <c r="H1284" s="152">
        <v>3.59</v>
      </c>
      <c r="L1284" s="149"/>
      <c r="M1284" s="153"/>
      <c r="T1284" s="154"/>
      <c r="AT1284" s="150" t="s">
        <v>346</v>
      </c>
      <c r="AU1284" s="150" t="s">
        <v>90</v>
      </c>
      <c r="AV1284" s="148" t="s">
        <v>90</v>
      </c>
      <c r="AW1284" s="148" t="s">
        <v>33</v>
      </c>
      <c r="AX1284" s="148" t="s">
        <v>80</v>
      </c>
      <c r="AY1284" s="150" t="s">
        <v>337</v>
      </c>
    </row>
    <row r="1285" spans="2:51" s="148" customFormat="1" x14ac:dyDescent="0.2">
      <c r="B1285" s="149"/>
      <c r="D1285" s="143" t="s">
        <v>346</v>
      </c>
      <c r="E1285" s="150"/>
      <c r="F1285" s="151" t="s">
        <v>5955</v>
      </c>
      <c r="H1285" s="152">
        <v>13.28</v>
      </c>
      <c r="L1285" s="149"/>
      <c r="M1285" s="153"/>
      <c r="T1285" s="154"/>
      <c r="AT1285" s="150" t="s">
        <v>346</v>
      </c>
      <c r="AU1285" s="150" t="s">
        <v>90</v>
      </c>
      <c r="AV1285" s="148" t="s">
        <v>90</v>
      </c>
      <c r="AW1285" s="148" t="s">
        <v>33</v>
      </c>
      <c r="AX1285" s="148" t="s">
        <v>80</v>
      </c>
      <c r="AY1285" s="150" t="s">
        <v>337</v>
      </c>
    </row>
    <row r="1286" spans="2:51" s="148" customFormat="1" x14ac:dyDescent="0.2">
      <c r="B1286" s="149"/>
      <c r="D1286" s="143" t="s">
        <v>346</v>
      </c>
      <c r="E1286" s="150"/>
      <c r="F1286" s="151" t="s">
        <v>5956</v>
      </c>
      <c r="H1286" s="152">
        <v>3.59</v>
      </c>
      <c r="L1286" s="149"/>
      <c r="M1286" s="153"/>
      <c r="T1286" s="154"/>
      <c r="AT1286" s="150" t="s">
        <v>346</v>
      </c>
      <c r="AU1286" s="150" t="s">
        <v>90</v>
      </c>
      <c r="AV1286" s="148" t="s">
        <v>90</v>
      </c>
      <c r="AW1286" s="148" t="s">
        <v>33</v>
      </c>
      <c r="AX1286" s="148" t="s">
        <v>80</v>
      </c>
      <c r="AY1286" s="150" t="s">
        <v>337</v>
      </c>
    </row>
    <row r="1287" spans="2:51" s="148" customFormat="1" x14ac:dyDescent="0.2">
      <c r="B1287" s="149"/>
      <c r="D1287" s="143" t="s">
        <v>346</v>
      </c>
      <c r="E1287" s="150"/>
      <c r="F1287" s="151" t="s">
        <v>5957</v>
      </c>
      <c r="H1287" s="152">
        <v>13.28</v>
      </c>
      <c r="L1287" s="149"/>
      <c r="M1287" s="153"/>
      <c r="T1287" s="154"/>
      <c r="AT1287" s="150" t="s">
        <v>346</v>
      </c>
      <c r="AU1287" s="150" t="s">
        <v>90</v>
      </c>
      <c r="AV1287" s="148" t="s">
        <v>90</v>
      </c>
      <c r="AW1287" s="148" t="s">
        <v>33</v>
      </c>
      <c r="AX1287" s="148" t="s">
        <v>80</v>
      </c>
      <c r="AY1287" s="150" t="s">
        <v>337</v>
      </c>
    </row>
    <row r="1288" spans="2:51" s="148" customFormat="1" x14ac:dyDescent="0.2">
      <c r="B1288" s="149"/>
      <c r="D1288" s="143" t="s">
        <v>346</v>
      </c>
      <c r="E1288" s="150"/>
      <c r="F1288" s="151" t="s">
        <v>5958</v>
      </c>
      <c r="H1288" s="152">
        <v>3.59</v>
      </c>
      <c r="L1288" s="149"/>
      <c r="M1288" s="153"/>
      <c r="T1288" s="154"/>
      <c r="AT1288" s="150" t="s">
        <v>346</v>
      </c>
      <c r="AU1288" s="150" t="s">
        <v>90</v>
      </c>
      <c r="AV1288" s="148" t="s">
        <v>90</v>
      </c>
      <c r="AW1288" s="148" t="s">
        <v>33</v>
      </c>
      <c r="AX1288" s="148" t="s">
        <v>80</v>
      </c>
      <c r="AY1288" s="150" t="s">
        <v>337</v>
      </c>
    </row>
    <row r="1289" spans="2:51" s="148" customFormat="1" x14ac:dyDescent="0.2">
      <c r="B1289" s="149"/>
      <c r="D1289" s="143" t="s">
        <v>346</v>
      </c>
      <c r="E1289" s="150"/>
      <c r="F1289" s="151" t="s">
        <v>5959</v>
      </c>
      <c r="H1289" s="152">
        <v>13.28</v>
      </c>
      <c r="L1289" s="149"/>
      <c r="M1289" s="153"/>
      <c r="T1289" s="154"/>
      <c r="AT1289" s="150" t="s">
        <v>346</v>
      </c>
      <c r="AU1289" s="150" t="s">
        <v>90</v>
      </c>
      <c r="AV1289" s="148" t="s">
        <v>90</v>
      </c>
      <c r="AW1289" s="148" t="s">
        <v>33</v>
      </c>
      <c r="AX1289" s="148" t="s">
        <v>80</v>
      </c>
      <c r="AY1289" s="150" t="s">
        <v>337</v>
      </c>
    </row>
    <row r="1290" spans="2:51" s="148" customFormat="1" x14ac:dyDescent="0.2">
      <c r="B1290" s="149"/>
      <c r="D1290" s="143" t="s">
        <v>346</v>
      </c>
      <c r="E1290" s="150"/>
      <c r="F1290" s="151" t="s">
        <v>5960</v>
      </c>
      <c r="H1290" s="152">
        <v>3.59</v>
      </c>
      <c r="L1290" s="149"/>
      <c r="M1290" s="153"/>
      <c r="T1290" s="154"/>
      <c r="AT1290" s="150" t="s">
        <v>346</v>
      </c>
      <c r="AU1290" s="150" t="s">
        <v>90</v>
      </c>
      <c r="AV1290" s="148" t="s">
        <v>90</v>
      </c>
      <c r="AW1290" s="148" t="s">
        <v>33</v>
      </c>
      <c r="AX1290" s="148" t="s">
        <v>80</v>
      </c>
      <c r="AY1290" s="150" t="s">
        <v>337</v>
      </c>
    </row>
    <row r="1291" spans="2:51" s="148" customFormat="1" x14ac:dyDescent="0.2">
      <c r="B1291" s="149"/>
      <c r="D1291" s="143" t="s">
        <v>346</v>
      </c>
      <c r="E1291" s="150"/>
      <c r="F1291" s="151" t="s">
        <v>5961</v>
      </c>
      <c r="H1291" s="152">
        <v>13.28</v>
      </c>
      <c r="L1291" s="149"/>
      <c r="M1291" s="153"/>
      <c r="T1291" s="154"/>
      <c r="AT1291" s="150" t="s">
        <v>346</v>
      </c>
      <c r="AU1291" s="150" t="s">
        <v>90</v>
      </c>
      <c r="AV1291" s="148" t="s">
        <v>90</v>
      </c>
      <c r="AW1291" s="148" t="s">
        <v>33</v>
      </c>
      <c r="AX1291" s="148" t="s">
        <v>80</v>
      </c>
      <c r="AY1291" s="150" t="s">
        <v>337</v>
      </c>
    </row>
    <row r="1292" spans="2:51" s="148" customFormat="1" x14ac:dyDescent="0.2">
      <c r="B1292" s="149"/>
      <c r="D1292" s="143" t="s">
        <v>346</v>
      </c>
      <c r="E1292" s="150"/>
      <c r="F1292" s="151" t="s">
        <v>5962</v>
      </c>
      <c r="H1292" s="152">
        <v>3.59</v>
      </c>
      <c r="L1292" s="149"/>
      <c r="M1292" s="153"/>
      <c r="T1292" s="154"/>
      <c r="AT1292" s="150" t="s">
        <v>346</v>
      </c>
      <c r="AU1292" s="150" t="s">
        <v>90</v>
      </c>
      <c r="AV1292" s="148" t="s">
        <v>90</v>
      </c>
      <c r="AW1292" s="148" t="s">
        <v>33</v>
      </c>
      <c r="AX1292" s="148" t="s">
        <v>80</v>
      </c>
      <c r="AY1292" s="150" t="s">
        <v>337</v>
      </c>
    </row>
    <row r="1293" spans="2:51" s="148" customFormat="1" x14ac:dyDescent="0.2">
      <c r="B1293" s="149"/>
      <c r="D1293" s="143" t="s">
        <v>346</v>
      </c>
      <c r="E1293" s="150"/>
      <c r="F1293" s="151" t="s">
        <v>5963</v>
      </c>
      <c r="H1293" s="152">
        <v>13.28</v>
      </c>
      <c r="L1293" s="149"/>
      <c r="M1293" s="153"/>
      <c r="T1293" s="154"/>
      <c r="AT1293" s="150" t="s">
        <v>346</v>
      </c>
      <c r="AU1293" s="150" t="s">
        <v>90</v>
      </c>
      <c r="AV1293" s="148" t="s">
        <v>90</v>
      </c>
      <c r="AW1293" s="148" t="s">
        <v>33</v>
      </c>
      <c r="AX1293" s="148" t="s">
        <v>80</v>
      </c>
      <c r="AY1293" s="150" t="s">
        <v>337</v>
      </c>
    </row>
    <row r="1294" spans="2:51" s="148" customFormat="1" x14ac:dyDescent="0.2">
      <c r="B1294" s="149"/>
      <c r="D1294" s="143" t="s">
        <v>346</v>
      </c>
      <c r="E1294" s="150"/>
      <c r="F1294" s="151" t="s">
        <v>5964</v>
      </c>
      <c r="H1294" s="152">
        <v>3.67</v>
      </c>
      <c r="L1294" s="149"/>
      <c r="M1294" s="153"/>
      <c r="T1294" s="154"/>
      <c r="AT1294" s="150" t="s">
        <v>346</v>
      </c>
      <c r="AU1294" s="150" t="s">
        <v>90</v>
      </c>
      <c r="AV1294" s="148" t="s">
        <v>90</v>
      </c>
      <c r="AW1294" s="148" t="s">
        <v>33</v>
      </c>
      <c r="AX1294" s="148" t="s">
        <v>80</v>
      </c>
      <c r="AY1294" s="150" t="s">
        <v>337</v>
      </c>
    </row>
    <row r="1295" spans="2:51" s="148" customFormat="1" x14ac:dyDescent="0.2">
      <c r="B1295" s="149"/>
      <c r="D1295" s="143" t="s">
        <v>346</v>
      </c>
      <c r="E1295" s="150"/>
      <c r="F1295" s="151" t="s">
        <v>5965</v>
      </c>
      <c r="H1295" s="152">
        <v>13.28</v>
      </c>
      <c r="L1295" s="149"/>
      <c r="M1295" s="153"/>
      <c r="T1295" s="154"/>
      <c r="AT1295" s="150" t="s">
        <v>346</v>
      </c>
      <c r="AU1295" s="150" t="s">
        <v>90</v>
      </c>
      <c r="AV1295" s="148" t="s">
        <v>90</v>
      </c>
      <c r="AW1295" s="148" t="s">
        <v>33</v>
      </c>
      <c r="AX1295" s="148" t="s">
        <v>80</v>
      </c>
      <c r="AY1295" s="150" t="s">
        <v>337</v>
      </c>
    </row>
    <row r="1296" spans="2:51" s="148" customFormat="1" x14ac:dyDescent="0.2">
      <c r="B1296" s="149"/>
      <c r="D1296" s="143" t="s">
        <v>346</v>
      </c>
      <c r="E1296" s="150"/>
      <c r="F1296" s="151" t="s">
        <v>5966</v>
      </c>
      <c r="H1296" s="152">
        <v>4.1500000000000004</v>
      </c>
      <c r="L1296" s="149"/>
      <c r="M1296" s="153"/>
      <c r="T1296" s="154"/>
      <c r="AT1296" s="150" t="s">
        <v>346</v>
      </c>
      <c r="AU1296" s="150" t="s">
        <v>90</v>
      </c>
      <c r="AV1296" s="148" t="s">
        <v>90</v>
      </c>
      <c r="AW1296" s="148" t="s">
        <v>33</v>
      </c>
      <c r="AX1296" s="148" t="s">
        <v>80</v>
      </c>
      <c r="AY1296" s="150" t="s">
        <v>337</v>
      </c>
    </row>
    <row r="1297" spans="2:51" s="148" customFormat="1" x14ac:dyDescent="0.2">
      <c r="B1297" s="149"/>
      <c r="D1297" s="143" t="s">
        <v>346</v>
      </c>
      <c r="E1297" s="150"/>
      <c r="F1297" s="151" t="s">
        <v>5967</v>
      </c>
      <c r="H1297" s="152">
        <v>15.71</v>
      </c>
      <c r="L1297" s="149"/>
      <c r="M1297" s="153"/>
      <c r="T1297" s="154"/>
      <c r="AT1297" s="150" t="s">
        <v>346</v>
      </c>
      <c r="AU1297" s="150" t="s">
        <v>90</v>
      </c>
      <c r="AV1297" s="148" t="s">
        <v>90</v>
      </c>
      <c r="AW1297" s="148" t="s">
        <v>33</v>
      </c>
      <c r="AX1297" s="148" t="s">
        <v>80</v>
      </c>
      <c r="AY1297" s="150" t="s">
        <v>337</v>
      </c>
    </row>
    <row r="1298" spans="2:51" s="148" customFormat="1" x14ac:dyDescent="0.2">
      <c r="B1298" s="149"/>
      <c r="D1298" s="143" t="s">
        <v>346</v>
      </c>
      <c r="E1298" s="150"/>
      <c r="F1298" s="151" t="s">
        <v>5968</v>
      </c>
      <c r="H1298" s="152">
        <v>3.51</v>
      </c>
      <c r="L1298" s="149"/>
      <c r="M1298" s="153"/>
      <c r="T1298" s="154"/>
      <c r="AT1298" s="150" t="s">
        <v>346</v>
      </c>
      <c r="AU1298" s="150" t="s">
        <v>90</v>
      </c>
      <c r="AV1298" s="148" t="s">
        <v>90</v>
      </c>
      <c r="AW1298" s="148" t="s">
        <v>33</v>
      </c>
      <c r="AX1298" s="148" t="s">
        <v>80</v>
      </c>
      <c r="AY1298" s="150" t="s">
        <v>337</v>
      </c>
    </row>
    <row r="1299" spans="2:51" s="148" customFormat="1" x14ac:dyDescent="0.2">
      <c r="B1299" s="149"/>
      <c r="D1299" s="143" t="s">
        <v>346</v>
      </c>
      <c r="E1299" s="150"/>
      <c r="F1299" s="151" t="s">
        <v>5969</v>
      </c>
      <c r="H1299" s="152">
        <v>13.28</v>
      </c>
      <c r="L1299" s="149"/>
      <c r="M1299" s="153"/>
      <c r="T1299" s="154"/>
      <c r="AT1299" s="150" t="s">
        <v>346</v>
      </c>
      <c r="AU1299" s="150" t="s">
        <v>90</v>
      </c>
      <c r="AV1299" s="148" t="s">
        <v>90</v>
      </c>
      <c r="AW1299" s="148" t="s">
        <v>33</v>
      </c>
      <c r="AX1299" s="148" t="s">
        <v>80</v>
      </c>
      <c r="AY1299" s="150" t="s">
        <v>337</v>
      </c>
    </row>
    <row r="1300" spans="2:51" s="148" customFormat="1" x14ac:dyDescent="0.2">
      <c r="B1300" s="149"/>
      <c r="D1300" s="143" t="s">
        <v>346</v>
      </c>
      <c r="E1300" s="150"/>
      <c r="F1300" s="151" t="s">
        <v>5970</v>
      </c>
      <c r="H1300" s="152">
        <v>13.28</v>
      </c>
      <c r="L1300" s="149"/>
      <c r="M1300" s="153"/>
      <c r="T1300" s="154"/>
      <c r="AT1300" s="150" t="s">
        <v>346</v>
      </c>
      <c r="AU1300" s="150" t="s">
        <v>90</v>
      </c>
      <c r="AV1300" s="148" t="s">
        <v>90</v>
      </c>
      <c r="AW1300" s="148" t="s">
        <v>33</v>
      </c>
      <c r="AX1300" s="148" t="s">
        <v>80</v>
      </c>
      <c r="AY1300" s="150" t="s">
        <v>337</v>
      </c>
    </row>
    <row r="1301" spans="2:51" s="148" customFormat="1" x14ac:dyDescent="0.2">
      <c r="B1301" s="149"/>
      <c r="D1301" s="143" t="s">
        <v>346</v>
      </c>
      <c r="E1301" s="150"/>
      <c r="F1301" s="151" t="s">
        <v>5971</v>
      </c>
      <c r="H1301" s="152">
        <v>3.56</v>
      </c>
      <c r="L1301" s="149"/>
      <c r="M1301" s="153"/>
      <c r="T1301" s="154"/>
      <c r="AT1301" s="150" t="s">
        <v>346</v>
      </c>
      <c r="AU1301" s="150" t="s">
        <v>90</v>
      </c>
      <c r="AV1301" s="148" t="s">
        <v>90</v>
      </c>
      <c r="AW1301" s="148" t="s">
        <v>33</v>
      </c>
      <c r="AX1301" s="148" t="s">
        <v>80</v>
      </c>
      <c r="AY1301" s="150" t="s">
        <v>337</v>
      </c>
    </row>
    <row r="1302" spans="2:51" s="148" customFormat="1" x14ac:dyDescent="0.2">
      <c r="B1302" s="149"/>
      <c r="D1302" s="143" t="s">
        <v>346</v>
      </c>
      <c r="E1302" s="150"/>
      <c r="F1302" s="151" t="s">
        <v>5972</v>
      </c>
      <c r="H1302" s="152">
        <v>3.94</v>
      </c>
      <c r="L1302" s="149"/>
      <c r="M1302" s="153"/>
      <c r="T1302" s="154"/>
      <c r="AT1302" s="150" t="s">
        <v>346</v>
      </c>
      <c r="AU1302" s="150" t="s">
        <v>90</v>
      </c>
      <c r="AV1302" s="148" t="s">
        <v>90</v>
      </c>
      <c r="AW1302" s="148" t="s">
        <v>33</v>
      </c>
      <c r="AX1302" s="148" t="s">
        <v>80</v>
      </c>
      <c r="AY1302" s="150" t="s">
        <v>337</v>
      </c>
    </row>
    <row r="1303" spans="2:51" s="148" customFormat="1" x14ac:dyDescent="0.2">
      <c r="B1303" s="149"/>
      <c r="D1303" s="143" t="s">
        <v>346</v>
      </c>
      <c r="E1303" s="150"/>
      <c r="F1303" s="151" t="s">
        <v>5973</v>
      </c>
      <c r="H1303" s="152">
        <v>14.55</v>
      </c>
      <c r="L1303" s="149"/>
      <c r="M1303" s="153"/>
      <c r="T1303" s="154"/>
      <c r="AT1303" s="150" t="s">
        <v>346</v>
      </c>
      <c r="AU1303" s="150" t="s">
        <v>90</v>
      </c>
      <c r="AV1303" s="148" t="s">
        <v>90</v>
      </c>
      <c r="AW1303" s="148" t="s">
        <v>33</v>
      </c>
      <c r="AX1303" s="148" t="s">
        <v>80</v>
      </c>
      <c r="AY1303" s="150" t="s">
        <v>337</v>
      </c>
    </row>
    <row r="1304" spans="2:51" s="148" customFormat="1" x14ac:dyDescent="0.2">
      <c r="B1304" s="149"/>
      <c r="D1304" s="143" t="s">
        <v>346</v>
      </c>
      <c r="E1304" s="150"/>
      <c r="F1304" s="151" t="s">
        <v>5974</v>
      </c>
      <c r="H1304" s="152">
        <v>3.59</v>
      </c>
      <c r="L1304" s="149"/>
      <c r="M1304" s="153"/>
      <c r="T1304" s="154"/>
      <c r="AT1304" s="150" t="s">
        <v>346</v>
      </c>
      <c r="AU1304" s="150" t="s">
        <v>90</v>
      </c>
      <c r="AV1304" s="148" t="s">
        <v>90</v>
      </c>
      <c r="AW1304" s="148" t="s">
        <v>33</v>
      </c>
      <c r="AX1304" s="148" t="s">
        <v>80</v>
      </c>
      <c r="AY1304" s="150" t="s">
        <v>337</v>
      </c>
    </row>
    <row r="1305" spans="2:51" s="148" customFormat="1" x14ac:dyDescent="0.2">
      <c r="B1305" s="149"/>
      <c r="D1305" s="143" t="s">
        <v>346</v>
      </c>
      <c r="E1305" s="150"/>
      <c r="F1305" s="151" t="s">
        <v>5975</v>
      </c>
      <c r="H1305" s="152">
        <v>12.67</v>
      </c>
      <c r="L1305" s="149"/>
      <c r="M1305" s="153"/>
      <c r="T1305" s="154"/>
      <c r="AT1305" s="150" t="s">
        <v>346</v>
      </c>
      <c r="AU1305" s="150" t="s">
        <v>90</v>
      </c>
      <c r="AV1305" s="148" t="s">
        <v>90</v>
      </c>
      <c r="AW1305" s="148" t="s">
        <v>33</v>
      </c>
      <c r="AX1305" s="148" t="s">
        <v>80</v>
      </c>
      <c r="AY1305" s="150" t="s">
        <v>337</v>
      </c>
    </row>
    <row r="1306" spans="2:51" s="148" customFormat="1" x14ac:dyDescent="0.2">
      <c r="B1306" s="149"/>
      <c r="D1306" s="143" t="s">
        <v>346</v>
      </c>
      <c r="E1306" s="150"/>
      <c r="F1306" s="151" t="s">
        <v>5976</v>
      </c>
      <c r="H1306" s="152">
        <v>4.38</v>
      </c>
      <c r="L1306" s="149"/>
      <c r="M1306" s="153"/>
      <c r="T1306" s="154"/>
      <c r="AT1306" s="150" t="s">
        <v>346</v>
      </c>
      <c r="AU1306" s="150" t="s">
        <v>90</v>
      </c>
      <c r="AV1306" s="148" t="s">
        <v>90</v>
      </c>
      <c r="AW1306" s="148" t="s">
        <v>33</v>
      </c>
      <c r="AX1306" s="148" t="s">
        <v>80</v>
      </c>
      <c r="AY1306" s="150" t="s">
        <v>337</v>
      </c>
    </row>
    <row r="1307" spans="2:51" s="148" customFormat="1" x14ac:dyDescent="0.2">
      <c r="B1307" s="149"/>
      <c r="D1307" s="143" t="s">
        <v>346</v>
      </c>
      <c r="E1307" s="150"/>
      <c r="F1307" s="151" t="s">
        <v>5977</v>
      </c>
      <c r="H1307" s="152">
        <v>14.3</v>
      </c>
      <c r="L1307" s="149"/>
      <c r="M1307" s="153"/>
      <c r="T1307" s="154"/>
      <c r="AT1307" s="150" t="s">
        <v>346</v>
      </c>
      <c r="AU1307" s="150" t="s">
        <v>90</v>
      </c>
      <c r="AV1307" s="148" t="s">
        <v>90</v>
      </c>
      <c r="AW1307" s="148" t="s">
        <v>33</v>
      </c>
      <c r="AX1307" s="148" t="s">
        <v>80</v>
      </c>
      <c r="AY1307" s="150" t="s">
        <v>337</v>
      </c>
    </row>
    <row r="1308" spans="2:51" s="148" customFormat="1" x14ac:dyDescent="0.2">
      <c r="B1308" s="149"/>
      <c r="D1308" s="143" t="s">
        <v>346</v>
      </c>
      <c r="E1308" s="150"/>
      <c r="F1308" s="151" t="s">
        <v>5978</v>
      </c>
      <c r="H1308" s="152">
        <v>17.03</v>
      </c>
      <c r="L1308" s="149"/>
      <c r="M1308" s="153"/>
      <c r="T1308" s="154"/>
      <c r="AT1308" s="150" t="s">
        <v>346</v>
      </c>
      <c r="AU1308" s="150" t="s">
        <v>90</v>
      </c>
      <c r="AV1308" s="148" t="s">
        <v>90</v>
      </c>
      <c r="AW1308" s="148" t="s">
        <v>33</v>
      </c>
      <c r="AX1308" s="148" t="s">
        <v>80</v>
      </c>
      <c r="AY1308" s="150" t="s">
        <v>337</v>
      </c>
    </row>
    <row r="1309" spans="2:51" s="148" customFormat="1" x14ac:dyDescent="0.2">
      <c r="B1309" s="149"/>
      <c r="D1309" s="143" t="s">
        <v>346</v>
      </c>
      <c r="E1309" s="150"/>
      <c r="F1309" s="151" t="s">
        <v>5979</v>
      </c>
      <c r="H1309" s="152">
        <v>13.28</v>
      </c>
      <c r="L1309" s="149"/>
      <c r="M1309" s="153"/>
      <c r="T1309" s="154"/>
      <c r="AT1309" s="150" t="s">
        <v>346</v>
      </c>
      <c r="AU1309" s="150" t="s">
        <v>90</v>
      </c>
      <c r="AV1309" s="148" t="s">
        <v>90</v>
      </c>
      <c r="AW1309" s="148" t="s">
        <v>33</v>
      </c>
      <c r="AX1309" s="148" t="s">
        <v>80</v>
      </c>
      <c r="AY1309" s="150" t="s">
        <v>337</v>
      </c>
    </row>
    <row r="1310" spans="2:51" s="148" customFormat="1" x14ac:dyDescent="0.2">
      <c r="B1310" s="149"/>
      <c r="D1310" s="143" t="s">
        <v>346</v>
      </c>
      <c r="E1310" s="150"/>
      <c r="F1310" s="151" t="s">
        <v>5980</v>
      </c>
      <c r="H1310" s="152">
        <v>15.6</v>
      </c>
      <c r="L1310" s="149"/>
      <c r="M1310" s="153"/>
      <c r="T1310" s="154"/>
      <c r="AT1310" s="150" t="s">
        <v>346</v>
      </c>
      <c r="AU1310" s="150" t="s">
        <v>90</v>
      </c>
      <c r="AV1310" s="148" t="s">
        <v>90</v>
      </c>
      <c r="AW1310" s="148" t="s">
        <v>33</v>
      </c>
      <c r="AX1310" s="148" t="s">
        <v>80</v>
      </c>
      <c r="AY1310" s="150" t="s">
        <v>337</v>
      </c>
    </row>
    <row r="1311" spans="2:51" s="172" customFormat="1" x14ac:dyDescent="0.2">
      <c r="B1311" s="173"/>
      <c r="D1311" s="143" t="s">
        <v>346</v>
      </c>
      <c r="E1311" s="174" t="s">
        <v>5163</v>
      </c>
      <c r="F1311" s="175" t="s">
        <v>609</v>
      </c>
      <c r="H1311" s="176">
        <v>1697.96</v>
      </c>
      <c r="L1311" s="173"/>
      <c r="M1311" s="177"/>
      <c r="T1311" s="178"/>
      <c r="AT1311" s="174" t="s">
        <v>346</v>
      </c>
      <c r="AU1311" s="174" t="s">
        <v>90</v>
      </c>
      <c r="AV1311" s="172" t="s">
        <v>113</v>
      </c>
      <c r="AW1311" s="172" t="s">
        <v>33</v>
      </c>
      <c r="AX1311" s="172" t="s">
        <v>80</v>
      </c>
      <c r="AY1311" s="174" t="s">
        <v>337</v>
      </c>
    </row>
    <row r="1312" spans="2:51" s="141" customFormat="1" x14ac:dyDescent="0.2">
      <c r="B1312" s="142"/>
      <c r="D1312" s="143" t="s">
        <v>346</v>
      </c>
      <c r="E1312" s="144"/>
      <c r="F1312" s="145" t="s">
        <v>5981</v>
      </c>
      <c r="H1312" s="144"/>
      <c r="L1312" s="142"/>
      <c r="M1312" s="146"/>
      <c r="T1312" s="147"/>
      <c r="AT1312" s="144" t="s">
        <v>346</v>
      </c>
      <c r="AU1312" s="144" t="s">
        <v>90</v>
      </c>
      <c r="AV1312" s="141" t="s">
        <v>87</v>
      </c>
      <c r="AW1312" s="141" t="s">
        <v>33</v>
      </c>
      <c r="AX1312" s="141" t="s">
        <v>80</v>
      </c>
      <c r="AY1312" s="144" t="s">
        <v>337</v>
      </c>
    </row>
    <row r="1313" spans="2:51" s="148" customFormat="1" x14ac:dyDescent="0.2">
      <c r="B1313" s="149"/>
      <c r="D1313" s="143" t="s">
        <v>346</v>
      </c>
      <c r="E1313" s="150"/>
      <c r="F1313" s="151" t="s">
        <v>5982</v>
      </c>
      <c r="H1313" s="152">
        <v>3.84</v>
      </c>
      <c r="L1313" s="149"/>
      <c r="M1313" s="153"/>
      <c r="T1313" s="154"/>
      <c r="AT1313" s="150" t="s">
        <v>346</v>
      </c>
      <c r="AU1313" s="150" t="s">
        <v>90</v>
      </c>
      <c r="AV1313" s="148" t="s">
        <v>90</v>
      </c>
      <c r="AW1313" s="148" t="s">
        <v>33</v>
      </c>
      <c r="AX1313" s="148" t="s">
        <v>80</v>
      </c>
      <c r="AY1313" s="150" t="s">
        <v>337</v>
      </c>
    </row>
    <row r="1314" spans="2:51" s="148" customFormat="1" x14ac:dyDescent="0.2">
      <c r="B1314" s="149"/>
      <c r="D1314" s="143" t="s">
        <v>346</v>
      </c>
      <c r="E1314" s="150"/>
      <c r="F1314" s="151" t="s">
        <v>5983</v>
      </c>
      <c r="H1314" s="152">
        <v>5</v>
      </c>
      <c r="L1314" s="149"/>
      <c r="M1314" s="153"/>
      <c r="T1314" s="154"/>
      <c r="AT1314" s="150" t="s">
        <v>346</v>
      </c>
      <c r="AU1314" s="150" t="s">
        <v>90</v>
      </c>
      <c r="AV1314" s="148" t="s">
        <v>90</v>
      </c>
      <c r="AW1314" s="148" t="s">
        <v>33</v>
      </c>
      <c r="AX1314" s="148" t="s">
        <v>80</v>
      </c>
      <c r="AY1314" s="150" t="s">
        <v>337</v>
      </c>
    </row>
    <row r="1315" spans="2:51" s="148" customFormat="1" x14ac:dyDescent="0.2">
      <c r="B1315" s="149"/>
      <c r="D1315" s="143" t="s">
        <v>346</v>
      </c>
      <c r="E1315" s="150"/>
      <c r="F1315" s="151" t="s">
        <v>5984</v>
      </c>
      <c r="H1315" s="152">
        <v>3.84</v>
      </c>
      <c r="L1315" s="149"/>
      <c r="M1315" s="153"/>
      <c r="T1315" s="154"/>
      <c r="AT1315" s="150" t="s">
        <v>346</v>
      </c>
      <c r="AU1315" s="150" t="s">
        <v>90</v>
      </c>
      <c r="AV1315" s="148" t="s">
        <v>90</v>
      </c>
      <c r="AW1315" s="148" t="s">
        <v>33</v>
      </c>
      <c r="AX1315" s="148" t="s">
        <v>80</v>
      </c>
      <c r="AY1315" s="150" t="s">
        <v>337</v>
      </c>
    </row>
    <row r="1316" spans="2:51" s="148" customFormat="1" x14ac:dyDescent="0.2">
      <c r="B1316" s="149"/>
      <c r="D1316" s="143" t="s">
        <v>346</v>
      </c>
      <c r="E1316" s="150"/>
      <c r="F1316" s="151" t="s">
        <v>5985</v>
      </c>
      <c r="H1316" s="152">
        <v>14.48</v>
      </c>
      <c r="L1316" s="149"/>
      <c r="M1316" s="153"/>
      <c r="T1316" s="154"/>
      <c r="AT1316" s="150" t="s">
        <v>346</v>
      </c>
      <c r="AU1316" s="150" t="s">
        <v>90</v>
      </c>
      <c r="AV1316" s="148" t="s">
        <v>90</v>
      </c>
      <c r="AW1316" s="148" t="s">
        <v>33</v>
      </c>
      <c r="AX1316" s="148" t="s">
        <v>80</v>
      </c>
      <c r="AY1316" s="150" t="s">
        <v>337</v>
      </c>
    </row>
    <row r="1317" spans="2:51" s="148" customFormat="1" x14ac:dyDescent="0.2">
      <c r="B1317" s="149"/>
      <c r="D1317" s="143" t="s">
        <v>346</v>
      </c>
      <c r="E1317" s="150"/>
      <c r="F1317" s="151" t="s">
        <v>5986</v>
      </c>
      <c r="H1317" s="152">
        <v>86.7</v>
      </c>
      <c r="L1317" s="149"/>
      <c r="M1317" s="153"/>
      <c r="T1317" s="154"/>
      <c r="AT1317" s="150" t="s">
        <v>346</v>
      </c>
      <c r="AU1317" s="150" t="s">
        <v>90</v>
      </c>
      <c r="AV1317" s="148" t="s">
        <v>90</v>
      </c>
      <c r="AW1317" s="148" t="s">
        <v>33</v>
      </c>
      <c r="AX1317" s="148" t="s">
        <v>80</v>
      </c>
      <c r="AY1317" s="150" t="s">
        <v>337</v>
      </c>
    </row>
    <row r="1318" spans="2:51" s="148" customFormat="1" x14ac:dyDescent="0.2">
      <c r="B1318" s="149"/>
      <c r="D1318" s="143" t="s">
        <v>346</v>
      </c>
      <c r="E1318" s="150"/>
      <c r="F1318" s="151" t="s">
        <v>5987</v>
      </c>
      <c r="H1318" s="152">
        <v>3.84</v>
      </c>
      <c r="L1318" s="149"/>
      <c r="M1318" s="153"/>
      <c r="T1318" s="154"/>
      <c r="AT1318" s="150" t="s">
        <v>346</v>
      </c>
      <c r="AU1318" s="150" t="s">
        <v>90</v>
      </c>
      <c r="AV1318" s="148" t="s">
        <v>90</v>
      </c>
      <c r="AW1318" s="148" t="s">
        <v>33</v>
      </c>
      <c r="AX1318" s="148" t="s">
        <v>80</v>
      </c>
      <c r="AY1318" s="150" t="s">
        <v>337</v>
      </c>
    </row>
    <row r="1319" spans="2:51" s="148" customFormat="1" x14ac:dyDescent="0.2">
      <c r="B1319" s="149"/>
      <c r="D1319" s="143" t="s">
        <v>346</v>
      </c>
      <c r="E1319" s="150"/>
      <c r="F1319" s="151" t="s">
        <v>5988</v>
      </c>
      <c r="H1319" s="152">
        <v>3.84</v>
      </c>
      <c r="L1319" s="149"/>
      <c r="M1319" s="153"/>
      <c r="T1319" s="154"/>
      <c r="AT1319" s="150" t="s">
        <v>346</v>
      </c>
      <c r="AU1319" s="150" t="s">
        <v>90</v>
      </c>
      <c r="AV1319" s="148" t="s">
        <v>90</v>
      </c>
      <c r="AW1319" s="148" t="s">
        <v>33</v>
      </c>
      <c r="AX1319" s="148" t="s">
        <v>80</v>
      </c>
      <c r="AY1319" s="150" t="s">
        <v>337</v>
      </c>
    </row>
    <row r="1320" spans="2:51" s="172" customFormat="1" x14ac:dyDescent="0.2">
      <c r="B1320" s="173"/>
      <c r="D1320" s="143" t="s">
        <v>346</v>
      </c>
      <c r="E1320" s="174" t="s">
        <v>5180</v>
      </c>
      <c r="F1320" s="175" t="s">
        <v>609</v>
      </c>
      <c r="H1320" s="176">
        <v>121.54</v>
      </c>
      <c r="L1320" s="173"/>
      <c r="M1320" s="177"/>
      <c r="T1320" s="178"/>
      <c r="AT1320" s="174" t="s">
        <v>346</v>
      </c>
      <c r="AU1320" s="174" t="s">
        <v>90</v>
      </c>
      <c r="AV1320" s="172" t="s">
        <v>113</v>
      </c>
      <c r="AW1320" s="172" t="s">
        <v>33</v>
      </c>
      <c r="AX1320" s="172" t="s">
        <v>80</v>
      </c>
      <c r="AY1320" s="174" t="s">
        <v>337</v>
      </c>
    </row>
    <row r="1321" spans="2:51" s="141" customFormat="1" x14ac:dyDescent="0.2">
      <c r="B1321" s="142"/>
      <c r="D1321" s="143" t="s">
        <v>346</v>
      </c>
      <c r="E1321" s="144"/>
      <c r="F1321" s="145" t="s">
        <v>5989</v>
      </c>
      <c r="H1321" s="144"/>
      <c r="L1321" s="142"/>
      <c r="M1321" s="146"/>
      <c r="T1321" s="147"/>
      <c r="AT1321" s="144" t="s">
        <v>346</v>
      </c>
      <c r="AU1321" s="144" t="s">
        <v>90</v>
      </c>
      <c r="AV1321" s="141" t="s">
        <v>87</v>
      </c>
      <c r="AW1321" s="141" t="s">
        <v>33</v>
      </c>
      <c r="AX1321" s="141" t="s">
        <v>80</v>
      </c>
      <c r="AY1321" s="144" t="s">
        <v>337</v>
      </c>
    </row>
    <row r="1322" spans="2:51" s="148" customFormat="1" x14ac:dyDescent="0.2">
      <c r="B1322" s="149"/>
      <c r="D1322" s="143" t="s">
        <v>346</v>
      </c>
      <c r="E1322" s="150"/>
      <c r="F1322" s="151" t="s">
        <v>5990</v>
      </c>
      <c r="H1322" s="152">
        <v>22.73</v>
      </c>
      <c r="L1322" s="149"/>
      <c r="M1322" s="153"/>
      <c r="T1322" s="154"/>
      <c r="AT1322" s="150" t="s">
        <v>346</v>
      </c>
      <c r="AU1322" s="150" t="s">
        <v>90</v>
      </c>
      <c r="AV1322" s="148" t="s">
        <v>90</v>
      </c>
      <c r="AW1322" s="148" t="s">
        <v>33</v>
      </c>
      <c r="AX1322" s="148" t="s">
        <v>80</v>
      </c>
      <c r="AY1322" s="150" t="s">
        <v>337</v>
      </c>
    </row>
    <row r="1323" spans="2:51" s="148" customFormat="1" x14ac:dyDescent="0.2">
      <c r="B1323" s="149"/>
      <c r="D1323" s="143" t="s">
        <v>346</v>
      </c>
      <c r="E1323" s="150"/>
      <c r="F1323" s="151" t="s">
        <v>5991</v>
      </c>
      <c r="H1323" s="152">
        <v>19.91</v>
      </c>
      <c r="L1323" s="149"/>
      <c r="M1323" s="153"/>
      <c r="T1323" s="154"/>
      <c r="AT1323" s="150" t="s">
        <v>346</v>
      </c>
      <c r="AU1323" s="150" t="s">
        <v>90</v>
      </c>
      <c r="AV1323" s="148" t="s">
        <v>90</v>
      </c>
      <c r="AW1323" s="148" t="s">
        <v>33</v>
      </c>
      <c r="AX1323" s="148" t="s">
        <v>80</v>
      </c>
      <c r="AY1323" s="150" t="s">
        <v>337</v>
      </c>
    </row>
    <row r="1324" spans="2:51" s="148" customFormat="1" x14ac:dyDescent="0.2">
      <c r="B1324" s="149"/>
      <c r="D1324" s="143" t="s">
        <v>346</v>
      </c>
      <c r="E1324" s="150"/>
      <c r="F1324" s="151" t="s">
        <v>5992</v>
      </c>
      <c r="H1324" s="152">
        <v>22.73</v>
      </c>
      <c r="L1324" s="149"/>
      <c r="M1324" s="153"/>
      <c r="T1324" s="154"/>
      <c r="AT1324" s="150" t="s">
        <v>346</v>
      </c>
      <c r="AU1324" s="150" t="s">
        <v>90</v>
      </c>
      <c r="AV1324" s="148" t="s">
        <v>90</v>
      </c>
      <c r="AW1324" s="148" t="s">
        <v>33</v>
      </c>
      <c r="AX1324" s="148" t="s">
        <v>80</v>
      </c>
      <c r="AY1324" s="150" t="s">
        <v>337</v>
      </c>
    </row>
    <row r="1325" spans="2:51" s="148" customFormat="1" x14ac:dyDescent="0.2">
      <c r="B1325" s="149"/>
      <c r="D1325" s="143" t="s">
        <v>346</v>
      </c>
      <c r="E1325" s="150"/>
      <c r="F1325" s="151" t="s">
        <v>5993</v>
      </c>
      <c r="H1325" s="152">
        <v>19.91</v>
      </c>
      <c r="L1325" s="149"/>
      <c r="M1325" s="153"/>
      <c r="T1325" s="154"/>
      <c r="AT1325" s="150" t="s">
        <v>346</v>
      </c>
      <c r="AU1325" s="150" t="s">
        <v>90</v>
      </c>
      <c r="AV1325" s="148" t="s">
        <v>90</v>
      </c>
      <c r="AW1325" s="148" t="s">
        <v>33</v>
      </c>
      <c r="AX1325" s="148" t="s">
        <v>80</v>
      </c>
      <c r="AY1325" s="150" t="s">
        <v>337</v>
      </c>
    </row>
    <row r="1326" spans="2:51" s="148" customFormat="1" x14ac:dyDescent="0.2">
      <c r="B1326" s="149"/>
      <c r="D1326" s="143" t="s">
        <v>346</v>
      </c>
      <c r="E1326" s="150"/>
      <c r="F1326" s="151" t="s">
        <v>5994</v>
      </c>
      <c r="H1326" s="152">
        <v>22.73</v>
      </c>
      <c r="L1326" s="149"/>
      <c r="M1326" s="153"/>
      <c r="T1326" s="154"/>
      <c r="AT1326" s="150" t="s">
        <v>346</v>
      </c>
      <c r="AU1326" s="150" t="s">
        <v>90</v>
      </c>
      <c r="AV1326" s="148" t="s">
        <v>90</v>
      </c>
      <c r="AW1326" s="148" t="s">
        <v>33</v>
      </c>
      <c r="AX1326" s="148" t="s">
        <v>80</v>
      </c>
      <c r="AY1326" s="150" t="s">
        <v>337</v>
      </c>
    </row>
    <row r="1327" spans="2:51" s="148" customFormat="1" x14ac:dyDescent="0.2">
      <c r="B1327" s="149"/>
      <c r="D1327" s="143" t="s">
        <v>346</v>
      </c>
      <c r="E1327" s="150"/>
      <c r="F1327" s="151" t="s">
        <v>5995</v>
      </c>
      <c r="H1327" s="152">
        <v>19.91</v>
      </c>
      <c r="L1327" s="149"/>
      <c r="M1327" s="153"/>
      <c r="T1327" s="154"/>
      <c r="AT1327" s="150" t="s">
        <v>346</v>
      </c>
      <c r="AU1327" s="150" t="s">
        <v>90</v>
      </c>
      <c r="AV1327" s="148" t="s">
        <v>90</v>
      </c>
      <c r="AW1327" s="148" t="s">
        <v>33</v>
      </c>
      <c r="AX1327" s="148" t="s">
        <v>80</v>
      </c>
      <c r="AY1327" s="150" t="s">
        <v>337</v>
      </c>
    </row>
    <row r="1328" spans="2:51" s="172" customFormat="1" x14ac:dyDescent="0.2">
      <c r="B1328" s="173"/>
      <c r="D1328" s="143" t="s">
        <v>346</v>
      </c>
      <c r="E1328" s="174" t="s">
        <v>5172</v>
      </c>
      <c r="F1328" s="175" t="s">
        <v>609</v>
      </c>
      <c r="H1328" s="176">
        <v>127.92</v>
      </c>
      <c r="L1328" s="173"/>
      <c r="M1328" s="177"/>
      <c r="T1328" s="178"/>
      <c r="AT1328" s="174" t="s">
        <v>346</v>
      </c>
      <c r="AU1328" s="174" t="s">
        <v>90</v>
      </c>
      <c r="AV1328" s="172" t="s">
        <v>113</v>
      </c>
      <c r="AW1328" s="172" t="s">
        <v>33</v>
      </c>
      <c r="AX1328" s="172" t="s">
        <v>80</v>
      </c>
      <c r="AY1328" s="174" t="s">
        <v>337</v>
      </c>
    </row>
    <row r="1329" spans="2:65" s="155" customFormat="1" x14ac:dyDescent="0.2">
      <c r="B1329" s="156"/>
      <c r="D1329" s="143" t="s">
        <v>346</v>
      </c>
      <c r="E1329" s="157"/>
      <c r="F1329" s="158" t="s">
        <v>351</v>
      </c>
      <c r="H1329" s="159">
        <v>1947.42</v>
      </c>
      <c r="L1329" s="156"/>
      <c r="M1329" s="160"/>
      <c r="T1329" s="161"/>
      <c r="AT1329" s="157" t="s">
        <v>346</v>
      </c>
      <c r="AU1329" s="157" t="s">
        <v>90</v>
      </c>
      <c r="AV1329" s="155" t="s">
        <v>344</v>
      </c>
      <c r="AW1329" s="155" t="s">
        <v>33</v>
      </c>
      <c r="AX1329" s="155" t="s">
        <v>87</v>
      </c>
      <c r="AY1329" s="157" t="s">
        <v>337</v>
      </c>
    </row>
    <row r="1330" spans="2:65" s="116" customFormat="1" ht="22.9" customHeight="1" x14ac:dyDescent="0.2">
      <c r="B1330" s="117"/>
      <c r="D1330" s="118" t="s">
        <v>79</v>
      </c>
      <c r="E1330" s="126" t="s">
        <v>2322</v>
      </c>
      <c r="F1330" s="126" t="s">
        <v>2323</v>
      </c>
      <c r="J1330" s="127">
        <f>BK1330</f>
        <v>0</v>
      </c>
      <c r="L1330" s="117"/>
      <c r="M1330" s="121"/>
      <c r="P1330" s="122">
        <f>SUM(P1331:P1334)</f>
        <v>0</v>
      </c>
      <c r="R1330" s="122">
        <f>SUM(R1331:R1334)</f>
        <v>0.55000000000000004</v>
      </c>
      <c r="T1330" s="123">
        <f>SUM(T1331:T1334)</f>
        <v>0.17050000000000001</v>
      </c>
      <c r="AR1330" s="118" t="s">
        <v>90</v>
      </c>
      <c r="AT1330" s="124" t="s">
        <v>79</v>
      </c>
      <c r="AU1330" s="124" t="s">
        <v>87</v>
      </c>
      <c r="AY1330" s="118" t="s">
        <v>337</v>
      </c>
      <c r="BK1330" s="125">
        <f>SUM(BK1331:BK1334)</f>
        <v>0</v>
      </c>
    </row>
    <row r="1331" spans="2:65" s="16" customFormat="1" ht="16.5" customHeight="1" x14ac:dyDescent="0.2">
      <c r="B1331" s="17"/>
      <c r="C1331" s="128">
        <v>72</v>
      </c>
      <c r="D1331" s="128" t="s">
        <v>339</v>
      </c>
      <c r="E1331" s="129" t="s">
        <v>5996</v>
      </c>
      <c r="F1331" s="130" t="s">
        <v>5997</v>
      </c>
      <c r="G1331" s="131" t="s">
        <v>425</v>
      </c>
      <c r="H1331" s="132">
        <v>550</v>
      </c>
      <c r="I1331" s="133"/>
      <c r="J1331" s="134">
        <f>ROUND(I1331*H1331,2)</f>
        <v>0</v>
      </c>
      <c r="K1331" s="130" t="s">
        <v>343</v>
      </c>
      <c r="L1331" s="17"/>
      <c r="M1331" s="135"/>
      <c r="N1331" s="136" t="s">
        <v>45</v>
      </c>
      <c r="P1331" s="137">
        <f>O1331*H1331</f>
        <v>0</v>
      </c>
      <c r="Q1331" s="137">
        <v>1E-3</v>
      </c>
      <c r="R1331" s="137">
        <f>Q1331*H1331</f>
        <v>0.55000000000000004</v>
      </c>
      <c r="S1331" s="137">
        <v>3.1E-4</v>
      </c>
      <c r="T1331" s="138">
        <f>S1331*H1331</f>
        <v>0.17050000000000001</v>
      </c>
      <c r="AR1331" s="139" t="s">
        <v>496</v>
      </c>
      <c r="AT1331" s="139" t="s">
        <v>339</v>
      </c>
      <c r="AU1331" s="139" t="s">
        <v>90</v>
      </c>
      <c r="AY1331" s="2" t="s">
        <v>337</v>
      </c>
      <c r="BE1331" s="140">
        <f>IF(N1331="základní",J1331,0)</f>
        <v>0</v>
      </c>
      <c r="BF1331" s="140">
        <f>IF(N1331="snížená",J1331,0)</f>
        <v>0</v>
      </c>
      <c r="BG1331" s="140">
        <f>IF(N1331="zákl. přenesená",J1331,0)</f>
        <v>0</v>
      </c>
      <c r="BH1331" s="140">
        <f>IF(N1331="sníž. přenesená",J1331,0)</f>
        <v>0</v>
      </c>
      <c r="BI1331" s="140">
        <f>IF(N1331="nulová",J1331,0)</f>
        <v>0</v>
      </c>
      <c r="BJ1331" s="2" t="s">
        <v>87</v>
      </c>
      <c r="BK1331" s="140">
        <f>ROUND(I1331*H1331,2)</f>
        <v>0</v>
      </c>
      <c r="BL1331" s="2" t="s">
        <v>496</v>
      </c>
      <c r="BM1331" s="139" t="s">
        <v>5998</v>
      </c>
    </row>
    <row r="1332" spans="2:65" s="141" customFormat="1" ht="22.5" x14ac:dyDescent="0.2">
      <c r="B1332" s="142"/>
      <c r="D1332" s="143" t="s">
        <v>346</v>
      </c>
      <c r="E1332" s="144"/>
      <c r="F1332" s="145" t="s">
        <v>5999</v>
      </c>
      <c r="H1332" s="144"/>
      <c r="L1332" s="142"/>
      <c r="M1332" s="146"/>
      <c r="T1332" s="147"/>
      <c r="AT1332" s="144" t="s">
        <v>346</v>
      </c>
      <c r="AU1332" s="144" t="s">
        <v>90</v>
      </c>
      <c r="AV1332" s="141" t="s">
        <v>87</v>
      </c>
      <c r="AW1332" s="141" t="s">
        <v>33</v>
      </c>
      <c r="AX1332" s="141" t="s">
        <v>80</v>
      </c>
      <c r="AY1332" s="144" t="s">
        <v>337</v>
      </c>
    </row>
    <row r="1333" spans="2:65" s="141" customFormat="1" x14ac:dyDescent="0.2">
      <c r="B1333" s="142"/>
      <c r="D1333" s="143" t="s">
        <v>346</v>
      </c>
      <c r="E1333" s="144"/>
      <c r="F1333" s="145" t="s">
        <v>964</v>
      </c>
      <c r="H1333" s="144"/>
      <c r="L1333" s="142"/>
      <c r="M1333" s="146"/>
      <c r="T1333" s="147"/>
      <c r="AT1333" s="144" t="s">
        <v>346</v>
      </c>
      <c r="AU1333" s="144" t="s">
        <v>90</v>
      </c>
      <c r="AV1333" s="141" t="s">
        <v>87</v>
      </c>
      <c r="AW1333" s="141" t="s">
        <v>33</v>
      </c>
      <c r="AX1333" s="141" t="s">
        <v>80</v>
      </c>
      <c r="AY1333" s="144" t="s">
        <v>337</v>
      </c>
    </row>
    <row r="1334" spans="2:65" s="148" customFormat="1" x14ac:dyDescent="0.2">
      <c r="B1334" s="149"/>
      <c r="D1334" s="143" t="s">
        <v>346</v>
      </c>
      <c r="E1334" s="150"/>
      <c r="F1334" s="151" t="s">
        <v>6000</v>
      </c>
      <c r="H1334" s="152">
        <v>550</v>
      </c>
      <c r="L1334" s="149"/>
      <c r="M1334" s="184"/>
      <c r="N1334" s="185"/>
      <c r="O1334" s="185"/>
      <c r="P1334" s="185"/>
      <c r="Q1334" s="185"/>
      <c r="R1334" s="185"/>
      <c r="S1334" s="185"/>
      <c r="T1334" s="186"/>
      <c r="AT1334" s="150" t="s">
        <v>346</v>
      </c>
      <c r="AU1334" s="150" t="s">
        <v>90</v>
      </c>
      <c r="AV1334" s="148" t="s">
        <v>90</v>
      </c>
      <c r="AW1334" s="148" t="s">
        <v>33</v>
      </c>
      <c r="AX1334" s="148" t="s">
        <v>87</v>
      </c>
      <c r="AY1334" s="150" t="s">
        <v>337</v>
      </c>
    </row>
    <row r="1335" spans="2:65" s="16" customFormat="1" ht="6.95" customHeight="1" x14ac:dyDescent="0.2">
      <c r="B1335" s="30"/>
      <c r="C1335" s="19"/>
      <c r="D1335" s="19"/>
      <c r="E1335" s="19"/>
      <c r="F1335" s="19"/>
      <c r="G1335" s="19"/>
      <c r="H1335" s="19"/>
      <c r="I1335" s="19"/>
      <c r="J1335" s="19"/>
      <c r="K1335" s="19"/>
      <c r="L1335" s="17"/>
    </row>
  </sheetData>
  <sheetProtection algorithmName="SHA-512" hashValue="xMozcQM1XP15o7EmkB0E7ayBjHSQ648+k8Eg3wopqFXRK+XIMdbftWuNKZgxBhneTNVVn485zv/W4P6UPyBEoQ==" saltValue="m7haAvCvy9m56UYvinmhqA==" spinCount="100000" sheet="1" objects="1" scenarios="1" formatCells="0" formatColumns="0" formatRows="0" autoFilter="0"/>
  <autoFilter ref="C137:K1334" xr:uid="{00000000-0009-0000-0000-00000C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4"/>
  <dimension ref="B2:BM288"/>
  <sheetViews>
    <sheetView showGridLines="0" workbookViewId="0">
      <selection activeCell="F101" sqref="F101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6.1640625" customWidth="1"/>
    <col min="4" max="4" width="4" customWidth="1"/>
    <col min="5" max="5" width="16" customWidth="1"/>
    <col min="6" max="6" width="94.1640625" customWidth="1"/>
    <col min="7" max="7" width="9.5" customWidth="1"/>
    <col min="8" max="8" width="13" customWidth="1"/>
    <col min="9" max="9" width="14.83203125" customWidth="1"/>
    <col min="10" max="10" width="24.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135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" hidden="1" customHeight="1" x14ac:dyDescent="0.2">
      <c r="B8" s="5"/>
      <c r="D8" s="12" t="s">
        <v>190</v>
      </c>
      <c r="L8" s="5"/>
    </row>
    <row r="9" spans="2:4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</row>
    <row r="10" spans="2:46" s="16" customFormat="1" ht="12" hidden="1" customHeight="1" x14ac:dyDescent="0.2">
      <c r="B10" s="17"/>
      <c r="D10" s="12" t="s">
        <v>196</v>
      </c>
      <c r="L10" s="17"/>
    </row>
    <row r="11" spans="2:46" s="16" customFormat="1" ht="16.5" hidden="1" customHeight="1" x14ac:dyDescent="0.2">
      <c r="B11" s="17"/>
      <c r="E11" s="309" t="s">
        <v>6001</v>
      </c>
      <c r="F11" s="309"/>
      <c r="G11" s="309"/>
      <c r="H11" s="309"/>
      <c r="L11" s="17"/>
    </row>
    <row r="12" spans="2:46" s="16" customFormat="1" hidden="1" x14ac:dyDescent="0.2">
      <c r="B12" s="17"/>
      <c r="L12" s="17"/>
    </row>
    <row r="13" spans="2:4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</row>
    <row r="14" spans="2:46" s="16" customFormat="1" ht="12" hidden="1" customHeight="1" x14ac:dyDescent="0.2">
      <c r="B14" s="17"/>
      <c r="D14" s="12" t="s">
        <v>19</v>
      </c>
      <c r="F14" s="10" t="s">
        <v>371</v>
      </c>
      <c r="I14" s="12" t="s">
        <v>21</v>
      </c>
      <c r="J14" s="38" t="str">
        <f>IF(Rekapitulace_stavby!AN8&lt;&gt;"",Rekapitulace_stavby!AN8,"")</f>
        <v/>
      </c>
      <c r="L14" s="17"/>
    </row>
    <row r="15" spans="2:46" s="16" customFormat="1" ht="10.9" hidden="1" customHeight="1" x14ac:dyDescent="0.2">
      <c r="B15" s="17"/>
      <c r="L15" s="17"/>
    </row>
    <row r="16" spans="2:46" s="16" customFormat="1" ht="12" hidden="1" customHeight="1" x14ac:dyDescent="0.2">
      <c r="B16" s="17"/>
      <c r="D16" s="12" t="s">
        <v>22</v>
      </c>
      <c r="I16" s="12" t="s">
        <v>23</v>
      </c>
      <c r="J16" s="10" t="str">
        <f>IF(Rekapitulace_stavby!AN10="","",Rekapitulace_stavby!AN10)</f>
        <v>00216208</v>
      </c>
      <c r="L16" s="17"/>
    </row>
    <row r="17" spans="2:12" s="16" customFormat="1" ht="18" hidden="1" customHeight="1" x14ac:dyDescent="0.2">
      <c r="B17" s="17"/>
      <c r="E17" s="10" t="str">
        <f>IF(Rekapitulace_stavby!E11="","",Rekapitulace_stavby!E11)</f>
        <v>Univerzita Karlova, Lékařská fakulta v Plzni</v>
      </c>
      <c r="I17" s="12" t="s">
        <v>26</v>
      </c>
      <c r="J17" s="10" t="str">
        <f>IF(Rekapitulace_stavby!AN11="","",Rekapitulace_stavby!AN11)</f>
        <v>CZ00216208</v>
      </c>
      <c r="L17" s="17"/>
    </row>
    <row r="18" spans="2:12" s="16" customFormat="1" ht="6.95" hidden="1" customHeight="1" x14ac:dyDescent="0.2">
      <c r="B18" s="17"/>
      <c r="L18" s="17"/>
    </row>
    <row r="19" spans="2:12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</row>
    <row r="20" spans="2:12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12" s="16" customFormat="1" ht="6.95" hidden="1" customHeight="1" x14ac:dyDescent="0.2">
      <c r="B21" s="17"/>
      <c r="L21" s="17"/>
    </row>
    <row r="22" spans="2:12" s="16" customFormat="1" ht="12" hidden="1" customHeight="1" x14ac:dyDescent="0.2">
      <c r="B22" s="17"/>
      <c r="D22" s="12" t="s">
        <v>29</v>
      </c>
      <c r="I22" s="12" t="s">
        <v>23</v>
      </c>
      <c r="J22" s="10" t="str">
        <f>IF(Rekapitulace_stavby!AN16="","",Rekapitulace_stavby!AN16)</f>
        <v>48025721</v>
      </c>
      <c r="L22" s="17"/>
    </row>
    <row r="23" spans="2:12" s="16" customFormat="1" ht="18" hidden="1" customHeight="1" x14ac:dyDescent="0.2">
      <c r="B23" s="17"/>
      <c r="E23" s="10" t="str">
        <f>IF(Rekapitulace_stavby!E17="","",Rekapitulace_stavby!E17)</f>
        <v>MEPRO s.r.o.</v>
      </c>
      <c r="I23" s="12" t="s">
        <v>26</v>
      </c>
      <c r="J23" s="10" t="str">
        <f>IF(Rekapitulace_stavby!AN17="","",Rekapitulace_stavby!AN17)</f>
        <v>CZ48025721</v>
      </c>
      <c r="L23" s="17"/>
    </row>
    <row r="24" spans="2:12" s="16" customFormat="1" ht="6.95" hidden="1" customHeight="1" x14ac:dyDescent="0.2">
      <c r="B24" s="17"/>
      <c r="L24" s="17"/>
    </row>
    <row r="25" spans="2:12" s="16" customFormat="1" ht="12" hidden="1" customHeight="1" x14ac:dyDescent="0.2">
      <c r="B25" s="17"/>
      <c r="D25" s="12" t="s">
        <v>34</v>
      </c>
      <c r="I25" s="12" t="s">
        <v>23</v>
      </c>
      <c r="J25" s="10" t="str">
        <f>IF(Rekapitulace_stavby!AN19="","",Rekapitulace_stavby!AN19)</f>
        <v>25415751</v>
      </c>
      <c r="L25" s="17"/>
    </row>
    <row r="26" spans="2:12" s="16" customFormat="1" ht="18" hidden="1" customHeight="1" x14ac:dyDescent="0.2">
      <c r="B26" s="17"/>
      <c r="E26" s="10" t="str">
        <f>IF(Rekapitulace_stavby!E20="","",Rekapitulace_stavby!E20)</f>
        <v>Propos Liberec s.r.o.</v>
      </c>
      <c r="I26" s="12" t="s">
        <v>26</v>
      </c>
      <c r="J26" s="10" t="str">
        <f>IF(Rekapitulace_stavby!AN20="","",Rekapitulace_stavby!AN20)</f>
        <v>CZ25415751</v>
      </c>
      <c r="L26" s="17"/>
    </row>
    <row r="27" spans="2:12" s="16" customFormat="1" ht="6.95" hidden="1" customHeight="1" x14ac:dyDescent="0.2">
      <c r="B27" s="17"/>
      <c r="L27" s="17"/>
    </row>
    <row r="28" spans="2:12" s="16" customFormat="1" ht="12" hidden="1" customHeight="1" x14ac:dyDescent="0.2">
      <c r="B28" s="17"/>
      <c r="D28" s="12" t="s">
        <v>38</v>
      </c>
      <c r="L28" s="17"/>
    </row>
    <row r="29" spans="2:12" s="81" customFormat="1" ht="143.25" hidden="1" customHeight="1" x14ac:dyDescent="0.2">
      <c r="B29" s="82"/>
      <c r="E29" s="304" t="s">
        <v>6002</v>
      </c>
      <c r="F29" s="304"/>
      <c r="G29" s="304"/>
      <c r="H29" s="304"/>
      <c r="L29" s="82"/>
    </row>
    <row r="30" spans="2:12" s="16" customFormat="1" ht="6.95" hidden="1" customHeight="1" x14ac:dyDescent="0.2">
      <c r="B30" s="17"/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ROUND((SUM(BE138:BE287)),  2)</f>
        <v>0</v>
      </c>
      <c r="I35" s="86">
        <v>0.21</v>
      </c>
      <c r="J35" s="73">
        <f>ROUND(((SUM(BE138:BE287))*I35),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ROUND((SUM(BF138:BF287)),  2)</f>
        <v>0</v>
      </c>
      <c r="I36" s="86">
        <v>0.12</v>
      </c>
      <c r="J36" s="73">
        <f>ROUND(((SUM(BF138:BF287))*I36),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ROUND((SUM(BG138:BG287)),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ROUND((SUM(BH138:BH287)),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ROUND((SUM(BI138:BI287)),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ZTI - Zdravotní technika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 xml:space="preserve"> 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304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306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98" customFormat="1" ht="24.95" customHeight="1" x14ac:dyDescent="0.2">
      <c r="B101" s="99"/>
      <c r="D101" s="100" t="s">
        <v>310</v>
      </c>
      <c r="E101" s="101"/>
      <c r="F101" s="101"/>
      <c r="G101" s="101"/>
      <c r="H101" s="101"/>
      <c r="I101" s="101"/>
      <c r="J101" s="102">
        <f>J143</f>
        <v>0</v>
      </c>
      <c r="L101" s="99"/>
    </row>
    <row r="102" spans="2:47" s="70" customFormat="1" ht="19.899999999999999" customHeight="1" x14ac:dyDescent="0.2">
      <c r="B102" s="103"/>
      <c r="D102" s="104" t="s">
        <v>312</v>
      </c>
      <c r="E102" s="105"/>
      <c r="F102" s="105"/>
      <c r="G102" s="105"/>
      <c r="H102" s="105"/>
      <c r="I102" s="105"/>
      <c r="J102" s="106">
        <f>J144</f>
        <v>0</v>
      </c>
      <c r="L102" s="103"/>
    </row>
    <row r="103" spans="2:47" s="70" customFormat="1" ht="19.899999999999999" customHeight="1" x14ac:dyDescent="0.2">
      <c r="B103" s="103"/>
      <c r="D103" s="104" t="s">
        <v>6003</v>
      </c>
      <c r="E103" s="105"/>
      <c r="F103" s="105"/>
      <c r="G103" s="105"/>
      <c r="H103" s="105"/>
      <c r="I103" s="105"/>
      <c r="J103" s="106">
        <f>J163</f>
        <v>0</v>
      </c>
      <c r="L103" s="103"/>
    </row>
    <row r="104" spans="2:47" s="70" customFormat="1" ht="19.899999999999999" customHeight="1" x14ac:dyDescent="0.2">
      <c r="B104" s="103"/>
      <c r="D104" s="104" t="s">
        <v>6004</v>
      </c>
      <c r="E104" s="105"/>
      <c r="F104" s="105"/>
      <c r="G104" s="105"/>
      <c r="H104" s="105"/>
      <c r="I104" s="105"/>
      <c r="J104" s="106">
        <f>J194</f>
        <v>0</v>
      </c>
      <c r="L104" s="103"/>
    </row>
    <row r="105" spans="2:47" s="70" customFormat="1" ht="19.899999999999999" customHeight="1" x14ac:dyDescent="0.2">
      <c r="B105" s="103"/>
      <c r="D105" s="104" t="s">
        <v>6005</v>
      </c>
      <c r="E105" s="105"/>
      <c r="F105" s="105"/>
      <c r="G105" s="105"/>
      <c r="H105" s="105"/>
      <c r="I105" s="105"/>
      <c r="J105" s="106">
        <f>J231</f>
        <v>0</v>
      </c>
      <c r="L105" s="103"/>
    </row>
    <row r="106" spans="2:47" s="70" customFormat="1" ht="19.899999999999999" customHeight="1" x14ac:dyDescent="0.2">
      <c r="B106" s="103"/>
      <c r="D106" s="104" t="s">
        <v>6006</v>
      </c>
      <c r="E106" s="105"/>
      <c r="F106" s="105"/>
      <c r="G106" s="105"/>
      <c r="H106" s="105"/>
      <c r="I106" s="105"/>
      <c r="J106" s="106">
        <f>J241</f>
        <v>0</v>
      </c>
      <c r="L106" s="103"/>
    </row>
    <row r="107" spans="2:47" s="98" customFormat="1" ht="24.95" customHeight="1" x14ac:dyDescent="0.2">
      <c r="B107" s="99"/>
      <c r="D107" s="100" t="s">
        <v>4965</v>
      </c>
      <c r="E107" s="101"/>
      <c r="F107" s="101"/>
      <c r="G107" s="101"/>
      <c r="H107" s="101"/>
      <c r="I107" s="101"/>
      <c r="J107" s="102">
        <f>J283</f>
        <v>0</v>
      </c>
      <c r="L107" s="99"/>
    </row>
    <row r="108" spans="2:47" s="98" customFormat="1" ht="24.95" customHeight="1" x14ac:dyDescent="0.2">
      <c r="B108" s="99"/>
      <c r="D108" s="100" t="s">
        <v>6007</v>
      </c>
      <c r="E108" s="101"/>
      <c r="F108" s="101"/>
      <c r="G108" s="101"/>
      <c r="H108" s="101"/>
      <c r="I108" s="101"/>
      <c r="J108" s="102">
        <f>J285</f>
        <v>0</v>
      </c>
      <c r="L108" s="99"/>
    </row>
    <row r="109" spans="2:47" s="16" customFormat="1" ht="21.75" customHeight="1" x14ac:dyDescent="0.2">
      <c r="B109" s="17"/>
      <c r="L109" s="17"/>
    </row>
    <row r="110" spans="2:47" s="16" customFormat="1" ht="6.95" customHeight="1" x14ac:dyDescent="0.2">
      <c r="B110" s="30"/>
      <c r="C110" s="19"/>
      <c r="D110" s="19"/>
      <c r="E110" s="19"/>
      <c r="F110" s="19"/>
      <c r="G110" s="19"/>
      <c r="H110" s="19"/>
      <c r="I110" s="19"/>
      <c r="J110" s="19"/>
      <c r="K110" s="19"/>
      <c r="L110" s="17"/>
    </row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ht="2.4500000000000002" customHeight="1" x14ac:dyDescent="0.2"/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ZTI - Zdravotní technika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">
        <v>20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12.75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P139+P143+P283+P285</f>
        <v>0</v>
      </c>
      <c r="Q138" s="39"/>
      <c r="R138" s="113">
        <f>R139+R143+R283+R285</f>
        <v>0</v>
      </c>
      <c r="S138" s="39"/>
      <c r="T138" s="114">
        <f>T139+T143+T283+T285</f>
        <v>0</v>
      </c>
      <c r="AT138" s="2" t="s">
        <v>79</v>
      </c>
      <c r="AU138" s="2" t="s">
        <v>303</v>
      </c>
      <c r="BK138" s="115">
        <f>BK139+BK143+BK283+BK285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</f>
        <v>0</v>
      </c>
      <c r="R139" s="122">
        <f>R140</f>
        <v>0</v>
      </c>
      <c r="T139" s="123">
        <f>T140</f>
        <v>0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113</v>
      </c>
      <c r="F140" s="126" t="s">
        <v>352</v>
      </c>
      <c r="J140" s="127">
        <f>BK140</f>
        <v>0</v>
      </c>
      <c r="L140" s="117"/>
      <c r="M140" s="121"/>
      <c r="P140" s="122">
        <f>SUM(P141:P142)</f>
        <v>0</v>
      </c>
      <c r="R140" s="122">
        <f>SUM(R141:R142)</f>
        <v>0</v>
      </c>
      <c r="T140" s="123">
        <f>SUM(T141:T142)</f>
        <v>0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SUM(BK141:BK142)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6008</v>
      </c>
      <c r="F141" s="130" t="s">
        <v>6009</v>
      </c>
      <c r="G141" s="131" t="s">
        <v>724</v>
      </c>
      <c r="H141" s="132">
        <v>150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X141" s="200"/>
      <c r="AR141" s="139" t="s">
        <v>344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90</v>
      </c>
    </row>
    <row r="142" spans="2:65" s="16" customFormat="1" ht="16.5" customHeight="1" x14ac:dyDescent="0.2">
      <c r="B142" s="17"/>
      <c r="C142" s="128">
        <v>2</v>
      </c>
      <c r="D142" s="128" t="s">
        <v>339</v>
      </c>
      <c r="E142" s="129" t="s">
        <v>6010</v>
      </c>
      <c r="F142" s="130" t="s">
        <v>6011</v>
      </c>
      <c r="G142" s="131" t="s">
        <v>724</v>
      </c>
      <c r="H142" s="132">
        <v>150</v>
      </c>
      <c r="I142" s="133"/>
      <c r="J142" s="134">
        <f>ROUND(I142*H142,2)</f>
        <v>0</v>
      </c>
      <c r="K142" s="130" t="s">
        <v>343</v>
      </c>
      <c r="L142" s="17"/>
      <c r="M142" s="135"/>
      <c r="N142" s="136" t="s">
        <v>45</v>
      </c>
      <c r="P142" s="137">
        <f>O142*H142</f>
        <v>0</v>
      </c>
      <c r="Q142" s="137">
        <v>0</v>
      </c>
      <c r="R142" s="137">
        <f>Q142*H142</f>
        <v>0</v>
      </c>
      <c r="S142" s="137">
        <v>0</v>
      </c>
      <c r="T142" s="138">
        <f>S142*H142</f>
        <v>0</v>
      </c>
      <c r="X142" s="200"/>
      <c r="AR142" s="139" t="s">
        <v>344</v>
      </c>
      <c r="AT142" s="139" t="s">
        <v>339</v>
      </c>
      <c r="AU142" s="139" t="s">
        <v>90</v>
      </c>
      <c r="AY142" s="2" t="s">
        <v>337</v>
      </c>
      <c r="BE142" s="140">
        <f>IF(N142="základní",J142,0)</f>
        <v>0</v>
      </c>
      <c r="BF142" s="140">
        <f>IF(N142="snížená",J142,0)</f>
        <v>0</v>
      </c>
      <c r="BG142" s="140">
        <f>IF(N142="zákl. přenesená",J142,0)</f>
        <v>0</v>
      </c>
      <c r="BH142" s="140">
        <f>IF(N142="sníž. přenesená",J142,0)</f>
        <v>0</v>
      </c>
      <c r="BI142" s="140">
        <f>IF(N142="nulová",J142,0)</f>
        <v>0</v>
      </c>
      <c r="BJ142" s="2" t="s">
        <v>87</v>
      </c>
      <c r="BK142" s="140">
        <f>ROUND(I142*H142,2)</f>
        <v>0</v>
      </c>
      <c r="BL142" s="2" t="s">
        <v>344</v>
      </c>
      <c r="BM142" s="139" t="s">
        <v>344</v>
      </c>
    </row>
    <row r="143" spans="2:65" s="116" customFormat="1" ht="25.9" customHeight="1" x14ac:dyDescent="0.2">
      <c r="B143" s="117"/>
      <c r="D143" s="118" t="s">
        <v>79</v>
      </c>
      <c r="E143" s="119" t="s">
        <v>992</v>
      </c>
      <c r="F143" s="119" t="s">
        <v>993</v>
      </c>
      <c r="J143" s="120">
        <f>BK143</f>
        <v>0</v>
      </c>
      <c r="L143" s="117"/>
      <c r="M143" s="121"/>
      <c r="P143" s="122">
        <f>P144+P163+P194+P231+P241</f>
        <v>0</v>
      </c>
      <c r="R143" s="122">
        <f>R144+R163+R194+R231+R241</f>
        <v>0</v>
      </c>
      <c r="T143" s="123">
        <f>T144+T163+T194+T231+T241</f>
        <v>0</v>
      </c>
      <c r="X143" s="200"/>
      <c r="AR143" s="118" t="s">
        <v>90</v>
      </c>
      <c r="AT143" s="124" t="s">
        <v>79</v>
      </c>
      <c r="AU143" s="124" t="s">
        <v>80</v>
      </c>
      <c r="AY143" s="118" t="s">
        <v>337</v>
      </c>
      <c r="BK143" s="125">
        <f>BK144+BK163+BK194+BK231+BK241</f>
        <v>0</v>
      </c>
    </row>
    <row r="144" spans="2:65" s="116" customFormat="1" ht="22.9" customHeight="1" x14ac:dyDescent="0.2">
      <c r="B144" s="117"/>
      <c r="D144" s="118" t="s">
        <v>79</v>
      </c>
      <c r="E144" s="126" t="s">
        <v>1035</v>
      </c>
      <c r="F144" s="126" t="s">
        <v>1036</v>
      </c>
      <c r="J144" s="127">
        <f>BK144</f>
        <v>0</v>
      </c>
      <c r="L144" s="117"/>
      <c r="M144" s="121"/>
      <c r="P144" s="122">
        <f>SUM(P145:P162)</f>
        <v>0</v>
      </c>
      <c r="R144" s="122">
        <f>SUM(R145:R162)</f>
        <v>0</v>
      </c>
      <c r="T144" s="123">
        <f>SUM(T145:T162)</f>
        <v>0</v>
      </c>
      <c r="X144" s="200"/>
      <c r="AR144" s="118" t="s">
        <v>90</v>
      </c>
      <c r="AT144" s="124" t="s">
        <v>79</v>
      </c>
      <c r="AU144" s="124" t="s">
        <v>87</v>
      </c>
      <c r="AY144" s="118" t="s">
        <v>337</v>
      </c>
      <c r="BK144" s="125">
        <f>SUM(BK145:BK162)</f>
        <v>0</v>
      </c>
    </row>
    <row r="145" spans="2:65" s="16" customFormat="1" ht="37.9" customHeight="1" x14ac:dyDescent="0.2">
      <c r="B145" s="17"/>
      <c r="C145" s="128">
        <v>3</v>
      </c>
      <c r="D145" s="128" t="s">
        <v>339</v>
      </c>
      <c r="E145" s="129" t="s">
        <v>6012</v>
      </c>
      <c r="F145" s="130" t="s">
        <v>6013</v>
      </c>
      <c r="G145" s="131" t="s">
        <v>724</v>
      </c>
      <c r="H145" s="132">
        <v>1770</v>
      </c>
      <c r="I145" s="133"/>
      <c r="J145" s="134">
        <f t="shared" ref="J145:J162" si="0">ROUND(I145*H145,2)</f>
        <v>0</v>
      </c>
      <c r="K145" s="130" t="s">
        <v>343</v>
      </c>
      <c r="L145" s="17"/>
      <c r="M145" s="135"/>
      <c r="N145" s="136" t="s">
        <v>45</v>
      </c>
      <c r="P145" s="137">
        <f t="shared" ref="P145:P162" si="1">O145*H145</f>
        <v>0</v>
      </c>
      <c r="Q145" s="137">
        <v>0</v>
      </c>
      <c r="R145" s="137">
        <f t="shared" ref="R145:R162" si="2">Q145*H145</f>
        <v>0</v>
      </c>
      <c r="S145" s="137">
        <v>0</v>
      </c>
      <c r="T145" s="138">
        <f t="shared" ref="T145:T162" si="3">S145*H145</f>
        <v>0</v>
      </c>
      <c r="X145" s="200"/>
      <c r="AR145" s="139" t="s">
        <v>496</v>
      </c>
      <c r="AT145" s="139" t="s">
        <v>339</v>
      </c>
      <c r="AU145" s="139" t="s">
        <v>90</v>
      </c>
      <c r="AY145" s="2" t="s">
        <v>337</v>
      </c>
      <c r="BE145" s="140">
        <f t="shared" ref="BE145:BE162" si="4">IF(N145="základní",J145,0)</f>
        <v>0</v>
      </c>
      <c r="BF145" s="140">
        <f t="shared" ref="BF145:BF162" si="5">IF(N145="snížená",J145,0)</f>
        <v>0</v>
      </c>
      <c r="BG145" s="140">
        <f t="shared" ref="BG145:BG162" si="6">IF(N145="zákl. přenesená",J145,0)</f>
        <v>0</v>
      </c>
      <c r="BH145" s="140">
        <f t="shared" ref="BH145:BH162" si="7">IF(N145="sníž. přenesená",J145,0)</f>
        <v>0</v>
      </c>
      <c r="BI145" s="140">
        <f t="shared" ref="BI145:BI162" si="8">IF(N145="nulová",J145,0)</f>
        <v>0</v>
      </c>
      <c r="BJ145" s="2" t="s">
        <v>87</v>
      </c>
      <c r="BK145" s="140">
        <f t="shared" ref="BK145:BK162" si="9">ROUND(I145*H145,2)</f>
        <v>0</v>
      </c>
      <c r="BL145" s="2" t="s">
        <v>496</v>
      </c>
      <c r="BM145" s="139" t="s">
        <v>430</v>
      </c>
    </row>
    <row r="146" spans="2:65" s="16" customFormat="1" ht="16.5" customHeight="1" x14ac:dyDescent="0.2">
      <c r="B146" s="17"/>
      <c r="C146" s="162">
        <v>4</v>
      </c>
      <c r="D146" s="162" t="s">
        <v>519</v>
      </c>
      <c r="E146" s="163" t="s">
        <v>6014</v>
      </c>
      <c r="F146" s="164" t="s">
        <v>6015</v>
      </c>
      <c r="G146" s="165" t="s">
        <v>724</v>
      </c>
      <c r="H146" s="166">
        <v>670</v>
      </c>
      <c r="I146" s="167"/>
      <c r="J146" s="168">
        <f t="shared" si="0"/>
        <v>0</v>
      </c>
      <c r="K146" s="164" t="s">
        <v>343</v>
      </c>
      <c r="L146" s="169"/>
      <c r="M146" s="170"/>
      <c r="N146" s="171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X146" s="200"/>
      <c r="AR146" s="139" t="s">
        <v>621</v>
      </c>
      <c r="AT146" s="139" t="s">
        <v>519</v>
      </c>
      <c r="AU146" s="139" t="s">
        <v>90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496</v>
      </c>
      <c r="BM146" s="139" t="s">
        <v>446</v>
      </c>
    </row>
    <row r="147" spans="2:65" s="16" customFormat="1" ht="16.5" customHeight="1" x14ac:dyDescent="0.2">
      <c r="B147" s="17"/>
      <c r="C147" s="162">
        <v>5</v>
      </c>
      <c r="D147" s="162" t="s">
        <v>519</v>
      </c>
      <c r="E147" s="163" t="s">
        <v>6016</v>
      </c>
      <c r="F147" s="164" t="s">
        <v>6017</v>
      </c>
      <c r="G147" s="165" t="s">
        <v>724</v>
      </c>
      <c r="H147" s="166">
        <v>155</v>
      </c>
      <c r="I147" s="167"/>
      <c r="J147" s="168">
        <f t="shared" si="0"/>
        <v>0</v>
      </c>
      <c r="K147" s="164" t="s">
        <v>343</v>
      </c>
      <c r="L147" s="169"/>
      <c r="M147" s="170"/>
      <c r="N147" s="171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X147" s="200"/>
      <c r="AR147" s="139" t="s">
        <v>621</v>
      </c>
      <c r="AT147" s="139" t="s">
        <v>519</v>
      </c>
      <c r="AU147" s="139" t="s">
        <v>90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496</v>
      </c>
      <c r="BM147" s="139" t="s">
        <v>457</v>
      </c>
    </row>
    <row r="148" spans="2:65" s="16" customFormat="1" ht="16.5" customHeight="1" x14ac:dyDescent="0.2">
      <c r="B148" s="17"/>
      <c r="C148" s="162">
        <v>6</v>
      </c>
      <c r="D148" s="162" t="s">
        <v>519</v>
      </c>
      <c r="E148" s="163" t="s">
        <v>6018</v>
      </c>
      <c r="F148" s="164" t="s">
        <v>6019</v>
      </c>
      <c r="G148" s="165" t="s">
        <v>724</v>
      </c>
      <c r="H148" s="166">
        <v>240</v>
      </c>
      <c r="I148" s="167"/>
      <c r="J148" s="168">
        <f t="shared" si="0"/>
        <v>0</v>
      </c>
      <c r="K148" s="164" t="s">
        <v>343</v>
      </c>
      <c r="L148" s="169"/>
      <c r="M148" s="170"/>
      <c r="N148" s="171" t="s">
        <v>45</v>
      </c>
      <c r="P148" s="137">
        <f t="shared" si="1"/>
        <v>0</v>
      </c>
      <c r="Q148" s="137">
        <v>0</v>
      </c>
      <c r="R148" s="137">
        <f t="shared" si="2"/>
        <v>0</v>
      </c>
      <c r="S148" s="137">
        <v>0</v>
      </c>
      <c r="T148" s="138">
        <f t="shared" si="3"/>
        <v>0</v>
      </c>
      <c r="X148" s="200"/>
      <c r="AR148" s="139" t="s">
        <v>621</v>
      </c>
      <c r="AT148" s="139" t="s">
        <v>519</v>
      </c>
      <c r="AU148" s="139" t="s">
        <v>90</v>
      </c>
      <c r="AY148" s="2" t="s">
        <v>337</v>
      </c>
      <c r="BE148" s="140">
        <f t="shared" si="4"/>
        <v>0</v>
      </c>
      <c r="BF148" s="140">
        <f t="shared" si="5"/>
        <v>0</v>
      </c>
      <c r="BG148" s="140">
        <f t="shared" si="6"/>
        <v>0</v>
      </c>
      <c r="BH148" s="140">
        <f t="shared" si="7"/>
        <v>0</v>
      </c>
      <c r="BI148" s="140">
        <f t="shared" si="8"/>
        <v>0</v>
      </c>
      <c r="BJ148" s="2" t="s">
        <v>87</v>
      </c>
      <c r="BK148" s="140">
        <f t="shared" si="9"/>
        <v>0</v>
      </c>
      <c r="BL148" s="2" t="s">
        <v>496</v>
      </c>
      <c r="BM148" s="139" t="s">
        <v>7</v>
      </c>
    </row>
    <row r="149" spans="2:65" s="16" customFormat="1" ht="16.5" customHeight="1" x14ac:dyDescent="0.2">
      <c r="B149" s="17"/>
      <c r="C149" s="162">
        <v>7</v>
      </c>
      <c r="D149" s="162" t="s">
        <v>519</v>
      </c>
      <c r="E149" s="163" t="s">
        <v>6020</v>
      </c>
      <c r="F149" s="164" t="s">
        <v>6021</v>
      </c>
      <c r="G149" s="165" t="s">
        <v>724</v>
      </c>
      <c r="H149" s="166">
        <v>250</v>
      </c>
      <c r="I149" s="167"/>
      <c r="J149" s="168">
        <f t="shared" si="0"/>
        <v>0</v>
      </c>
      <c r="K149" s="164" t="s">
        <v>343</v>
      </c>
      <c r="L149" s="169"/>
      <c r="M149" s="170"/>
      <c r="N149" s="171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X149" s="200"/>
      <c r="AR149" s="139" t="s">
        <v>621</v>
      </c>
      <c r="AT149" s="139" t="s">
        <v>519</v>
      </c>
      <c r="AU149" s="139" t="s">
        <v>90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496</v>
      </c>
      <c r="BM149" s="139" t="s">
        <v>480</v>
      </c>
    </row>
    <row r="150" spans="2:65" s="16" customFormat="1" ht="16.5" customHeight="1" x14ac:dyDescent="0.2">
      <c r="B150" s="17"/>
      <c r="C150" s="162">
        <v>8</v>
      </c>
      <c r="D150" s="162" t="s">
        <v>519</v>
      </c>
      <c r="E150" s="163" t="s">
        <v>6022</v>
      </c>
      <c r="F150" s="164" t="s">
        <v>6023</v>
      </c>
      <c r="G150" s="165" t="s">
        <v>724</v>
      </c>
      <c r="H150" s="166">
        <v>135</v>
      </c>
      <c r="I150" s="167"/>
      <c r="J150" s="168">
        <f t="shared" si="0"/>
        <v>0</v>
      </c>
      <c r="K150" s="164" t="s">
        <v>343</v>
      </c>
      <c r="L150" s="169"/>
      <c r="M150" s="170"/>
      <c r="N150" s="171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X150" s="200"/>
      <c r="AR150" s="139" t="s">
        <v>621</v>
      </c>
      <c r="AT150" s="139" t="s">
        <v>519</v>
      </c>
      <c r="AU150" s="139" t="s">
        <v>90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496</v>
      </c>
      <c r="BM150" s="139" t="s">
        <v>496</v>
      </c>
    </row>
    <row r="151" spans="2:65" s="16" customFormat="1" ht="16.5" customHeight="1" x14ac:dyDescent="0.2">
      <c r="B151" s="17"/>
      <c r="C151" s="162">
        <v>9</v>
      </c>
      <c r="D151" s="162" t="s">
        <v>519</v>
      </c>
      <c r="E151" s="163" t="s">
        <v>6024</v>
      </c>
      <c r="F151" s="164" t="s">
        <v>6025</v>
      </c>
      <c r="G151" s="165" t="s">
        <v>724</v>
      </c>
      <c r="H151" s="166">
        <v>90</v>
      </c>
      <c r="I151" s="167"/>
      <c r="J151" s="168">
        <f t="shared" si="0"/>
        <v>0</v>
      </c>
      <c r="K151" s="164" t="s">
        <v>343</v>
      </c>
      <c r="L151" s="169"/>
      <c r="M151" s="170"/>
      <c r="N151" s="171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X151" s="200"/>
      <c r="AR151" s="139" t="s">
        <v>621</v>
      </c>
      <c r="AT151" s="139" t="s">
        <v>519</v>
      </c>
      <c r="AU151" s="139" t="s">
        <v>90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496</v>
      </c>
      <c r="BM151" s="139" t="s">
        <v>2547</v>
      </c>
    </row>
    <row r="152" spans="2:65" s="16" customFormat="1" ht="16.5" customHeight="1" x14ac:dyDescent="0.2">
      <c r="B152" s="17"/>
      <c r="C152" s="162">
        <v>10</v>
      </c>
      <c r="D152" s="162" t="s">
        <v>519</v>
      </c>
      <c r="E152" s="163" t="s">
        <v>6026</v>
      </c>
      <c r="F152" s="164" t="s">
        <v>6027</v>
      </c>
      <c r="G152" s="165" t="s">
        <v>724</v>
      </c>
      <c r="H152" s="166">
        <v>35</v>
      </c>
      <c r="I152" s="167"/>
      <c r="J152" s="168">
        <f t="shared" si="0"/>
        <v>0</v>
      </c>
      <c r="K152" s="164" t="s">
        <v>343</v>
      </c>
      <c r="L152" s="169"/>
      <c r="M152" s="170"/>
      <c r="N152" s="171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X152" s="200"/>
      <c r="AR152" s="139" t="s">
        <v>621</v>
      </c>
      <c r="AT152" s="139" t="s">
        <v>519</v>
      </c>
      <c r="AU152" s="139" t="s">
        <v>90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496</v>
      </c>
      <c r="BM152" s="139" t="s">
        <v>532</v>
      </c>
    </row>
    <row r="153" spans="2:65" s="16" customFormat="1" ht="16.5" customHeight="1" x14ac:dyDescent="0.2">
      <c r="B153" s="17"/>
      <c r="C153" s="162">
        <v>11</v>
      </c>
      <c r="D153" s="162" t="s">
        <v>519</v>
      </c>
      <c r="E153" s="163" t="s">
        <v>6028</v>
      </c>
      <c r="F153" s="164" t="s">
        <v>6029</v>
      </c>
      <c r="G153" s="165" t="s">
        <v>724</v>
      </c>
      <c r="H153" s="166">
        <v>25</v>
      </c>
      <c r="I153" s="167"/>
      <c r="J153" s="168">
        <f t="shared" si="0"/>
        <v>0</v>
      </c>
      <c r="K153" s="164" t="s">
        <v>343</v>
      </c>
      <c r="L153" s="169"/>
      <c r="M153" s="170"/>
      <c r="N153" s="171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</v>
      </c>
      <c r="T153" s="138">
        <f t="shared" si="3"/>
        <v>0</v>
      </c>
      <c r="X153" s="200"/>
      <c r="AR153" s="139" t="s">
        <v>621</v>
      </c>
      <c r="AT153" s="139" t="s">
        <v>519</v>
      </c>
      <c r="AU153" s="139" t="s">
        <v>90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496</v>
      </c>
      <c r="BM153" s="139" t="s">
        <v>543</v>
      </c>
    </row>
    <row r="154" spans="2:65" s="16" customFormat="1" ht="16.5" customHeight="1" x14ac:dyDescent="0.2">
      <c r="B154" s="17"/>
      <c r="C154" s="162">
        <v>12</v>
      </c>
      <c r="D154" s="162" t="s">
        <v>519</v>
      </c>
      <c r="E154" s="163" t="s">
        <v>6030</v>
      </c>
      <c r="F154" s="164" t="s">
        <v>6031</v>
      </c>
      <c r="G154" s="165" t="s">
        <v>724</v>
      </c>
      <c r="H154" s="166">
        <v>20</v>
      </c>
      <c r="I154" s="167"/>
      <c r="J154" s="168">
        <f t="shared" si="0"/>
        <v>0</v>
      </c>
      <c r="K154" s="164" t="s">
        <v>343</v>
      </c>
      <c r="L154" s="169"/>
      <c r="M154" s="170"/>
      <c r="N154" s="171" t="s">
        <v>45</v>
      </c>
      <c r="P154" s="137">
        <f t="shared" si="1"/>
        <v>0</v>
      </c>
      <c r="Q154" s="137">
        <v>0</v>
      </c>
      <c r="R154" s="137">
        <f t="shared" si="2"/>
        <v>0</v>
      </c>
      <c r="S154" s="137">
        <v>0</v>
      </c>
      <c r="T154" s="138">
        <f t="shared" si="3"/>
        <v>0</v>
      </c>
      <c r="X154" s="200"/>
      <c r="AR154" s="139" t="s">
        <v>621</v>
      </c>
      <c r="AT154" s="139" t="s">
        <v>519</v>
      </c>
      <c r="AU154" s="139" t="s">
        <v>90</v>
      </c>
      <c r="AY154" s="2" t="s">
        <v>337</v>
      </c>
      <c r="BE154" s="140">
        <f t="shared" si="4"/>
        <v>0</v>
      </c>
      <c r="BF154" s="140">
        <f t="shared" si="5"/>
        <v>0</v>
      </c>
      <c r="BG154" s="140">
        <f t="shared" si="6"/>
        <v>0</v>
      </c>
      <c r="BH154" s="140">
        <f t="shared" si="7"/>
        <v>0</v>
      </c>
      <c r="BI154" s="140">
        <f t="shared" si="8"/>
        <v>0</v>
      </c>
      <c r="BJ154" s="2" t="s">
        <v>87</v>
      </c>
      <c r="BK154" s="140">
        <f t="shared" si="9"/>
        <v>0</v>
      </c>
      <c r="BL154" s="2" t="s">
        <v>496</v>
      </c>
      <c r="BM154" s="139" t="s">
        <v>569</v>
      </c>
    </row>
    <row r="155" spans="2:65" s="16" customFormat="1" ht="16.5" customHeight="1" x14ac:dyDescent="0.2">
      <c r="B155" s="17"/>
      <c r="C155" s="162">
        <v>13</v>
      </c>
      <c r="D155" s="162" t="s">
        <v>519</v>
      </c>
      <c r="E155" s="163" t="s">
        <v>6032</v>
      </c>
      <c r="F155" s="164" t="s">
        <v>6033</v>
      </c>
      <c r="G155" s="165" t="s">
        <v>724</v>
      </c>
      <c r="H155" s="166">
        <v>150</v>
      </c>
      <c r="I155" s="167"/>
      <c r="J155" s="168">
        <f t="shared" si="0"/>
        <v>0</v>
      </c>
      <c r="K155" s="164" t="s">
        <v>343</v>
      </c>
      <c r="L155" s="169"/>
      <c r="M155" s="170"/>
      <c r="N155" s="171" t="s">
        <v>45</v>
      </c>
      <c r="P155" s="137">
        <f t="shared" si="1"/>
        <v>0</v>
      </c>
      <c r="Q155" s="137">
        <v>0</v>
      </c>
      <c r="R155" s="137">
        <f t="shared" si="2"/>
        <v>0</v>
      </c>
      <c r="S155" s="137">
        <v>0</v>
      </c>
      <c r="T155" s="138">
        <f t="shared" si="3"/>
        <v>0</v>
      </c>
      <c r="X155" s="200"/>
      <c r="AR155" s="139" t="s">
        <v>621</v>
      </c>
      <c r="AT155" s="139" t="s">
        <v>519</v>
      </c>
      <c r="AU155" s="139" t="s">
        <v>90</v>
      </c>
      <c r="AY155" s="2" t="s">
        <v>337</v>
      </c>
      <c r="BE155" s="140">
        <f t="shared" si="4"/>
        <v>0</v>
      </c>
      <c r="BF155" s="140">
        <f t="shared" si="5"/>
        <v>0</v>
      </c>
      <c r="BG155" s="140">
        <f t="shared" si="6"/>
        <v>0</v>
      </c>
      <c r="BH155" s="140">
        <f t="shared" si="7"/>
        <v>0</v>
      </c>
      <c r="BI155" s="140">
        <f t="shared" si="8"/>
        <v>0</v>
      </c>
      <c r="BJ155" s="2" t="s">
        <v>87</v>
      </c>
      <c r="BK155" s="140">
        <f t="shared" si="9"/>
        <v>0</v>
      </c>
      <c r="BL155" s="2" t="s">
        <v>496</v>
      </c>
      <c r="BM155" s="139" t="s">
        <v>577</v>
      </c>
    </row>
    <row r="156" spans="2:65" s="16" customFormat="1" ht="37.9" customHeight="1" x14ac:dyDescent="0.2">
      <c r="B156" s="17"/>
      <c r="C156" s="128">
        <v>14</v>
      </c>
      <c r="D156" s="128" t="s">
        <v>339</v>
      </c>
      <c r="E156" s="129" t="s">
        <v>6034</v>
      </c>
      <c r="F156" s="130" t="s">
        <v>6035</v>
      </c>
      <c r="G156" s="131" t="s">
        <v>724</v>
      </c>
      <c r="H156" s="132">
        <v>310</v>
      </c>
      <c r="I156" s="133"/>
      <c r="J156" s="134">
        <f t="shared" si="0"/>
        <v>0</v>
      </c>
      <c r="K156" s="130" t="s">
        <v>343</v>
      </c>
      <c r="L156" s="17"/>
      <c r="M156" s="135"/>
      <c r="N156" s="136" t="s">
        <v>45</v>
      </c>
      <c r="P156" s="137">
        <f t="shared" si="1"/>
        <v>0</v>
      </c>
      <c r="Q156" s="137">
        <v>0</v>
      </c>
      <c r="R156" s="137">
        <f t="shared" si="2"/>
        <v>0</v>
      </c>
      <c r="S156" s="137">
        <v>0</v>
      </c>
      <c r="T156" s="138">
        <f t="shared" si="3"/>
        <v>0</v>
      </c>
      <c r="X156" s="200"/>
      <c r="AR156" s="139" t="s">
        <v>496</v>
      </c>
      <c r="AT156" s="139" t="s">
        <v>339</v>
      </c>
      <c r="AU156" s="139" t="s">
        <v>90</v>
      </c>
      <c r="AY156" s="2" t="s">
        <v>337</v>
      </c>
      <c r="BE156" s="140">
        <f t="shared" si="4"/>
        <v>0</v>
      </c>
      <c r="BF156" s="140">
        <f t="shared" si="5"/>
        <v>0</v>
      </c>
      <c r="BG156" s="140">
        <f t="shared" si="6"/>
        <v>0</v>
      </c>
      <c r="BH156" s="140">
        <f t="shared" si="7"/>
        <v>0</v>
      </c>
      <c r="BI156" s="140">
        <f t="shared" si="8"/>
        <v>0</v>
      </c>
      <c r="BJ156" s="2" t="s">
        <v>87</v>
      </c>
      <c r="BK156" s="140">
        <f t="shared" si="9"/>
        <v>0</v>
      </c>
      <c r="BL156" s="2" t="s">
        <v>496</v>
      </c>
      <c r="BM156" s="139" t="s">
        <v>591</v>
      </c>
    </row>
    <row r="157" spans="2:65" s="16" customFormat="1" ht="16.5" customHeight="1" x14ac:dyDescent="0.2">
      <c r="B157" s="17"/>
      <c r="C157" s="162">
        <v>15</v>
      </c>
      <c r="D157" s="162" t="s">
        <v>519</v>
      </c>
      <c r="E157" s="163" t="s">
        <v>6036</v>
      </c>
      <c r="F157" s="164" t="s">
        <v>6037</v>
      </c>
      <c r="G157" s="165" t="s">
        <v>724</v>
      </c>
      <c r="H157" s="166">
        <v>200</v>
      </c>
      <c r="I157" s="167"/>
      <c r="J157" s="168">
        <f t="shared" si="0"/>
        <v>0</v>
      </c>
      <c r="K157" s="164" t="s">
        <v>343</v>
      </c>
      <c r="L157" s="169"/>
      <c r="M157" s="170"/>
      <c r="N157" s="171" t="s">
        <v>45</v>
      </c>
      <c r="P157" s="137">
        <f t="shared" si="1"/>
        <v>0</v>
      </c>
      <c r="Q157" s="137">
        <v>0</v>
      </c>
      <c r="R157" s="137">
        <f t="shared" si="2"/>
        <v>0</v>
      </c>
      <c r="S157" s="137">
        <v>0</v>
      </c>
      <c r="T157" s="138">
        <f t="shared" si="3"/>
        <v>0</v>
      </c>
      <c r="X157" s="200"/>
      <c r="AR157" s="139" t="s">
        <v>621</v>
      </c>
      <c r="AT157" s="139" t="s">
        <v>519</v>
      </c>
      <c r="AU157" s="139" t="s">
        <v>90</v>
      </c>
      <c r="AY157" s="2" t="s">
        <v>337</v>
      </c>
      <c r="BE157" s="140">
        <f t="shared" si="4"/>
        <v>0</v>
      </c>
      <c r="BF157" s="140">
        <f t="shared" si="5"/>
        <v>0</v>
      </c>
      <c r="BG157" s="140">
        <f t="shared" si="6"/>
        <v>0</v>
      </c>
      <c r="BH157" s="140">
        <f t="shared" si="7"/>
        <v>0</v>
      </c>
      <c r="BI157" s="140">
        <f t="shared" si="8"/>
        <v>0</v>
      </c>
      <c r="BJ157" s="2" t="s">
        <v>87</v>
      </c>
      <c r="BK157" s="140">
        <f t="shared" si="9"/>
        <v>0</v>
      </c>
      <c r="BL157" s="2" t="s">
        <v>496</v>
      </c>
      <c r="BM157" s="139" t="s">
        <v>614</v>
      </c>
    </row>
    <row r="158" spans="2:65" s="16" customFormat="1" ht="16.5" customHeight="1" x14ac:dyDescent="0.2">
      <c r="B158" s="17"/>
      <c r="C158" s="162">
        <v>16</v>
      </c>
      <c r="D158" s="162" t="s">
        <v>519</v>
      </c>
      <c r="E158" s="163" t="s">
        <v>6038</v>
      </c>
      <c r="F158" s="164" t="s">
        <v>6039</v>
      </c>
      <c r="G158" s="165" t="s">
        <v>724</v>
      </c>
      <c r="H158" s="166">
        <v>110</v>
      </c>
      <c r="I158" s="167"/>
      <c r="J158" s="168">
        <f t="shared" si="0"/>
        <v>0</v>
      </c>
      <c r="K158" s="164" t="s">
        <v>343</v>
      </c>
      <c r="L158" s="169"/>
      <c r="M158" s="170"/>
      <c r="N158" s="171" t="s">
        <v>45</v>
      </c>
      <c r="P158" s="137">
        <f t="shared" si="1"/>
        <v>0</v>
      </c>
      <c r="Q158" s="137">
        <v>0</v>
      </c>
      <c r="R158" s="137">
        <f t="shared" si="2"/>
        <v>0</v>
      </c>
      <c r="S158" s="137">
        <v>0</v>
      </c>
      <c r="T158" s="138">
        <f t="shared" si="3"/>
        <v>0</v>
      </c>
      <c r="X158" s="200"/>
      <c r="AR158" s="139" t="s">
        <v>621</v>
      </c>
      <c r="AT158" s="139" t="s">
        <v>519</v>
      </c>
      <c r="AU158" s="139" t="s">
        <v>90</v>
      </c>
      <c r="AY158" s="2" t="s">
        <v>337</v>
      </c>
      <c r="BE158" s="140">
        <f t="shared" si="4"/>
        <v>0</v>
      </c>
      <c r="BF158" s="140">
        <f t="shared" si="5"/>
        <v>0</v>
      </c>
      <c r="BG158" s="140">
        <f t="shared" si="6"/>
        <v>0</v>
      </c>
      <c r="BH158" s="140">
        <f t="shared" si="7"/>
        <v>0</v>
      </c>
      <c r="BI158" s="140">
        <f t="shared" si="8"/>
        <v>0</v>
      </c>
      <c r="BJ158" s="2" t="s">
        <v>87</v>
      </c>
      <c r="BK158" s="140">
        <f t="shared" si="9"/>
        <v>0</v>
      </c>
      <c r="BL158" s="2" t="s">
        <v>496</v>
      </c>
      <c r="BM158" s="139" t="s">
        <v>621</v>
      </c>
    </row>
    <row r="159" spans="2:65" s="16" customFormat="1" ht="37.9" customHeight="1" x14ac:dyDescent="0.2">
      <c r="B159" s="17"/>
      <c r="C159" s="128">
        <v>17</v>
      </c>
      <c r="D159" s="128" t="s">
        <v>339</v>
      </c>
      <c r="E159" s="129" t="s">
        <v>6040</v>
      </c>
      <c r="F159" s="130" t="s">
        <v>6041</v>
      </c>
      <c r="G159" s="131" t="s">
        <v>724</v>
      </c>
      <c r="H159" s="132">
        <v>80</v>
      </c>
      <c r="I159" s="133"/>
      <c r="J159" s="134">
        <f t="shared" si="0"/>
        <v>0</v>
      </c>
      <c r="K159" s="130" t="s">
        <v>343</v>
      </c>
      <c r="L159" s="17"/>
      <c r="M159" s="135"/>
      <c r="N159" s="136" t="s">
        <v>45</v>
      </c>
      <c r="P159" s="137">
        <f t="shared" si="1"/>
        <v>0</v>
      </c>
      <c r="Q159" s="137">
        <v>0</v>
      </c>
      <c r="R159" s="137">
        <f t="shared" si="2"/>
        <v>0</v>
      </c>
      <c r="S159" s="137">
        <v>0</v>
      </c>
      <c r="T159" s="138">
        <f t="shared" si="3"/>
        <v>0</v>
      </c>
      <c r="X159" s="200"/>
      <c r="AR159" s="139" t="s">
        <v>496</v>
      </c>
      <c r="AT159" s="139" t="s">
        <v>339</v>
      </c>
      <c r="AU159" s="139" t="s">
        <v>90</v>
      </c>
      <c r="AY159" s="2" t="s">
        <v>337</v>
      </c>
      <c r="BE159" s="140">
        <f t="shared" si="4"/>
        <v>0</v>
      </c>
      <c r="BF159" s="140">
        <f t="shared" si="5"/>
        <v>0</v>
      </c>
      <c r="BG159" s="140">
        <f t="shared" si="6"/>
        <v>0</v>
      </c>
      <c r="BH159" s="140">
        <f t="shared" si="7"/>
        <v>0</v>
      </c>
      <c r="BI159" s="140">
        <f t="shared" si="8"/>
        <v>0</v>
      </c>
      <c r="BJ159" s="2" t="s">
        <v>87</v>
      </c>
      <c r="BK159" s="140">
        <f t="shared" si="9"/>
        <v>0</v>
      </c>
      <c r="BL159" s="2" t="s">
        <v>496</v>
      </c>
      <c r="BM159" s="139" t="s">
        <v>637</v>
      </c>
    </row>
    <row r="160" spans="2:65" s="16" customFormat="1" ht="16.5" customHeight="1" x14ac:dyDescent="0.2">
      <c r="B160" s="17"/>
      <c r="C160" s="162">
        <v>18</v>
      </c>
      <c r="D160" s="162" t="s">
        <v>519</v>
      </c>
      <c r="E160" s="163" t="s">
        <v>6042</v>
      </c>
      <c r="F160" s="164" t="s">
        <v>6043</v>
      </c>
      <c r="G160" s="165" t="s">
        <v>724</v>
      </c>
      <c r="H160" s="166">
        <v>35</v>
      </c>
      <c r="I160" s="167"/>
      <c r="J160" s="168">
        <f t="shared" si="0"/>
        <v>0</v>
      </c>
      <c r="K160" s="164" t="s">
        <v>343</v>
      </c>
      <c r="L160" s="169"/>
      <c r="M160" s="170"/>
      <c r="N160" s="171" t="s">
        <v>45</v>
      </c>
      <c r="P160" s="137">
        <f t="shared" si="1"/>
        <v>0</v>
      </c>
      <c r="Q160" s="137">
        <v>0</v>
      </c>
      <c r="R160" s="137">
        <f t="shared" si="2"/>
        <v>0</v>
      </c>
      <c r="S160" s="137">
        <v>0</v>
      </c>
      <c r="T160" s="138">
        <f t="shared" si="3"/>
        <v>0</v>
      </c>
      <c r="X160" s="200"/>
      <c r="AR160" s="139" t="s">
        <v>621</v>
      </c>
      <c r="AT160" s="139" t="s">
        <v>519</v>
      </c>
      <c r="AU160" s="139" t="s">
        <v>90</v>
      </c>
      <c r="AY160" s="2" t="s">
        <v>337</v>
      </c>
      <c r="BE160" s="140">
        <f t="shared" si="4"/>
        <v>0</v>
      </c>
      <c r="BF160" s="140">
        <f t="shared" si="5"/>
        <v>0</v>
      </c>
      <c r="BG160" s="140">
        <f t="shared" si="6"/>
        <v>0</v>
      </c>
      <c r="BH160" s="140">
        <f t="shared" si="7"/>
        <v>0</v>
      </c>
      <c r="BI160" s="140">
        <f t="shared" si="8"/>
        <v>0</v>
      </c>
      <c r="BJ160" s="2" t="s">
        <v>87</v>
      </c>
      <c r="BK160" s="140">
        <f t="shared" si="9"/>
        <v>0</v>
      </c>
      <c r="BL160" s="2" t="s">
        <v>496</v>
      </c>
      <c r="BM160" s="139" t="s">
        <v>646</v>
      </c>
    </row>
    <row r="161" spans="2:65" s="16" customFormat="1" ht="16.5" customHeight="1" x14ac:dyDescent="0.2">
      <c r="B161" s="17"/>
      <c r="C161" s="162">
        <v>19</v>
      </c>
      <c r="D161" s="162" t="s">
        <v>519</v>
      </c>
      <c r="E161" s="163" t="s">
        <v>6044</v>
      </c>
      <c r="F161" s="164" t="s">
        <v>6045</v>
      </c>
      <c r="G161" s="165" t="s">
        <v>724</v>
      </c>
      <c r="H161" s="166">
        <v>45</v>
      </c>
      <c r="I161" s="167"/>
      <c r="J161" s="168">
        <f t="shared" si="0"/>
        <v>0</v>
      </c>
      <c r="K161" s="164" t="s">
        <v>343</v>
      </c>
      <c r="L161" s="169"/>
      <c r="M161" s="170"/>
      <c r="N161" s="171" t="s">
        <v>45</v>
      </c>
      <c r="P161" s="137">
        <f t="shared" si="1"/>
        <v>0</v>
      </c>
      <c r="Q161" s="137">
        <v>0</v>
      </c>
      <c r="R161" s="137">
        <f t="shared" si="2"/>
        <v>0</v>
      </c>
      <c r="S161" s="137">
        <v>0</v>
      </c>
      <c r="T161" s="138">
        <f t="shared" si="3"/>
        <v>0</v>
      </c>
      <c r="X161" s="200"/>
      <c r="AR161" s="139" t="s">
        <v>621</v>
      </c>
      <c r="AT161" s="139" t="s">
        <v>519</v>
      </c>
      <c r="AU161" s="139" t="s">
        <v>90</v>
      </c>
      <c r="AY161" s="2" t="s">
        <v>337</v>
      </c>
      <c r="BE161" s="140">
        <f t="shared" si="4"/>
        <v>0</v>
      </c>
      <c r="BF161" s="140">
        <f t="shared" si="5"/>
        <v>0</v>
      </c>
      <c r="BG161" s="140">
        <f t="shared" si="6"/>
        <v>0</v>
      </c>
      <c r="BH161" s="140">
        <f t="shared" si="7"/>
        <v>0</v>
      </c>
      <c r="BI161" s="140">
        <f t="shared" si="8"/>
        <v>0</v>
      </c>
      <c r="BJ161" s="2" t="s">
        <v>87</v>
      </c>
      <c r="BK161" s="140">
        <f t="shared" si="9"/>
        <v>0</v>
      </c>
      <c r="BL161" s="2" t="s">
        <v>496</v>
      </c>
      <c r="BM161" s="139" t="s">
        <v>658</v>
      </c>
    </row>
    <row r="162" spans="2:65" s="16" customFormat="1" ht="24.2" customHeight="1" x14ac:dyDescent="0.2">
      <c r="B162" s="17"/>
      <c r="C162" s="128">
        <v>20</v>
      </c>
      <c r="D162" s="128" t="s">
        <v>339</v>
      </c>
      <c r="E162" s="129" t="s">
        <v>6046</v>
      </c>
      <c r="F162" s="130" t="s">
        <v>6047</v>
      </c>
      <c r="G162" s="131" t="s">
        <v>6048</v>
      </c>
      <c r="H162" s="192"/>
      <c r="I162" s="133"/>
      <c r="J162" s="134">
        <f t="shared" si="0"/>
        <v>0</v>
      </c>
      <c r="K162" s="130" t="s">
        <v>343</v>
      </c>
      <c r="L162" s="17"/>
      <c r="M162" s="135"/>
      <c r="N162" s="136" t="s">
        <v>45</v>
      </c>
      <c r="P162" s="137">
        <f t="shared" si="1"/>
        <v>0</v>
      </c>
      <c r="Q162" s="137">
        <v>0</v>
      </c>
      <c r="R162" s="137">
        <f t="shared" si="2"/>
        <v>0</v>
      </c>
      <c r="S162" s="137">
        <v>0</v>
      </c>
      <c r="T162" s="138">
        <f t="shared" si="3"/>
        <v>0</v>
      </c>
      <c r="X162" s="200"/>
      <c r="AR162" s="139" t="s">
        <v>496</v>
      </c>
      <c r="AT162" s="139" t="s">
        <v>339</v>
      </c>
      <c r="AU162" s="139" t="s">
        <v>90</v>
      </c>
      <c r="AY162" s="2" t="s">
        <v>337</v>
      </c>
      <c r="BE162" s="140">
        <f t="shared" si="4"/>
        <v>0</v>
      </c>
      <c r="BF162" s="140">
        <f t="shared" si="5"/>
        <v>0</v>
      </c>
      <c r="BG162" s="140">
        <f t="shared" si="6"/>
        <v>0</v>
      </c>
      <c r="BH162" s="140">
        <f t="shared" si="7"/>
        <v>0</v>
      </c>
      <c r="BI162" s="140">
        <f t="shared" si="8"/>
        <v>0</v>
      </c>
      <c r="BJ162" s="2" t="s">
        <v>87</v>
      </c>
      <c r="BK162" s="140">
        <f t="shared" si="9"/>
        <v>0</v>
      </c>
      <c r="BL162" s="2" t="s">
        <v>496</v>
      </c>
      <c r="BM162" s="139" t="s">
        <v>6049</v>
      </c>
    </row>
    <row r="163" spans="2:65" s="116" customFormat="1" ht="22.9" customHeight="1" x14ac:dyDescent="0.2">
      <c r="B163" s="117"/>
      <c r="D163" s="118" t="s">
        <v>79</v>
      </c>
      <c r="E163" s="126" t="s">
        <v>6050</v>
      </c>
      <c r="F163" s="126" t="s">
        <v>6051</v>
      </c>
      <c r="J163" s="127">
        <f>BK163</f>
        <v>0</v>
      </c>
      <c r="L163" s="117"/>
      <c r="M163" s="121"/>
      <c r="P163" s="122">
        <f>SUM(P164:P193)</f>
        <v>0</v>
      </c>
      <c r="R163" s="122">
        <f>SUM(R164:R193)</f>
        <v>0</v>
      </c>
      <c r="T163" s="123">
        <f>SUM(T164:T193)</f>
        <v>0</v>
      </c>
      <c r="X163" s="200"/>
      <c r="AR163" s="118" t="s">
        <v>90</v>
      </c>
      <c r="AT163" s="124" t="s">
        <v>79</v>
      </c>
      <c r="AU163" s="124" t="s">
        <v>87</v>
      </c>
      <c r="AY163" s="118" t="s">
        <v>337</v>
      </c>
      <c r="BK163" s="125">
        <f>SUM(BK164:BK193)</f>
        <v>0</v>
      </c>
    </row>
    <row r="164" spans="2:65" s="16" customFormat="1" ht="16.5" customHeight="1" x14ac:dyDescent="0.2">
      <c r="B164" s="17"/>
      <c r="C164" s="128">
        <v>21</v>
      </c>
      <c r="D164" s="128" t="s">
        <v>339</v>
      </c>
      <c r="E164" s="129" t="s">
        <v>6052</v>
      </c>
      <c r="F164" s="130" t="s">
        <v>6053</v>
      </c>
      <c r="G164" s="131" t="s">
        <v>724</v>
      </c>
      <c r="H164" s="132">
        <v>600</v>
      </c>
      <c r="I164" s="133"/>
      <c r="J164" s="134">
        <f>ROUND(I164*H164,2)</f>
        <v>0</v>
      </c>
      <c r="K164" s="130" t="s">
        <v>343</v>
      </c>
      <c r="L164" s="17"/>
      <c r="M164" s="135"/>
      <c r="N164" s="136" t="s">
        <v>45</v>
      </c>
      <c r="P164" s="137">
        <f>O164*H164</f>
        <v>0</v>
      </c>
      <c r="Q164" s="137">
        <v>0</v>
      </c>
      <c r="R164" s="137">
        <f>Q164*H164</f>
        <v>0</v>
      </c>
      <c r="S164" s="137">
        <v>0</v>
      </c>
      <c r="T164" s="138">
        <f>S164*H164</f>
        <v>0</v>
      </c>
      <c r="X164" s="200"/>
      <c r="AR164" s="139" t="s">
        <v>496</v>
      </c>
      <c r="AT164" s="139" t="s">
        <v>339</v>
      </c>
      <c r="AU164" s="139" t="s">
        <v>90</v>
      </c>
      <c r="AY164" s="2" t="s">
        <v>337</v>
      </c>
      <c r="BE164" s="140">
        <f>IF(N164="základní",J164,0)</f>
        <v>0</v>
      </c>
      <c r="BF164" s="140">
        <f>IF(N164="snížená",J164,0)</f>
        <v>0</v>
      </c>
      <c r="BG164" s="140">
        <f>IF(N164="zákl. přenesená",J164,0)</f>
        <v>0</v>
      </c>
      <c r="BH164" s="140">
        <f>IF(N164="sníž. přenesená",J164,0)</f>
        <v>0</v>
      </c>
      <c r="BI164" s="140">
        <f>IF(N164="nulová",J164,0)</f>
        <v>0</v>
      </c>
      <c r="BJ164" s="2" t="s">
        <v>87</v>
      </c>
      <c r="BK164" s="140">
        <f>ROUND(I164*H164,2)</f>
        <v>0</v>
      </c>
      <c r="BL164" s="2" t="s">
        <v>496</v>
      </c>
      <c r="BM164" s="139" t="s">
        <v>699</v>
      </c>
    </row>
    <row r="165" spans="2:65" s="16" customFormat="1" ht="16.5" customHeight="1" x14ac:dyDescent="0.2">
      <c r="B165" s="17"/>
      <c r="C165" s="128">
        <v>22</v>
      </c>
      <c r="D165" s="128" t="s">
        <v>339</v>
      </c>
      <c r="E165" s="129" t="s">
        <v>6054</v>
      </c>
      <c r="F165" s="130" t="s">
        <v>6055</v>
      </c>
      <c r="G165" s="131" t="s">
        <v>449</v>
      </c>
      <c r="H165" s="132">
        <v>19</v>
      </c>
      <c r="I165" s="133"/>
      <c r="J165" s="134">
        <f>ROUND(I165*H165,2)</f>
        <v>0</v>
      </c>
      <c r="K165" s="130" t="s">
        <v>343</v>
      </c>
      <c r="L165" s="17"/>
      <c r="M165" s="135"/>
      <c r="N165" s="136" t="s">
        <v>45</v>
      </c>
      <c r="P165" s="137">
        <f>O165*H165</f>
        <v>0</v>
      </c>
      <c r="Q165" s="137">
        <v>0</v>
      </c>
      <c r="R165" s="137">
        <f>Q165*H165</f>
        <v>0</v>
      </c>
      <c r="S165" s="137">
        <v>0</v>
      </c>
      <c r="T165" s="138">
        <f>S165*H165</f>
        <v>0</v>
      </c>
      <c r="X165" s="200"/>
      <c r="AR165" s="139" t="s">
        <v>496</v>
      </c>
      <c r="AT165" s="139" t="s">
        <v>339</v>
      </c>
      <c r="AU165" s="139" t="s">
        <v>90</v>
      </c>
      <c r="AY165" s="2" t="s">
        <v>337</v>
      </c>
      <c r="BE165" s="140">
        <f>IF(N165="základní",J165,0)</f>
        <v>0</v>
      </c>
      <c r="BF165" s="140">
        <f>IF(N165="snížená",J165,0)</f>
        <v>0</v>
      </c>
      <c r="BG165" s="140">
        <f>IF(N165="zákl. přenesená",J165,0)</f>
        <v>0</v>
      </c>
      <c r="BH165" s="140">
        <f>IF(N165="sníž. přenesená",J165,0)</f>
        <v>0</v>
      </c>
      <c r="BI165" s="140">
        <f>IF(N165="nulová",J165,0)</f>
        <v>0</v>
      </c>
      <c r="BJ165" s="2" t="s">
        <v>87</v>
      </c>
      <c r="BK165" s="140">
        <f>ROUND(I165*H165,2)</f>
        <v>0</v>
      </c>
      <c r="BL165" s="2" t="s">
        <v>496</v>
      </c>
      <c r="BM165" s="139" t="s">
        <v>708</v>
      </c>
    </row>
    <row r="166" spans="2:65" s="16" customFormat="1" ht="19.5" x14ac:dyDescent="0.2">
      <c r="B166" s="17"/>
      <c r="D166" s="143" t="s">
        <v>644</v>
      </c>
      <c r="F166" s="179" t="s">
        <v>6056</v>
      </c>
      <c r="L166" s="17"/>
      <c r="M166" s="180"/>
      <c r="T166" s="41"/>
      <c r="X166" s="200"/>
      <c r="AT166" s="2" t="s">
        <v>644</v>
      </c>
      <c r="AU166" s="2" t="s">
        <v>90</v>
      </c>
    </row>
    <row r="167" spans="2:65" s="16" customFormat="1" ht="16.5" customHeight="1" x14ac:dyDescent="0.2">
      <c r="B167" s="17"/>
      <c r="C167" s="128">
        <v>23</v>
      </c>
      <c r="D167" s="128" t="s">
        <v>339</v>
      </c>
      <c r="E167" s="129" t="s">
        <v>6057</v>
      </c>
      <c r="F167" s="130" t="s">
        <v>6058</v>
      </c>
      <c r="G167" s="131" t="s">
        <v>724</v>
      </c>
      <c r="H167" s="132">
        <v>8</v>
      </c>
      <c r="I167" s="133"/>
      <c r="J167" s="134">
        <f t="shared" ref="J167:J193" si="10">ROUND(I167*H167,2)</f>
        <v>0</v>
      </c>
      <c r="K167" s="130" t="s">
        <v>343</v>
      </c>
      <c r="L167" s="17"/>
      <c r="M167" s="135"/>
      <c r="N167" s="136" t="s">
        <v>45</v>
      </c>
      <c r="P167" s="137">
        <f t="shared" ref="P167:P193" si="11">O167*H167</f>
        <v>0</v>
      </c>
      <c r="Q167" s="137">
        <v>0</v>
      </c>
      <c r="R167" s="137">
        <f t="shared" ref="R167:R193" si="12">Q167*H167</f>
        <v>0</v>
      </c>
      <c r="S167" s="137">
        <v>0</v>
      </c>
      <c r="T167" s="138">
        <f t="shared" ref="T167:T193" si="13">S167*H167</f>
        <v>0</v>
      </c>
      <c r="X167" s="200"/>
      <c r="AR167" s="139" t="s">
        <v>496</v>
      </c>
      <c r="AT167" s="139" t="s">
        <v>339</v>
      </c>
      <c r="AU167" s="139" t="s">
        <v>90</v>
      </c>
      <c r="AY167" s="2" t="s">
        <v>337</v>
      </c>
      <c r="BE167" s="140">
        <f t="shared" ref="BE167:BE193" si="14">IF(N167="základní",J167,0)</f>
        <v>0</v>
      </c>
      <c r="BF167" s="140">
        <f t="shared" ref="BF167:BF193" si="15">IF(N167="snížená",J167,0)</f>
        <v>0</v>
      </c>
      <c r="BG167" s="140">
        <f t="shared" ref="BG167:BG193" si="16">IF(N167="zákl. přenesená",J167,0)</f>
        <v>0</v>
      </c>
      <c r="BH167" s="140">
        <f t="shared" ref="BH167:BH193" si="17">IF(N167="sníž. přenesená",J167,0)</f>
        <v>0</v>
      </c>
      <c r="BI167" s="140">
        <f t="shared" ref="BI167:BI193" si="18">IF(N167="nulová",J167,0)</f>
        <v>0</v>
      </c>
      <c r="BJ167" s="2" t="s">
        <v>87</v>
      </c>
      <c r="BK167" s="140">
        <f t="shared" ref="BK167:BK193" si="19">ROUND(I167*H167,2)</f>
        <v>0</v>
      </c>
      <c r="BL167" s="2" t="s">
        <v>496</v>
      </c>
      <c r="BM167" s="139" t="s">
        <v>733</v>
      </c>
    </row>
    <row r="168" spans="2:65" s="16" customFormat="1" ht="16.5" customHeight="1" x14ac:dyDescent="0.2">
      <c r="B168" s="17"/>
      <c r="C168" s="128">
        <v>24</v>
      </c>
      <c r="D168" s="128" t="s">
        <v>339</v>
      </c>
      <c r="E168" s="129" t="s">
        <v>6059</v>
      </c>
      <c r="F168" s="130" t="s">
        <v>6060</v>
      </c>
      <c r="G168" s="131" t="s">
        <v>724</v>
      </c>
      <c r="H168" s="132">
        <v>8</v>
      </c>
      <c r="I168" s="133"/>
      <c r="J168" s="134">
        <f t="shared" si="10"/>
        <v>0</v>
      </c>
      <c r="K168" s="130" t="s">
        <v>343</v>
      </c>
      <c r="L168" s="17"/>
      <c r="M168" s="135"/>
      <c r="N168" s="136" t="s">
        <v>45</v>
      </c>
      <c r="P168" s="137">
        <f t="shared" si="11"/>
        <v>0</v>
      </c>
      <c r="Q168" s="137">
        <v>0</v>
      </c>
      <c r="R168" s="137">
        <f t="shared" si="12"/>
        <v>0</v>
      </c>
      <c r="S168" s="137">
        <v>0</v>
      </c>
      <c r="T168" s="138">
        <f t="shared" si="13"/>
        <v>0</v>
      </c>
      <c r="X168" s="200"/>
      <c r="AR168" s="139" t="s">
        <v>496</v>
      </c>
      <c r="AT168" s="139" t="s">
        <v>339</v>
      </c>
      <c r="AU168" s="139" t="s">
        <v>90</v>
      </c>
      <c r="AY168" s="2" t="s">
        <v>337</v>
      </c>
      <c r="BE168" s="140">
        <f t="shared" si="14"/>
        <v>0</v>
      </c>
      <c r="BF168" s="140">
        <f t="shared" si="15"/>
        <v>0</v>
      </c>
      <c r="BG168" s="140">
        <f t="shared" si="16"/>
        <v>0</v>
      </c>
      <c r="BH168" s="140">
        <f t="shared" si="17"/>
        <v>0</v>
      </c>
      <c r="BI168" s="140">
        <f t="shared" si="18"/>
        <v>0</v>
      </c>
      <c r="BJ168" s="2" t="s">
        <v>87</v>
      </c>
      <c r="BK168" s="140">
        <f t="shared" si="19"/>
        <v>0</v>
      </c>
      <c r="BL168" s="2" t="s">
        <v>496</v>
      </c>
      <c r="BM168" s="139" t="s">
        <v>748</v>
      </c>
    </row>
    <row r="169" spans="2:65" s="16" customFormat="1" ht="16.5" customHeight="1" x14ac:dyDescent="0.2">
      <c r="B169" s="17"/>
      <c r="C169" s="128">
        <v>25</v>
      </c>
      <c r="D169" s="128" t="s">
        <v>339</v>
      </c>
      <c r="E169" s="129" t="s">
        <v>6061</v>
      </c>
      <c r="F169" s="130" t="s">
        <v>6062</v>
      </c>
      <c r="G169" s="131" t="s">
        <v>724</v>
      </c>
      <c r="H169" s="132">
        <v>100</v>
      </c>
      <c r="I169" s="133"/>
      <c r="J169" s="134">
        <f t="shared" si="10"/>
        <v>0</v>
      </c>
      <c r="K169" s="130" t="s">
        <v>343</v>
      </c>
      <c r="L169" s="17"/>
      <c r="M169" s="135"/>
      <c r="N169" s="136" t="s">
        <v>45</v>
      </c>
      <c r="P169" s="137">
        <f t="shared" si="11"/>
        <v>0</v>
      </c>
      <c r="Q169" s="137">
        <v>0</v>
      </c>
      <c r="R169" s="137">
        <f t="shared" si="12"/>
        <v>0</v>
      </c>
      <c r="S169" s="137">
        <v>0</v>
      </c>
      <c r="T169" s="138">
        <f t="shared" si="13"/>
        <v>0</v>
      </c>
      <c r="X169" s="200"/>
      <c r="AR169" s="139" t="s">
        <v>496</v>
      </c>
      <c r="AT169" s="139" t="s">
        <v>339</v>
      </c>
      <c r="AU169" s="139" t="s">
        <v>90</v>
      </c>
      <c r="AY169" s="2" t="s">
        <v>337</v>
      </c>
      <c r="BE169" s="140">
        <f t="shared" si="14"/>
        <v>0</v>
      </c>
      <c r="BF169" s="140">
        <f t="shared" si="15"/>
        <v>0</v>
      </c>
      <c r="BG169" s="140">
        <f t="shared" si="16"/>
        <v>0</v>
      </c>
      <c r="BH169" s="140">
        <f t="shared" si="17"/>
        <v>0</v>
      </c>
      <c r="BI169" s="140">
        <f t="shared" si="18"/>
        <v>0</v>
      </c>
      <c r="BJ169" s="2" t="s">
        <v>87</v>
      </c>
      <c r="BK169" s="140">
        <f t="shared" si="19"/>
        <v>0</v>
      </c>
      <c r="BL169" s="2" t="s">
        <v>496</v>
      </c>
      <c r="BM169" s="139" t="s">
        <v>762</v>
      </c>
    </row>
    <row r="170" spans="2:65" s="16" customFormat="1" ht="16.5" customHeight="1" x14ac:dyDescent="0.2">
      <c r="B170" s="17"/>
      <c r="C170" s="128">
        <v>26</v>
      </c>
      <c r="D170" s="128" t="s">
        <v>339</v>
      </c>
      <c r="E170" s="129" t="s">
        <v>6063</v>
      </c>
      <c r="F170" s="130" t="s">
        <v>6064</v>
      </c>
      <c r="G170" s="131" t="s">
        <v>724</v>
      </c>
      <c r="H170" s="132">
        <v>20</v>
      </c>
      <c r="I170" s="133"/>
      <c r="J170" s="134">
        <f t="shared" si="10"/>
        <v>0</v>
      </c>
      <c r="K170" s="130" t="s">
        <v>343</v>
      </c>
      <c r="L170" s="17"/>
      <c r="M170" s="135"/>
      <c r="N170" s="136" t="s">
        <v>45</v>
      </c>
      <c r="P170" s="137">
        <f t="shared" si="11"/>
        <v>0</v>
      </c>
      <c r="Q170" s="137">
        <v>0</v>
      </c>
      <c r="R170" s="137">
        <f t="shared" si="12"/>
        <v>0</v>
      </c>
      <c r="S170" s="137">
        <v>0</v>
      </c>
      <c r="T170" s="138">
        <f t="shared" si="13"/>
        <v>0</v>
      </c>
      <c r="X170" s="200"/>
      <c r="AR170" s="139" t="s">
        <v>496</v>
      </c>
      <c r="AT170" s="139" t="s">
        <v>339</v>
      </c>
      <c r="AU170" s="139" t="s">
        <v>90</v>
      </c>
      <c r="AY170" s="2" t="s">
        <v>337</v>
      </c>
      <c r="BE170" s="140">
        <f t="shared" si="14"/>
        <v>0</v>
      </c>
      <c r="BF170" s="140">
        <f t="shared" si="15"/>
        <v>0</v>
      </c>
      <c r="BG170" s="140">
        <f t="shared" si="16"/>
        <v>0</v>
      </c>
      <c r="BH170" s="140">
        <f t="shared" si="17"/>
        <v>0</v>
      </c>
      <c r="BI170" s="140">
        <f t="shared" si="18"/>
        <v>0</v>
      </c>
      <c r="BJ170" s="2" t="s">
        <v>87</v>
      </c>
      <c r="BK170" s="140">
        <f t="shared" si="19"/>
        <v>0</v>
      </c>
      <c r="BL170" s="2" t="s">
        <v>496</v>
      </c>
      <c r="BM170" s="139" t="s">
        <v>774</v>
      </c>
    </row>
    <row r="171" spans="2:65" s="16" customFormat="1" ht="16.5" customHeight="1" x14ac:dyDescent="0.2">
      <c r="B171" s="17"/>
      <c r="C171" s="128">
        <v>27</v>
      </c>
      <c r="D171" s="128" t="s">
        <v>339</v>
      </c>
      <c r="E171" s="129" t="s">
        <v>6065</v>
      </c>
      <c r="F171" s="130" t="s">
        <v>6066</v>
      </c>
      <c r="G171" s="131" t="s">
        <v>724</v>
      </c>
      <c r="H171" s="132">
        <v>10</v>
      </c>
      <c r="I171" s="133"/>
      <c r="J171" s="134">
        <f t="shared" si="10"/>
        <v>0</v>
      </c>
      <c r="K171" s="130" t="s">
        <v>343</v>
      </c>
      <c r="L171" s="17"/>
      <c r="M171" s="135"/>
      <c r="N171" s="136" t="s">
        <v>45</v>
      </c>
      <c r="P171" s="137">
        <f t="shared" si="11"/>
        <v>0</v>
      </c>
      <c r="Q171" s="137">
        <v>0</v>
      </c>
      <c r="R171" s="137">
        <f t="shared" si="12"/>
        <v>0</v>
      </c>
      <c r="S171" s="137">
        <v>0</v>
      </c>
      <c r="T171" s="138">
        <f t="shared" si="13"/>
        <v>0</v>
      </c>
      <c r="X171" s="200"/>
      <c r="AR171" s="139" t="s">
        <v>496</v>
      </c>
      <c r="AT171" s="139" t="s">
        <v>339</v>
      </c>
      <c r="AU171" s="139" t="s">
        <v>90</v>
      </c>
      <c r="AY171" s="2" t="s">
        <v>337</v>
      </c>
      <c r="BE171" s="140">
        <f t="shared" si="14"/>
        <v>0</v>
      </c>
      <c r="BF171" s="140">
        <f t="shared" si="15"/>
        <v>0</v>
      </c>
      <c r="BG171" s="140">
        <f t="shared" si="16"/>
        <v>0</v>
      </c>
      <c r="BH171" s="140">
        <f t="shared" si="17"/>
        <v>0</v>
      </c>
      <c r="BI171" s="140">
        <f t="shared" si="18"/>
        <v>0</v>
      </c>
      <c r="BJ171" s="2" t="s">
        <v>87</v>
      </c>
      <c r="BK171" s="140">
        <f t="shared" si="19"/>
        <v>0</v>
      </c>
      <c r="BL171" s="2" t="s">
        <v>496</v>
      </c>
      <c r="BM171" s="139" t="s">
        <v>788</v>
      </c>
    </row>
    <row r="172" spans="2:65" s="16" customFormat="1" ht="16.5" customHeight="1" x14ac:dyDescent="0.2">
      <c r="B172" s="17"/>
      <c r="C172" s="128">
        <v>28</v>
      </c>
      <c r="D172" s="128" t="s">
        <v>339</v>
      </c>
      <c r="E172" s="129" t="s">
        <v>6067</v>
      </c>
      <c r="F172" s="130" t="s">
        <v>6068</v>
      </c>
      <c r="G172" s="131" t="s">
        <v>724</v>
      </c>
      <c r="H172" s="132">
        <v>50</v>
      </c>
      <c r="I172" s="133"/>
      <c r="J172" s="134">
        <f t="shared" si="10"/>
        <v>0</v>
      </c>
      <c r="K172" s="130"/>
      <c r="L172" s="17"/>
      <c r="M172" s="135"/>
      <c r="N172" s="136" t="s">
        <v>45</v>
      </c>
      <c r="P172" s="137">
        <f t="shared" si="11"/>
        <v>0</v>
      </c>
      <c r="Q172" s="137">
        <v>0</v>
      </c>
      <c r="R172" s="137">
        <f t="shared" si="12"/>
        <v>0</v>
      </c>
      <c r="S172" s="137">
        <v>0</v>
      </c>
      <c r="T172" s="138">
        <f t="shared" si="13"/>
        <v>0</v>
      </c>
      <c r="X172" s="200"/>
      <c r="AR172" s="139" t="s">
        <v>496</v>
      </c>
      <c r="AT172" s="139" t="s">
        <v>339</v>
      </c>
      <c r="AU172" s="139" t="s">
        <v>90</v>
      </c>
      <c r="AY172" s="2" t="s">
        <v>337</v>
      </c>
      <c r="BE172" s="140">
        <f t="shared" si="14"/>
        <v>0</v>
      </c>
      <c r="BF172" s="140">
        <f t="shared" si="15"/>
        <v>0</v>
      </c>
      <c r="BG172" s="140">
        <f t="shared" si="16"/>
        <v>0</v>
      </c>
      <c r="BH172" s="140">
        <f t="shared" si="17"/>
        <v>0</v>
      </c>
      <c r="BI172" s="140">
        <f t="shared" si="18"/>
        <v>0</v>
      </c>
      <c r="BJ172" s="2" t="s">
        <v>87</v>
      </c>
      <c r="BK172" s="140">
        <f t="shared" si="19"/>
        <v>0</v>
      </c>
      <c r="BL172" s="2" t="s">
        <v>496</v>
      </c>
      <c r="BM172" s="139" t="s">
        <v>797</v>
      </c>
    </row>
    <row r="173" spans="2:65" s="16" customFormat="1" ht="16.5" customHeight="1" x14ac:dyDescent="0.2">
      <c r="B173" s="17"/>
      <c r="C173" s="128">
        <v>29</v>
      </c>
      <c r="D173" s="128" t="s">
        <v>339</v>
      </c>
      <c r="E173" s="129" t="s">
        <v>6069</v>
      </c>
      <c r="F173" s="130" t="s">
        <v>6070</v>
      </c>
      <c r="G173" s="131" t="s">
        <v>724</v>
      </c>
      <c r="H173" s="132">
        <v>170</v>
      </c>
      <c r="I173" s="133"/>
      <c r="J173" s="134">
        <f t="shared" si="10"/>
        <v>0</v>
      </c>
      <c r="K173" s="130" t="s">
        <v>343</v>
      </c>
      <c r="L173" s="17"/>
      <c r="M173" s="135"/>
      <c r="N173" s="136" t="s">
        <v>45</v>
      </c>
      <c r="P173" s="137">
        <f t="shared" si="11"/>
        <v>0</v>
      </c>
      <c r="Q173" s="137">
        <v>0</v>
      </c>
      <c r="R173" s="137">
        <f t="shared" si="12"/>
        <v>0</v>
      </c>
      <c r="S173" s="137">
        <v>0</v>
      </c>
      <c r="T173" s="138">
        <f t="shared" si="13"/>
        <v>0</v>
      </c>
      <c r="X173" s="200"/>
      <c r="AR173" s="139" t="s">
        <v>496</v>
      </c>
      <c r="AT173" s="139" t="s">
        <v>339</v>
      </c>
      <c r="AU173" s="139" t="s">
        <v>90</v>
      </c>
      <c r="AY173" s="2" t="s">
        <v>337</v>
      </c>
      <c r="BE173" s="140">
        <f t="shared" si="14"/>
        <v>0</v>
      </c>
      <c r="BF173" s="140">
        <f t="shared" si="15"/>
        <v>0</v>
      </c>
      <c r="BG173" s="140">
        <f t="shared" si="16"/>
        <v>0</v>
      </c>
      <c r="BH173" s="140">
        <f t="shared" si="17"/>
        <v>0</v>
      </c>
      <c r="BI173" s="140">
        <f t="shared" si="18"/>
        <v>0</v>
      </c>
      <c r="BJ173" s="2" t="s">
        <v>87</v>
      </c>
      <c r="BK173" s="140">
        <f t="shared" si="19"/>
        <v>0</v>
      </c>
      <c r="BL173" s="2" t="s">
        <v>496</v>
      </c>
      <c r="BM173" s="139" t="s">
        <v>807</v>
      </c>
    </row>
    <row r="174" spans="2:65" s="16" customFormat="1" ht="16.5" customHeight="1" x14ac:dyDescent="0.2">
      <c r="B174" s="17"/>
      <c r="C174" s="128">
        <v>30</v>
      </c>
      <c r="D174" s="128" t="s">
        <v>339</v>
      </c>
      <c r="E174" s="129" t="s">
        <v>6071</v>
      </c>
      <c r="F174" s="130" t="s">
        <v>6072</v>
      </c>
      <c r="G174" s="131" t="s">
        <v>724</v>
      </c>
      <c r="H174" s="132">
        <v>85</v>
      </c>
      <c r="I174" s="133"/>
      <c r="J174" s="134">
        <f t="shared" si="10"/>
        <v>0</v>
      </c>
      <c r="K174" s="130" t="s">
        <v>343</v>
      </c>
      <c r="L174" s="17"/>
      <c r="M174" s="135"/>
      <c r="N174" s="136" t="s">
        <v>45</v>
      </c>
      <c r="P174" s="137">
        <f t="shared" si="11"/>
        <v>0</v>
      </c>
      <c r="Q174" s="137">
        <v>0</v>
      </c>
      <c r="R174" s="137">
        <f t="shared" si="12"/>
        <v>0</v>
      </c>
      <c r="S174" s="137">
        <v>0</v>
      </c>
      <c r="T174" s="138">
        <f t="shared" si="13"/>
        <v>0</v>
      </c>
      <c r="X174" s="200"/>
      <c r="AR174" s="139" t="s">
        <v>496</v>
      </c>
      <c r="AT174" s="139" t="s">
        <v>339</v>
      </c>
      <c r="AU174" s="139" t="s">
        <v>90</v>
      </c>
      <c r="AY174" s="2" t="s">
        <v>337</v>
      </c>
      <c r="BE174" s="140">
        <f t="shared" si="14"/>
        <v>0</v>
      </c>
      <c r="BF174" s="140">
        <f t="shared" si="15"/>
        <v>0</v>
      </c>
      <c r="BG174" s="140">
        <f t="shared" si="16"/>
        <v>0</v>
      </c>
      <c r="BH174" s="140">
        <f t="shared" si="17"/>
        <v>0</v>
      </c>
      <c r="BI174" s="140">
        <f t="shared" si="18"/>
        <v>0</v>
      </c>
      <c r="BJ174" s="2" t="s">
        <v>87</v>
      </c>
      <c r="BK174" s="140">
        <f t="shared" si="19"/>
        <v>0</v>
      </c>
      <c r="BL174" s="2" t="s">
        <v>496</v>
      </c>
      <c r="BM174" s="139" t="s">
        <v>818</v>
      </c>
    </row>
    <row r="175" spans="2:65" s="16" customFormat="1" ht="16.5" customHeight="1" x14ac:dyDescent="0.2">
      <c r="B175" s="17"/>
      <c r="C175" s="128">
        <v>31</v>
      </c>
      <c r="D175" s="128" t="s">
        <v>339</v>
      </c>
      <c r="E175" s="129" t="s">
        <v>6073</v>
      </c>
      <c r="F175" s="130" t="s">
        <v>6074</v>
      </c>
      <c r="G175" s="131" t="s">
        <v>724</v>
      </c>
      <c r="H175" s="132">
        <v>20</v>
      </c>
      <c r="I175" s="133"/>
      <c r="J175" s="134">
        <f t="shared" si="10"/>
        <v>0</v>
      </c>
      <c r="K175" s="130" t="s">
        <v>343</v>
      </c>
      <c r="L175" s="17"/>
      <c r="M175" s="135"/>
      <c r="N175" s="136" t="s">
        <v>45</v>
      </c>
      <c r="P175" s="137">
        <f t="shared" si="11"/>
        <v>0</v>
      </c>
      <c r="Q175" s="137">
        <v>0</v>
      </c>
      <c r="R175" s="137">
        <f t="shared" si="12"/>
        <v>0</v>
      </c>
      <c r="S175" s="137">
        <v>0</v>
      </c>
      <c r="T175" s="138">
        <f t="shared" si="13"/>
        <v>0</v>
      </c>
      <c r="X175" s="200"/>
      <c r="AR175" s="139" t="s">
        <v>496</v>
      </c>
      <c r="AT175" s="139" t="s">
        <v>339</v>
      </c>
      <c r="AU175" s="139" t="s">
        <v>90</v>
      </c>
      <c r="AY175" s="2" t="s">
        <v>337</v>
      </c>
      <c r="BE175" s="140">
        <f t="shared" si="14"/>
        <v>0</v>
      </c>
      <c r="BF175" s="140">
        <f t="shared" si="15"/>
        <v>0</v>
      </c>
      <c r="BG175" s="140">
        <f t="shared" si="16"/>
        <v>0</v>
      </c>
      <c r="BH175" s="140">
        <f t="shared" si="17"/>
        <v>0</v>
      </c>
      <c r="BI175" s="140">
        <f t="shared" si="18"/>
        <v>0</v>
      </c>
      <c r="BJ175" s="2" t="s">
        <v>87</v>
      </c>
      <c r="BK175" s="140">
        <f t="shared" si="19"/>
        <v>0</v>
      </c>
      <c r="BL175" s="2" t="s">
        <v>496</v>
      </c>
      <c r="BM175" s="139" t="s">
        <v>829</v>
      </c>
    </row>
    <row r="176" spans="2:65" s="16" customFormat="1" ht="16.5" customHeight="1" x14ac:dyDescent="0.2">
      <c r="B176" s="17"/>
      <c r="C176" s="128">
        <v>32</v>
      </c>
      <c r="D176" s="128" t="s">
        <v>339</v>
      </c>
      <c r="E176" s="129" t="s">
        <v>6075</v>
      </c>
      <c r="F176" s="130" t="s">
        <v>6076</v>
      </c>
      <c r="G176" s="131" t="s">
        <v>724</v>
      </c>
      <c r="H176" s="132">
        <v>520</v>
      </c>
      <c r="I176" s="133"/>
      <c r="J176" s="134">
        <f t="shared" si="10"/>
        <v>0</v>
      </c>
      <c r="K176" s="130" t="s">
        <v>343</v>
      </c>
      <c r="L176" s="17"/>
      <c r="M176" s="135"/>
      <c r="N176" s="136" t="s">
        <v>45</v>
      </c>
      <c r="P176" s="137">
        <f t="shared" si="11"/>
        <v>0</v>
      </c>
      <c r="Q176" s="137">
        <v>0</v>
      </c>
      <c r="R176" s="137">
        <f t="shared" si="12"/>
        <v>0</v>
      </c>
      <c r="S176" s="137">
        <v>0</v>
      </c>
      <c r="T176" s="138">
        <f t="shared" si="13"/>
        <v>0</v>
      </c>
      <c r="X176" s="200"/>
      <c r="AR176" s="139" t="s">
        <v>496</v>
      </c>
      <c r="AT176" s="139" t="s">
        <v>339</v>
      </c>
      <c r="AU176" s="139" t="s">
        <v>90</v>
      </c>
      <c r="AY176" s="2" t="s">
        <v>337</v>
      </c>
      <c r="BE176" s="140">
        <f t="shared" si="14"/>
        <v>0</v>
      </c>
      <c r="BF176" s="140">
        <f t="shared" si="15"/>
        <v>0</v>
      </c>
      <c r="BG176" s="140">
        <f t="shared" si="16"/>
        <v>0</v>
      </c>
      <c r="BH176" s="140">
        <f t="shared" si="17"/>
        <v>0</v>
      </c>
      <c r="BI176" s="140">
        <f t="shared" si="18"/>
        <v>0</v>
      </c>
      <c r="BJ176" s="2" t="s">
        <v>87</v>
      </c>
      <c r="BK176" s="140">
        <f t="shared" si="19"/>
        <v>0</v>
      </c>
      <c r="BL176" s="2" t="s">
        <v>496</v>
      </c>
      <c r="BM176" s="139" t="s">
        <v>850</v>
      </c>
    </row>
    <row r="177" spans="2:65" s="16" customFormat="1" ht="16.5" customHeight="1" x14ac:dyDescent="0.2">
      <c r="B177" s="17"/>
      <c r="C177" s="128">
        <v>33</v>
      </c>
      <c r="D177" s="128" t="s">
        <v>339</v>
      </c>
      <c r="E177" s="129" t="s">
        <v>6077</v>
      </c>
      <c r="F177" s="130" t="s">
        <v>6078</v>
      </c>
      <c r="G177" s="131" t="s">
        <v>724</v>
      </c>
      <c r="H177" s="132">
        <v>10</v>
      </c>
      <c r="I177" s="133"/>
      <c r="J177" s="134">
        <f t="shared" si="10"/>
        <v>0</v>
      </c>
      <c r="K177" s="130"/>
      <c r="L177" s="17"/>
      <c r="M177" s="135"/>
      <c r="N177" s="136" t="s">
        <v>45</v>
      </c>
      <c r="P177" s="137">
        <f t="shared" si="11"/>
        <v>0</v>
      </c>
      <c r="Q177" s="137">
        <v>0</v>
      </c>
      <c r="R177" s="137">
        <f t="shared" si="12"/>
        <v>0</v>
      </c>
      <c r="S177" s="137">
        <v>0</v>
      </c>
      <c r="T177" s="138">
        <f t="shared" si="13"/>
        <v>0</v>
      </c>
      <c r="X177" s="200"/>
      <c r="AR177" s="139" t="s">
        <v>496</v>
      </c>
      <c r="AT177" s="139" t="s">
        <v>339</v>
      </c>
      <c r="AU177" s="139" t="s">
        <v>90</v>
      </c>
      <c r="AY177" s="2" t="s">
        <v>337</v>
      </c>
      <c r="BE177" s="140">
        <f t="shared" si="14"/>
        <v>0</v>
      </c>
      <c r="BF177" s="140">
        <f t="shared" si="15"/>
        <v>0</v>
      </c>
      <c r="BG177" s="140">
        <f t="shared" si="16"/>
        <v>0</v>
      </c>
      <c r="BH177" s="140">
        <f t="shared" si="17"/>
        <v>0</v>
      </c>
      <c r="BI177" s="140">
        <f t="shared" si="18"/>
        <v>0</v>
      </c>
      <c r="BJ177" s="2" t="s">
        <v>87</v>
      </c>
      <c r="BK177" s="140">
        <f t="shared" si="19"/>
        <v>0</v>
      </c>
      <c r="BL177" s="2" t="s">
        <v>496</v>
      </c>
      <c r="BM177" s="139" t="s">
        <v>3442</v>
      </c>
    </row>
    <row r="178" spans="2:65" s="16" customFormat="1" ht="16.5" customHeight="1" x14ac:dyDescent="0.2">
      <c r="B178" s="17"/>
      <c r="C178" s="128">
        <v>34</v>
      </c>
      <c r="D178" s="128" t="s">
        <v>339</v>
      </c>
      <c r="E178" s="129" t="s">
        <v>6079</v>
      </c>
      <c r="F178" s="130" t="s">
        <v>6080</v>
      </c>
      <c r="G178" s="131" t="s">
        <v>724</v>
      </c>
      <c r="H178" s="132">
        <v>20</v>
      </c>
      <c r="I178" s="133"/>
      <c r="J178" s="134">
        <f t="shared" si="10"/>
        <v>0</v>
      </c>
      <c r="K178" s="130"/>
      <c r="L178" s="17"/>
      <c r="M178" s="135"/>
      <c r="N178" s="136" t="s">
        <v>45</v>
      </c>
      <c r="P178" s="137">
        <f t="shared" si="11"/>
        <v>0</v>
      </c>
      <c r="Q178" s="137">
        <v>0</v>
      </c>
      <c r="R178" s="137">
        <f t="shared" si="12"/>
        <v>0</v>
      </c>
      <c r="S178" s="137">
        <v>0</v>
      </c>
      <c r="T178" s="138">
        <f t="shared" si="13"/>
        <v>0</v>
      </c>
      <c r="X178" s="200"/>
      <c r="AR178" s="139" t="s">
        <v>496</v>
      </c>
      <c r="AT178" s="139" t="s">
        <v>339</v>
      </c>
      <c r="AU178" s="139" t="s">
        <v>90</v>
      </c>
      <c r="AY178" s="2" t="s">
        <v>337</v>
      </c>
      <c r="BE178" s="140">
        <f t="shared" si="14"/>
        <v>0</v>
      </c>
      <c r="BF178" s="140">
        <f t="shared" si="15"/>
        <v>0</v>
      </c>
      <c r="BG178" s="140">
        <f t="shared" si="16"/>
        <v>0</v>
      </c>
      <c r="BH178" s="140">
        <f t="shared" si="17"/>
        <v>0</v>
      </c>
      <c r="BI178" s="140">
        <f t="shared" si="18"/>
        <v>0</v>
      </c>
      <c r="BJ178" s="2" t="s">
        <v>87</v>
      </c>
      <c r="BK178" s="140">
        <f t="shared" si="19"/>
        <v>0</v>
      </c>
      <c r="BL178" s="2" t="s">
        <v>496</v>
      </c>
      <c r="BM178" s="139" t="s">
        <v>870</v>
      </c>
    </row>
    <row r="179" spans="2:65" s="16" customFormat="1" ht="16.5" customHeight="1" x14ac:dyDescent="0.2">
      <c r="B179" s="17"/>
      <c r="C179" s="128">
        <v>35</v>
      </c>
      <c r="D179" s="128" t="s">
        <v>339</v>
      </c>
      <c r="E179" s="129" t="s">
        <v>6081</v>
      </c>
      <c r="F179" s="130" t="s">
        <v>6082</v>
      </c>
      <c r="G179" s="131" t="s">
        <v>724</v>
      </c>
      <c r="H179" s="132">
        <v>15</v>
      </c>
      <c r="I179" s="133"/>
      <c r="J179" s="134">
        <f t="shared" si="10"/>
        <v>0</v>
      </c>
      <c r="K179" s="130"/>
      <c r="L179" s="17"/>
      <c r="M179" s="135"/>
      <c r="N179" s="136" t="s">
        <v>45</v>
      </c>
      <c r="P179" s="137">
        <f t="shared" si="11"/>
        <v>0</v>
      </c>
      <c r="Q179" s="137">
        <v>0</v>
      </c>
      <c r="R179" s="137">
        <f t="shared" si="12"/>
        <v>0</v>
      </c>
      <c r="S179" s="137">
        <v>0</v>
      </c>
      <c r="T179" s="138">
        <f t="shared" si="13"/>
        <v>0</v>
      </c>
      <c r="X179" s="200"/>
      <c r="AR179" s="139" t="s">
        <v>496</v>
      </c>
      <c r="AT179" s="139" t="s">
        <v>339</v>
      </c>
      <c r="AU179" s="139" t="s">
        <v>90</v>
      </c>
      <c r="AY179" s="2" t="s">
        <v>337</v>
      </c>
      <c r="BE179" s="140">
        <f t="shared" si="14"/>
        <v>0</v>
      </c>
      <c r="BF179" s="140">
        <f t="shared" si="15"/>
        <v>0</v>
      </c>
      <c r="BG179" s="140">
        <f t="shared" si="16"/>
        <v>0</v>
      </c>
      <c r="BH179" s="140">
        <f t="shared" si="17"/>
        <v>0</v>
      </c>
      <c r="BI179" s="140">
        <f t="shared" si="18"/>
        <v>0</v>
      </c>
      <c r="BJ179" s="2" t="s">
        <v>87</v>
      </c>
      <c r="BK179" s="140">
        <f t="shared" si="19"/>
        <v>0</v>
      </c>
      <c r="BL179" s="2" t="s">
        <v>496</v>
      </c>
      <c r="BM179" s="139" t="s">
        <v>943</v>
      </c>
    </row>
    <row r="180" spans="2:65" s="16" customFormat="1" ht="16.5" customHeight="1" x14ac:dyDescent="0.2">
      <c r="B180" s="17"/>
      <c r="C180" s="128">
        <v>36</v>
      </c>
      <c r="D180" s="128" t="s">
        <v>339</v>
      </c>
      <c r="E180" s="129" t="s">
        <v>6083</v>
      </c>
      <c r="F180" s="130" t="s">
        <v>6084</v>
      </c>
      <c r="G180" s="131" t="s">
        <v>449</v>
      </c>
      <c r="H180" s="132">
        <v>1</v>
      </c>
      <c r="I180" s="133"/>
      <c r="J180" s="134">
        <f t="shared" si="10"/>
        <v>0</v>
      </c>
      <c r="K180" s="130" t="s">
        <v>343</v>
      </c>
      <c r="L180" s="17"/>
      <c r="M180" s="135"/>
      <c r="N180" s="136" t="s">
        <v>45</v>
      </c>
      <c r="P180" s="137">
        <f t="shared" si="11"/>
        <v>0</v>
      </c>
      <c r="Q180" s="137">
        <v>0</v>
      </c>
      <c r="R180" s="137">
        <f t="shared" si="12"/>
        <v>0</v>
      </c>
      <c r="S180" s="137">
        <v>0</v>
      </c>
      <c r="T180" s="138">
        <f t="shared" si="13"/>
        <v>0</v>
      </c>
      <c r="X180" s="200"/>
      <c r="AR180" s="139" t="s">
        <v>496</v>
      </c>
      <c r="AT180" s="139" t="s">
        <v>339</v>
      </c>
      <c r="AU180" s="139" t="s">
        <v>90</v>
      </c>
      <c r="AY180" s="2" t="s">
        <v>337</v>
      </c>
      <c r="BE180" s="140">
        <f t="shared" si="14"/>
        <v>0</v>
      </c>
      <c r="BF180" s="140">
        <f t="shared" si="15"/>
        <v>0</v>
      </c>
      <c r="BG180" s="140">
        <f t="shared" si="16"/>
        <v>0</v>
      </c>
      <c r="BH180" s="140">
        <f t="shared" si="17"/>
        <v>0</v>
      </c>
      <c r="BI180" s="140">
        <f t="shared" si="18"/>
        <v>0</v>
      </c>
      <c r="BJ180" s="2" t="s">
        <v>87</v>
      </c>
      <c r="BK180" s="140">
        <f t="shared" si="19"/>
        <v>0</v>
      </c>
      <c r="BL180" s="2" t="s">
        <v>496</v>
      </c>
      <c r="BM180" s="139" t="s">
        <v>950</v>
      </c>
    </row>
    <row r="181" spans="2:65" s="16" customFormat="1" ht="16.5" customHeight="1" x14ac:dyDescent="0.2">
      <c r="B181" s="17"/>
      <c r="C181" s="128">
        <v>37</v>
      </c>
      <c r="D181" s="128" t="s">
        <v>339</v>
      </c>
      <c r="E181" s="129" t="s">
        <v>6085</v>
      </c>
      <c r="F181" s="130" t="s">
        <v>6086</v>
      </c>
      <c r="G181" s="131" t="s">
        <v>449</v>
      </c>
      <c r="H181" s="132">
        <v>7</v>
      </c>
      <c r="I181" s="133"/>
      <c r="J181" s="134">
        <f t="shared" si="10"/>
        <v>0</v>
      </c>
      <c r="K181" s="130"/>
      <c r="L181" s="17"/>
      <c r="M181" s="135"/>
      <c r="N181" s="136" t="s">
        <v>45</v>
      </c>
      <c r="P181" s="137">
        <f t="shared" si="11"/>
        <v>0</v>
      </c>
      <c r="Q181" s="137">
        <v>0</v>
      </c>
      <c r="R181" s="137">
        <f t="shared" si="12"/>
        <v>0</v>
      </c>
      <c r="S181" s="137">
        <v>0</v>
      </c>
      <c r="T181" s="138">
        <f t="shared" si="13"/>
        <v>0</v>
      </c>
      <c r="X181" s="200"/>
      <c r="AR181" s="139" t="s">
        <v>496</v>
      </c>
      <c r="AT181" s="139" t="s">
        <v>339</v>
      </c>
      <c r="AU181" s="139" t="s">
        <v>90</v>
      </c>
      <c r="AY181" s="2" t="s">
        <v>337</v>
      </c>
      <c r="BE181" s="140">
        <f t="shared" si="14"/>
        <v>0</v>
      </c>
      <c r="BF181" s="140">
        <f t="shared" si="15"/>
        <v>0</v>
      </c>
      <c r="BG181" s="140">
        <f t="shared" si="16"/>
        <v>0</v>
      </c>
      <c r="BH181" s="140">
        <f t="shared" si="17"/>
        <v>0</v>
      </c>
      <c r="BI181" s="140">
        <f t="shared" si="18"/>
        <v>0</v>
      </c>
      <c r="BJ181" s="2" t="s">
        <v>87</v>
      </c>
      <c r="BK181" s="140">
        <f t="shared" si="19"/>
        <v>0</v>
      </c>
      <c r="BL181" s="2" t="s">
        <v>496</v>
      </c>
      <c r="BM181" s="139" t="s">
        <v>958</v>
      </c>
    </row>
    <row r="182" spans="2:65" s="16" customFormat="1" ht="16.5" customHeight="1" x14ac:dyDescent="0.2">
      <c r="B182" s="17"/>
      <c r="C182" s="128">
        <v>38</v>
      </c>
      <c r="D182" s="128" t="s">
        <v>339</v>
      </c>
      <c r="E182" s="129" t="s">
        <v>6087</v>
      </c>
      <c r="F182" s="130" t="s">
        <v>6088</v>
      </c>
      <c r="G182" s="131" t="s">
        <v>449</v>
      </c>
      <c r="H182" s="132">
        <v>1</v>
      </c>
      <c r="I182" s="133"/>
      <c r="J182" s="134">
        <f t="shared" si="10"/>
        <v>0</v>
      </c>
      <c r="K182" s="130"/>
      <c r="L182" s="17"/>
      <c r="M182" s="135"/>
      <c r="N182" s="136" t="s">
        <v>45</v>
      </c>
      <c r="P182" s="137">
        <f t="shared" si="11"/>
        <v>0</v>
      </c>
      <c r="Q182" s="137">
        <v>0</v>
      </c>
      <c r="R182" s="137">
        <f t="shared" si="12"/>
        <v>0</v>
      </c>
      <c r="S182" s="137">
        <v>0</v>
      </c>
      <c r="T182" s="138">
        <f t="shared" si="13"/>
        <v>0</v>
      </c>
      <c r="X182" s="200"/>
      <c r="AR182" s="139" t="s">
        <v>496</v>
      </c>
      <c r="AT182" s="139" t="s">
        <v>339</v>
      </c>
      <c r="AU182" s="139" t="s">
        <v>90</v>
      </c>
      <c r="AY182" s="2" t="s">
        <v>337</v>
      </c>
      <c r="BE182" s="140">
        <f t="shared" si="14"/>
        <v>0</v>
      </c>
      <c r="BF182" s="140">
        <f t="shared" si="15"/>
        <v>0</v>
      </c>
      <c r="BG182" s="140">
        <f t="shared" si="16"/>
        <v>0</v>
      </c>
      <c r="BH182" s="140">
        <f t="shared" si="17"/>
        <v>0</v>
      </c>
      <c r="BI182" s="140">
        <f t="shared" si="18"/>
        <v>0</v>
      </c>
      <c r="BJ182" s="2" t="s">
        <v>87</v>
      </c>
      <c r="BK182" s="140">
        <f t="shared" si="19"/>
        <v>0</v>
      </c>
      <c r="BL182" s="2" t="s">
        <v>496</v>
      </c>
      <c r="BM182" s="139" t="s">
        <v>970</v>
      </c>
    </row>
    <row r="183" spans="2:65" s="16" customFormat="1" ht="24.2" customHeight="1" x14ac:dyDescent="0.2">
      <c r="B183" s="17"/>
      <c r="C183" s="128">
        <v>39</v>
      </c>
      <c r="D183" s="128" t="s">
        <v>339</v>
      </c>
      <c r="E183" s="129" t="s">
        <v>6089</v>
      </c>
      <c r="F183" s="130" t="s">
        <v>6090</v>
      </c>
      <c r="G183" s="131" t="s">
        <v>449</v>
      </c>
      <c r="H183" s="132">
        <v>19</v>
      </c>
      <c r="I183" s="133"/>
      <c r="J183" s="134">
        <f t="shared" si="10"/>
        <v>0</v>
      </c>
      <c r="K183" s="130"/>
      <c r="L183" s="17"/>
      <c r="M183" s="135"/>
      <c r="N183" s="136" t="s">
        <v>45</v>
      </c>
      <c r="P183" s="137">
        <f t="shared" si="11"/>
        <v>0</v>
      </c>
      <c r="Q183" s="137">
        <v>0</v>
      </c>
      <c r="R183" s="137">
        <f t="shared" si="12"/>
        <v>0</v>
      </c>
      <c r="S183" s="137">
        <v>0</v>
      </c>
      <c r="T183" s="138">
        <f t="shared" si="13"/>
        <v>0</v>
      </c>
      <c r="X183" s="200"/>
      <c r="AR183" s="139" t="s">
        <v>496</v>
      </c>
      <c r="AT183" s="139" t="s">
        <v>339</v>
      </c>
      <c r="AU183" s="139" t="s">
        <v>90</v>
      </c>
      <c r="AY183" s="2" t="s">
        <v>337</v>
      </c>
      <c r="BE183" s="140">
        <f t="shared" si="14"/>
        <v>0</v>
      </c>
      <c r="BF183" s="140">
        <f t="shared" si="15"/>
        <v>0</v>
      </c>
      <c r="BG183" s="140">
        <f t="shared" si="16"/>
        <v>0</v>
      </c>
      <c r="BH183" s="140">
        <f t="shared" si="17"/>
        <v>0</v>
      </c>
      <c r="BI183" s="140">
        <f t="shared" si="18"/>
        <v>0</v>
      </c>
      <c r="BJ183" s="2" t="s">
        <v>87</v>
      </c>
      <c r="BK183" s="140">
        <f t="shared" si="19"/>
        <v>0</v>
      </c>
      <c r="BL183" s="2" t="s">
        <v>496</v>
      </c>
      <c r="BM183" s="139" t="s">
        <v>981</v>
      </c>
    </row>
    <row r="184" spans="2:65" s="16" customFormat="1" ht="16.5" customHeight="1" x14ac:dyDescent="0.2">
      <c r="B184" s="17"/>
      <c r="C184" s="128">
        <v>40</v>
      </c>
      <c r="D184" s="128" t="s">
        <v>339</v>
      </c>
      <c r="E184" s="129" t="s">
        <v>6091</v>
      </c>
      <c r="F184" s="130" t="s">
        <v>6092</v>
      </c>
      <c r="G184" s="131" t="s">
        <v>449</v>
      </c>
      <c r="H184" s="132">
        <v>7</v>
      </c>
      <c r="I184" s="133"/>
      <c r="J184" s="134">
        <f t="shared" si="10"/>
        <v>0</v>
      </c>
      <c r="K184" s="130"/>
      <c r="L184" s="17"/>
      <c r="M184" s="135"/>
      <c r="N184" s="136" t="s">
        <v>45</v>
      </c>
      <c r="P184" s="137">
        <f t="shared" si="11"/>
        <v>0</v>
      </c>
      <c r="Q184" s="137">
        <v>0</v>
      </c>
      <c r="R184" s="137">
        <f t="shared" si="12"/>
        <v>0</v>
      </c>
      <c r="S184" s="137">
        <v>0</v>
      </c>
      <c r="T184" s="138">
        <f t="shared" si="13"/>
        <v>0</v>
      </c>
      <c r="X184" s="200"/>
      <c r="AR184" s="139" t="s">
        <v>496</v>
      </c>
      <c r="AT184" s="139" t="s">
        <v>339</v>
      </c>
      <c r="AU184" s="139" t="s">
        <v>90</v>
      </c>
      <c r="AY184" s="2" t="s">
        <v>337</v>
      </c>
      <c r="BE184" s="140">
        <f t="shared" si="14"/>
        <v>0</v>
      </c>
      <c r="BF184" s="140">
        <f t="shared" si="15"/>
        <v>0</v>
      </c>
      <c r="BG184" s="140">
        <f t="shared" si="16"/>
        <v>0</v>
      </c>
      <c r="BH184" s="140">
        <f t="shared" si="17"/>
        <v>0</v>
      </c>
      <c r="BI184" s="140">
        <f t="shared" si="18"/>
        <v>0</v>
      </c>
      <c r="BJ184" s="2" t="s">
        <v>87</v>
      </c>
      <c r="BK184" s="140">
        <f t="shared" si="19"/>
        <v>0</v>
      </c>
      <c r="BL184" s="2" t="s">
        <v>496</v>
      </c>
      <c r="BM184" s="139" t="s">
        <v>996</v>
      </c>
    </row>
    <row r="185" spans="2:65" s="16" customFormat="1" ht="21.75" customHeight="1" x14ac:dyDescent="0.2">
      <c r="B185" s="17"/>
      <c r="C185" s="128">
        <v>41</v>
      </c>
      <c r="D185" s="128" t="s">
        <v>339</v>
      </c>
      <c r="E185" s="129" t="s">
        <v>6093</v>
      </c>
      <c r="F185" s="130" t="s">
        <v>6094</v>
      </c>
      <c r="G185" s="131" t="s">
        <v>449</v>
      </c>
      <c r="H185" s="132">
        <v>6</v>
      </c>
      <c r="I185" s="133"/>
      <c r="J185" s="134">
        <f t="shared" si="10"/>
        <v>0</v>
      </c>
      <c r="K185" s="130" t="s">
        <v>343</v>
      </c>
      <c r="L185" s="17"/>
      <c r="M185" s="135"/>
      <c r="N185" s="136" t="s">
        <v>45</v>
      </c>
      <c r="P185" s="137">
        <f t="shared" si="11"/>
        <v>0</v>
      </c>
      <c r="Q185" s="137">
        <v>0</v>
      </c>
      <c r="R185" s="137">
        <f t="shared" si="12"/>
        <v>0</v>
      </c>
      <c r="S185" s="137">
        <v>0</v>
      </c>
      <c r="T185" s="138">
        <f t="shared" si="13"/>
        <v>0</v>
      </c>
      <c r="X185" s="200"/>
      <c r="AR185" s="139" t="s">
        <v>496</v>
      </c>
      <c r="AT185" s="139" t="s">
        <v>339</v>
      </c>
      <c r="AU185" s="139" t="s">
        <v>90</v>
      </c>
      <c r="AY185" s="2" t="s">
        <v>337</v>
      </c>
      <c r="BE185" s="140">
        <f t="shared" si="14"/>
        <v>0</v>
      </c>
      <c r="BF185" s="140">
        <f t="shared" si="15"/>
        <v>0</v>
      </c>
      <c r="BG185" s="140">
        <f t="shared" si="16"/>
        <v>0</v>
      </c>
      <c r="BH185" s="140">
        <f t="shared" si="17"/>
        <v>0</v>
      </c>
      <c r="BI185" s="140">
        <f t="shared" si="18"/>
        <v>0</v>
      </c>
      <c r="BJ185" s="2" t="s">
        <v>87</v>
      </c>
      <c r="BK185" s="140">
        <f t="shared" si="19"/>
        <v>0</v>
      </c>
      <c r="BL185" s="2" t="s">
        <v>496</v>
      </c>
      <c r="BM185" s="139" t="s">
        <v>1008</v>
      </c>
    </row>
    <row r="186" spans="2:65" s="16" customFormat="1" ht="24.2" customHeight="1" x14ac:dyDescent="0.2">
      <c r="B186" s="17"/>
      <c r="C186" s="128">
        <v>42</v>
      </c>
      <c r="D186" s="128" t="s">
        <v>339</v>
      </c>
      <c r="E186" s="129" t="s">
        <v>6095</v>
      </c>
      <c r="F186" s="130" t="s">
        <v>6096</v>
      </c>
      <c r="G186" s="131" t="s">
        <v>449</v>
      </c>
      <c r="H186" s="132">
        <v>1</v>
      </c>
      <c r="I186" s="133"/>
      <c r="J186" s="134">
        <f t="shared" si="10"/>
        <v>0</v>
      </c>
      <c r="K186" s="130"/>
      <c r="L186" s="17"/>
      <c r="M186" s="135"/>
      <c r="N186" s="136" t="s">
        <v>45</v>
      </c>
      <c r="P186" s="137">
        <f t="shared" si="11"/>
        <v>0</v>
      </c>
      <c r="Q186" s="137">
        <v>0</v>
      </c>
      <c r="R186" s="137">
        <f t="shared" si="12"/>
        <v>0</v>
      </c>
      <c r="S186" s="137">
        <v>0</v>
      </c>
      <c r="T186" s="138">
        <f t="shared" si="13"/>
        <v>0</v>
      </c>
      <c r="X186" s="200"/>
      <c r="AR186" s="139" t="s">
        <v>496</v>
      </c>
      <c r="AT186" s="139" t="s">
        <v>339</v>
      </c>
      <c r="AU186" s="139" t="s">
        <v>90</v>
      </c>
      <c r="AY186" s="2" t="s">
        <v>337</v>
      </c>
      <c r="BE186" s="140">
        <f t="shared" si="14"/>
        <v>0</v>
      </c>
      <c r="BF186" s="140">
        <f t="shared" si="15"/>
        <v>0</v>
      </c>
      <c r="BG186" s="140">
        <f t="shared" si="16"/>
        <v>0</v>
      </c>
      <c r="BH186" s="140">
        <f t="shared" si="17"/>
        <v>0</v>
      </c>
      <c r="BI186" s="140">
        <f t="shared" si="18"/>
        <v>0</v>
      </c>
      <c r="BJ186" s="2" t="s">
        <v>87</v>
      </c>
      <c r="BK186" s="140">
        <f t="shared" si="19"/>
        <v>0</v>
      </c>
      <c r="BL186" s="2" t="s">
        <v>496</v>
      </c>
      <c r="BM186" s="139" t="s">
        <v>3778</v>
      </c>
    </row>
    <row r="187" spans="2:65" s="16" customFormat="1" ht="16.5" customHeight="1" x14ac:dyDescent="0.2">
      <c r="B187" s="17"/>
      <c r="C187" s="128">
        <v>43</v>
      </c>
      <c r="D187" s="128" t="s">
        <v>339</v>
      </c>
      <c r="E187" s="129" t="s">
        <v>6097</v>
      </c>
      <c r="F187" s="130" t="s">
        <v>6098</v>
      </c>
      <c r="G187" s="131" t="s">
        <v>449</v>
      </c>
      <c r="H187" s="132">
        <v>14</v>
      </c>
      <c r="I187" s="133"/>
      <c r="J187" s="134">
        <f t="shared" si="10"/>
        <v>0</v>
      </c>
      <c r="K187" s="130" t="s">
        <v>343</v>
      </c>
      <c r="L187" s="17"/>
      <c r="M187" s="135"/>
      <c r="N187" s="136" t="s">
        <v>45</v>
      </c>
      <c r="P187" s="137">
        <f t="shared" si="11"/>
        <v>0</v>
      </c>
      <c r="Q187" s="137">
        <v>0</v>
      </c>
      <c r="R187" s="137">
        <f t="shared" si="12"/>
        <v>0</v>
      </c>
      <c r="S187" s="137">
        <v>0</v>
      </c>
      <c r="T187" s="138">
        <f t="shared" si="13"/>
        <v>0</v>
      </c>
      <c r="X187" s="200"/>
      <c r="AR187" s="139" t="s">
        <v>496</v>
      </c>
      <c r="AT187" s="139" t="s">
        <v>339</v>
      </c>
      <c r="AU187" s="139" t="s">
        <v>90</v>
      </c>
      <c r="AY187" s="2" t="s">
        <v>337</v>
      </c>
      <c r="BE187" s="140">
        <f t="shared" si="14"/>
        <v>0</v>
      </c>
      <c r="BF187" s="140">
        <f t="shared" si="15"/>
        <v>0</v>
      </c>
      <c r="BG187" s="140">
        <f t="shared" si="16"/>
        <v>0</v>
      </c>
      <c r="BH187" s="140">
        <f t="shared" si="17"/>
        <v>0</v>
      </c>
      <c r="BI187" s="140">
        <f t="shared" si="18"/>
        <v>0</v>
      </c>
      <c r="BJ187" s="2" t="s">
        <v>87</v>
      </c>
      <c r="BK187" s="140">
        <f t="shared" si="19"/>
        <v>0</v>
      </c>
      <c r="BL187" s="2" t="s">
        <v>496</v>
      </c>
      <c r="BM187" s="139" t="s">
        <v>1037</v>
      </c>
    </row>
    <row r="188" spans="2:65" s="16" customFormat="1" ht="16.5" customHeight="1" x14ac:dyDescent="0.2">
      <c r="B188" s="17"/>
      <c r="C188" s="128">
        <v>44</v>
      </c>
      <c r="D188" s="128" t="s">
        <v>339</v>
      </c>
      <c r="E188" s="129" t="s">
        <v>6099</v>
      </c>
      <c r="F188" s="130" t="s">
        <v>6100</v>
      </c>
      <c r="G188" s="131" t="s">
        <v>449</v>
      </c>
      <c r="H188" s="132">
        <v>3</v>
      </c>
      <c r="I188" s="133"/>
      <c r="J188" s="134">
        <f t="shared" si="10"/>
        <v>0</v>
      </c>
      <c r="K188" s="130"/>
      <c r="L188" s="17"/>
      <c r="M188" s="135"/>
      <c r="N188" s="136" t="s">
        <v>45</v>
      </c>
      <c r="P188" s="137">
        <f t="shared" si="11"/>
        <v>0</v>
      </c>
      <c r="Q188" s="137">
        <v>0</v>
      </c>
      <c r="R188" s="137">
        <f t="shared" si="12"/>
        <v>0</v>
      </c>
      <c r="S188" s="137">
        <v>0</v>
      </c>
      <c r="T188" s="138">
        <f t="shared" si="13"/>
        <v>0</v>
      </c>
      <c r="X188" s="200"/>
      <c r="AR188" s="139" t="s">
        <v>496</v>
      </c>
      <c r="AT188" s="139" t="s">
        <v>339</v>
      </c>
      <c r="AU188" s="139" t="s">
        <v>90</v>
      </c>
      <c r="AY188" s="2" t="s">
        <v>337</v>
      </c>
      <c r="BE188" s="140">
        <f t="shared" si="14"/>
        <v>0</v>
      </c>
      <c r="BF188" s="140">
        <f t="shared" si="15"/>
        <v>0</v>
      </c>
      <c r="BG188" s="140">
        <f t="shared" si="16"/>
        <v>0</v>
      </c>
      <c r="BH188" s="140">
        <f t="shared" si="17"/>
        <v>0</v>
      </c>
      <c r="BI188" s="140">
        <f t="shared" si="18"/>
        <v>0</v>
      </c>
      <c r="BJ188" s="2" t="s">
        <v>87</v>
      </c>
      <c r="BK188" s="140">
        <f t="shared" si="19"/>
        <v>0</v>
      </c>
      <c r="BL188" s="2" t="s">
        <v>496</v>
      </c>
      <c r="BM188" s="139" t="s">
        <v>1049</v>
      </c>
    </row>
    <row r="189" spans="2:65" s="16" customFormat="1" ht="24.2" customHeight="1" x14ac:dyDescent="0.2">
      <c r="B189" s="17"/>
      <c r="C189" s="128">
        <v>45</v>
      </c>
      <c r="D189" s="128" t="s">
        <v>339</v>
      </c>
      <c r="E189" s="129" t="s">
        <v>6101</v>
      </c>
      <c r="F189" s="130" t="s">
        <v>6102</v>
      </c>
      <c r="G189" s="131" t="s">
        <v>449</v>
      </c>
      <c r="H189" s="132">
        <v>2</v>
      </c>
      <c r="I189" s="133"/>
      <c r="J189" s="134">
        <f t="shared" si="10"/>
        <v>0</v>
      </c>
      <c r="K189" s="130"/>
      <c r="L189" s="17"/>
      <c r="M189" s="135"/>
      <c r="N189" s="136" t="s">
        <v>45</v>
      </c>
      <c r="P189" s="137">
        <f t="shared" si="11"/>
        <v>0</v>
      </c>
      <c r="Q189" s="137">
        <v>0</v>
      </c>
      <c r="R189" s="137">
        <f t="shared" si="12"/>
        <v>0</v>
      </c>
      <c r="S189" s="137">
        <v>0</v>
      </c>
      <c r="T189" s="138">
        <f t="shared" si="13"/>
        <v>0</v>
      </c>
      <c r="X189" s="200"/>
      <c r="AR189" s="139" t="s">
        <v>496</v>
      </c>
      <c r="AT189" s="139" t="s">
        <v>339</v>
      </c>
      <c r="AU189" s="139" t="s">
        <v>90</v>
      </c>
      <c r="AY189" s="2" t="s">
        <v>337</v>
      </c>
      <c r="BE189" s="140">
        <f t="shared" si="14"/>
        <v>0</v>
      </c>
      <c r="BF189" s="140">
        <f t="shared" si="15"/>
        <v>0</v>
      </c>
      <c r="BG189" s="140">
        <f t="shared" si="16"/>
        <v>0</v>
      </c>
      <c r="BH189" s="140">
        <f t="shared" si="17"/>
        <v>0</v>
      </c>
      <c r="BI189" s="140">
        <f t="shared" si="18"/>
        <v>0</v>
      </c>
      <c r="BJ189" s="2" t="s">
        <v>87</v>
      </c>
      <c r="BK189" s="140">
        <f t="shared" si="19"/>
        <v>0</v>
      </c>
      <c r="BL189" s="2" t="s">
        <v>496</v>
      </c>
      <c r="BM189" s="139" t="s">
        <v>1738</v>
      </c>
    </row>
    <row r="190" spans="2:65" s="16" customFormat="1" ht="16.5" customHeight="1" x14ac:dyDescent="0.2">
      <c r="B190" s="17"/>
      <c r="C190" s="128">
        <v>46</v>
      </c>
      <c r="D190" s="128" t="s">
        <v>339</v>
      </c>
      <c r="E190" s="129" t="s">
        <v>6103</v>
      </c>
      <c r="F190" s="130" t="s">
        <v>6104</v>
      </c>
      <c r="G190" s="131" t="s">
        <v>449</v>
      </c>
      <c r="H190" s="132">
        <v>17</v>
      </c>
      <c r="I190" s="133"/>
      <c r="J190" s="134">
        <f t="shared" si="10"/>
        <v>0</v>
      </c>
      <c r="K190" s="130"/>
      <c r="L190" s="17"/>
      <c r="M190" s="135"/>
      <c r="N190" s="136" t="s">
        <v>45</v>
      </c>
      <c r="P190" s="137">
        <f t="shared" si="11"/>
        <v>0</v>
      </c>
      <c r="Q190" s="137">
        <v>0</v>
      </c>
      <c r="R190" s="137">
        <f t="shared" si="12"/>
        <v>0</v>
      </c>
      <c r="S190" s="137">
        <v>0</v>
      </c>
      <c r="T190" s="138">
        <f t="shared" si="13"/>
        <v>0</v>
      </c>
      <c r="X190" s="200"/>
      <c r="AR190" s="139" t="s">
        <v>496</v>
      </c>
      <c r="AT190" s="139" t="s">
        <v>339</v>
      </c>
      <c r="AU190" s="139" t="s">
        <v>90</v>
      </c>
      <c r="AY190" s="2" t="s">
        <v>337</v>
      </c>
      <c r="BE190" s="140">
        <f t="shared" si="14"/>
        <v>0</v>
      </c>
      <c r="BF190" s="140">
        <f t="shared" si="15"/>
        <v>0</v>
      </c>
      <c r="BG190" s="140">
        <f t="shared" si="16"/>
        <v>0</v>
      </c>
      <c r="BH190" s="140">
        <f t="shared" si="17"/>
        <v>0</v>
      </c>
      <c r="BI190" s="140">
        <f t="shared" si="18"/>
        <v>0</v>
      </c>
      <c r="BJ190" s="2" t="s">
        <v>87</v>
      </c>
      <c r="BK190" s="140">
        <f t="shared" si="19"/>
        <v>0</v>
      </c>
      <c r="BL190" s="2" t="s">
        <v>496</v>
      </c>
      <c r="BM190" s="139" t="s">
        <v>1080</v>
      </c>
    </row>
    <row r="191" spans="2:65" s="16" customFormat="1" ht="16.5" customHeight="1" x14ac:dyDescent="0.2">
      <c r="B191" s="17"/>
      <c r="C191" s="128">
        <v>47</v>
      </c>
      <c r="D191" s="128" t="s">
        <v>339</v>
      </c>
      <c r="E191" s="129" t="s">
        <v>6105</v>
      </c>
      <c r="F191" s="130" t="s">
        <v>6106</v>
      </c>
      <c r="G191" s="131" t="s">
        <v>724</v>
      </c>
      <c r="H191" s="132">
        <v>981</v>
      </c>
      <c r="I191" s="133"/>
      <c r="J191" s="134">
        <f t="shared" si="10"/>
        <v>0</v>
      </c>
      <c r="K191" s="130" t="s">
        <v>343</v>
      </c>
      <c r="L191" s="17"/>
      <c r="M191" s="135"/>
      <c r="N191" s="136" t="s">
        <v>45</v>
      </c>
      <c r="P191" s="137">
        <f t="shared" si="11"/>
        <v>0</v>
      </c>
      <c r="Q191" s="137">
        <v>0</v>
      </c>
      <c r="R191" s="137">
        <f t="shared" si="12"/>
        <v>0</v>
      </c>
      <c r="S191" s="137">
        <v>0</v>
      </c>
      <c r="T191" s="138">
        <f t="shared" si="13"/>
        <v>0</v>
      </c>
      <c r="X191" s="200"/>
      <c r="AR191" s="139" t="s">
        <v>496</v>
      </c>
      <c r="AT191" s="139" t="s">
        <v>339</v>
      </c>
      <c r="AU191" s="139" t="s">
        <v>90</v>
      </c>
      <c r="AY191" s="2" t="s">
        <v>337</v>
      </c>
      <c r="BE191" s="140">
        <f t="shared" si="14"/>
        <v>0</v>
      </c>
      <c r="BF191" s="140">
        <f t="shared" si="15"/>
        <v>0</v>
      </c>
      <c r="BG191" s="140">
        <f t="shared" si="16"/>
        <v>0</v>
      </c>
      <c r="BH191" s="140">
        <f t="shared" si="17"/>
        <v>0</v>
      </c>
      <c r="BI191" s="140">
        <f t="shared" si="18"/>
        <v>0</v>
      </c>
      <c r="BJ191" s="2" t="s">
        <v>87</v>
      </c>
      <c r="BK191" s="140">
        <f t="shared" si="19"/>
        <v>0</v>
      </c>
      <c r="BL191" s="2" t="s">
        <v>496</v>
      </c>
      <c r="BM191" s="139" t="s">
        <v>1093</v>
      </c>
    </row>
    <row r="192" spans="2:65" s="16" customFormat="1" ht="16.5" customHeight="1" x14ac:dyDescent="0.2">
      <c r="B192" s="17"/>
      <c r="C192" s="128">
        <v>48</v>
      </c>
      <c r="D192" s="128" t="s">
        <v>339</v>
      </c>
      <c r="E192" s="129" t="s">
        <v>6107</v>
      </c>
      <c r="F192" s="130" t="s">
        <v>6108</v>
      </c>
      <c r="G192" s="131" t="s">
        <v>724</v>
      </c>
      <c r="H192" s="132">
        <v>10</v>
      </c>
      <c r="I192" s="133"/>
      <c r="J192" s="134">
        <f t="shared" si="10"/>
        <v>0</v>
      </c>
      <c r="K192" s="130" t="s">
        <v>343</v>
      </c>
      <c r="L192" s="17"/>
      <c r="M192" s="135"/>
      <c r="N192" s="136" t="s">
        <v>45</v>
      </c>
      <c r="P192" s="137">
        <f t="shared" si="11"/>
        <v>0</v>
      </c>
      <c r="Q192" s="137">
        <v>0</v>
      </c>
      <c r="R192" s="137">
        <f t="shared" si="12"/>
        <v>0</v>
      </c>
      <c r="S192" s="137">
        <v>0</v>
      </c>
      <c r="T192" s="138">
        <f t="shared" si="13"/>
        <v>0</v>
      </c>
      <c r="X192" s="200"/>
      <c r="AR192" s="139" t="s">
        <v>496</v>
      </c>
      <c r="AT192" s="139" t="s">
        <v>339</v>
      </c>
      <c r="AU192" s="139" t="s">
        <v>90</v>
      </c>
      <c r="AY192" s="2" t="s">
        <v>337</v>
      </c>
      <c r="BE192" s="140">
        <f t="shared" si="14"/>
        <v>0</v>
      </c>
      <c r="BF192" s="140">
        <f t="shared" si="15"/>
        <v>0</v>
      </c>
      <c r="BG192" s="140">
        <f t="shared" si="16"/>
        <v>0</v>
      </c>
      <c r="BH192" s="140">
        <f t="shared" si="17"/>
        <v>0</v>
      </c>
      <c r="BI192" s="140">
        <f t="shared" si="18"/>
        <v>0</v>
      </c>
      <c r="BJ192" s="2" t="s">
        <v>87</v>
      </c>
      <c r="BK192" s="140">
        <f t="shared" si="19"/>
        <v>0</v>
      </c>
      <c r="BL192" s="2" t="s">
        <v>496</v>
      </c>
      <c r="BM192" s="139" t="s">
        <v>3852</v>
      </c>
    </row>
    <row r="193" spans="2:65" s="16" customFormat="1" ht="24.2" customHeight="1" x14ac:dyDescent="0.2">
      <c r="B193" s="17"/>
      <c r="C193" s="128">
        <v>49</v>
      </c>
      <c r="D193" s="128" t="s">
        <v>339</v>
      </c>
      <c r="E193" s="129" t="s">
        <v>6109</v>
      </c>
      <c r="F193" s="130" t="s">
        <v>6110</v>
      </c>
      <c r="G193" s="131" t="s">
        <v>6048</v>
      </c>
      <c r="H193" s="192"/>
      <c r="I193" s="133"/>
      <c r="J193" s="134">
        <f t="shared" si="10"/>
        <v>0</v>
      </c>
      <c r="K193" s="130" t="s">
        <v>343</v>
      </c>
      <c r="L193" s="17"/>
      <c r="M193" s="135"/>
      <c r="N193" s="136" t="s">
        <v>45</v>
      </c>
      <c r="P193" s="137">
        <f t="shared" si="11"/>
        <v>0</v>
      </c>
      <c r="Q193" s="137">
        <v>0</v>
      </c>
      <c r="R193" s="137">
        <f t="shared" si="12"/>
        <v>0</v>
      </c>
      <c r="S193" s="137">
        <v>0</v>
      </c>
      <c r="T193" s="138">
        <f t="shared" si="13"/>
        <v>0</v>
      </c>
      <c r="X193" s="200"/>
      <c r="AR193" s="139" t="s">
        <v>496</v>
      </c>
      <c r="AT193" s="139" t="s">
        <v>339</v>
      </c>
      <c r="AU193" s="139" t="s">
        <v>90</v>
      </c>
      <c r="AY193" s="2" t="s">
        <v>337</v>
      </c>
      <c r="BE193" s="140">
        <f t="shared" si="14"/>
        <v>0</v>
      </c>
      <c r="BF193" s="140">
        <f t="shared" si="15"/>
        <v>0</v>
      </c>
      <c r="BG193" s="140">
        <f t="shared" si="16"/>
        <v>0</v>
      </c>
      <c r="BH193" s="140">
        <f t="shared" si="17"/>
        <v>0</v>
      </c>
      <c r="BI193" s="140">
        <f t="shared" si="18"/>
        <v>0</v>
      </c>
      <c r="BJ193" s="2" t="s">
        <v>87</v>
      </c>
      <c r="BK193" s="140">
        <f t="shared" si="19"/>
        <v>0</v>
      </c>
      <c r="BL193" s="2" t="s">
        <v>496</v>
      </c>
      <c r="BM193" s="139" t="s">
        <v>6111</v>
      </c>
    </row>
    <row r="194" spans="2:65" s="116" customFormat="1" ht="22.9" customHeight="1" x14ac:dyDescent="0.2">
      <c r="B194" s="117"/>
      <c r="D194" s="118" t="s">
        <v>79</v>
      </c>
      <c r="E194" s="126" t="s">
        <v>6112</v>
      </c>
      <c r="F194" s="126" t="s">
        <v>6113</v>
      </c>
      <c r="J194" s="127">
        <f>BK194</f>
        <v>0</v>
      </c>
      <c r="L194" s="117"/>
      <c r="M194" s="121"/>
      <c r="P194" s="122">
        <f>SUM(P195:P230)</f>
        <v>0</v>
      </c>
      <c r="R194" s="122">
        <f>SUM(R195:R230)</f>
        <v>0</v>
      </c>
      <c r="T194" s="123">
        <f>SUM(T195:T230)</f>
        <v>0</v>
      </c>
      <c r="X194" s="200"/>
      <c r="AR194" s="118" t="s">
        <v>90</v>
      </c>
      <c r="AT194" s="124" t="s">
        <v>79</v>
      </c>
      <c r="AU194" s="124" t="s">
        <v>87</v>
      </c>
      <c r="AY194" s="118" t="s">
        <v>337</v>
      </c>
      <c r="BK194" s="125">
        <f>SUM(BK195:BK230)</f>
        <v>0</v>
      </c>
    </row>
    <row r="195" spans="2:65" s="16" customFormat="1" ht="16.5" customHeight="1" x14ac:dyDescent="0.2">
      <c r="B195" s="17"/>
      <c r="C195" s="128">
        <v>50</v>
      </c>
      <c r="D195" s="128" t="s">
        <v>339</v>
      </c>
      <c r="E195" s="129" t="s">
        <v>6114</v>
      </c>
      <c r="F195" s="130" t="s">
        <v>6115</v>
      </c>
      <c r="G195" s="131" t="s">
        <v>724</v>
      </c>
      <c r="H195" s="132">
        <v>55</v>
      </c>
      <c r="I195" s="133"/>
      <c r="J195" s="134">
        <f t="shared" ref="J195:J201" si="20">ROUND(I195*H195,2)</f>
        <v>0</v>
      </c>
      <c r="K195" s="130" t="s">
        <v>343</v>
      </c>
      <c r="L195" s="17"/>
      <c r="M195" s="135"/>
      <c r="N195" s="136" t="s">
        <v>45</v>
      </c>
      <c r="P195" s="137">
        <f t="shared" ref="P195:P201" si="21">O195*H195</f>
        <v>0</v>
      </c>
      <c r="Q195" s="137">
        <v>0</v>
      </c>
      <c r="R195" s="137">
        <f t="shared" ref="R195:R201" si="22">Q195*H195</f>
        <v>0</v>
      </c>
      <c r="S195" s="137">
        <v>0</v>
      </c>
      <c r="T195" s="138">
        <f t="shared" ref="T195:T201" si="23">S195*H195</f>
        <v>0</v>
      </c>
      <c r="X195" s="200"/>
      <c r="AR195" s="139" t="s">
        <v>496</v>
      </c>
      <c r="AT195" s="139" t="s">
        <v>339</v>
      </c>
      <c r="AU195" s="139" t="s">
        <v>90</v>
      </c>
      <c r="AY195" s="2" t="s">
        <v>337</v>
      </c>
      <c r="BE195" s="140">
        <f t="shared" ref="BE195:BE201" si="24">IF(N195="základní",J195,0)</f>
        <v>0</v>
      </c>
      <c r="BF195" s="140">
        <f t="shared" ref="BF195:BF201" si="25">IF(N195="snížená",J195,0)</f>
        <v>0</v>
      </c>
      <c r="BG195" s="140">
        <f t="shared" ref="BG195:BG201" si="26">IF(N195="zákl. přenesená",J195,0)</f>
        <v>0</v>
      </c>
      <c r="BH195" s="140">
        <f t="shared" ref="BH195:BH201" si="27">IF(N195="sníž. přenesená",J195,0)</f>
        <v>0</v>
      </c>
      <c r="BI195" s="140">
        <f t="shared" ref="BI195:BI201" si="28">IF(N195="nulová",J195,0)</f>
        <v>0</v>
      </c>
      <c r="BJ195" s="2" t="s">
        <v>87</v>
      </c>
      <c r="BK195" s="140">
        <f t="shared" ref="BK195:BK201" si="29">ROUND(I195*H195,2)</f>
        <v>0</v>
      </c>
      <c r="BL195" s="2" t="s">
        <v>496</v>
      </c>
      <c r="BM195" s="139" t="s">
        <v>1737</v>
      </c>
    </row>
    <row r="196" spans="2:65" s="16" customFormat="1" ht="16.5" customHeight="1" x14ac:dyDescent="0.2">
      <c r="B196" s="17"/>
      <c r="C196" s="128">
        <v>51</v>
      </c>
      <c r="D196" s="128" t="s">
        <v>339</v>
      </c>
      <c r="E196" s="129" t="s">
        <v>6116</v>
      </c>
      <c r="F196" s="130" t="s">
        <v>6117</v>
      </c>
      <c r="G196" s="131" t="s">
        <v>724</v>
      </c>
      <c r="H196" s="132">
        <v>45</v>
      </c>
      <c r="I196" s="133"/>
      <c r="J196" s="134">
        <f t="shared" si="20"/>
        <v>0</v>
      </c>
      <c r="K196" s="130" t="s">
        <v>343</v>
      </c>
      <c r="L196" s="17"/>
      <c r="M196" s="135"/>
      <c r="N196" s="136" t="s">
        <v>45</v>
      </c>
      <c r="P196" s="137">
        <f t="shared" si="21"/>
        <v>0</v>
      </c>
      <c r="Q196" s="137">
        <v>0</v>
      </c>
      <c r="R196" s="137">
        <f t="shared" si="22"/>
        <v>0</v>
      </c>
      <c r="S196" s="137">
        <v>0</v>
      </c>
      <c r="T196" s="138">
        <f t="shared" si="23"/>
        <v>0</v>
      </c>
      <c r="X196" s="200"/>
      <c r="AR196" s="139" t="s">
        <v>496</v>
      </c>
      <c r="AT196" s="139" t="s">
        <v>339</v>
      </c>
      <c r="AU196" s="139" t="s">
        <v>90</v>
      </c>
      <c r="AY196" s="2" t="s">
        <v>337</v>
      </c>
      <c r="BE196" s="140">
        <f t="shared" si="24"/>
        <v>0</v>
      </c>
      <c r="BF196" s="140">
        <f t="shared" si="25"/>
        <v>0</v>
      </c>
      <c r="BG196" s="140">
        <f t="shared" si="26"/>
        <v>0</v>
      </c>
      <c r="BH196" s="140">
        <f t="shared" si="27"/>
        <v>0</v>
      </c>
      <c r="BI196" s="140">
        <f t="shared" si="28"/>
        <v>0</v>
      </c>
      <c r="BJ196" s="2" t="s">
        <v>87</v>
      </c>
      <c r="BK196" s="140">
        <f t="shared" si="29"/>
        <v>0</v>
      </c>
      <c r="BL196" s="2" t="s">
        <v>496</v>
      </c>
      <c r="BM196" s="139" t="s">
        <v>1146</v>
      </c>
    </row>
    <row r="197" spans="2:65" s="16" customFormat="1" ht="16.5" customHeight="1" x14ac:dyDescent="0.2">
      <c r="B197" s="17"/>
      <c r="C197" s="128">
        <v>52</v>
      </c>
      <c r="D197" s="128" t="s">
        <v>339</v>
      </c>
      <c r="E197" s="129" t="s">
        <v>6118</v>
      </c>
      <c r="F197" s="130" t="s">
        <v>6119</v>
      </c>
      <c r="G197" s="131" t="s">
        <v>724</v>
      </c>
      <c r="H197" s="132">
        <v>22</v>
      </c>
      <c r="I197" s="133"/>
      <c r="J197" s="134">
        <f t="shared" si="20"/>
        <v>0</v>
      </c>
      <c r="K197" s="130" t="s">
        <v>343</v>
      </c>
      <c r="L197" s="17"/>
      <c r="M197" s="135"/>
      <c r="N197" s="136" t="s">
        <v>45</v>
      </c>
      <c r="P197" s="137">
        <f t="shared" si="21"/>
        <v>0</v>
      </c>
      <c r="Q197" s="137">
        <v>0</v>
      </c>
      <c r="R197" s="137">
        <f t="shared" si="22"/>
        <v>0</v>
      </c>
      <c r="S197" s="137">
        <v>0</v>
      </c>
      <c r="T197" s="138">
        <f t="shared" si="23"/>
        <v>0</v>
      </c>
      <c r="X197" s="200"/>
      <c r="AR197" s="139" t="s">
        <v>496</v>
      </c>
      <c r="AT197" s="139" t="s">
        <v>339</v>
      </c>
      <c r="AU197" s="139" t="s">
        <v>90</v>
      </c>
      <c r="AY197" s="2" t="s">
        <v>337</v>
      </c>
      <c r="BE197" s="140">
        <f t="shared" si="24"/>
        <v>0</v>
      </c>
      <c r="BF197" s="140">
        <f t="shared" si="25"/>
        <v>0</v>
      </c>
      <c r="BG197" s="140">
        <f t="shared" si="26"/>
        <v>0</v>
      </c>
      <c r="BH197" s="140">
        <f t="shared" si="27"/>
        <v>0</v>
      </c>
      <c r="BI197" s="140">
        <f t="shared" si="28"/>
        <v>0</v>
      </c>
      <c r="BJ197" s="2" t="s">
        <v>87</v>
      </c>
      <c r="BK197" s="140">
        <f t="shared" si="29"/>
        <v>0</v>
      </c>
      <c r="BL197" s="2" t="s">
        <v>496</v>
      </c>
      <c r="BM197" s="139" t="s">
        <v>1156</v>
      </c>
    </row>
    <row r="198" spans="2:65" s="16" customFormat="1" ht="16.5" customHeight="1" x14ac:dyDescent="0.2">
      <c r="B198" s="17"/>
      <c r="C198" s="128">
        <v>53</v>
      </c>
      <c r="D198" s="128" t="s">
        <v>339</v>
      </c>
      <c r="E198" s="129" t="s">
        <v>6120</v>
      </c>
      <c r="F198" s="130" t="s">
        <v>6121</v>
      </c>
      <c r="G198" s="131" t="s">
        <v>724</v>
      </c>
      <c r="H198" s="132">
        <v>45</v>
      </c>
      <c r="I198" s="133"/>
      <c r="J198" s="134">
        <f t="shared" si="20"/>
        <v>0</v>
      </c>
      <c r="K198" s="130" t="s">
        <v>343</v>
      </c>
      <c r="L198" s="17"/>
      <c r="M198" s="135"/>
      <c r="N198" s="136" t="s">
        <v>45</v>
      </c>
      <c r="P198" s="137">
        <f t="shared" si="21"/>
        <v>0</v>
      </c>
      <c r="Q198" s="137">
        <v>0</v>
      </c>
      <c r="R198" s="137">
        <f t="shared" si="22"/>
        <v>0</v>
      </c>
      <c r="S198" s="137">
        <v>0</v>
      </c>
      <c r="T198" s="138">
        <f t="shared" si="23"/>
        <v>0</v>
      </c>
      <c r="X198" s="200"/>
      <c r="AR198" s="139" t="s">
        <v>496</v>
      </c>
      <c r="AT198" s="139" t="s">
        <v>339</v>
      </c>
      <c r="AU198" s="139" t="s">
        <v>90</v>
      </c>
      <c r="AY198" s="2" t="s">
        <v>337</v>
      </c>
      <c r="BE198" s="140">
        <f t="shared" si="24"/>
        <v>0</v>
      </c>
      <c r="BF198" s="140">
        <f t="shared" si="25"/>
        <v>0</v>
      </c>
      <c r="BG198" s="140">
        <f t="shared" si="26"/>
        <v>0</v>
      </c>
      <c r="BH198" s="140">
        <f t="shared" si="27"/>
        <v>0</v>
      </c>
      <c r="BI198" s="140">
        <f t="shared" si="28"/>
        <v>0</v>
      </c>
      <c r="BJ198" s="2" t="s">
        <v>87</v>
      </c>
      <c r="BK198" s="140">
        <f t="shared" si="29"/>
        <v>0</v>
      </c>
      <c r="BL198" s="2" t="s">
        <v>496</v>
      </c>
      <c r="BM198" s="139" t="s">
        <v>1172</v>
      </c>
    </row>
    <row r="199" spans="2:65" s="16" customFormat="1" ht="16.5" customHeight="1" x14ac:dyDescent="0.2">
      <c r="B199" s="17"/>
      <c r="C199" s="128">
        <v>54</v>
      </c>
      <c r="D199" s="128" t="s">
        <v>339</v>
      </c>
      <c r="E199" s="129" t="s">
        <v>6122</v>
      </c>
      <c r="F199" s="130" t="s">
        <v>6123</v>
      </c>
      <c r="G199" s="131" t="s">
        <v>724</v>
      </c>
      <c r="H199" s="132">
        <v>800</v>
      </c>
      <c r="I199" s="133"/>
      <c r="J199" s="134">
        <f t="shared" si="20"/>
        <v>0</v>
      </c>
      <c r="K199" s="130" t="s">
        <v>343</v>
      </c>
      <c r="L199" s="17"/>
      <c r="M199" s="135"/>
      <c r="N199" s="136" t="s">
        <v>45</v>
      </c>
      <c r="P199" s="137">
        <f t="shared" si="21"/>
        <v>0</v>
      </c>
      <c r="Q199" s="137">
        <v>0</v>
      </c>
      <c r="R199" s="137">
        <f t="shared" si="22"/>
        <v>0</v>
      </c>
      <c r="S199" s="137">
        <v>0</v>
      </c>
      <c r="T199" s="138">
        <f t="shared" si="23"/>
        <v>0</v>
      </c>
      <c r="X199" s="200"/>
      <c r="AR199" s="139" t="s">
        <v>496</v>
      </c>
      <c r="AT199" s="139" t="s">
        <v>339</v>
      </c>
      <c r="AU199" s="139" t="s">
        <v>90</v>
      </c>
      <c r="AY199" s="2" t="s">
        <v>337</v>
      </c>
      <c r="BE199" s="140">
        <f t="shared" si="24"/>
        <v>0</v>
      </c>
      <c r="BF199" s="140">
        <f t="shared" si="25"/>
        <v>0</v>
      </c>
      <c r="BG199" s="140">
        <f t="shared" si="26"/>
        <v>0</v>
      </c>
      <c r="BH199" s="140">
        <f t="shared" si="27"/>
        <v>0</v>
      </c>
      <c r="BI199" s="140">
        <f t="shared" si="28"/>
        <v>0</v>
      </c>
      <c r="BJ199" s="2" t="s">
        <v>87</v>
      </c>
      <c r="BK199" s="140">
        <f t="shared" si="29"/>
        <v>0</v>
      </c>
      <c r="BL199" s="2" t="s">
        <v>496</v>
      </c>
      <c r="BM199" s="139" t="s">
        <v>1220</v>
      </c>
    </row>
    <row r="200" spans="2:65" s="16" customFormat="1" ht="16.5" customHeight="1" x14ac:dyDescent="0.2">
      <c r="B200" s="17"/>
      <c r="C200" s="128">
        <v>55</v>
      </c>
      <c r="D200" s="128" t="s">
        <v>339</v>
      </c>
      <c r="E200" s="129" t="s">
        <v>6124</v>
      </c>
      <c r="F200" s="130" t="s">
        <v>6125</v>
      </c>
      <c r="G200" s="131" t="s">
        <v>724</v>
      </c>
      <c r="H200" s="132">
        <v>170</v>
      </c>
      <c r="I200" s="133"/>
      <c r="J200" s="134">
        <f t="shared" si="20"/>
        <v>0</v>
      </c>
      <c r="K200" s="130" t="s">
        <v>343</v>
      </c>
      <c r="L200" s="17"/>
      <c r="M200" s="135"/>
      <c r="N200" s="136" t="s">
        <v>45</v>
      </c>
      <c r="P200" s="137">
        <f t="shared" si="21"/>
        <v>0</v>
      </c>
      <c r="Q200" s="137">
        <v>0</v>
      </c>
      <c r="R200" s="137">
        <f t="shared" si="22"/>
        <v>0</v>
      </c>
      <c r="S200" s="137">
        <v>0</v>
      </c>
      <c r="T200" s="138">
        <f t="shared" si="23"/>
        <v>0</v>
      </c>
      <c r="X200" s="200"/>
      <c r="AR200" s="139" t="s">
        <v>496</v>
      </c>
      <c r="AT200" s="139" t="s">
        <v>339</v>
      </c>
      <c r="AU200" s="139" t="s">
        <v>90</v>
      </c>
      <c r="AY200" s="2" t="s">
        <v>337</v>
      </c>
      <c r="BE200" s="140">
        <f t="shared" si="24"/>
        <v>0</v>
      </c>
      <c r="BF200" s="140">
        <f t="shared" si="25"/>
        <v>0</v>
      </c>
      <c r="BG200" s="140">
        <f t="shared" si="26"/>
        <v>0</v>
      </c>
      <c r="BH200" s="140">
        <f t="shared" si="27"/>
        <v>0</v>
      </c>
      <c r="BI200" s="140">
        <f t="shared" si="28"/>
        <v>0</v>
      </c>
      <c r="BJ200" s="2" t="s">
        <v>87</v>
      </c>
      <c r="BK200" s="140">
        <f t="shared" si="29"/>
        <v>0</v>
      </c>
      <c r="BL200" s="2" t="s">
        <v>496</v>
      </c>
      <c r="BM200" s="139" t="s">
        <v>1242</v>
      </c>
    </row>
    <row r="201" spans="2:65" s="16" customFormat="1" ht="16.5" customHeight="1" x14ac:dyDescent="0.2">
      <c r="B201" s="17"/>
      <c r="C201" s="128">
        <v>56</v>
      </c>
      <c r="D201" s="128" t="s">
        <v>339</v>
      </c>
      <c r="E201" s="129" t="s">
        <v>6126</v>
      </c>
      <c r="F201" s="130" t="s">
        <v>6127</v>
      </c>
      <c r="G201" s="131" t="s">
        <v>449</v>
      </c>
      <c r="H201" s="132">
        <v>3</v>
      </c>
      <c r="I201" s="133"/>
      <c r="J201" s="134">
        <f t="shared" si="20"/>
        <v>0</v>
      </c>
      <c r="K201" s="130" t="s">
        <v>343</v>
      </c>
      <c r="L201" s="17"/>
      <c r="M201" s="135"/>
      <c r="N201" s="136" t="s">
        <v>45</v>
      </c>
      <c r="P201" s="137">
        <f t="shared" si="21"/>
        <v>0</v>
      </c>
      <c r="Q201" s="137">
        <v>0</v>
      </c>
      <c r="R201" s="137">
        <f t="shared" si="22"/>
        <v>0</v>
      </c>
      <c r="S201" s="137">
        <v>0</v>
      </c>
      <c r="T201" s="138">
        <f t="shared" si="23"/>
        <v>0</v>
      </c>
      <c r="X201" s="200"/>
      <c r="AR201" s="139" t="s">
        <v>496</v>
      </c>
      <c r="AT201" s="139" t="s">
        <v>339</v>
      </c>
      <c r="AU201" s="139" t="s">
        <v>90</v>
      </c>
      <c r="AY201" s="2" t="s">
        <v>337</v>
      </c>
      <c r="BE201" s="140">
        <f t="shared" si="24"/>
        <v>0</v>
      </c>
      <c r="BF201" s="140">
        <f t="shared" si="25"/>
        <v>0</v>
      </c>
      <c r="BG201" s="140">
        <f t="shared" si="26"/>
        <v>0</v>
      </c>
      <c r="BH201" s="140">
        <f t="shared" si="27"/>
        <v>0</v>
      </c>
      <c r="BI201" s="140">
        <f t="shared" si="28"/>
        <v>0</v>
      </c>
      <c r="BJ201" s="2" t="s">
        <v>87</v>
      </c>
      <c r="BK201" s="140">
        <f t="shared" si="29"/>
        <v>0</v>
      </c>
      <c r="BL201" s="2" t="s">
        <v>496</v>
      </c>
      <c r="BM201" s="139" t="s">
        <v>1272</v>
      </c>
    </row>
    <row r="202" spans="2:65" s="16" customFormat="1" ht="19.5" x14ac:dyDescent="0.2">
      <c r="B202" s="17"/>
      <c r="D202" s="143" t="s">
        <v>644</v>
      </c>
      <c r="F202" s="179" t="s">
        <v>6128</v>
      </c>
      <c r="L202" s="17"/>
      <c r="M202" s="180"/>
      <c r="T202" s="41"/>
      <c r="X202" s="200"/>
      <c r="AT202" s="2" t="s">
        <v>644</v>
      </c>
      <c r="AU202" s="2" t="s">
        <v>90</v>
      </c>
    </row>
    <row r="203" spans="2:65" s="16" customFormat="1" ht="16.5" customHeight="1" x14ac:dyDescent="0.2">
      <c r="B203" s="17"/>
      <c r="C203" s="128">
        <v>57</v>
      </c>
      <c r="D203" s="128" t="s">
        <v>339</v>
      </c>
      <c r="E203" s="129" t="s">
        <v>6129</v>
      </c>
      <c r="F203" s="130" t="s">
        <v>6130</v>
      </c>
      <c r="G203" s="131" t="s">
        <v>724</v>
      </c>
      <c r="H203" s="132">
        <v>825</v>
      </c>
      <c r="I203" s="133"/>
      <c r="J203" s="134">
        <f t="shared" ref="J203:J230" si="30">ROUND(I203*H203,2)</f>
        <v>0</v>
      </c>
      <c r="K203" s="130" t="s">
        <v>343</v>
      </c>
      <c r="L203" s="17"/>
      <c r="M203" s="135"/>
      <c r="N203" s="136" t="s">
        <v>45</v>
      </c>
      <c r="P203" s="137">
        <f t="shared" ref="P203:P230" si="31">O203*H203</f>
        <v>0</v>
      </c>
      <c r="Q203" s="137">
        <v>0</v>
      </c>
      <c r="R203" s="137">
        <f t="shared" ref="R203:R230" si="32">Q203*H203</f>
        <v>0</v>
      </c>
      <c r="S203" s="137">
        <v>0</v>
      </c>
      <c r="T203" s="138">
        <f t="shared" ref="T203:T230" si="33">S203*H203</f>
        <v>0</v>
      </c>
      <c r="X203" s="200"/>
      <c r="AR203" s="139" t="s">
        <v>496</v>
      </c>
      <c r="AT203" s="139" t="s">
        <v>339</v>
      </c>
      <c r="AU203" s="139" t="s">
        <v>90</v>
      </c>
      <c r="AY203" s="2" t="s">
        <v>337</v>
      </c>
      <c r="BE203" s="140">
        <f t="shared" ref="BE203:BE230" si="34">IF(N203="základní",J203,0)</f>
        <v>0</v>
      </c>
      <c r="BF203" s="140">
        <f t="shared" ref="BF203:BF230" si="35">IF(N203="snížená",J203,0)</f>
        <v>0</v>
      </c>
      <c r="BG203" s="140">
        <f t="shared" ref="BG203:BG230" si="36">IF(N203="zákl. přenesená",J203,0)</f>
        <v>0</v>
      </c>
      <c r="BH203" s="140">
        <f t="shared" ref="BH203:BH230" si="37">IF(N203="sníž. přenesená",J203,0)</f>
        <v>0</v>
      </c>
      <c r="BI203" s="140">
        <f t="shared" ref="BI203:BI230" si="38">IF(N203="nulová",J203,0)</f>
        <v>0</v>
      </c>
      <c r="BJ203" s="2" t="s">
        <v>87</v>
      </c>
      <c r="BK203" s="140">
        <f t="shared" ref="BK203:BK230" si="39">ROUND(I203*H203,2)</f>
        <v>0</v>
      </c>
      <c r="BL203" s="2" t="s">
        <v>496</v>
      </c>
      <c r="BM203" s="139" t="s">
        <v>1300</v>
      </c>
    </row>
    <row r="204" spans="2:65" s="16" customFormat="1" ht="16.5" customHeight="1" x14ac:dyDescent="0.2">
      <c r="B204" s="17"/>
      <c r="C204" s="128">
        <v>58</v>
      </c>
      <c r="D204" s="128" t="s">
        <v>339</v>
      </c>
      <c r="E204" s="129" t="s">
        <v>6131</v>
      </c>
      <c r="F204" s="130" t="s">
        <v>6132</v>
      </c>
      <c r="G204" s="131" t="s">
        <v>724</v>
      </c>
      <c r="H204" s="132">
        <v>490</v>
      </c>
      <c r="I204" s="133"/>
      <c r="J204" s="134">
        <f t="shared" si="30"/>
        <v>0</v>
      </c>
      <c r="K204" s="130" t="s">
        <v>343</v>
      </c>
      <c r="L204" s="17"/>
      <c r="M204" s="135"/>
      <c r="N204" s="136" t="s">
        <v>45</v>
      </c>
      <c r="P204" s="137">
        <f t="shared" si="31"/>
        <v>0</v>
      </c>
      <c r="Q204" s="137">
        <v>0</v>
      </c>
      <c r="R204" s="137">
        <f t="shared" si="32"/>
        <v>0</v>
      </c>
      <c r="S204" s="137">
        <v>0</v>
      </c>
      <c r="T204" s="138">
        <f t="shared" si="33"/>
        <v>0</v>
      </c>
      <c r="X204" s="200"/>
      <c r="AR204" s="139" t="s">
        <v>496</v>
      </c>
      <c r="AT204" s="139" t="s">
        <v>339</v>
      </c>
      <c r="AU204" s="139" t="s">
        <v>90</v>
      </c>
      <c r="AY204" s="2" t="s">
        <v>337</v>
      </c>
      <c r="BE204" s="140">
        <f t="shared" si="34"/>
        <v>0</v>
      </c>
      <c r="BF204" s="140">
        <f t="shared" si="35"/>
        <v>0</v>
      </c>
      <c r="BG204" s="140">
        <f t="shared" si="36"/>
        <v>0</v>
      </c>
      <c r="BH204" s="140">
        <f t="shared" si="37"/>
        <v>0</v>
      </c>
      <c r="BI204" s="140">
        <f t="shared" si="38"/>
        <v>0</v>
      </c>
      <c r="BJ204" s="2" t="s">
        <v>87</v>
      </c>
      <c r="BK204" s="140">
        <f t="shared" si="39"/>
        <v>0</v>
      </c>
      <c r="BL204" s="2" t="s">
        <v>496</v>
      </c>
      <c r="BM204" s="139" t="s">
        <v>1324</v>
      </c>
    </row>
    <row r="205" spans="2:65" s="16" customFormat="1" ht="16.5" customHeight="1" x14ac:dyDescent="0.2">
      <c r="B205" s="17"/>
      <c r="C205" s="128">
        <v>59</v>
      </c>
      <c r="D205" s="128" t="s">
        <v>339</v>
      </c>
      <c r="E205" s="129" t="s">
        <v>6133</v>
      </c>
      <c r="F205" s="130" t="s">
        <v>6134</v>
      </c>
      <c r="G205" s="131" t="s">
        <v>724</v>
      </c>
      <c r="H205" s="132">
        <v>335</v>
      </c>
      <c r="I205" s="133"/>
      <c r="J205" s="134">
        <f t="shared" si="30"/>
        <v>0</v>
      </c>
      <c r="K205" s="130" t="s">
        <v>343</v>
      </c>
      <c r="L205" s="17"/>
      <c r="M205" s="135"/>
      <c r="N205" s="136" t="s">
        <v>45</v>
      </c>
      <c r="P205" s="137">
        <f t="shared" si="31"/>
        <v>0</v>
      </c>
      <c r="Q205" s="137">
        <v>0</v>
      </c>
      <c r="R205" s="137">
        <f t="shared" si="32"/>
        <v>0</v>
      </c>
      <c r="S205" s="137">
        <v>0</v>
      </c>
      <c r="T205" s="138">
        <f t="shared" si="33"/>
        <v>0</v>
      </c>
      <c r="X205" s="200"/>
      <c r="AR205" s="139" t="s">
        <v>496</v>
      </c>
      <c r="AT205" s="139" t="s">
        <v>339</v>
      </c>
      <c r="AU205" s="139" t="s">
        <v>90</v>
      </c>
      <c r="AY205" s="2" t="s">
        <v>337</v>
      </c>
      <c r="BE205" s="140">
        <f t="shared" si="34"/>
        <v>0</v>
      </c>
      <c r="BF205" s="140">
        <f t="shared" si="35"/>
        <v>0</v>
      </c>
      <c r="BG205" s="140">
        <f t="shared" si="36"/>
        <v>0</v>
      </c>
      <c r="BH205" s="140">
        <f t="shared" si="37"/>
        <v>0</v>
      </c>
      <c r="BI205" s="140">
        <f t="shared" si="38"/>
        <v>0</v>
      </c>
      <c r="BJ205" s="2" t="s">
        <v>87</v>
      </c>
      <c r="BK205" s="140">
        <f t="shared" si="39"/>
        <v>0</v>
      </c>
      <c r="BL205" s="2" t="s">
        <v>496</v>
      </c>
      <c r="BM205" s="139" t="s">
        <v>1345</v>
      </c>
    </row>
    <row r="206" spans="2:65" s="16" customFormat="1" ht="16.5" customHeight="1" x14ac:dyDescent="0.2">
      <c r="B206" s="17"/>
      <c r="C206" s="128">
        <v>60</v>
      </c>
      <c r="D206" s="128" t="s">
        <v>339</v>
      </c>
      <c r="E206" s="129" t="s">
        <v>6135</v>
      </c>
      <c r="F206" s="130" t="s">
        <v>6136</v>
      </c>
      <c r="G206" s="131" t="s">
        <v>724</v>
      </c>
      <c r="H206" s="132">
        <v>200</v>
      </c>
      <c r="I206" s="133"/>
      <c r="J206" s="134">
        <f t="shared" si="30"/>
        <v>0</v>
      </c>
      <c r="K206" s="130" t="s">
        <v>343</v>
      </c>
      <c r="L206" s="17"/>
      <c r="M206" s="135"/>
      <c r="N206" s="136" t="s">
        <v>45</v>
      </c>
      <c r="P206" s="137">
        <f t="shared" si="31"/>
        <v>0</v>
      </c>
      <c r="Q206" s="137">
        <v>0</v>
      </c>
      <c r="R206" s="137">
        <f t="shared" si="32"/>
        <v>0</v>
      </c>
      <c r="S206" s="137">
        <v>0</v>
      </c>
      <c r="T206" s="138">
        <f t="shared" si="33"/>
        <v>0</v>
      </c>
      <c r="X206" s="200"/>
      <c r="AR206" s="139" t="s">
        <v>496</v>
      </c>
      <c r="AT206" s="139" t="s">
        <v>339</v>
      </c>
      <c r="AU206" s="139" t="s">
        <v>90</v>
      </c>
      <c r="AY206" s="2" t="s">
        <v>337</v>
      </c>
      <c r="BE206" s="140">
        <f t="shared" si="34"/>
        <v>0</v>
      </c>
      <c r="BF206" s="140">
        <f t="shared" si="35"/>
        <v>0</v>
      </c>
      <c r="BG206" s="140">
        <f t="shared" si="36"/>
        <v>0</v>
      </c>
      <c r="BH206" s="140">
        <f t="shared" si="37"/>
        <v>0</v>
      </c>
      <c r="BI206" s="140">
        <f t="shared" si="38"/>
        <v>0</v>
      </c>
      <c r="BJ206" s="2" t="s">
        <v>87</v>
      </c>
      <c r="BK206" s="140">
        <f t="shared" si="39"/>
        <v>0</v>
      </c>
      <c r="BL206" s="2" t="s">
        <v>496</v>
      </c>
      <c r="BM206" s="139" t="s">
        <v>1362</v>
      </c>
    </row>
    <row r="207" spans="2:65" s="16" customFormat="1" ht="16.5" customHeight="1" x14ac:dyDescent="0.2">
      <c r="B207" s="17"/>
      <c r="C207" s="128">
        <v>61</v>
      </c>
      <c r="D207" s="128" t="s">
        <v>339</v>
      </c>
      <c r="E207" s="129" t="s">
        <v>6137</v>
      </c>
      <c r="F207" s="130" t="s">
        <v>6138</v>
      </c>
      <c r="G207" s="131" t="s">
        <v>724</v>
      </c>
      <c r="H207" s="132">
        <v>70</v>
      </c>
      <c r="I207" s="133"/>
      <c r="J207" s="134">
        <f t="shared" si="30"/>
        <v>0</v>
      </c>
      <c r="K207" s="130" t="s">
        <v>343</v>
      </c>
      <c r="L207" s="17"/>
      <c r="M207" s="135"/>
      <c r="N207" s="136" t="s">
        <v>45</v>
      </c>
      <c r="P207" s="137">
        <f t="shared" si="31"/>
        <v>0</v>
      </c>
      <c r="Q207" s="137">
        <v>0</v>
      </c>
      <c r="R207" s="137">
        <f t="shared" si="32"/>
        <v>0</v>
      </c>
      <c r="S207" s="137">
        <v>0</v>
      </c>
      <c r="T207" s="138">
        <f t="shared" si="33"/>
        <v>0</v>
      </c>
      <c r="X207" s="200"/>
      <c r="AR207" s="139" t="s">
        <v>496</v>
      </c>
      <c r="AT207" s="139" t="s">
        <v>339</v>
      </c>
      <c r="AU207" s="139" t="s">
        <v>90</v>
      </c>
      <c r="AY207" s="2" t="s">
        <v>337</v>
      </c>
      <c r="BE207" s="140">
        <f t="shared" si="34"/>
        <v>0</v>
      </c>
      <c r="BF207" s="140">
        <f t="shared" si="35"/>
        <v>0</v>
      </c>
      <c r="BG207" s="140">
        <f t="shared" si="36"/>
        <v>0</v>
      </c>
      <c r="BH207" s="140">
        <f t="shared" si="37"/>
        <v>0</v>
      </c>
      <c r="BI207" s="140">
        <f t="shared" si="38"/>
        <v>0</v>
      </c>
      <c r="BJ207" s="2" t="s">
        <v>87</v>
      </c>
      <c r="BK207" s="140">
        <f t="shared" si="39"/>
        <v>0</v>
      </c>
      <c r="BL207" s="2" t="s">
        <v>496</v>
      </c>
      <c r="BM207" s="139" t="s">
        <v>1373</v>
      </c>
    </row>
    <row r="208" spans="2:65" s="16" customFormat="1" ht="16.5" customHeight="1" x14ac:dyDescent="0.2">
      <c r="B208" s="17"/>
      <c r="C208" s="128">
        <v>62</v>
      </c>
      <c r="D208" s="128" t="s">
        <v>339</v>
      </c>
      <c r="E208" s="129" t="s">
        <v>6139</v>
      </c>
      <c r="F208" s="130" t="s">
        <v>6140</v>
      </c>
      <c r="G208" s="131" t="s">
        <v>724</v>
      </c>
      <c r="H208" s="132">
        <v>70</v>
      </c>
      <c r="I208" s="133"/>
      <c r="J208" s="134">
        <f t="shared" si="30"/>
        <v>0</v>
      </c>
      <c r="K208" s="130" t="s">
        <v>343</v>
      </c>
      <c r="L208" s="17"/>
      <c r="M208" s="135"/>
      <c r="N208" s="136" t="s">
        <v>45</v>
      </c>
      <c r="P208" s="137">
        <f t="shared" si="31"/>
        <v>0</v>
      </c>
      <c r="Q208" s="137">
        <v>0</v>
      </c>
      <c r="R208" s="137">
        <f t="shared" si="32"/>
        <v>0</v>
      </c>
      <c r="S208" s="137">
        <v>0</v>
      </c>
      <c r="T208" s="138">
        <f t="shared" si="33"/>
        <v>0</v>
      </c>
      <c r="X208" s="200"/>
      <c r="AR208" s="139" t="s">
        <v>496</v>
      </c>
      <c r="AT208" s="139" t="s">
        <v>339</v>
      </c>
      <c r="AU208" s="139" t="s">
        <v>90</v>
      </c>
      <c r="AY208" s="2" t="s">
        <v>337</v>
      </c>
      <c r="BE208" s="140">
        <f t="shared" si="34"/>
        <v>0</v>
      </c>
      <c r="BF208" s="140">
        <f t="shared" si="35"/>
        <v>0</v>
      </c>
      <c r="BG208" s="140">
        <f t="shared" si="36"/>
        <v>0</v>
      </c>
      <c r="BH208" s="140">
        <f t="shared" si="37"/>
        <v>0</v>
      </c>
      <c r="BI208" s="140">
        <f t="shared" si="38"/>
        <v>0</v>
      </c>
      <c r="BJ208" s="2" t="s">
        <v>87</v>
      </c>
      <c r="BK208" s="140">
        <f t="shared" si="39"/>
        <v>0</v>
      </c>
      <c r="BL208" s="2" t="s">
        <v>496</v>
      </c>
      <c r="BM208" s="139" t="s">
        <v>1389</v>
      </c>
    </row>
    <row r="209" spans="2:65" s="16" customFormat="1" ht="16.5" customHeight="1" x14ac:dyDescent="0.2">
      <c r="B209" s="17"/>
      <c r="C209" s="128">
        <v>63</v>
      </c>
      <c r="D209" s="128" t="s">
        <v>339</v>
      </c>
      <c r="E209" s="129" t="s">
        <v>6141</v>
      </c>
      <c r="F209" s="130" t="s">
        <v>6142</v>
      </c>
      <c r="G209" s="131" t="s">
        <v>724</v>
      </c>
      <c r="H209" s="132">
        <v>20</v>
      </c>
      <c r="I209" s="133"/>
      <c r="J209" s="134">
        <f t="shared" si="30"/>
        <v>0</v>
      </c>
      <c r="K209" s="130" t="s">
        <v>343</v>
      </c>
      <c r="L209" s="17"/>
      <c r="M209" s="135"/>
      <c r="N209" s="136" t="s">
        <v>45</v>
      </c>
      <c r="P209" s="137">
        <f t="shared" si="31"/>
        <v>0</v>
      </c>
      <c r="Q209" s="137">
        <v>0</v>
      </c>
      <c r="R209" s="137">
        <f t="shared" si="32"/>
        <v>0</v>
      </c>
      <c r="S209" s="137">
        <v>0</v>
      </c>
      <c r="T209" s="138">
        <f t="shared" si="33"/>
        <v>0</v>
      </c>
      <c r="X209" s="200"/>
      <c r="AR209" s="139" t="s">
        <v>496</v>
      </c>
      <c r="AT209" s="139" t="s">
        <v>339</v>
      </c>
      <c r="AU209" s="139" t="s">
        <v>90</v>
      </c>
      <c r="AY209" s="2" t="s">
        <v>337</v>
      </c>
      <c r="BE209" s="140">
        <f t="shared" si="34"/>
        <v>0</v>
      </c>
      <c r="BF209" s="140">
        <f t="shared" si="35"/>
        <v>0</v>
      </c>
      <c r="BG209" s="140">
        <f t="shared" si="36"/>
        <v>0</v>
      </c>
      <c r="BH209" s="140">
        <f t="shared" si="37"/>
        <v>0</v>
      </c>
      <c r="BI209" s="140">
        <f t="shared" si="38"/>
        <v>0</v>
      </c>
      <c r="BJ209" s="2" t="s">
        <v>87</v>
      </c>
      <c r="BK209" s="140">
        <f t="shared" si="39"/>
        <v>0</v>
      </c>
      <c r="BL209" s="2" t="s">
        <v>496</v>
      </c>
      <c r="BM209" s="139" t="s">
        <v>1409</v>
      </c>
    </row>
    <row r="210" spans="2:65" s="16" customFormat="1" ht="16.5" customHeight="1" x14ac:dyDescent="0.2">
      <c r="B210" s="17"/>
      <c r="C210" s="128">
        <v>64</v>
      </c>
      <c r="D210" s="128" t="s">
        <v>339</v>
      </c>
      <c r="E210" s="129" t="s">
        <v>6143</v>
      </c>
      <c r="F210" s="130" t="s">
        <v>6144</v>
      </c>
      <c r="G210" s="131" t="s">
        <v>6145</v>
      </c>
      <c r="H210" s="132">
        <v>1</v>
      </c>
      <c r="I210" s="133"/>
      <c r="J210" s="134">
        <f t="shared" si="30"/>
        <v>0</v>
      </c>
      <c r="K210" s="130" t="s">
        <v>343</v>
      </c>
      <c r="L210" s="17"/>
      <c r="M210" s="135"/>
      <c r="N210" s="136" t="s">
        <v>45</v>
      </c>
      <c r="P210" s="137">
        <f t="shared" si="31"/>
        <v>0</v>
      </c>
      <c r="Q210" s="137">
        <v>0</v>
      </c>
      <c r="R210" s="137">
        <f t="shared" si="32"/>
        <v>0</v>
      </c>
      <c r="S210" s="137">
        <v>0</v>
      </c>
      <c r="T210" s="138">
        <f t="shared" si="33"/>
        <v>0</v>
      </c>
      <c r="X210" s="200"/>
      <c r="AR210" s="139" t="s">
        <v>496</v>
      </c>
      <c r="AT210" s="139" t="s">
        <v>339</v>
      </c>
      <c r="AU210" s="139" t="s">
        <v>90</v>
      </c>
      <c r="AY210" s="2" t="s">
        <v>337</v>
      </c>
      <c r="BE210" s="140">
        <f t="shared" si="34"/>
        <v>0</v>
      </c>
      <c r="BF210" s="140">
        <f t="shared" si="35"/>
        <v>0</v>
      </c>
      <c r="BG210" s="140">
        <f t="shared" si="36"/>
        <v>0</v>
      </c>
      <c r="BH210" s="140">
        <f t="shared" si="37"/>
        <v>0</v>
      </c>
      <c r="BI210" s="140">
        <f t="shared" si="38"/>
        <v>0</v>
      </c>
      <c r="BJ210" s="2" t="s">
        <v>87</v>
      </c>
      <c r="BK210" s="140">
        <f t="shared" si="39"/>
        <v>0</v>
      </c>
      <c r="BL210" s="2" t="s">
        <v>496</v>
      </c>
      <c r="BM210" s="139" t="s">
        <v>1439</v>
      </c>
    </row>
    <row r="211" spans="2:65" s="16" customFormat="1" ht="16.5" customHeight="1" x14ac:dyDescent="0.2">
      <c r="B211" s="17"/>
      <c r="C211" s="128">
        <v>65</v>
      </c>
      <c r="D211" s="128" t="s">
        <v>339</v>
      </c>
      <c r="E211" s="129" t="s">
        <v>6146</v>
      </c>
      <c r="F211" s="130" t="s">
        <v>6147</v>
      </c>
      <c r="G211" s="131" t="s">
        <v>449</v>
      </c>
      <c r="H211" s="132">
        <v>36</v>
      </c>
      <c r="I211" s="133"/>
      <c r="J211" s="134">
        <f t="shared" si="30"/>
        <v>0</v>
      </c>
      <c r="K211" s="130" t="s">
        <v>343</v>
      </c>
      <c r="L211" s="17"/>
      <c r="M211" s="135"/>
      <c r="N211" s="136" t="s">
        <v>45</v>
      </c>
      <c r="P211" s="137">
        <f t="shared" si="31"/>
        <v>0</v>
      </c>
      <c r="Q211" s="137">
        <v>0</v>
      </c>
      <c r="R211" s="137">
        <f t="shared" si="32"/>
        <v>0</v>
      </c>
      <c r="S211" s="137">
        <v>0</v>
      </c>
      <c r="T211" s="138">
        <f t="shared" si="33"/>
        <v>0</v>
      </c>
      <c r="X211" s="200"/>
      <c r="AR211" s="139" t="s">
        <v>496</v>
      </c>
      <c r="AT211" s="139" t="s">
        <v>339</v>
      </c>
      <c r="AU211" s="139" t="s">
        <v>90</v>
      </c>
      <c r="AY211" s="2" t="s">
        <v>337</v>
      </c>
      <c r="BE211" s="140">
        <f t="shared" si="34"/>
        <v>0</v>
      </c>
      <c r="BF211" s="140">
        <f t="shared" si="35"/>
        <v>0</v>
      </c>
      <c r="BG211" s="140">
        <f t="shared" si="36"/>
        <v>0</v>
      </c>
      <c r="BH211" s="140">
        <f t="shared" si="37"/>
        <v>0</v>
      </c>
      <c r="BI211" s="140">
        <f t="shared" si="38"/>
        <v>0</v>
      </c>
      <c r="BJ211" s="2" t="s">
        <v>87</v>
      </c>
      <c r="BK211" s="140">
        <f t="shared" si="39"/>
        <v>0</v>
      </c>
      <c r="BL211" s="2" t="s">
        <v>496</v>
      </c>
      <c r="BM211" s="139" t="s">
        <v>1463</v>
      </c>
    </row>
    <row r="212" spans="2:65" s="16" customFormat="1" ht="16.5" customHeight="1" x14ac:dyDescent="0.2">
      <c r="B212" s="17"/>
      <c r="C212" s="128">
        <v>66</v>
      </c>
      <c r="D212" s="128" t="s">
        <v>339</v>
      </c>
      <c r="E212" s="129" t="s">
        <v>6148</v>
      </c>
      <c r="F212" s="130" t="s">
        <v>6149</v>
      </c>
      <c r="G212" s="131" t="s">
        <v>449</v>
      </c>
      <c r="H212" s="132">
        <v>4</v>
      </c>
      <c r="I212" s="133"/>
      <c r="J212" s="134">
        <f t="shared" si="30"/>
        <v>0</v>
      </c>
      <c r="K212" s="130" t="s">
        <v>343</v>
      </c>
      <c r="L212" s="17"/>
      <c r="M212" s="135"/>
      <c r="N212" s="136" t="s">
        <v>45</v>
      </c>
      <c r="P212" s="137">
        <f t="shared" si="31"/>
        <v>0</v>
      </c>
      <c r="Q212" s="137">
        <v>0</v>
      </c>
      <c r="R212" s="137">
        <f t="shared" si="32"/>
        <v>0</v>
      </c>
      <c r="S212" s="137">
        <v>0</v>
      </c>
      <c r="T212" s="138">
        <f t="shared" si="33"/>
        <v>0</v>
      </c>
      <c r="X212" s="200"/>
      <c r="AR212" s="139" t="s">
        <v>496</v>
      </c>
      <c r="AT212" s="139" t="s">
        <v>339</v>
      </c>
      <c r="AU212" s="139" t="s">
        <v>90</v>
      </c>
      <c r="AY212" s="2" t="s">
        <v>337</v>
      </c>
      <c r="BE212" s="140">
        <f t="shared" si="34"/>
        <v>0</v>
      </c>
      <c r="BF212" s="140">
        <f t="shared" si="35"/>
        <v>0</v>
      </c>
      <c r="BG212" s="140">
        <f t="shared" si="36"/>
        <v>0</v>
      </c>
      <c r="BH212" s="140">
        <f t="shared" si="37"/>
        <v>0</v>
      </c>
      <c r="BI212" s="140">
        <f t="shared" si="38"/>
        <v>0</v>
      </c>
      <c r="BJ212" s="2" t="s">
        <v>87</v>
      </c>
      <c r="BK212" s="140">
        <f t="shared" si="39"/>
        <v>0</v>
      </c>
      <c r="BL212" s="2" t="s">
        <v>496</v>
      </c>
      <c r="BM212" s="139" t="s">
        <v>1492</v>
      </c>
    </row>
    <row r="213" spans="2:65" s="16" customFormat="1" ht="16.5" customHeight="1" x14ac:dyDescent="0.2">
      <c r="B213" s="17"/>
      <c r="C213" s="128">
        <v>67</v>
      </c>
      <c r="D213" s="128" t="s">
        <v>339</v>
      </c>
      <c r="E213" s="129" t="s">
        <v>6150</v>
      </c>
      <c r="F213" s="130" t="s">
        <v>6151</v>
      </c>
      <c r="G213" s="131" t="s">
        <v>449</v>
      </c>
      <c r="H213" s="132">
        <v>9</v>
      </c>
      <c r="I213" s="133"/>
      <c r="J213" s="134">
        <f t="shared" si="30"/>
        <v>0</v>
      </c>
      <c r="K213" s="130" t="s">
        <v>343</v>
      </c>
      <c r="L213" s="17"/>
      <c r="M213" s="135"/>
      <c r="N213" s="136" t="s">
        <v>45</v>
      </c>
      <c r="P213" s="137">
        <f t="shared" si="31"/>
        <v>0</v>
      </c>
      <c r="Q213" s="137">
        <v>0</v>
      </c>
      <c r="R213" s="137">
        <f t="shared" si="32"/>
        <v>0</v>
      </c>
      <c r="S213" s="137">
        <v>0</v>
      </c>
      <c r="T213" s="138">
        <f t="shared" si="33"/>
        <v>0</v>
      </c>
      <c r="X213" s="200"/>
      <c r="AR213" s="139" t="s">
        <v>496</v>
      </c>
      <c r="AT213" s="139" t="s">
        <v>339</v>
      </c>
      <c r="AU213" s="139" t="s">
        <v>90</v>
      </c>
      <c r="AY213" s="2" t="s">
        <v>337</v>
      </c>
      <c r="BE213" s="140">
        <f t="shared" si="34"/>
        <v>0</v>
      </c>
      <c r="BF213" s="140">
        <f t="shared" si="35"/>
        <v>0</v>
      </c>
      <c r="BG213" s="140">
        <f t="shared" si="36"/>
        <v>0</v>
      </c>
      <c r="BH213" s="140">
        <f t="shared" si="37"/>
        <v>0</v>
      </c>
      <c r="BI213" s="140">
        <f t="shared" si="38"/>
        <v>0</v>
      </c>
      <c r="BJ213" s="2" t="s">
        <v>87</v>
      </c>
      <c r="BK213" s="140">
        <f t="shared" si="39"/>
        <v>0</v>
      </c>
      <c r="BL213" s="2" t="s">
        <v>496</v>
      </c>
      <c r="BM213" s="139" t="s">
        <v>1499</v>
      </c>
    </row>
    <row r="214" spans="2:65" s="16" customFormat="1" ht="16.5" customHeight="1" x14ac:dyDescent="0.2">
      <c r="B214" s="17"/>
      <c r="C214" s="128">
        <v>68</v>
      </c>
      <c r="D214" s="128" t="s">
        <v>339</v>
      </c>
      <c r="E214" s="129" t="s">
        <v>6152</v>
      </c>
      <c r="F214" s="130" t="s">
        <v>6153</v>
      </c>
      <c r="G214" s="131" t="s">
        <v>449</v>
      </c>
      <c r="H214" s="132">
        <v>12</v>
      </c>
      <c r="I214" s="133"/>
      <c r="J214" s="134">
        <f t="shared" si="30"/>
        <v>0</v>
      </c>
      <c r="K214" s="130" t="s">
        <v>343</v>
      </c>
      <c r="L214" s="17"/>
      <c r="M214" s="135"/>
      <c r="N214" s="136" t="s">
        <v>45</v>
      </c>
      <c r="P214" s="137">
        <f t="shared" si="31"/>
        <v>0</v>
      </c>
      <c r="Q214" s="137">
        <v>0</v>
      </c>
      <c r="R214" s="137">
        <f t="shared" si="32"/>
        <v>0</v>
      </c>
      <c r="S214" s="137">
        <v>0</v>
      </c>
      <c r="T214" s="138">
        <f t="shared" si="33"/>
        <v>0</v>
      </c>
      <c r="X214" s="200"/>
      <c r="AR214" s="139" t="s">
        <v>496</v>
      </c>
      <c r="AT214" s="139" t="s">
        <v>339</v>
      </c>
      <c r="AU214" s="139" t="s">
        <v>90</v>
      </c>
      <c r="AY214" s="2" t="s">
        <v>337</v>
      </c>
      <c r="BE214" s="140">
        <f t="shared" si="34"/>
        <v>0</v>
      </c>
      <c r="BF214" s="140">
        <f t="shared" si="35"/>
        <v>0</v>
      </c>
      <c r="BG214" s="140">
        <f t="shared" si="36"/>
        <v>0</v>
      </c>
      <c r="BH214" s="140">
        <f t="shared" si="37"/>
        <v>0</v>
      </c>
      <c r="BI214" s="140">
        <f t="shared" si="38"/>
        <v>0</v>
      </c>
      <c r="BJ214" s="2" t="s">
        <v>87</v>
      </c>
      <c r="BK214" s="140">
        <f t="shared" si="39"/>
        <v>0</v>
      </c>
      <c r="BL214" s="2" t="s">
        <v>496</v>
      </c>
      <c r="BM214" s="139" t="s">
        <v>1535</v>
      </c>
    </row>
    <row r="215" spans="2:65" s="16" customFormat="1" ht="16.5" customHeight="1" x14ac:dyDescent="0.2">
      <c r="B215" s="17"/>
      <c r="C215" s="128">
        <v>69</v>
      </c>
      <c r="D215" s="128" t="s">
        <v>339</v>
      </c>
      <c r="E215" s="129" t="s">
        <v>6154</v>
      </c>
      <c r="F215" s="130" t="s">
        <v>6155</v>
      </c>
      <c r="G215" s="131" t="s">
        <v>449</v>
      </c>
      <c r="H215" s="132">
        <v>16</v>
      </c>
      <c r="I215" s="133"/>
      <c r="J215" s="134">
        <f t="shared" si="30"/>
        <v>0</v>
      </c>
      <c r="K215" s="130" t="s">
        <v>343</v>
      </c>
      <c r="L215" s="17"/>
      <c r="M215" s="135"/>
      <c r="N215" s="136" t="s">
        <v>45</v>
      </c>
      <c r="P215" s="137">
        <f t="shared" si="31"/>
        <v>0</v>
      </c>
      <c r="Q215" s="137">
        <v>0</v>
      </c>
      <c r="R215" s="137">
        <f t="shared" si="32"/>
        <v>0</v>
      </c>
      <c r="S215" s="137">
        <v>0</v>
      </c>
      <c r="T215" s="138">
        <f t="shared" si="33"/>
        <v>0</v>
      </c>
      <c r="X215" s="200"/>
      <c r="AR215" s="139" t="s">
        <v>496</v>
      </c>
      <c r="AT215" s="139" t="s">
        <v>339</v>
      </c>
      <c r="AU215" s="139" t="s">
        <v>90</v>
      </c>
      <c r="AY215" s="2" t="s">
        <v>337</v>
      </c>
      <c r="BE215" s="140">
        <f t="shared" si="34"/>
        <v>0</v>
      </c>
      <c r="BF215" s="140">
        <f t="shared" si="35"/>
        <v>0</v>
      </c>
      <c r="BG215" s="140">
        <f t="shared" si="36"/>
        <v>0</v>
      </c>
      <c r="BH215" s="140">
        <f t="shared" si="37"/>
        <v>0</v>
      </c>
      <c r="BI215" s="140">
        <f t="shared" si="38"/>
        <v>0</v>
      </c>
      <c r="BJ215" s="2" t="s">
        <v>87</v>
      </c>
      <c r="BK215" s="140">
        <f t="shared" si="39"/>
        <v>0</v>
      </c>
      <c r="BL215" s="2" t="s">
        <v>496</v>
      </c>
      <c r="BM215" s="139" t="s">
        <v>6156</v>
      </c>
    </row>
    <row r="216" spans="2:65" s="16" customFormat="1" ht="16.5" customHeight="1" x14ac:dyDescent="0.2">
      <c r="B216" s="17"/>
      <c r="C216" s="128">
        <v>70</v>
      </c>
      <c r="D216" s="128" t="s">
        <v>339</v>
      </c>
      <c r="E216" s="129" t="s">
        <v>6157</v>
      </c>
      <c r="F216" s="130" t="s">
        <v>6158</v>
      </c>
      <c r="G216" s="131" t="s">
        <v>449</v>
      </c>
      <c r="H216" s="132">
        <v>1</v>
      </c>
      <c r="I216" s="133"/>
      <c r="J216" s="134">
        <f t="shared" si="30"/>
        <v>0</v>
      </c>
      <c r="K216" s="130" t="s">
        <v>343</v>
      </c>
      <c r="L216" s="17"/>
      <c r="M216" s="135"/>
      <c r="N216" s="136" t="s">
        <v>45</v>
      </c>
      <c r="P216" s="137">
        <f t="shared" si="31"/>
        <v>0</v>
      </c>
      <c r="Q216" s="137">
        <v>0</v>
      </c>
      <c r="R216" s="137">
        <f t="shared" si="32"/>
        <v>0</v>
      </c>
      <c r="S216" s="137">
        <v>0</v>
      </c>
      <c r="T216" s="138">
        <f t="shared" si="33"/>
        <v>0</v>
      </c>
      <c r="X216" s="200"/>
      <c r="AR216" s="139" t="s">
        <v>496</v>
      </c>
      <c r="AT216" s="139" t="s">
        <v>339</v>
      </c>
      <c r="AU216" s="139" t="s">
        <v>90</v>
      </c>
      <c r="AY216" s="2" t="s">
        <v>337</v>
      </c>
      <c r="BE216" s="140">
        <f t="shared" si="34"/>
        <v>0</v>
      </c>
      <c r="BF216" s="140">
        <f t="shared" si="35"/>
        <v>0</v>
      </c>
      <c r="BG216" s="140">
        <f t="shared" si="36"/>
        <v>0</v>
      </c>
      <c r="BH216" s="140">
        <f t="shared" si="37"/>
        <v>0</v>
      </c>
      <c r="BI216" s="140">
        <f t="shared" si="38"/>
        <v>0</v>
      </c>
      <c r="BJ216" s="2" t="s">
        <v>87</v>
      </c>
      <c r="BK216" s="140">
        <f t="shared" si="39"/>
        <v>0</v>
      </c>
      <c r="BL216" s="2" t="s">
        <v>496</v>
      </c>
      <c r="BM216" s="139" t="s">
        <v>1541</v>
      </c>
    </row>
    <row r="217" spans="2:65" s="16" customFormat="1" ht="16.5" customHeight="1" x14ac:dyDescent="0.2">
      <c r="B217" s="17"/>
      <c r="C217" s="128">
        <v>71</v>
      </c>
      <c r="D217" s="128" t="s">
        <v>339</v>
      </c>
      <c r="E217" s="129" t="s">
        <v>6159</v>
      </c>
      <c r="F217" s="130" t="s">
        <v>6160</v>
      </c>
      <c r="G217" s="131" t="s">
        <v>449</v>
      </c>
      <c r="H217" s="132">
        <v>2</v>
      </c>
      <c r="I217" s="133"/>
      <c r="J217" s="134">
        <f t="shared" si="30"/>
        <v>0</v>
      </c>
      <c r="K217" s="130" t="s">
        <v>343</v>
      </c>
      <c r="L217" s="17"/>
      <c r="M217" s="135"/>
      <c r="N217" s="136" t="s">
        <v>45</v>
      </c>
      <c r="P217" s="137">
        <f t="shared" si="31"/>
        <v>0</v>
      </c>
      <c r="Q217" s="137">
        <v>0</v>
      </c>
      <c r="R217" s="137">
        <f t="shared" si="32"/>
        <v>0</v>
      </c>
      <c r="S217" s="137">
        <v>0</v>
      </c>
      <c r="T217" s="138">
        <f t="shared" si="33"/>
        <v>0</v>
      </c>
      <c r="X217" s="200"/>
      <c r="AR217" s="139" t="s">
        <v>496</v>
      </c>
      <c r="AT217" s="139" t="s">
        <v>339</v>
      </c>
      <c r="AU217" s="139" t="s">
        <v>90</v>
      </c>
      <c r="AY217" s="2" t="s">
        <v>337</v>
      </c>
      <c r="BE217" s="140">
        <f t="shared" si="34"/>
        <v>0</v>
      </c>
      <c r="BF217" s="140">
        <f t="shared" si="35"/>
        <v>0</v>
      </c>
      <c r="BG217" s="140">
        <f t="shared" si="36"/>
        <v>0</v>
      </c>
      <c r="BH217" s="140">
        <f t="shared" si="37"/>
        <v>0</v>
      </c>
      <c r="BI217" s="140">
        <f t="shared" si="38"/>
        <v>0</v>
      </c>
      <c r="BJ217" s="2" t="s">
        <v>87</v>
      </c>
      <c r="BK217" s="140">
        <f t="shared" si="39"/>
        <v>0</v>
      </c>
      <c r="BL217" s="2" t="s">
        <v>496</v>
      </c>
      <c r="BM217" s="139" t="s">
        <v>6161</v>
      </c>
    </row>
    <row r="218" spans="2:65" s="16" customFormat="1" ht="21.75" customHeight="1" x14ac:dyDescent="0.2">
      <c r="B218" s="17"/>
      <c r="C218" s="128">
        <v>72</v>
      </c>
      <c r="D218" s="128" t="s">
        <v>339</v>
      </c>
      <c r="E218" s="129" t="s">
        <v>6162</v>
      </c>
      <c r="F218" s="130" t="s">
        <v>6163</v>
      </c>
      <c r="G218" s="131" t="s">
        <v>449</v>
      </c>
      <c r="H218" s="132">
        <v>1</v>
      </c>
      <c r="I218" s="133"/>
      <c r="J218" s="134">
        <f t="shared" si="30"/>
        <v>0</v>
      </c>
      <c r="K218" s="130" t="s">
        <v>343</v>
      </c>
      <c r="L218" s="17"/>
      <c r="M218" s="135"/>
      <c r="N218" s="136" t="s">
        <v>45</v>
      </c>
      <c r="P218" s="137">
        <f t="shared" si="31"/>
        <v>0</v>
      </c>
      <c r="Q218" s="137">
        <v>0</v>
      </c>
      <c r="R218" s="137">
        <f t="shared" si="32"/>
        <v>0</v>
      </c>
      <c r="S218" s="137">
        <v>0</v>
      </c>
      <c r="T218" s="138">
        <f t="shared" si="33"/>
        <v>0</v>
      </c>
      <c r="X218" s="200"/>
      <c r="AR218" s="139" t="s">
        <v>496</v>
      </c>
      <c r="AT218" s="139" t="s">
        <v>339</v>
      </c>
      <c r="AU218" s="139" t="s">
        <v>90</v>
      </c>
      <c r="AY218" s="2" t="s">
        <v>337</v>
      </c>
      <c r="BE218" s="140">
        <f t="shared" si="34"/>
        <v>0</v>
      </c>
      <c r="BF218" s="140">
        <f t="shared" si="35"/>
        <v>0</v>
      </c>
      <c r="BG218" s="140">
        <f t="shared" si="36"/>
        <v>0</v>
      </c>
      <c r="BH218" s="140">
        <f t="shared" si="37"/>
        <v>0</v>
      </c>
      <c r="BI218" s="140">
        <f t="shared" si="38"/>
        <v>0</v>
      </c>
      <c r="BJ218" s="2" t="s">
        <v>87</v>
      </c>
      <c r="BK218" s="140">
        <f t="shared" si="39"/>
        <v>0</v>
      </c>
      <c r="BL218" s="2" t="s">
        <v>496</v>
      </c>
      <c r="BM218" s="139" t="s">
        <v>1576</v>
      </c>
    </row>
    <row r="219" spans="2:65" s="16" customFormat="1" ht="16.5" customHeight="1" x14ac:dyDescent="0.2">
      <c r="B219" s="17"/>
      <c r="C219" s="128">
        <v>73</v>
      </c>
      <c r="D219" s="128" t="s">
        <v>339</v>
      </c>
      <c r="E219" s="129" t="s">
        <v>6164</v>
      </c>
      <c r="F219" s="130" t="s">
        <v>6165</v>
      </c>
      <c r="G219" s="131" t="s">
        <v>449</v>
      </c>
      <c r="H219" s="132">
        <v>1</v>
      </c>
      <c r="I219" s="133"/>
      <c r="J219" s="134">
        <f t="shared" si="30"/>
        <v>0</v>
      </c>
      <c r="K219" s="130"/>
      <c r="L219" s="17"/>
      <c r="M219" s="135"/>
      <c r="N219" s="136" t="s">
        <v>45</v>
      </c>
      <c r="P219" s="137">
        <f t="shared" si="31"/>
        <v>0</v>
      </c>
      <c r="Q219" s="137">
        <v>0</v>
      </c>
      <c r="R219" s="137">
        <f t="shared" si="32"/>
        <v>0</v>
      </c>
      <c r="S219" s="137">
        <v>0</v>
      </c>
      <c r="T219" s="138">
        <f t="shared" si="33"/>
        <v>0</v>
      </c>
      <c r="X219" s="200"/>
      <c r="AR219" s="139" t="s">
        <v>496</v>
      </c>
      <c r="AT219" s="139" t="s">
        <v>339</v>
      </c>
      <c r="AU219" s="139" t="s">
        <v>90</v>
      </c>
      <c r="AY219" s="2" t="s">
        <v>337</v>
      </c>
      <c r="BE219" s="140">
        <f t="shared" si="34"/>
        <v>0</v>
      </c>
      <c r="BF219" s="140">
        <f t="shared" si="35"/>
        <v>0</v>
      </c>
      <c r="BG219" s="140">
        <f t="shared" si="36"/>
        <v>0</v>
      </c>
      <c r="BH219" s="140">
        <f t="shared" si="37"/>
        <v>0</v>
      </c>
      <c r="BI219" s="140">
        <f t="shared" si="38"/>
        <v>0</v>
      </c>
      <c r="BJ219" s="2" t="s">
        <v>87</v>
      </c>
      <c r="BK219" s="140">
        <f t="shared" si="39"/>
        <v>0</v>
      </c>
      <c r="BL219" s="2" t="s">
        <v>496</v>
      </c>
      <c r="BM219" s="139" t="s">
        <v>1663</v>
      </c>
    </row>
    <row r="220" spans="2:65" s="16" customFormat="1" ht="16.5" customHeight="1" x14ac:dyDescent="0.2">
      <c r="B220" s="17"/>
      <c r="C220" s="128">
        <v>74</v>
      </c>
      <c r="D220" s="128" t="s">
        <v>339</v>
      </c>
      <c r="E220" s="129" t="s">
        <v>6166</v>
      </c>
      <c r="F220" s="130" t="s">
        <v>6167</v>
      </c>
      <c r="G220" s="131" t="s">
        <v>449</v>
      </c>
      <c r="H220" s="132">
        <v>12</v>
      </c>
      <c r="I220" s="133"/>
      <c r="J220" s="134">
        <f t="shared" si="30"/>
        <v>0</v>
      </c>
      <c r="K220" s="130"/>
      <c r="L220" s="17"/>
      <c r="M220" s="135"/>
      <c r="N220" s="136" t="s">
        <v>45</v>
      </c>
      <c r="P220" s="137">
        <f t="shared" si="31"/>
        <v>0</v>
      </c>
      <c r="Q220" s="137">
        <v>0</v>
      </c>
      <c r="R220" s="137">
        <f t="shared" si="32"/>
        <v>0</v>
      </c>
      <c r="S220" s="137">
        <v>0</v>
      </c>
      <c r="T220" s="138">
        <f t="shared" si="33"/>
        <v>0</v>
      </c>
      <c r="X220" s="200"/>
      <c r="AR220" s="139" t="s">
        <v>496</v>
      </c>
      <c r="AT220" s="139" t="s">
        <v>339</v>
      </c>
      <c r="AU220" s="139" t="s">
        <v>90</v>
      </c>
      <c r="AY220" s="2" t="s">
        <v>337</v>
      </c>
      <c r="BE220" s="140">
        <f t="shared" si="34"/>
        <v>0</v>
      </c>
      <c r="BF220" s="140">
        <f t="shared" si="35"/>
        <v>0</v>
      </c>
      <c r="BG220" s="140">
        <f t="shared" si="36"/>
        <v>0</v>
      </c>
      <c r="BH220" s="140">
        <f t="shared" si="37"/>
        <v>0</v>
      </c>
      <c r="BI220" s="140">
        <f t="shared" si="38"/>
        <v>0</v>
      </c>
      <c r="BJ220" s="2" t="s">
        <v>87</v>
      </c>
      <c r="BK220" s="140">
        <f t="shared" si="39"/>
        <v>0</v>
      </c>
      <c r="BL220" s="2" t="s">
        <v>496</v>
      </c>
      <c r="BM220" s="139" t="s">
        <v>1672</v>
      </c>
    </row>
    <row r="221" spans="2:65" s="16" customFormat="1" ht="21.75" customHeight="1" x14ac:dyDescent="0.2">
      <c r="B221" s="17"/>
      <c r="C221" s="128">
        <v>75</v>
      </c>
      <c r="D221" s="128" t="s">
        <v>339</v>
      </c>
      <c r="E221" s="129" t="s">
        <v>6168</v>
      </c>
      <c r="F221" s="130" t="s">
        <v>6169</v>
      </c>
      <c r="G221" s="131" t="s">
        <v>6145</v>
      </c>
      <c r="H221" s="132">
        <v>16</v>
      </c>
      <c r="I221" s="133"/>
      <c r="J221" s="134">
        <f t="shared" si="30"/>
        <v>0</v>
      </c>
      <c r="K221" s="130" t="s">
        <v>343</v>
      </c>
      <c r="L221" s="17"/>
      <c r="M221" s="135"/>
      <c r="N221" s="136" t="s">
        <v>45</v>
      </c>
      <c r="P221" s="137">
        <f t="shared" si="31"/>
        <v>0</v>
      </c>
      <c r="Q221" s="137">
        <v>0</v>
      </c>
      <c r="R221" s="137">
        <f t="shared" si="32"/>
        <v>0</v>
      </c>
      <c r="S221" s="137">
        <v>0</v>
      </c>
      <c r="T221" s="138">
        <f t="shared" si="33"/>
        <v>0</v>
      </c>
      <c r="X221" s="200"/>
      <c r="AR221" s="139" t="s">
        <v>496</v>
      </c>
      <c r="AT221" s="139" t="s">
        <v>339</v>
      </c>
      <c r="AU221" s="139" t="s">
        <v>90</v>
      </c>
      <c r="AY221" s="2" t="s">
        <v>337</v>
      </c>
      <c r="BE221" s="140">
        <f t="shared" si="34"/>
        <v>0</v>
      </c>
      <c r="BF221" s="140">
        <f t="shared" si="35"/>
        <v>0</v>
      </c>
      <c r="BG221" s="140">
        <f t="shared" si="36"/>
        <v>0</v>
      </c>
      <c r="BH221" s="140">
        <f t="shared" si="37"/>
        <v>0</v>
      </c>
      <c r="BI221" s="140">
        <f t="shared" si="38"/>
        <v>0</v>
      </c>
      <c r="BJ221" s="2" t="s">
        <v>87</v>
      </c>
      <c r="BK221" s="140">
        <f t="shared" si="39"/>
        <v>0</v>
      </c>
      <c r="BL221" s="2" t="s">
        <v>496</v>
      </c>
      <c r="BM221" s="139" t="s">
        <v>1683</v>
      </c>
    </row>
    <row r="222" spans="2:65" s="16" customFormat="1" ht="16.5" customHeight="1" x14ac:dyDescent="0.2">
      <c r="B222" s="17"/>
      <c r="C222" s="128">
        <v>76</v>
      </c>
      <c r="D222" s="128" t="s">
        <v>339</v>
      </c>
      <c r="E222" s="129" t="s">
        <v>6170</v>
      </c>
      <c r="F222" s="130" t="s">
        <v>6171</v>
      </c>
      <c r="G222" s="131" t="s">
        <v>449</v>
      </c>
      <c r="H222" s="132">
        <v>1</v>
      </c>
      <c r="I222" s="133"/>
      <c r="J222" s="134">
        <f t="shared" si="30"/>
        <v>0</v>
      </c>
      <c r="K222" s="130"/>
      <c r="L222" s="17"/>
      <c r="M222" s="135"/>
      <c r="N222" s="136" t="s">
        <v>45</v>
      </c>
      <c r="P222" s="137">
        <f t="shared" si="31"/>
        <v>0</v>
      </c>
      <c r="Q222" s="137">
        <v>0</v>
      </c>
      <c r="R222" s="137">
        <f t="shared" si="32"/>
        <v>0</v>
      </c>
      <c r="S222" s="137">
        <v>0</v>
      </c>
      <c r="T222" s="138">
        <f t="shared" si="33"/>
        <v>0</v>
      </c>
      <c r="X222" s="200"/>
      <c r="AR222" s="139" t="s">
        <v>496</v>
      </c>
      <c r="AT222" s="139" t="s">
        <v>339</v>
      </c>
      <c r="AU222" s="139" t="s">
        <v>90</v>
      </c>
      <c r="AY222" s="2" t="s">
        <v>337</v>
      </c>
      <c r="BE222" s="140">
        <f t="shared" si="34"/>
        <v>0</v>
      </c>
      <c r="BF222" s="140">
        <f t="shared" si="35"/>
        <v>0</v>
      </c>
      <c r="BG222" s="140">
        <f t="shared" si="36"/>
        <v>0</v>
      </c>
      <c r="BH222" s="140">
        <f t="shared" si="37"/>
        <v>0</v>
      </c>
      <c r="BI222" s="140">
        <f t="shared" si="38"/>
        <v>0</v>
      </c>
      <c r="BJ222" s="2" t="s">
        <v>87</v>
      </c>
      <c r="BK222" s="140">
        <f t="shared" si="39"/>
        <v>0</v>
      </c>
      <c r="BL222" s="2" t="s">
        <v>496</v>
      </c>
      <c r="BM222" s="139" t="s">
        <v>1701</v>
      </c>
    </row>
    <row r="223" spans="2:65" s="16" customFormat="1" ht="16.5" customHeight="1" x14ac:dyDescent="0.2">
      <c r="B223" s="17"/>
      <c r="C223" s="128">
        <v>77</v>
      </c>
      <c r="D223" s="128" t="s">
        <v>339</v>
      </c>
      <c r="E223" s="129" t="s">
        <v>6172</v>
      </c>
      <c r="F223" s="130" t="s">
        <v>6173</v>
      </c>
      <c r="G223" s="131" t="s">
        <v>6145</v>
      </c>
      <c r="H223" s="132">
        <v>139</v>
      </c>
      <c r="I223" s="133"/>
      <c r="J223" s="134">
        <f t="shared" si="30"/>
        <v>0</v>
      </c>
      <c r="K223" s="130" t="s">
        <v>343</v>
      </c>
      <c r="L223" s="17"/>
      <c r="M223" s="135"/>
      <c r="N223" s="136" t="s">
        <v>45</v>
      </c>
      <c r="P223" s="137">
        <f t="shared" si="31"/>
        <v>0</v>
      </c>
      <c r="Q223" s="137">
        <v>0</v>
      </c>
      <c r="R223" s="137">
        <f t="shared" si="32"/>
        <v>0</v>
      </c>
      <c r="S223" s="137">
        <v>0</v>
      </c>
      <c r="T223" s="138">
        <f t="shared" si="33"/>
        <v>0</v>
      </c>
      <c r="X223" s="200"/>
      <c r="AR223" s="139" t="s">
        <v>496</v>
      </c>
      <c r="AT223" s="139" t="s">
        <v>339</v>
      </c>
      <c r="AU223" s="139" t="s">
        <v>90</v>
      </c>
      <c r="AY223" s="2" t="s">
        <v>337</v>
      </c>
      <c r="BE223" s="140">
        <f t="shared" si="34"/>
        <v>0</v>
      </c>
      <c r="BF223" s="140">
        <f t="shared" si="35"/>
        <v>0</v>
      </c>
      <c r="BG223" s="140">
        <f t="shared" si="36"/>
        <v>0</v>
      </c>
      <c r="BH223" s="140">
        <f t="shared" si="37"/>
        <v>0</v>
      </c>
      <c r="BI223" s="140">
        <f t="shared" si="38"/>
        <v>0</v>
      </c>
      <c r="BJ223" s="2" t="s">
        <v>87</v>
      </c>
      <c r="BK223" s="140">
        <f t="shared" si="39"/>
        <v>0</v>
      </c>
      <c r="BL223" s="2" t="s">
        <v>496</v>
      </c>
      <c r="BM223" s="139" t="s">
        <v>1711</v>
      </c>
    </row>
    <row r="224" spans="2:65" s="16" customFormat="1" ht="16.5" customHeight="1" x14ac:dyDescent="0.2">
      <c r="B224" s="17"/>
      <c r="C224" s="162">
        <v>78</v>
      </c>
      <c r="D224" s="162" t="s">
        <v>519</v>
      </c>
      <c r="E224" s="163" t="s">
        <v>6174</v>
      </c>
      <c r="F224" s="164" t="s">
        <v>6175</v>
      </c>
      <c r="G224" s="165" t="s">
        <v>449</v>
      </c>
      <c r="H224" s="166">
        <v>139</v>
      </c>
      <c r="I224" s="167"/>
      <c r="J224" s="168">
        <f t="shared" si="30"/>
        <v>0</v>
      </c>
      <c r="K224" s="164" t="s">
        <v>343</v>
      </c>
      <c r="L224" s="169"/>
      <c r="M224" s="170"/>
      <c r="N224" s="171" t="s">
        <v>45</v>
      </c>
      <c r="P224" s="137">
        <f t="shared" si="31"/>
        <v>0</v>
      </c>
      <c r="Q224" s="137">
        <v>0</v>
      </c>
      <c r="R224" s="137">
        <f t="shared" si="32"/>
        <v>0</v>
      </c>
      <c r="S224" s="137">
        <v>0</v>
      </c>
      <c r="T224" s="138">
        <f t="shared" si="33"/>
        <v>0</v>
      </c>
      <c r="X224" s="200"/>
      <c r="AR224" s="139" t="s">
        <v>621</v>
      </c>
      <c r="AT224" s="139" t="s">
        <v>519</v>
      </c>
      <c r="AU224" s="139" t="s">
        <v>90</v>
      </c>
      <c r="AY224" s="2" t="s">
        <v>337</v>
      </c>
      <c r="BE224" s="140">
        <f t="shared" si="34"/>
        <v>0</v>
      </c>
      <c r="BF224" s="140">
        <f t="shared" si="35"/>
        <v>0</v>
      </c>
      <c r="BG224" s="140">
        <f t="shared" si="36"/>
        <v>0</v>
      </c>
      <c r="BH224" s="140">
        <f t="shared" si="37"/>
        <v>0</v>
      </c>
      <c r="BI224" s="140">
        <f t="shared" si="38"/>
        <v>0</v>
      </c>
      <c r="BJ224" s="2" t="s">
        <v>87</v>
      </c>
      <c r="BK224" s="140">
        <f t="shared" si="39"/>
        <v>0</v>
      </c>
      <c r="BL224" s="2" t="s">
        <v>496</v>
      </c>
      <c r="BM224" s="139" t="s">
        <v>1726</v>
      </c>
    </row>
    <row r="225" spans="2:65" s="16" customFormat="1" ht="16.5" customHeight="1" x14ac:dyDescent="0.2">
      <c r="B225" s="17"/>
      <c r="C225" s="128">
        <v>79</v>
      </c>
      <c r="D225" s="128" t="s">
        <v>339</v>
      </c>
      <c r="E225" s="129" t="s">
        <v>6176</v>
      </c>
      <c r="F225" s="130" t="s">
        <v>6177</v>
      </c>
      <c r="G225" s="131" t="s">
        <v>449</v>
      </c>
      <c r="H225" s="132">
        <v>8</v>
      </c>
      <c r="I225" s="133"/>
      <c r="J225" s="134">
        <f t="shared" si="30"/>
        <v>0</v>
      </c>
      <c r="K225" s="130" t="s">
        <v>343</v>
      </c>
      <c r="L225" s="17"/>
      <c r="M225" s="135"/>
      <c r="N225" s="136" t="s">
        <v>45</v>
      </c>
      <c r="P225" s="137">
        <f t="shared" si="31"/>
        <v>0</v>
      </c>
      <c r="Q225" s="137">
        <v>0</v>
      </c>
      <c r="R225" s="137">
        <f t="shared" si="32"/>
        <v>0</v>
      </c>
      <c r="S225" s="137">
        <v>0</v>
      </c>
      <c r="T225" s="138">
        <f t="shared" si="33"/>
        <v>0</v>
      </c>
      <c r="X225" s="200"/>
      <c r="AR225" s="139" t="s">
        <v>496</v>
      </c>
      <c r="AT225" s="139" t="s">
        <v>339</v>
      </c>
      <c r="AU225" s="139" t="s">
        <v>90</v>
      </c>
      <c r="AY225" s="2" t="s">
        <v>337</v>
      </c>
      <c r="BE225" s="140">
        <f t="shared" si="34"/>
        <v>0</v>
      </c>
      <c r="BF225" s="140">
        <f t="shared" si="35"/>
        <v>0</v>
      </c>
      <c r="BG225" s="140">
        <f t="shared" si="36"/>
        <v>0</v>
      </c>
      <c r="BH225" s="140">
        <f t="shared" si="37"/>
        <v>0</v>
      </c>
      <c r="BI225" s="140">
        <f t="shared" si="38"/>
        <v>0</v>
      </c>
      <c r="BJ225" s="2" t="s">
        <v>87</v>
      </c>
      <c r="BK225" s="140">
        <f t="shared" si="39"/>
        <v>0</v>
      </c>
      <c r="BL225" s="2" t="s">
        <v>496</v>
      </c>
      <c r="BM225" s="139" t="s">
        <v>1739</v>
      </c>
    </row>
    <row r="226" spans="2:65" s="16" customFormat="1" ht="24.2" customHeight="1" x14ac:dyDescent="0.2">
      <c r="B226" s="17"/>
      <c r="C226" s="128">
        <v>80</v>
      </c>
      <c r="D226" s="128" t="s">
        <v>339</v>
      </c>
      <c r="E226" s="129" t="s">
        <v>6178</v>
      </c>
      <c r="F226" s="130" t="s">
        <v>6179</v>
      </c>
      <c r="G226" s="131" t="s">
        <v>724</v>
      </c>
      <c r="H226" s="132">
        <v>167</v>
      </c>
      <c r="I226" s="133"/>
      <c r="J226" s="134">
        <f t="shared" si="30"/>
        <v>0</v>
      </c>
      <c r="K226" s="130" t="s">
        <v>343</v>
      </c>
      <c r="L226" s="17"/>
      <c r="M226" s="135"/>
      <c r="N226" s="136" t="s">
        <v>45</v>
      </c>
      <c r="P226" s="137">
        <f t="shared" si="31"/>
        <v>0</v>
      </c>
      <c r="Q226" s="137">
        <v>0</v>
      </c>
      <c r="R226" s="137">
        <f t="shared" si="32"/>
        <v>0</v>
      </c>
      <c r="S226" s="137">
        <v>0</v>
      </c>
      <c r="T226" s="138">
        <f t="shared" si="33"/>
        <v>0</v>
      </c>
      <c r="X226" s="200"/>
      <c r="AR226" s="139" t="s">
        <v>496</v>
      </c>
      <c r="AT226" s="139" t="s">
        <v>339</v>
      </c>
      <c r="AU226" s="139" t="s">
        <v>90</v>
      </c>
      <c r="AY226" s="2" t="s">
        <v>337</v>
      </c>
      <c r="BE226" s="140">
        <f t="shared" si="34"/>
        <v>0</v>
      </c>
      <c r="BF226" s="140">
        <f t="shared" si="35"/>
        <v>0</v>
      </c>
      <c r="BG226" s="140">
        <f t="shared" si="36"/>
        <v>0</v>
      </c>
      <c r="BH226" s="140">
        <f t="shared" si="37"/>
        <v>0</v>
      </c>
      <c r="BI226" s="140">
        <f t="shared" si="38"/>
        <v>0</v>
      </c>
      <c r="BJ226" s="2" t="s">
        <v>87</v>
      </c>
      <c r="BK226" s="140">
        <f t="shared" si="39"/>
        <v>0</v>
      </c>
      <c r="BL226" s="2" t="s">
        <v>496</v>
      </c>
      <c r="BM226" s="139" t="s">
        <v>1746</v>
      </c>
    </row>
    <row r="227" spans="2:65" s="16" customFormat="1" ht="21.75" customHeight="1" x14ac:dyDescent="0.2">
      <c r="B227" s="17"/>
      <c r="C227" s="128">
        <v>81</v>
      </c>
      <c r="D227" s="128" t="s">
        <v>339</v>
      </c>
      <c r="E227" s="129" t="s">
        <v>6180</v>
      </c>
      <c r="F227" s="130" t="s">
        <v>6181</v>
      </c>
      <c r="G227" s="131" t="s">
        <v>724</v>
      </c>
      <c r="H227" s="132">
        <v>2177</v>
      </c>
      <c r="I227" s="133"/>
      <c r="J227" s="134">
        <f t="shared" si="30"/>
        <v>0</v>
      </c>
      <c r="K227" s="130" t="s">
        <v>343</v>
      </c>
      <c r="L227" s="17"/>
      <c r="M227" s="135"/>
      <c r="N227" s="136" t="s">
        <v>45</v>
      </c>
      <c r="P227" s="137">
        <f t="shared" si="31"/>
        <v>0</v>
      </c>
      <c r="Q227" s="137">
        <v>0</v>
      </c>
      <c r="R227" s="137">
        <f t="shared" si="32"/>
        <v>0</v>
      </c>
      <c r="S227" s="137">
        <v>0</v>
      </c>
      <c r="T227" s="138">
        <f t="shared" si="33"/>
        <v>0</v>
      </c>
      <c r="X227" s="200"/>
      <c r="AR227" s="139" t="s">
        <v>496</v>
      </c>
      <c r="AT227" s="139" t="s">
        <v>339</v>
      </c>
      <c r="AU227" s="139" t="s">
        <v>90</v>
      </c>
      <c r="AY227" s="2" t="s">
        <v>337</v>
      </c>
      <c r="BE227" s="140">
        <f t="shared" si="34"/>
        <v>0</v>
      </c>
      <c r="BF227" s="140">
        <f t="shared" si="35"/>
        <v>0</v>
      </c>
      <c r="BG227" s="140">
        <f t="shared" si="36"/>
        <v>0</v>
      </c>
      <c r="BH227" s="140">
        <f t="shared" si="37"/>
        <v>0</v>
      </c>
      <c r="BI227" s="140">
        <f t="shared" si="38"/>
        <v>0</v>
      </c>
      <c r="BJ227" s="2" t="s">
        <v>87</v>
      </c>
      <c r="BK227" s="140">
        <f t="shared" si="39"/>
        <v>0</v>
      </c>
      <c r="BL227" s="2" t="s">
        <v>496</v>
      </c>
      <c r="BM227" s="139" t="s">
        <v>1758</v>
      </c>
    </row>
    <row r="228" spans="2:65" s="16" customFormat="1" ht="24.2" customHeight="1" x14ac:dyDescent="0.2">
      <c r="B228" s="17"/>
      <c r="C228" s="128">
        <v>82</v>
      </c>
      <c r="D228" s="128" t="s">
        <v>339</v>
      </c>
      <c r="E228" s="129" t="s">
        <v>6182</v>
      </c>
      <c r="F228" s="130" t="s">
        <v>6183</v>
      </c>
      <c r="G228" s="131" t="s">
        <v>724</v>
      </c>
      <c r="H228" s="132">
        <v>1850</v>
      </c>
      <c r="I228" s="133"/>
      <c r="J228" s="134">
        <f t="shared" si="30"/>
        <v>0</v>
      </c>
      <c r="K228" s="130" t="s">
        <v>343</v>
      </c>
      <c r="L228" s="17"/>
      <c r="M228" s="135"/>
      <c r="N228" s="136" t="s">
        <v>45</v>
      </c>
      <c r="P228" s="137">
        <f t="shared" si="31"/>
        <v>0</v>
      </c>
      <c r="Q228" s="137">
        <v>0</v>
      </c>
      <c r="R228" s="137">
        <f t="shared" si="32"/>
        <v>0</v>
      </c>
      <c r="S228" s="137">
        <v>0</v>
      </c>
      <c r="T228" s="138">
        <f t="shared" si="33"/>
        <v>0</v>
      </c>
      <c r="X228" s="200"/>
      <c r="AR228" s="139" t="s">
        <v>496</v>
      </c>
      <c r="AT228" s="139" t="s">
        <v>339</v>
      </c>
      <c r="AU228" s="139" t="s">
        <v>90</v>
      </c>
      <c r="AY228" s="2" t="s">
        <v>337</v>
      </c>
      <c r="BE228" s="140">
        <f t="shared" si="34"/>
        <v>0</v>
      </c>
      <c r="BF228" s="140">
        <f t="shared" si="35"/>
        <v>0</v>
      </c>
      <c r="BG228" s="140">
        <f t="shared" si="36"/>
        <v>0</v>
      </c>
      <c r="BH228" s="140">
        <f t="shared" si="37"/>
        <v>0</v>
      </c>
      <c r="BI228" s="140">
        <f t="shared" si="38"/>
        <v>0</v>
      </c>
      <c r="BJ228" s="2" t="s">
        <v>87</v>
      </c>
      <c r="BK228" s="140">
        <f t="shared" si="39"/>
        <v>0</v>
      </c>
      <c r="BL228" s="2" t="s">
        <v>496</v>
      </c>
      <c r="BM228" s="139" t="s">
        <v>1767</v>
      </c>
    </row>
    <row r="229" spans="2:65" s="16" customFormat="1" ht="24.2" customHeight="1" x14ac:dyDescent="0.2">
      <c r="B229" s="17"/>
      <c r="C229" s="128">
        <v>83</v>
      </c>
      <c r="D229" s="128" t="s">
        <v>339</v>
      </c>
      <c r="E229" s="129" t="s">
        <v>6184</v>
      </c>
      <c r="F229" s="130" t="s">
        <v>6185</v>
      </c>
      <c r="G229" s="131" t="s">
        <v>724</v>
      </c>
      <c r="H229" s="132">
        <v>160</v>
      </c>
      <c r="I229" s="133"/>
      <c r="J229" s="134">
        <f t="shared" si="30"/>
        <v>0</v>
      </c>
      <c r="K229" s="130" t="s">
        <v>343</v>
      </c>
      <c r="L229" s="17"/>
      <c r="M229" s="135"/>
      <c r="N229" s="136" t="s">
        <v>45</v>
      </c>
      <c r="P229" s="137">
        <f t="shared" si="31"/>
        <v>0</v>
      </c>
      <c r="Q229" s="137">
        <v>0</v>
      </c>
      <c r="R229" s="137">
        <f t="shared" si="32"/>
        <v>0</v>
      </c>
      <c r="S229" s="137">
        <v>0</v>
      </c>
      <c r="T229" s="138">
        <f t="shared" si="33"/>
        <v>0</v>
      </c>
      <c r="X229" s="200"/>
      <c r="AR229" s="139" t="s">
        <v>496</v>
      </c>
      <c r="AT229" s="139" t="s">
        <v>339</v>
      </c>
      <c r="AU229" s="139" t="s">
        <v>90</v>
      </c>
      <c r="AY229" s="2" t="s">
        <v>337</v>
      </c>
      <c r="BE229" s="140">
        <f t="shared" si="34"/>
        <v>0</v>
      </c>
      <c r="BF229" s="140">
        <f t="shared" si="35"/>
        <v>0</v>
      </c>
      <c r="BG229" s="140">
        <f t="shared" si="36"/>
        <v>0</v>
      </c>
      <c r="BH229" s="140">
        <f t="shared" si="37"/>
        <v>0</v>
      </c>
      <c r="BI229" s="140">
        <f t="shared" si="38"/>
        <v>0</v>
      </c>
      <c r="BJ229" s="2" t="s">
        <v>87</v>
      </c>
      <c r="BK229" s="140">
        <f t="shared" si="39"/>
        <v>0</v>
      </c>
      <c r="BL229" s="2" t="s">
        <v>496</v>
      </c>
      <c r="BM229" s="139" t="s">
        <v>1783</v>
      </c>
    </row>
    <row r="230" spans="2:65" s="16" customFormat="1" ht="24.2" customHeight="1" x14ac:dyDescent="0.2">
      <c r="B230" s="17"/>
      <c r="C230" s="128">
        <v>84</v>
      </c>
      <c r="D230" s="128" t="s">
        <v>339</v>
      </c>
      <c r="E230" s="129" t="s">
        <v>6186</v>
      </c>
      <c r="F230" s="130" t="s">
        <v>6187</v>
      </c>
      <c r="G230" s="131" t="s">
        <v>6048</v>
      </c>
      <c r="H230" s="192"/>
      <c r="I230" s="133"/>
      <c r="J230" s="134">
        <f t="shared" si="30"/>
        <v>0</v>
      </c>
      <c r="K230" s="130" t="s">
        <v>343</v>
      </c>
      <c r="L230" s="17"/>
      <c r="M230" s="135"/>
      <c r="N230" s="136" t="s">
        <v>45</v>
      </c>
      <c r="P230" s="137">
        <f t="shared" si="31"/>
        <v>0</v>
      </c>
      <c r="Q230" s="137">
        <v>0</v>
      </c>
      <c r="R230" s="137">
        <f t="shared" si="32"/>
        <v>0</v>
      </c>
      <c r="S230" s="137">
        <v>0</v>
      </c>
      <c r="T230" s="138">
        <f t="shared" si="33"/>
        <v>0</v>
      </c>
      <c r="X230" s="200"/>
      <c r="AR230" s="139" t="s">
        <v>496</v>
      </c>
      <c r="AT230" s="139" t="s">
        <v>339</v>
      </c>
      <c r="AU230" s="139" t="s">
        <v>90</v>
      </c>
      <c r="AY230" s="2" t="s">
        <v>337</v>
      </c>
      <c r="BE230" s="140">
        <f t="shared" si="34"/>
        <v>0</v>
      </c>
      <c r="BF230" s="140">
        <f t="shared" si="35"/>
        <v>0</v>
      </c>
      <c r="BG230" s="140">
        <f t="shared" si="36"/>
        <v>0</v>
      </c>
      <c r="BH230" s="140">
        <f t="shared" si="37"/>
        <v>0</v>
      </c>
      <c r="BI230" s="140">
        <f t="shared" si="38"/>
        <v>0</v>
      </c>
      <c r="BJ230" s="2" t="s">
        <v>87</v>
      </c>
      <c r="BK230" s="140">
        <f t="shared" si="39"/>
        <v>0</v>
      </c>
      <c r="BL230" s="2" t="s">
        <v>496</v>
      </c>
      <c r="BM230" s="139" t="s">
        <v>6188</v>
      </c>
    </row>
    <row r="231" spans="2:65" s="116" customFormat="1" ht="22.9" customHeight="1" x14ac:dyDescent="0.2">
      <c r="B231" s="117"/>
      <c r="D231" s="118" t="s">
        <v>79</v>
      </c>
      <c r="E231" s="126" t="s">
        <v>6189</v>
      </c>
      <c r="F231" s="126" t="s">
        <v>6190</v>
      </c>
      <c r="J231" s="127">
        <f>BK231</f>
        <v>0</v>
      </c>
      <c r="L231" s="117"/>
      <c r="M231" s="121"/>
      <c r="P231" s="122">
        <f>SUM(P232:P240)</f>
        <v>0</v>
      </c>
      <c r="R231" s="122">
        <f>SUM(R232:R240)</f>
        <v>0</v>
      </c>
      <c r="T231" s="123">
        <f>SUM(T232:T240)</f>
        <v>0</v>
      </c>
      <c r="X231" s="200"/>
      <c r="AR231" s="118" t="s">
        <v>90</v>
      </c>
      <c r="AT231" s="124" t="s">
        <v>79</v>
      </c>
      <c r="AU231" s="124" t="s">
        <v>87</v>
      </c>
      <c r="AY231" s="118" t="s">
        <v>337</v>
      </c>
      <c r="BK231" s="125">
        <f>SUM(BK232:BK240)</f>
        <v>0</v>
      </c>
    </row>
    <row r="232" spans="2:65" s="16" customFormat="1" ht="16.5" customHeight="1" x14ac:dyDescent="0.2">
      <c r="B232" s="17"/>
      <c r="C232" s="128">
        <v>85</v>
      </c>
      <c r="D232" s="128" t="s">
        <v>339</v>
      </c>
      <c r="E232" s="129" t="s">
        <v>6191</v>
      </c>
      <c r="F232" s="130" t="s">
        <v>6192</v>
      </c>
      <c r="G232" s="131" t="s">
        <v>6145</v>
      </c>
      <c r="H232" s="132">
        <v>25</v>
      </c>
      <c r="I232" s="133"/>
      <c r="J232" s="134">
        <f t="shared" ref="J232:J240" si="40">ROUND(I232*H232,2)</f>
        <v>0</v>
      </c>
      <c r="K232" s="130" t="s">
        <v>343</v>
      </c>
      <c r="L232" s="17"/>
      <c r="M232" s="135"/>
      <c r="N232" s="136" t="s">
        <v>45</v>
      </c>
      <c r="P232" s="137">
        <f t="shared" ref="P232:P240" si="41">O232*H232</f>
        <v>0</v>
      </c>
      <c r="Q232" s="137">
        <v>0</v>
      </c>
      <c r="R232" s="137">
        <f t="shared" ref="R232:R240" si="42">Q232*H232</f>
        <v>0</v>
      </c>
      <c r="S232" s="137">
        <v>0</v>
      </c>
      <c r="T232" s="138">
        <f t="shared" ref="T232:T240" si="43">S232*H232</f>
        <v>0</v>
      </c>
      <c r="X232" s="200"/>
      <c r="AR232" s="139" t="s">
        <v>496</v>
      </c>
      <c r="AT232" s="139" t="s">
        <v>339</v>
      </c>
      <c r="AU232" s="139" t="s">
        <v>90</v>
      </c>
      <c r="AY232" s="2" t="s">
        <v>337</v>
      </c>
      <c r="BE232" s="140">
        <f t="shared" ref="BE232:BE240" si="44">IF(N232="základní",J232,0)</f>
        <v>0</v>
      </c>
      <c r="BF232" s="140">
        <f t="shared" ref="BF232:BF240" si="45">IF(N232="snížená",J232,0)</f>
        <v>0</v>
      </c>
      <c r="BG232" s="140">
        <f t="shared" ref="BG232:BG240" si="46">IF(N232="zákl. přenesená",J232,0)</f>
        <v>0</v>
      </c>
      <c r="BH232" s="140">
        <f t="shared" ref="BH232:BH240" si="47">IF(N232="sníž. přenesená",J232,0)</f>
        <v>0</v>
      </c>
      <c r="BI232" s="140">
        <f t="shared" ref="BI232:BI240" si="48">IF(N232="nulová",J232,0)</f>
        <v>0</v>
      </c>
      <c r="BJ232" s="2" t="s">
        <v>87</v>
      </c>
      <c r="BK232" s="140">
        <f t="shared" ref="BK232:BK240" si="49">ROUND(I232*H232,2)</f>
        <v>0</v>
      </c>
      <c r="BL232" s="2" t="s">
        <v>496</v>
      </c>
      <c r="BM232" s="139" t="s">
        <v>1799</v>
      </c>
    </row>
    <row r="233" spans="2:65" s="16" customFormat="1" ht="16.5" customHeight="1" x14ac:dyDescent="0.2">
      <c r="B233" s="17"/>
      <c r="C233" s="128">
        <v>86</v>
      </c>
      <c r="D233" s="128" t="s">
        <v>339</v>
      </c>
      <c r="E233" s="129" t="s">
        <v>6193</v>
      </c>
      <c r="F233" s="130" t="s">
        <v>6194</v>
      </c>
      <c r="G233" s="131" t="s">
        <v>6145</v>
      </c>
      <c r="H233" s="132">
        <v>1</v>
      </c>
      <c r="I233" s="133"/>
      <c r="J233" s="134">
        <f t="shared" si="40"/>
        <v>0</v>
      </c>
      <c r="K233" s="130" t="s">
        <v>343</v>
      </c>
      <c r="L233" s="17"/>
      <c r="M233" s="135"/>
      <c r="N233" s="136" t="s">
        <v>45</v>
      </c>
      <c r="P233" s="137">
        <f t="shared" si="41"/>
        <v>0</v>
      </c>
      <c r="Q233" s="137">
        <v>0</v>
      </c>
      <c r="R233" s="137">
        <f t="shared" si="42"/>
        <v>0</v>
      </c>
      <c r="S233" s="137">
        <v>0</v>
      </c>
      <c r="T233" s="138">
        <f t="shared" si="43"/>
        <v>0</v>
      </c>
      <c r="X233" s="200"/>
      <c r="AR233" s="139" t="s">
        <v>496</v>
      </c>
      <c r="AT233" s="139" t="s">
        <v>339</v>
      </c>
      <c r="AU233" s="139" t="s">
        <v>90</v>
      </c>
      <c r="AY233" s="2" t="s">
        <v>337</v>
      </c>
      <c r="BE233" s="140">
        <f t="shared" si="44"/>
        <v>0</v>
      </c>
      <c r="BF233" s="140">
        <f t="shared" si="45"/>
        <v>0</v>
      </c>
      <c r="BG233" s="140">
        <f t="shared" si="46"/>
        <v>0</v>
      </c>
      <c r="BH233" s="140">
        <f t="shared" si="47"/>
        <v>0</v>
      </c>
      <c r="BI233" s="140">
        <f t="shared" si="48"/>
        <v>0</v>
      </c>
      <c r="BJ233" s="2" t="s">
        <v>87</v>
      </c>
      <c r="BK233" s="140">
        <f t="shared" si="49"/>
        <v>0</v>
      </c>
      <c r="BL233" s="2" t="s">
        <v>496</v>
      </c>
      <c r="BM233" s="139" t="s">
        <v>1808</v>
      </c>
    </row>
    <row r="234" spans="2:65" s="16" customFormat="1" ht="16.5" customHeight="1" x14ac:dyDescent="0.2">
      <c r="B234" s="17"/>
      <c r="C234" s="128">
        <v>87</v>
      </c>
      <c r="D234" s="128" t="s">
        <v>339</v>
      </c>
      <c r="E234" s="129" t="s">
        <v>6195</v>
      </c>
      <c r="F234" s="130" t="s">
        <v>6196</v>
      </c>
      <c r="G234" s="131" t="s">
        <v>6145</v>
      </c>
      <c r="H234" s="132">
        <v>80</v>
      </c>
      <c r="I234" s="133"/>
      <c r="J234" s="134">
        <f t="shared" si="40"/>
        <v>0</v>
      </c>
      <c r="K234" s="130" t="s">
        <v>343</v>
      </c>
      <c r="L234" s="17"/>
      <c r="M234" s="135"/>
      <c r="N234" s="136" t="s">
        <v>45</v>
      </c>
      <c r="P234" s="137">
        <f t="shared" si="41"/>
        <v>0</v>
      </c>
      <c r="Q234" s="137">
        <v>0</v>
      </c>
      <c r="R234" s="137">
        <f t="shared" si="42"/>
        <v>0</v>
      </c>
      <c r="S234" s="137">
        <v>0</v>
      </c>
      <c r="T234" s="138">
        <f t="shared" si="43"/>
        <v>0</v>
      </c>
      <c r="X234" s="200"/>
      <c r="AR234" s="139" t="s">
        <v>496</v>
      </c>
      <c r="AT234" s="139" t="s">
        <v>339</v>
      </c>
      <c r="AU234" s="139" t="s">
        <v>90</v>
      </c>
      <c r="AY234" s="2" t="s">
        <v>337</v>
      </c>
      <c r="BE234" s="140">
        <f t="shared" si="44"/>
        <v>0</v>
      </c>
      <c r="BF234" s="140">
        <f t="shared" si="45"/>
        <v>0</v>
      </c>
      <c r="BG234" s="140">
        <f t="shared" si="46"/>
        <v>0</v>
      </c>
      <c r="BH234" s="140">
        <f t="shared" si="47"/>
        <v>0</v>
      </c>
      <c r="BI234" s="140">
        <f t="shared" si="48"/>
        <v>0</v>
      </c>
      <c r="BJ234" s="2" t="s">
        <v>87</v>
      </c>
      <c r="BK234" s="140">
        <f t="shared" si="49"/>
        <v>0</v>
      </c>
      <c r="BL234" s="2" t="s">
        <v>496</v>
      </c>
      <c r="BM234" s="139" t="s">
        <v>1819</v>
      </c>
    </row>
    <row r="235" spans="2:65" s="16" customFormat="1" ht="16.5" customHeight="1" x14ac:dyDescent="0.2">
      <c r="B235" s="17"/>
      <c r="C235" s="128">
        <v>88</v>
      </c>
      <c r="D235" s="128" t="s">
        <v>339</v>
      </c>
      <c r="E235" s="129" t="s">
        <v>6197</v>
      </c>
      <c r="F235" s="130" t="s">
        <v>6198</v>
      </c>
      <c r="G235" s="131" t="s">
        <v>6145</v>
      </c>
      <c r="H235" s="132">
        <v>12</v>
      </c>
      <c r="I235" s="133"/>
      <c r="J235" s="134">
        <f t="shared" si="40"/>
        <v>0</v>
      </c>
      <c r="K235" s="130" t="s">
        <v>343</v>
      </c>
      <c r="L235" s="17"/>
      <c r="M235" s="135"/>
      <c r="N235" s="136" t="s">
        <v>45</v>
      </c>
      <c r="P235" s="137">
        <f t="shared" si="41"/>
        <v>0</v>
      </c>
      <c r="Q235" s="137">
        <v>0</v>
      </c>
      <c r="R235" s="137">
        <f t="shared" si="42"/>
        <v>0</v>
      </c>
      <c r="S235" s="137">
        <v>0</v>
      </c>
      <c r="T235" s="138">
        <f t="shared" si="43"/>
        <v>0</v>
      </c>
      <c r="X235" s="200"/>
      <c r="AR235" s="139" t="s">
        <v>496</v>
      </c>
      <c r="AT235" s="139" t="s">
        <v>339</v>
      </c>
      <c r="AU235" s="139" t="s">
        <v>90</v>
      </c>
      <c r="AY235" s="2" t="s">
        <v>337</v>
      </c>
      <c r="BE235" s="140">
        <f t="shared" si="44"/>
        <v>0</v>
      </c>
      <c r="BF235" s="140">
        <f t="shared" si="45"/>
        <v>0</v>
      </c>
      <c r="BG235" s="140">
        <f t="shared" si="46"/>
        <v>0</v>
      </c>
      <c r="BH235" s="140">
        <f t="shared" si="47"/>
        <v>0</v>
      </c>
      <c r="BI235" s="140">
        <f t="shared" si="48"/>
        <v>0</v>
      </c>
      <c r="BJ235" s="2" t="s">
        <v>87</v>
      </c>
      <c r="BK235" s="140">
        <f t="shared" si="49"/>
        <v>0</v>
      </c>
      <c r="BL235" s="2" t="s">
        <v>496</v>
      </c>
      <c r="BM235" s="139" t="s">
        <v>1974</v>
      </c>
    </row>
    <row r="236" spans="2:65" s="16" customFormat="1" ht="16.5" customHeight="1" x14ac:dyDescent="0.2">
      <c r="B236" s="17"/>
      <c r="C236" s="128">
        <v>89</v>
      </c>
      <c r="D236" s="128" t="s">
        <v>339</v>
      </c>
      <c r="E236" s="129" t="s">
        <v>6199</v>
      </c>
      <c r="F236" s="130" t="s">
        <v>6200</v>
      </c>
      <c r="G236" s="131" t="s">
        <v>6145</v>
      </c>
      <c r="H236" s="132">
        <v>12</v>
      </c>
      <c r="I236" s="133"/>
      <c r="J236" s="134">
        <f t="shared" si="40"/>
        <v>0</v>
      </c>
      <c r="K236" s="130" t="s">
        <v>343</v>
      </c>
      <c r="L236" s="17"/>
      <c r="M236" s="135"/>
      <c r="N236" s="136" t="s">
        <v>45</v>
      </c>
      <c r="P236" s="137">
        <f t="shared" si="41"/>
        <v>0</v>
      </c>
      <c r="Q236" s="137">
        <v>0</v>
      </c>
      <c r="R236" s="137">
        <f t="shared" si="42"/>
        <v>0</v>
      </c>
      <c r="S236" s="137">
        <v>0</v>
      </c>
      <c r="T236" s="138">
        <f t="shared" si="43"/>
        <v>0</v>
      </c>
      <c r="X236" s="200"/>
      <c r="AR236" s="139" t="s">
        <v>496</v>
      </c>
      <c r="AT236" s="139" t="s">
        <v>339</v>
      </c>
      <c r="AU236" s="139" t="s">
        <v>90</v>
      </c>
      <c r="AY236" s="2" t="s">
        <v>337</v>
      </c>
      <c r="BE236" s="140">
        <f t="shared" si="44"/>
        <v>0</v>
      </c>
      <c r="BF236" s="140">
        <f t="shared" si="45"/>
        <v>0</v>
      </c>
      <c r="BG236" s="140">
        <f t="shared" si="46"/>
        <v>0</v>
      </c>
      <c r="BH236" s="140">
        <f t="shared" si="47"/>
        <v>0</v>
      </c>
      <c r="BI236" s="140">
        <f t="shared" si="48"/>
        <v>0</v>
      </c>
      <c r="BJ236" s="2" t="s">
        <v>87</v>
      </c>
      <c r="BK236" s="140">
        <f t="shared" si="49"/>
        <v>0</v>
      </c>
      <c r="BL236" s="2" t="s">
        <v>496</v>
      </c>
      <c r="BM236" s="139" t="s">
        <v>1982</v>
      </c>
    </row>
    <row r="237" spans="2:65" s="16" customFormat="1" ht="16.5" customHeight="1" x14ac:dyDescent="0.2">
      <c r="B237" s="17"/>
      <c r="C237" s="128">
        <v>90</v>
      </c>
      <c r="D237" s="128" t="s">
        <v>339</v>
      </c>
      <c r="E237" s="129" t="s">
        <v>6201</v>
      </c>
      <c r="F237" s="130" t="s">
        <v>6202</v>
      </c>
      <c r="G237" s="131" t="s">
        <v>6145</v>
      </c>
      <c r="H237" s="132">
        <v>5</v>
      </c>
      <c r="I237" s="133"/>
      <c r="J237" s="134">
        <f t="shared" si="40"/>
        <v>0</v>
      </c>
      <c r="K237" s="130" t="s">
        <v>343</v>
      </c>
      <c r="L237" s="17"/>
      <c r="M237" s="135"/>
      <c r="N237" s="136" t="s">
        <v>45</v>
      </c>
      <c r="P237" s="137">
        <f t="shared" si="41"/>
        <v>0</v>
      </c>
      <c r="Q237" s="137">
        <v>0</v>
      </c>
      <c r="R237" s="137">
        <f t="shared" si="42"/>
        <v>0</v>
      </c>
      <c r="S237" s="137">
        <v>0</v>
      </c>
      <c r="T237" s="138">
        <f t="shared" si="43"/>
        <v>0</v>
      </c>
      <c r="X237" s="200"/>
      <c r="AR237" s="139" t="s">
        <v>496</v>
      </c>
      <c r="AT237" s="139" t="s">
        <v>339</v>
      </c>
      <c r="AU237" s="139" t="s">
        <v>90</v>
      </c>
      <c r="AY237" s="2" t="s">
        <v>337</v>
      </c>
      <c r="BE237" s="140">
        <f t="shared" si="44"/>
        <v>0</v>
      </c>
      <c r="BF237" s="140">
        <f t="shared" si="45"/>
        <v>0</v>
      </c>
      <c r="BG237" s="140">
        <f t="shared" si="46"/>
        <v>0</v>
      </c>
      <c r="BH237" s="140">
        <f t="shared" si="47"/>
        <v>0</v>
      </c>
      <c r="BI237" s="140">
        <f t="shared" si="48"/>
        <v>0</v>
      </c>
      <c r="BJ237" s="2" t="s">
        <v>87</v>
      </c>
      <c r="BK237" s="140">
        <f t="shared" si="49"/>
        <v>0</v>
      </c>
      <c r="BL237" s="2" t="s">
        <v>496</v>
      </c>
      <c r="BM237" s="139" t="s">
        <v>1991</v>
      </c>
    </row>
    <row r="238" spans="2:65" s="16" customFormat="1" ht="16.5" customHeight="1" x14ac:dyDescent="0.2">
      <c r="B238" s="17"/>
      <c r="C238" s="128">
        <v>91</v>
      </c>
      <c r="D238" s="128" t="s">
        <v>339</v>
      </c>
      <c r="E238" s="129" t="s">
        <v>6203</v>
      </c>
      <c r="F238" s="130" t="s">
        <v>6204</v>
      </c>
      <c r="G238" s="131" t="s">
        <v>6145</v>
      </c>
      <c r="H238" s="132">
        <v>17</v>
      </c>
      <c r="I238" s="133"/>
      <c r="J238" s="134">
        <f t="shared" si="40"/>
        <v>0</v>
      </c>
      <c r="K238" s="130" t="s">
        <v>343</v>
      </c>
      <c r="L238" s="17"/>
      <c r="M238" s="135"/>
      <c r="N238" s="136" t="s">
        <v>45</v>
      </c>
      <c r="P238" s="137">
        <f t="shared" si="41"/>
        <v>0</v>
      </c>
      <c r="Q238" s="137">
        <v>0</v>
      </c>
      <c r="R238" s="137">
        <f t="shared" si="42"/>
        <v>0</v>
      </c>
      <c r="S238" s="137">
        <v>0</v>
      </c>
      <c r="T238" s="138">
        <f t="shared" si="43"/>
        <v>0</v>
      </c>
      <c r="X238" s="200"/>
      <c r="AR238" s="139" t="s">
        <v>496</v>
      </c>
      <c r="AT238" s="139" t="s">
        <v>339</v>
      </c>
      <c r="AU238" s="139" t="s">
        <v>90</v>
      </c>
      <c r="AY238" s="2" t="s">
        <v>337</v>
      </c>
      <c r="BE238" s="140">
        <f t="shared" si="44"/>
        <v>0</v>
      </c>
      <c r="BF238" s="140">
        <f t="shared" si="45"/>
        <v>0</v>
      </c>
      <c r="BG238" s="140">
        <f t="shared" si="46"/>
        <v>0</v>
      </c>
      <c r="BH238" s="140">
        <f t="shared" si="47"/>
        <v>0</v>
      </c>
      <c r="BI238" s="140">
        <f t="shared" si="48"/>
        <v>0</v>
      </c>
      <c r="BJ238" s="2" t="s">
        <v>87</v>
      </c>
      <c r="BK238" s="140">
        <f t="shared" si="49"/>
        <v>0</v>
      </c>
      <c r="BL238" s="2" t="s">
        <v>496</v>
      </c>
      <c r="BM238" s="139" t="s">
        <v>2000</v>
      </c>
    </row>
    <row r="239" spans="2:65" s="16" customFormat="1" ht="16.5" customHeight="1" x14ac:dyDescent="0.2">
      <c r="B239" s="17"/>
      <c r="C239" s="128">
        <v>92</v>
      </c>
      <c r="D239" s="128" t="s">
        <v>339</v>
      </c>
      <c r="E239" s="129" t="s">
        <v>6205</v>
      </c>
      <c r="F239" s="130" t="s">
        <v>6206</v>
      </c>
      <c r="G239" s="131" t="s">
        <v>6145</v>
      </c>
      <c r="H239" s="132">
        <v>80</v>
      </c>
      <c r="I239" s="133"/>
      <c r="J239" s="134">
        <f t="shared" si="40"/>
        <v>0</v>
      </c>
      <c r="K239" s="130" t="s">
        <v>343</v>
      </c>
      <c r="L239" s="17"/>
      <c r="M239" s="135"/>
      <c r="N239" s="136" t="s">
        <v>45</v>
      </c>
      <c r="P239" s="137">
        <f t="shared" si="41"/>
        <v>0</v>
      </c>
      <c r="Q239" s="137">
        <v>0</v>
      </c>
      <c r="R239" s="137">
        <f t="shared" si="42"/>
        <v>0</v>
      </c>
      <c r="S239" s="137">
        <v>0</v>
      </c>
      <c r="T239" s="138">
        <f t="shared" si="43"/>
        <v>0</v>
      </c>
      <c r="X239" s="200"/>
      <c r="AR239" s="139" t="s">
        <v>496</v>
      </c>
      <c r="AT239" s="139" t="s">
        <v>339</v>
      </c>
      <c r="AU239" s="139" t="s">
        <v>90</v>
      </c>
      <c r="AY239" s="2" t="s">
        <v>337</v>
      </c>
      <c r="BE239" s="140">
        <f t="shared" si="44"/>
        <v>0</v>
      </c>
      <c r="BF239" s="140">
        <f t="shared" si="45"/>
        <v>0</v>
      </c>
      <c r="BG239" s="140">
        <f t="shared" si="46"/>
        <v>0</v>
      </c>
      <c r="BH239" s="140">
        <f t="shared" si="47"/>
        <v>0</v>
      </c>
      <c r="BI239" s="140">
        <f t="shared" si="48"/>
        <v>0</v>
      </c>
      <c r="BJ239" s="2" t="s">
        <v>87</v>
      </c>
      <c r="BK239" s="140">
        <f t="shared" si="49"/>
        <v>0</v>
      </c>
      <c r="BL239" s="2" t="s">
        <v>496</v>
      </c>
      <c r="BM239" s="139" t="s">
        <v>2038</v>
      </c>
    </row>
    <row r="240" spans="2:65" s="16" customFormat="1" ht="16.5" customHeight="1" x14ac:dyDescent="0.2">
      <c r="B240" s="17"/>
      <c r="C240" s="128">
        <v>93</v>
      </c>
      <c r="D240" s="128" t="s">
        <v>339</v>
      </c>
      <c r="E240" s="129" t="s">
        <v>6207</v>
      </c>
      <c r="F240" s="130" t="s">
        <v>6208</v>
      </c>
      <c r="G240" s="131" t="s">
        <v>449</v>
      </c>
      <c r="H240" s="132">
        <v>92</v>
      </c>
      <c r="I240" s="133"/>
      <c r="J240" s="134">
        <f t="shared" si="40"/>
        <v>0</v>
      </c>
      <c r="K240" s="130" t="s">
        <v>343</v>
      </c>
      <c r="L240" s="17"/>
      <c r="M240" s="135"/>
      <c r="N240" s="136" t="s">
        <v>45</v>
      </c>
      <c r="P240" s="137">
        <f t="shared" si="41"/>
        <v>0</v>
      </c>
      <c r="Q240" s="137">
        <v>0</v>
      </c>
      <c r="R240" s="137">
        <f t="shared" si="42"/>
        <v>0</v>
      </c>
      <c r="S240" s="137">
        <v>0</v>
      </c>
      <c r="T240" s="138">
        <f t="shared" si="43"/>
        <v>0</v>
      </c>
      <c r="X240" s="200"/>
      <c r="AR240" s="139" t="s">
        <v>496</v>
      </c>
      <c r="AT240" s="139" t="s">
        <v>339</v>
      </c>
      <c r="AU240" s="139" t="s">
        <v>90</v>
      </c>
      <c r="AY240" s="2" t="s">
        <v>337</v>
      </c>
      <c r="BE240" s="140">
        <f t="shared" si="44"/>
        <v>0</v>
      </c>
      <c r="BF240" s="140">
        <f t="shared" si="45"/>
        <v>0</v>
      </c>
      <c r="BG240" s="140">
        <f t="shared" si="46"/>
        <v>0</v>
      </c>
      <c r="BH240" s="140">
        <f t="shared" si="47"/>
        <v>0</v>
      </c>
      <c r="BI240" s="140">
        <f t="shared" si="48"/>
        <v>0</v>
      </c>
      <c r="BJ240" s="2" t="s">
        <v>87</v>
      </c>
      <c r="BK240" s="140">
        <f t="shared" si="49"/>
        <v>0</v>
      </c>
      <c r="BL240" s="2" t="s">
        <v>496</v>
      </c>
      <c r="BM240" s="139" t="s">
        <v>2049</v>
      </c>
    </row>
    <row r="241" spans="2:65" s="116" customFormat="1" ht="22.9" customHeight="1" x14ac:dyDescent="0.2">
      <c r="B241" s="117"/>
      <c r="D241" s="118" t="s">
        <v>79</v>
      </c>
      <c r="E241" s="126" t="s">
        <v>6209</v>
      </c>
      <c r="F241" s="126" t="s">
        <v>6210</v>
      </c>
      <c r="J241" s="127">
        <f>BK241</f>
        <v>0</v>
      </c>
      <c r="L241" s="117"/>
      <c r="M241" s="121"/>
      <c r="P241" s="122">
        <f>SUM(P242:P282)</f>
        <v>0</v>
      </c>
      <c r="R241" s="122">
        <f>SUM(R242:R282)</f>
        <v>0</v>
      </c>
      <c r="T241" s="123">
        <f>SUM(T242:T282)</f>
        <v>0</v>
      </c>
      <c r="X241" s="200"/>
      <c r="AR241" s="118" t="s">
        <v>90</v>
      </c>
      <c r="AT241" s="124" t="s">
        <v>79</v>
      </c>
      <c r="AU241" s="124" t="s">
        <v>87</v>
      </c>
      <c r="AY241" s="118" t="s">
        <v>337</v>
      </c>
      <c r="BK241" s="125">
        <f>SUM(BK242:BK282)</f>
        <v>0</v>
      </c>
    </row>
    <row r="242" spans="2:65" s="16" customFormat="1" ht="16.5" customHeight="1" x14ac:dyDescent="0.2">
      <c r="B242" s="17"/>
      <c r="C242" s="128">
        <v>94</v>
      </c>
      <c r="D242" s="128" t="s">
        <v>339</v>
      </c>
      <c r="E242" s="129" t="s">
        <v>6211</v>
      </c>
      <c r="F242" s="130" t="s">
        <v>6212</v>
      </c>
      <c r="G242" s="131" t="s">
        <v>449</v>
      </c>
      <c r="H242" s="132">
        <v>5</v>
      </c>
      <c r="I242" s="133"/>
      <c r="J242" s="134">
        <f>ROUND(I242*H242,2)</f>
        <v>0</v>
      </c>
      <c r="K242" s="130"/>
      <c r="L242" s="17"/>
      <c r="M242" s="135"/>
      <c r="N242" s="136" t="s">
        <v>45</v>
      </c>
      <c r="P242" s="137">
        <f>O242*H242</f>
        <v>0</v>
      </c>
      <c r="Q242" s="137">
        <v>0</v>
      </c>
      <c r="R242" s="137">
        <f>Q242*H242</f>
        <v>0</v>
      </c>
      <c r="S242" s="137">
        <v>0</v>
      </c>
      <c r="T242" s="138">
        <f>S242*H242</f>
        <v>0</v>
      </c>
      <c r="X242" s="200"/>
      <c r="AR242" s="139" t="s">
        <v>496</v>
      </c>
      <c r="AT242" s="139" t="s">
        <v>339</v>
      </c>
      <c r="AU242" s="139" t="s">
        <v>90</v>
      </c>
      <c r="AY242" s="2" t="s">
        <v>337</v>
      </c>
      <c r="BE242" s="140">
        <f>IF(N242="základní",J242,0)</f>
        <v>0</v>
      </c>
      <c r="BF242" s="140">
        <f>IF(N242="snížená",J242,0)</f>
        <v>0</v>
      </c>
      <c r="BG242" s="140">
        <f>IF(N242="zákl. přenesená",J242,0)</f>
        <v>0</v>
      </c>
      <c r="BH242" s="140">
        <f>IF(N242="sníž. přenesená",J242,0)</f>
        <v>0</v>
      </c>
      <c r="BI242" s="140">
        <f>IF(N242="nulová",J242,0)</f>
        <v>0</v>
      </c>
      <c r="BJ242" s="2" t="s">
        <v>87</v>
      </c>
      <c r="BK242" s="140">
        <f>ROUND(I242*H242,2)</f>
        <v>0</v>
      </c>
      <c r="BL242" s="2" t="s">
        <v>496</v>
      </c>
      <c r="BM242" s="139" t="s">
        <v>6213</v>
      </c>
    </row>
    <row r="243" spans="2:65" s="16" customFormat="1" ht="29.25" x14ac:dyDescent="0.2">
      <c r="B243" s="17"/>
      <c r="D243" s="143" t="s">
        <v>644</v>
      </c>
      <c r="F243" s="179" t="s">
        <v>6214</v>
      </c>
      <c r="L243" s="17"/>
      <c r="M243" s="180"/>
      <c r="T243" s="41"/>
      <c r="X243" s="200"/>
      <c r="AT243" s="2" t="s">
        <v>644</v>
      </c>
      <c r="AU243" s="2" t="s">
        <v>90</v>
      </c>
    </row>
    <row r="244" spans="2:65" s="16" customFormat="1" ht="16.5" customHeight="1" x14ac:dyDescent="0.2">
      <c r="B244" s="17"/>
      <c r="C244" s="128">
        <v>95</v>
      </c>
      <c r="D244" s="128" t="s">
        <v>339</v>
      </c>
      <c r="E244" s="129" t="s">
        <v>6215</v>
      </c>
      <c r="F244" s="130" t="s">
        <v>6216</v>
      </c>
      <c r="G244" s="131" t="s">
        <v>449</v>
      </c>
      <c r="H244" s="132">
        <v>43</v>
      </c>
      <c r="I244" s="133"/>
      <c r="J244" s="134">
        <f t="shared" ref="J244:J258" si="50">ROUND(I244*H244,2)</f>
        <v>0</v>
      </c>
      <c r="K244" s="130"/>
      <c r="L244" s="17"/>
      <c r="M244" s="135"/>
      <c r="N244" s="136" t="s">
        <v>45</v>
      </c>
      <c r="P244" s="137">
        <f t="shared" ref="P244:P258" si="51">O244*H244</f>
        <v>0</v>
      </c>
      <c r="Q244" s="137">
        <v>0</v>
      </c>
      <c r="R244" s="137">
        <f t="shared" ref="R244:R258" si="52">Q244*H244</f>
        <v>0</v>
      </c>
      <c r="S244" s="137">
        <v>0</v>
      </c>
      <c r="T244" s="138">
        <f t="shared" ref="T244:T258" si="53">S244*H244</f>
        <v>0</v>
      </c>
      <c r="X244" s="200"/>
      <c r="AR244" s="139" t="s">
        <v>496</v>
      </c>
      <c r="AT244" s="139" t="s">
        <v>339</v>
      </c>
      <c r="AU244" s="139" t="s">
        <v>90</v>
      </c>
      <c r="AY244" s="2" t="s">
        <v>337</v>
      </c>
      <c r="BE244" s="140">
        <f t="shared" ref="BE244:BE258" si="54">IF(N244="základní",J244,0)</f>
        <v>0</v>
      </c>
      <c r="BF244" s="140">
        <f t="shared" ref="BF244:BF258" si="55">IF(N244="snížená",J244,0)</f>
        <v>0</v>
      </c>
      <c r="BG244" s="140">
        <f t="shared" ref="BG244:BG258" si="56">IF(N244="zákl. přenesená",J244,0)</f>
        <v>0</v>
      </c>
      <c r="BH244" s="140">
        <f t="shared" ref="BH244:BH258" si="57">IF(N244="sníž. přenesená",J244,0)</f>
        <v>0</v>
      </c>
      <c r="BI244" s="140">
        <f t="shared" ref="BI244:BI258" si="58">IF(N244="nulová",J244,0)</f>
        <v>0</v>
      </c>
      <c r="BJ244" s="2" t="s">
        <v>87</v>
      </c>
      <c r="BK244" s="140">
        <f t="shared" ref="BK244:BK258" si="59">ROUND(I244*H244,2)</f>
        <v>0</v>
      </c>
      <c r="BL244" s="2" t="s">
        <v>496</v>
      </c>
      <c r="BM244" s="139" t="s">
        <v>6217</v>
      </c>
    </row>
    <row r="245" spans="2:65" s="16" customFormat="1" ht="16.5" customHeight="1" x14ac:dyDescent="0.2">
      <c r="B245" s="17"/>
      <c r="C245" s="128">
        <v>96</v>
      </c>
      <c r="D245" s="128" t="s">
        <v>339</v>
      </c>
      <c r="E245" s="129" t="s">
        <v>6218</v>
      </c>
      <c r="F245" s="130" t="s">
        <v>6219</v>
      </c>
      <c r="G245" s="131" t="s">
        <v>449</v>
      </c>
      <c r="H245" s="132">
        <v>6</v>
      </c>
      <c r="I245" s="133"/>
      <c r="J245" s="134">
        <f t="shared" si="50"/>
        <v>0</v>
      </c>
      <c r="K245" s="130"/>
      <c r="L245" s="17"/>
      <c r="M245" s="135"/>
      <c r="N245" s="136" t="s">
        <v>45</v>
      </c>
      <c r="P245" s="137">
        <f t="shared" si="51"/>
        <v>0</v>
      </c>
      <c r="Q245" s="137">
        <v>0</v>
      </c>
      <c r="R245" s="137">
        <f t="shared" si="52"/>
        <v>0</v>
      </c>
      <c r="S245" s="137">
        <v>0</v>
      </c>
      <c r="T245" s="138">
        <f t="shared" si="53"/>
        <v>0</v>
      </c>
      <c r="X245" s="200"/>
      <c r="AR245" s="139" t="s">
        <v>496</v>
      </c>
      <c r="AT245" s="139" t="s">
        <v>339</v>
      </c>
      <c r="AU245" s="139" t="s">
        <v>90</v>
      </c>
      <c r="AY245" s="2" t="s">
        <v>337</v>
      </c>
      <c r="BE245" s="140">
        <f t="shared" si="54"/>
        <v>0</v>
      </c>
      <c r="BF245" s="140">
        <f t="shared" si="55"/>
        <v>0</v>
      </c>
      <c r="BG245" s="140">
        <f t="shared" si="56"/>
        <v>0</v>
      </c>
      <c r="BH245" s="140">
        <f t="shared" si="57"/>
        <v>0</v>
      </c>
      <c r="BI245" s="140">
        <f t="shared" si="58"/>
        <v>0</v>
      </c>
      <c r="BJ245" s="2" t="s">
        <v>87</v>
      </c>
      <c r="BK245" s="140">
        <f t="shared" si="59"/>
        <v>0</v>
      </c>
      <c r="BL245" s="2" t="s">
        <v>496</v>
      </c>
      <c r="BM245" s="139" t="s">
        <v>6220</v>
      </c>
    </row>
    <row r="246" spans="2:65" s="16" customFormat="1" ht="16.5" customHeight="1" x14ac:dyDescent="0.2">
      <c r="B246" s="17"/>
      <c r="C246" s="128">
        <v>97</v>
      </c>
      <c r="D246" s="128" t="s">
        <v>339</v>
      </c>
      <c r="E246" s="129" t="s">
        <v>6221</v>
      </c>
      <c r="F246" s="130" t="s">
        <v>6222</v>
      </c>
      <c r="G246" s="131" t="s">
        <v>449</v>
      </c>
      <c r="H246" s="132">
        <v>6</v>
      </c>
      <c r="I246" s="133"/>
      <c r="J246" s="134">
        <f t="shared" si="50"/>
        <v>0</v>
      </c>
      <c r="K246" s="130"/>
      <c r="L246" s="17"/>
      <c r="M246" s="135"/>
      <c r="N246" s="136" t="s">
        <v>45</v>
      </c>
      <c r="P246" s="137">
        <f t="shared" si="51"/>
        <v>0</v>
      </c>
      <c r="Q246" s="137">
        <v>0</v>
      </c>
      <c r="R246" s="137">
        <f t="shared" si="52"/>
        <v>0</v>
      </c>
      <c r="S246" s="137">
        <v>0</v>
      </c>
      <c r="T246" s="138">
        <f t="shared" si="53"/>
        <v>0</v>
      </c>
      <c r="X246" s="200"/>
      <c r="AR246" s="139" t="s">
        <v>496</v>
      </c>
      <c r="AT246" s="139" t="s">
        <v>339</v>
      </c>
      <c r="AU246" s="139" t="s">
        <v>90</v>
      </c>
      <c r="AY246" s="2" t="s">
        <v>337</v>
      </c>
      <c r="BE246" s="140">
        <f t="shared" si="54"/>
        <v>0</v>
      </c>
      <c r="BF246" s="140">
        <f t="shared" si="55"/>
        <v>0</v>
      </c>
      <c r="BG246" s="140">
        <f t="shared" si="56"/>
        <v>0</v>
      </c>
      <c r="BH246" s="140">
        <f t="shared" si="57"/>
        <v>0</v>
      </c>
      <c r="BI246" s="140">
        <f t="shared" si="58"/>
        <v>0</v>
      </c>
      <c r="BJ246" s="2" t="s">
        <v>87</v>
      </c>
      <c r="BK246" s="140">
        <f t="shared" si="59"/>
        <v>0</v>
      </c>
      <c r="BL246" s="2" t="s">
        <v>496</v>
      </c>
      <c r="BM246" s="139" t="s">
        <v>6223</v>
      </c>
    </row>
    <row r="247" spans="2:65" s="16" customFormat="1" ht="16.5" customHeight="1" x14ac:dyDescent="0.2">
      <c r="B247" s="17"/>
      <c r="C247" s="128">
        <v>98</v>
      </c>
      <c r="D247" s="128" t="s">
        <v>339</v>
      </c>
      <c r="E247" s="129" t="s">
        <v>6224</v>
      </c>
      <c r="F247" s="130" t="s">
        <v>6225</v>
      </c>
      <c r="G247" s="131" t="s">
        <v>449</v>
      </c>
      <c r="H247" s="132">
        <v>44</v>
      </c>
      <c r="I247" s="133"/>
      <c r="J247" s="134">
        <f t="shared" si="50"/>
        <v>0</v>
      </c>
      <c r="K247" s="130"/>
      <c r="L247" s="17"/>
      <c r="M247" s="135"/>
      <c r="N247" s="136" t="s">
        <v>45</v>
      </c>
      <c r="P247" s="137">
        <f t="shared" si="51"/>
        <v>0</v>
      </c>
      <c r="Q247" s="137">
        <v>0</v>
      </c>
      <c r="R247" s="137">
        <f t="shared" si="52"/>
        <v>0</v>
      </c>
      <c r="S247" s="137">
        <v>0</v>
      </c>
      <c r="T247" s="138">
        <f t="shared" si="53"/>
        <v>0</v>
      </c>
      <c r="X247" s="200"/>
      <c r="AR247" s="139" t="s">
        <v>496</v>
      </c>
      <c r="AT247" s="139" t="s">
        <v>339</v>
      </c>
      <c r="AU247" s="139" t="s">
        <v>90</v>
      </c>
      <c r="AY247" s="2" t="s">
        <v>337</v>
      </c>
      <c r="BE247" s="140">
        <f t="shared" si="54"/>
        <v>0</v>
      </c>
      <c r="BF247" s="140">
        <f t="shared" si="55"/>
        <v>0</v>
      </c>
      <c r="BG247" s="140">
        <f t="shared" si="56"/>
        <v>0</v>
      </c>
      <c r="BH247" s="140">
        <f t="shared" si="57"/>
        <v>0</v>
      </c>
      <c r="BI247" s="140">
        <f t="shared" si="58"/>
        <v>0</v>
      </c>
      <c r="BJ247" s="2" t="s">
        <v>87</v>
      </c>
      <c r="BK247" s="140">
        <f t="shared" si="59"/>
        <v>0</v>
      </c>
      <c r="BL247" s="2" t="s">
        <v>496</v>
      </c>
      <c r="BM247" s="139" t="s">
        <v>6226</v>
      </c>
    </row>
    <row r="248" spans="2:65" s="16" customFormat="1" ht="16.5" customHeight="1" x14ac:dyDescent="0.2">
      <c r="B248" s="17"/>
      <c r="C248" s="128">
        <v>99</v>
      </c>
      <c r="D248" s="128" t="s">
        <v>339</v>
      </c>
      <c r="E248" s="129" t="s">
        <v>6227</v>
      </c>
      <c r="F248" s="130" t="s">
        <v>6228</v>
      </c>
      <c r="G248" s="131" t="s">
        <v>449</v>
      </c>
      <c r="H248" s="132">
        <v>38</v>
      </c>
      <c r="I248" s="133"/>
      <c r="J248" s="134">
        <f t="shared" si="50"/>
        <v>0</v>
      </c>
      <c r="K248" s="130"/>
      <c r="L248" s="17"/>
      <c r="M248" s="135"/>
      <c r="N248" s="136" t="s">
        <v>45</v>
      </c>
      <c r="P248" s="137">
        <f t="shared" si="51"/>
        <v>0</v>
      </c>
      <c r="Q248" s="137">
        <v>0</v>
      </c>
      <c r="R248" s="137">
        <f t="shared" si="52"/>
        <v>0</v>
      </c>
      <c r="S248" s="137">
        <v>0</v>
      </c>
      <c r="T248" s="138">
        <f t="shared" si="53"/>
        <v>0</v>
      </c>
      <c r="X248" s="200"/>
      <c r="AR248" s="139" t="s">
        <v>496</v>
      </c>
      <c r="AT248" s="139" t="s">
        <v>339</v>
      </c>
      <c r="AU248" s="139" t="s">
        <v>90</v>
      </c>
      <c r="AY248" s="2" t="s">
        <v>337</v>
      </c>
      <c r="BE248" s="140">
        <f t="shared" si="54"/>
        <v>0</v>
      </c>
      <c r="BF248" s="140">
        <f t="shared" si="55"/>
        <v>0</v>
      </c>
      <c r="BG248" s="140">
        <f t="shared" si="56"/>
        <v>0</v>
      </c>
      <c r="BH248" s="140">
        <f t="shared" si="57"/>
        <v>0</v>
      </c>
      <c r="BI248" s="140">
        <f t="shared" si="58"/>
        <v>0</v>
      </c>
      <c r="BJ248" s="2" t="s">
        <v>87</v>
      </c>
      <c r="BK248" s="140">
        <f t="shared" si="59"/>
        <v>0</v>
      </c>
      <c r="BL248" s="2" t="s">
        <v>496</v>
      </c>
      <c r="BM248" s="139" t="s">
        <v>6229</v>
      </c>
    </row>
    <row r="249" spans="2:65" s="16" customFormat="1" ht="16.5" customHeight="1" x14ac:dyDescent="0.2">
      <c r="B249" s="17"/>
      <c r="C249" s="128">
        <v>100</v>
      </c>
      <c r="D249" s="128" t="s">
        <v>339</v>
      </c>
      <c r="E249" s="129" t="s">
        <v>6230</v>
      </c>
      <c r="F249" s="130" t="s">
        <v>6231</v>
      </c>
      <c r="G249" s="131" t="s">
        <v>449</v>
      </c>
      <c r="H249" s="132">
        <v>5</v>
      </c>
      <c r="I249" s="133"/>
      <c r="J249" s="134">
        <f t="shared" si="50"/>
        <v>0</v>
      </c>
      <c r="K249" s="130"/>
      <c r="L249" s="17"/>
      <c r="M249" s="135"/>
      <c r="N249" s="136" t="s">
        <v>45</v>
      </c>
      <c r="P249" s="137">
        <f t="shared" si="51"/>
        <v>0</v>
      </c>
      <c r="Q249" s="137">
        <v>0</v>
      </c>
      <c r="R249" s="137">
        <f t="shared" si="52"/>
        <v>0</v>
      </c>
      <c r="S249" s="137">
        <v>0</v>
      </c>
      <c r="T249" s="138">
        <f t="shared" si="53"/>
        <v>0</v>
      </c>
      <c r="X249" s="200"/>
      <c r="AR249" s="139" t="s">
        <v>496</v>
      </c>
      <c r="AT249" s="139" t="s">
        <v>339</v>
      </c>
      <c r="AU249" s="139" t="s">
        <v>90</v>
      </c>
      <c r="AY249" s="2" t="s">
        <v>337</v>
      </c>
      <c r="BE249" s="140">
        <f t="shared" si="54"/>
        <v>0</v>
      </c>
      <c r="BF249" s="140">
        <f t="shared" si="55"/>
        <v>0</v>
      </c>
      <c r="BG249" s="140">
        <f t="shared" si="56"/>
        <v>0</v>
      </c>
      <c r="BH249" s="140">
        <f t="shared" si="57"/>
        <v>0</v>
      </c>
      <c r="BI249" s="140">
        <f t="shared" si="58"/>
        <v>0</v>
      </c>
      <c r="BJ249" s="2" t="s">
        <v>87</v>
      </c>
      <c r="BK249" s="140">
        <f t="shared" si="59"/>
        <v>0</v>
      </c>
      <c r="BL249" s="2" t="s">
        <v>496</v>
      </c>
      <c r="BM249" s="139" t="s">
        <v>6232</v>
      </c>
    </row>
    <row r="250" spans="2:65" s="16" customFormat="1" ht="16.5" customHeight="1" x14ac:dyDescent="0.2">
      <c r="B250" s="17"/>
      <c r="C250" s="128">
        <v>101</v>
      </c>
      <c r="D250" s="128" t="s">
        <v>339</v>
      </c>
      <c r="E250" s="129" t="s">
        <v>6233</v>
      </c>
      <c r="F250" s="130" t="s">
        <v>6234</v>
      </c>
      <c r="G250" s="131" t="s">
        <v>449</v>
      </c>
      <c r="H250" s="132">
        <v>41</v>
      </c>
      <c r="I250" s="133"/>
      <c r="J250" s="134">
        <f t="shared" si="50"/>
        <v>0</v>
      </c>
      <c r="K250" s="130"/>
      <c r="L250" s="17"/>
      <c r="M250" s="135"/>
      <c r="N250" s="136" t="s">
        <v>45</v>
      </c>
      <c r="P250" s="137">
        <f t="shared" si="51"/>
        <v>0</v>
      </c>
      <c r="Q250" s="137">
        <v>0</v>
      </c>
      <c r="R250" s="137">
        <f t="shared" si="52"/>
        <v>0</v>
      </c>
      <c r="S250" s="137">
        <v>0</v>
      </c>
      <c r="T250" s="138">
        <f t="shared" si="53"/>
        <v>0</v>
      </c>
      <c r="X250" s="200"/>
      <c r="AR250" s="139" t="s">
        <v>496</v>
      </c>
      <c r="AT250" s="139" t="s">
        <v>339</v>
      </c>
      <c r="AU250" s="139" t="s">
        <v>90</v>
      </c>
      <c r="AY250" s="2" t="s">
        <v>337</v>
      </c>
      <c r="BE250" s="140">
        <f t="shared" si="54"/>
        <v>0</v>
      </c>
      <c r="BF250" s="140">
        <f t="shared" si="55"/>
        <v>0</v>
      </c>
      <c r="BG250" s="140">
        <f t="shared" si="56"/>
        <v>0</v>
      </c>
      <c r="BH250" s="140">
        <f t="shared" si="57"/>
        <v>0</v>
      </c>
      <c r="BI250" s="140">
        <f t="shared" si="58"/>
        <v>0</v>
      </c>
      <c r="BJ250" s="2" t="s">
        <v>87</v>
      </c>
      <c r="BK250" s="140">
        <f t="shared" si="59"/>
        <v>0</v>
      </c>
      <c r="BL250" s="2" t="s">
        <v>496</v>
      </c>
      <c r="BM250" s="139" t="s">
        <v>6235</v>
      </c>
    </row>
    <row r="251" spans="2:65" s="16" customFormat="1" ht="16.5" customHeight="1" x14ac:dyDescent="0.2">
      <c r="B251" s="17"/>
      <c r="C251" s="128">
        <v>102</v>
      </c>
      <c r="D251" s="128" t="s">
        <v>339</v>
      </c>
      <c r="E251" s="129" t="s">
        <v>6236</v>
      </c>
      <c r="F251" s="130" t="s">
        <v>6237</v>
      </c>
      <c r="G251" s="131" t="s">
        <v>449</v>
      </c>
      <c r="H251" s="132">
        <v>36</v>
      </c>
      <c r="I251" s="133"/>
      <c r="J251" s="134">
        <f t="shared" si="50"/>
        <v>0</v>
      </c>
      <c r="K251" s="130"/>
      <c r="L251" s="17"/>
      <c r="M251" s="135"/>
      <c r="N251" s="136" t="s">
        <v>45</v>
      </c>
      <c r="P251" s="137">
        <f t="shared" si="51"/>
        <v>0</v>
      </c>
      <c r="Q251" s="137">
        <v>0</v>
      </c>
      <c r="R251" s="137">
        <f t="shared" si="52"/>
        <v>0</v>
      </c>
      <c r="S251" s="137">
        <v>0</v>
      </c>
      <c r="T251" s="138">
        <f t="shared" si="53"/>
        <v>0</v>
      </c>
      <c r="X251" s="200"/>
      <c r="AR251" s="139" t="s">
        <v>496</v>
      </c>
      <c r="AT251" s="139" t="s">
        <v>339</v>
      </c>
      <c r="AU251" s="139" t="s">
        <v>90</v>
      </c>
      <c r="AY251" s="2" t="s">
        <v>337</v>
      </c>
      <c r="BE251" s="140">
        <f t="shared" si="54"/>
        <v>0</v>
      </c>
      <c r="BF251" s="140">
        <f t="shared" si="55"/>
        <v>0</v>
      </c>
      <c r="BG251" s="140">
        <f t="shared" si="56"/>
        <v>0</v>
      </c>
      <c r="BH251" s="140">
        <f t="shared" si="57"/>
        <v>0</v>
      </c>
      <c r="BI251" s="140">
        <f t="shared" si="58"/>
        <v>0</v>
      </c>
      <c r="BJ251" s="2" t="s">
        <v>87</v>
      </c>
      <c r="BK251" s="140">
        <f t="shared" si="59"/>
        <v>0</v>
      </c>
      <c r="BL251" s="2" t="s">
        <v>496</v>
      </c>
      <c r="BM251" s="139" t="s">
        <v>6238</v>
      </c>
    </row>
    <row r="252" spans="2:65" s="16" customFormat="1" ht="16.5" customHeight="1" x14ac:dyDescent="0.2">
      <c r="B252" s="17"/>
      <c r="C252" s="128">
        <v>103</v>
      </c>
      <c r="D252" s="128" t="s">
        <v>339</v>
      </c>
      <c r="E252" s="129" t="s">
        <v>6239</v>
      </c>
      <c r="F252" s="130" t="s">
        <v>6240</v>
      </c>
      <c r="G252" s="131" t="s">
        <v>449</v>
      </c>
      <c r="H252" s="132">
        <v>85</v>
      </c>
      <c r="I252" s="133"/>
      <c r="J252" s="134">
        <f t="shared" si="50"/>
        <v>0</v>
      </c>
      <c r="K252" s="130"/>
      <c r="L252" s="17"/>
      <c r="M252" s="135"/>
      <c r="N252" s="136" t="s">
        <v>45</v>
      </c>
      <c r="P252" s="137">
        <f t="shared" si="51"/>
        <v>0</v>
      </c>
      <c r="Q252" s="137">
        <v>0</v>
      </c>
      <c r="R252" s="137">
        <f t="shared" si="52"/>
        <v>0</v>
      </c>
      <c r="S252" s="137">
        <v>0</v>
      </c>
      <c r="T252" s="138">
        <f t="shared" si="53"/>
        <v>0</v>
      </c>
      <c r="X252" s="200"/>
      <c r="AR252" s="139" t="s">
        <v>496</v>
      </c>
      <c r="AT252" s="139" t="s">
        <v>339</v>
      </c>
      <c r="AU252" s="139" t="s">
        <v>90</v>
      </c>
      <c r="AY252" s="2" t="s">
        <v>337</v>
      </c>
      <c r="BE252" s="140">
        <f t="shared" si="54"/>
        <v>0</v>
      </c>
      <c r="BF252" s="140">
        <f t="shared" si="55"/>
        <v>0</v>
      </c>
      <c r="BG252" s="140">
        <f t="shared" si="56"/>
        <v>0</v>
      </c>
      <c r="BH252" s="140">
        <f t="shared" si="57"/>
        <v>0</v>
      </c>
      <c r="BI252" s="140">
        <f t="shared" si="58"/>
        <v>0</v>
      </c>
      <c r="BJ252" s="2" t="s">
        <v>87</v>
      </c>
      <c r="BK252" s="140">
        <f t="shared" si="59"/>
        <v>0</v>
      </c>
      <c r="BL252" s="2" t="s">
        <v>496</v>
      </c>
      <c r="BM252" s="139" t="s">
        <v>6241</v>
      </c>
    </row>
    <row r="253" spans="2:65" s="16" customFormat="1" ht="16.5" customHeight="1" x14ac:dyDescent="0.2">
      <c r="B253" s="17"/>
      <c r="C253" s="128">
        <v>104</v>
      </c>
      <c r="D253" s="128" t="s">
        <v>339</v>
      </c>
      <c r="E253" s="129" t="s">
        <v>6242</v>
      </c>
      <c r="F253" s="130" t="s">
        <v>6243</v>
      </c>
      <c r="G253" s="131" t="s">
        <v>449</v>
      </c>
      <c r="H253" s="132">
        <v>7</v>
      </c>
      <c r="I253" s="133"/>
      <c r="J253" s="134">
        <f t="shared" si="50"/>
        <v>0</v>
      </c>
      <c r="K253" s="130"/>
      <c r="L253" s="17"/>
      <c r="M253" s="135"/>
      <c r="N253" s="136" t="s">
        <v>45</v>
      </c>
      <c r="P253" s="137">
        <f t="shared" si="51"/>
        <v>0</v>
      </c>
      <c r="Q253" s="137">
        <v>0</v>
      </c>
      <c r="R253" s="137">
        <f t="shared" si="52"/>
        <v>0</v>
      </c>
      <c r="S253" s="137">
        <v>0</v>
      </c>
      <c r="T253" s="138">
        <f t="shared" si="53"/>
        <v>0</v>
      </c>
      <c r="X253" s="200"/>
      <c r="AR253" s="139" t="s">
        <v>496</v>
      </c>
      <c r="AT253" s="139" t="s">
        <v>339</v>
      </c>
      <c r="AU253" s="139" t="s">
        <v>90</v>
      </c>
      <c r="AY253" s="2" t="s">
        <v>337</v>
      </c>
      <c r="BE253" s="140">
        <f t="shared" si="54"/>
        <v>0</v>
      </c>
      <c r="BF253" s="140">
        <f t="shared" si="55"/>
        <v>0</v>
      </c>
      <c r="BG253" s="140">
        <f t="shared" si="56"/>
        <v>0</v>
      </c>
      <c r="BH253" s="140">
        <f t="shared" si="57"/>
        <v>0</v>
      </c>
      <c r="BI253" s="140">
        <f t="shared" si="58"/>
        <v>0</v>
      </c>
      <c r="BJ253" s="2" t="s">
        <v>87</v>
      </c>
      <c r="BK253" s="140">
        <f t="shared" si="59"/>
        <v>0</v>
      </c>
      <c r="BL253" s="2" t="s">
        <v>496</v>
      </c>
      <c r="BM253" s="139" t="s">
        <v>6244</v>
      </c>
    </row>
    <row r="254" spans="2:65" s="16" customFormat="1" ht="16.5" customHeight="1" x14ac:dyDescent="0.2">
      <c r="B254" s="17"/>
      <c r="C254" s="128">
        <v>105</v>
      </c>
      <c r="D254" s="128" t="s">
        <v>339</v>
      </c>
      <c r="E254" s="129" t="s">
        <v>6245</v>
      </c>
      <c r="F254" s="130" t="s">
        <v>6246</v>
      </c>
      <c r="G254" s="131" t="s">
        <v>449</v>
      </c>
      <c r="H254" s="132">
        <v>1</v>
      </c>
      <c r="I254" s="133"/>
      <c r="J254" s="134">
        <f t="shared" si="50"/>
        <v>0</v>
      </c>
      <c r="K254" s="130"/>
      <c r="L254" s="17"/>
      <c r="M254" s="135"/>
      <c r="N254" s="136" t="s">
        <v>45</v>
      </c>
      <c r="P254" s="137">
        <f t="shared" si="51"/>
        <v>0</v>
      </c>
      <c r="Q254" s="137">
        <v>0</v>
      </c>
      <c r="R254" s="137">
        <f t="shared" si="52"/>
        <v>0</v>
      </c>
      <c r="S254" s="137">
        <v>0</v>
      </c>
      <c r="T254" s="138">
        <f t="shared" si="53"/>
        <v>0</v>
      </c>
      <c r="X254" s="200"/>
      <c r="AR254" s="139" t="s">
        <v>496</v>
      </c>
      <c r="AT254" s="139" t="s">
        <v>339</v>
      </c>
      <c r="AU254" s="139" t="s">
        <v>90</v>
      </c>
      <c r="AY254" s="2" t="s">
        <v>337</v>
      </c>
      <c r="BE254" s="140">
        <f t="shared" si="54"/>
        <v>0</v>
      </c>
      <c r="BF254" s="140">
        <f t="shared" si="55"/>
        <v>0</v>
      </c>
      <c r="BG254" s="140">
        <f t="shared" si="56"/>
        <v>0</v>
      </c>
      <c r="BH254" s="140">
        <f t="shared" si="57"/>
        <v>0</v>
      </c>
      <c r="BI254" s="140">
        <f t="shared" si="58"/>
        <v>0</v>
      </c>
      <c r="BJ254" s="2" t="s">
        <v>87</v>
      </c>
      <c r="BK254" s="140">
        <f t="shared" si="59"/>
        <v>0</v>
      </c>
      <c r="BL254" s="2" t="s">
        <v>496</v>
      </c>
      <c r="BM254" s="139" t="s">
        <v>6247</v>
      </c>
    </row>
    <row r="255" spans="2:65" s="16" customFormat="1" ht="16.5" customHeight="1" x14ac:dyDescent="0.2">
      <c r="B255" s="17"/>
      <c r="C255" s="128">
        <v>106</v>
      </c>
      <c r="D255" s="128" t="s">
        <v>339</v>
      </c>
      <c r="E255" s="129" t="s">
        <v>6248</v>
      </c>
      <c r="F255" s="130" t="s">
        <v>6249</v>
      </c>
      <c r="G255" s="131" t="s">
        <v>449</v>
      </c>
      <c r="H255" s="132">
        <v>49</v>
      </c>
      <c r="I255" s="133"/>
      <c r="J255" s="134">
        <f t="shared" si="50"/>
        <v>0</v>
      </c>
      <c r="K255" s="130"/>
      <c r="L255" s="17"/>
      <c r="M255" s="135"/>
      <c r="N255" s="136" t="s">
        <v>45</v>
      </c>
      <c r="P255" s="137">
        <f t="shared" si="51"/>
        <v>0</v>
      </c>
      <c r="Q255" s="137">
        <v>0</v>
      </c>
      <c r="R255" s="137">
        <f t="shared" si="52"/>
        <v>0</v>
      </c>
      <c r="S255" s="137">
        <v>0</v>
      </c>
      <c r="T255" s="138">
        <f t="shared" si="53"/>
        <v>0</v>
      </c>
      <c r="X255" s="200"/>
      <c r="AR255" s="139" t="s">
        <v>496</v>
      </c>
      <c r="AT255" s="139" t="s">
        <v>339</v>
      </c>
      <c r="AU255" s="139" t="s">
        <v>90</v>
      </c>
      <c r="AY255" s="2" t="s">
        <v>337</v>
      </c>
      <c r="BE255" s="140">
        <f t="shared" si="54"/>
        <v>0</v>
      </c>
      <c r="BF255" s="140">
        <f t="shared" si="55"/>
        <v>0</v>
      </c>
      <c r="BG255" s="140">
        <f t="shared" si="56"/>
        <v>0</v>
      </c>
      <c r="BH255" s="140">
        <f t="shared" si="57"/>
        <v>0</v>
      </c>
      <c r="BI255" s="140">
        <f t="shared" si="58"/>
        <v>0</v>
      </c>
      <c r="BJ255" s="2" t="s">
        <v>87</v>
      </c>
      <c r="BK255" s="140">
        <f t="shared" si="59"/>
        <v>0</v>
      </c>
      <c r="BL255" s="2" t="s">
        <v>496</v>
      </c>
      <c r="BM255" s="139" t="s">
        <v>6250</v>
      </c>
    </row>
    <row r="256" spans="2:65" s="16" customFormat="1" ht="16.5" customHeight="1" x14ac:dyDescent="0.2">
      <c r="B256" s="17"/>
      <c r="C256" s="128">
        <v>107</v>
      </c>
      <c r="D256" s="128" t="s">
        <v>339</v>
      </c>
      <c r="E256" s="129" t="s">
        <v>6251</v>
      </c>
      <c r="F256" s="130" t="s">
        <v>6252</v>
      </c>
      <c r="G256" s="131" t="s">
        <v>449</v>
      </c>
      <c r="H256" s="132">
        <v>52</v>
      </c>
      <c r="I256" s="133"/>
      <c r="J256" s="134">
        <f t="shared" si="50"/>
        <v>0</v>
      </c>
      <c r="K256" s="130"/>
      <c r="L256" s="17"/>
      <c r="M256" s="135"/>
      <c r="N256" s="136" t="s">
        <v>45</v>
      </c>
      <c r="P256" s="137">
        <f t="shared" si="51"/>
        <v>0</v>
      </c>
      <c r="Q256" s="137">
        <v>0</v>
      </c>
      <c r="R256" s="137">
        <f t="shared" si="52"/>
        <v>0</v>
      </c>
      <c r="S256" s="137">
        <v>0</v>
      </c>
      <c r="T256" s="138">
        <f t="shared" si="53"/>
        <v>0</v>
      </c>
      <c r="X256" s="200"/>
      <c r="AR256" s="139" t="s">
        <v>496</v>
      </c>
      <c r="AT256" s="139" t="s">
        <v>339</v>
      </c>
      <c r="AU256" s="139" t="s">
        <v>90</v>
      </c>
      <c r="AY256" s="2" t="s">
        <v>337</v>
      </c>
      <c r="BE256" s="140">
        <f t="shared" si="54"/>
        <v>0</v>
      </c>
      <c r="BF256" s="140">
        <f t="shared" si="55"/>
        <v>0</v>
      </c>
      <c r="BG256" s="140">
        <f t="shared" si="56"/>
        <v>0</v>
      </c>
      <c r="BH256" s="140">
        <f t="shared" si="57"/>
        <v>0</v>
      </c>
      <c r="BI256" s="140">
        <f t="shared" si="58"/>
        <v>0</v>
      </c>
      <c r="BJ256" s="2" t="s">
        <v>87</v>
      </c>
      <c r="BK256" s="140">
        <f t="shared" si="59"/>
        <v>0</v>
      </c>
      <c r="BL256" s="2" t="s">
        <v>496</v>
      </c>
      <c r="BM256" s="139" t="s">
        <v>6253</v>
      </c>
    </row>
    <row r="257" spans="2:65" s="16" customFormat="1" ht="16.5" customHeight="1" x14ac:dyDescent="0.2">
      <c r="B257" s="17"/>
      <c r="C257" s="128">
        <v>108</v>
      </c>
      <c r="D257" s="128" t="s">
        <v>339</v>
      </c>
      <c r="E257" s="129" t="s">
        <v>6254</v>
      </c>
      <c r="F257" s="130" t="s">
        <v>6255</v>
      </c>
      <c r="G257" s="131" t="s">
        <v>449</v>
      </c>
      <c r="H257" s="132">
        <v>4</v>
      </c>
      <c r="I257" s="133"/>
      <c r="J257" s="134">
        <f t="shared" si="50"/>
        <v>0</v>
      </c>
      <c r="K257" s="130"/>
      <c r="L257" s="17"/>
      <c r="M257" s="135"/>
      <c r="N257" s="136" t="s">
        <v>45</v>
      </c>
      <c r="P257" s="137">
        <f t="shared" si="51"/>
        <v>0</v>
      </c>
      <c r="Q257" s="137">
        <v>0</v>
      </c>
      <c r="R257" s="137">
        <f t="shared" si="52"/>
        <v>0</v>
      </c>
      <c r="S257" s="137">
        <v>0</v>
      </c>
      <c r="T257" s="138">
        <f t="shared" si="53"/>
        <v>0</v>
      </c>
      <c r="X257" s="200"/>
      <c r="AR257" s="139" t="s">
        <v>496</v>
      </c>
      <c r="AT257" s="139" t="s">
        <v>339</v>
      </c>
      <c r="AU257" s="139" t="s">
        <v>90</v>
      </c>
      <c r="AY257" s="2" t="s">
        <v>337</v>
      </c>
      <c r="BE257" s="140">
        <f t="shared" si="54"/>
        <v>0</v>
      </c>
      <c r="BF257" s="140">
        <f t="shared" si="55"/>
        <v>0</v>
      </c>
      <c r="BG257" s="140">
        <f t="shared" si="56"/>
        <v>0</v>
      </c>
      <c r="BH257" s="140">
        <f t="shared" si="57"/>
        <v>0</v>
      </c>
      <c r="BI257" s="140">
        <f t="shared" si="58"/>
        <v>0</v>
      </c>
      <c r="BJ257" s="2" t="s">
        <v>87</v>
      </c>
      <c r="BK257" s="140">
        <f t="shared" si="59"/>
        <v>0</v>
      </c>
      <c r="BL257" s="2" t="s">
        <v>496</v>
      </c>
      <c r="BM257" s="139" t="s">
        <v>6256</v>
      </c>
    </row>
    <row r="258" spans="2:65" s="16" customFormat="1" ht="16.5" customHeight="1" x14ac:dyDescent="0.2">
      <c r="B258" s="17"/>
      <c r="C258" s="128">
        <v>109</v>
      </c>
      <c r="D258" s="128" t="s">
        <v>339</v>
      </c>
      <c r="E258" s="129" t="s">
        <v>6257</v>
      </c>
      <c r="F258" s="130" t="s">
        <v>6258</v>
      </c>
      <c r="G258" s="131" t="s">
        <v>425</v>
      </c>
      <c r="H258" s="132">
        <v>5.2279999999999998</v>
      </c>
      <c r="I258" s="133"/>
      <c r="J258" s="134">
        <f t="shared" si="50"/>
        <v>0</v>
      </c>
      <c r="K258" s="130"/>
      <c r="L258" s="17"/>
      <c r="M258" s="135"/>
      <c r="N258" s="136" t="s">
        <v>45</v>
      </c>
      <c r="P258" s="137">
        <f t="shared" si="51"/>
        <v>0</v>
      </c>
      <c r="Q258" s="137">
        <v>0</v>
      </c>
      <c r="R258" s="137">
        <f t="shared" si="52"/>
        <v>0</v>
      </c>
      <c r="S258" s="137">
        <v>0</v>
      </c>
      <c r="T258" s="138">
        <f t="shared" si="53"/>
        <v>0</v>
      </c>
      <c r="X258" s="200"/>
      <c r="AR258" s="139" t="s">
        <v>496</v>
      </c>
      <c r="AT258" s="139" t="s">
        <v>339</v>
      </c>
      <c r="AU258" s="139" t="s">
        <v>90</v>
      </c>
      <c r="AY258" s="2" t="s">
        <v>337</v>
      </c>
      <c r="BE258" s="140">
        <f t="shared" si="54"/>
        <v>0</v>
      </c>
      <c r="BF258" s="140">
        <f t="shared" si="55"/>
        <v>0</v>
      </c>
      <c r="BG258" s="140">
        <f t="shared" si="56"/>
        <v>0</v>
      </c>
      <c r="BH258" s="140">
        <f t="shared" si="57"/>
        <v>0</v>
      </c>
      <c r="BI258" s="140">
        <f t="shared" si="58"/>
        <v>0</v>
      </c>
      <c r="BJ258" s="2" t="s">
        <v>87</v>
      </c>
      <c r="BK258" s="140">
        <f t="shared" si="59"/>
        <v>0</v>
      </c>
      <c r="BL258" s="2" t="s">
        <v>496</v>
      </c>
      <c r="BM258" s="139" t="s">
        <v>6259</v>
      </c>
    </row>
    <row r="259" spans="2:65" s="141" customFormat="1" x14ac:dyDescent="0.2">
      <c r="B259" s="142"/>
      <c r="D259" s="143" t="s">
        <v>346</v>
      </c>
      <c r="E259" s="144"/>
      <c r="F259" s="145" t="s">
        <v>6260</v>
      </c>
      <c r="H259" s="144" t="s">
        <v>9240</v>
      </c>
      <c r="L259" s="142"/>
      <c r="M259" s="146"/>
      <c r="T259" s="147"/>
      <c r="X259" s="200"/>
      <c r="AT259" s="144" t="s">
        <v>346</v>
      </c>
      <c r="AU259" s="144" t="s">
        <v>90</v>
      </c>
      <c r="AV259" s="141" t="s">
        <v>87</v>
      </c>
      <c r="AW259" s="141" t="s">
        <v>33</v>
      </c>
      <c r="AX259" s="141" t="s">
        <v>80</v>
      </c>
      <c r="AY259" s="144" t="s">
        <v>337</v>
      </c>
    </row>
    <row r="260" spans="2:65" s="148" customFormat="1" x14ac:dyDescent="0.2">
      <c r="B260" s="149"/>
      <c r="D260" s="143" t="s">
        <v>346</v>
      </c>
      <c r="E260" s="150"/>
      <c r="F260" s="151" t="s">
        <v>6261</v>
      </c>
      <c r="H260" s="152">
        <v>5.2279999999999998</v>
      </c>
      <c r="L260" s="149"/>
      <c r="M260" s="153"/>
      <c r="T260" s="154"/>
      <c r="X260" s="200"/>
      <c r="AT260" s="150" t="s">
        <v>346</v>
      </c>
      <c r="AU260" s="150" t="s">
        <v>90</v>
      </c>
      <c r="AV260" s="148" t="s">
        <v>90</v>
      </c>
      <c r="AW260" s="148" t="s">
        <v>33</v>
      </c>
      <c r="AX260" s="148" t="s">
        <v>87</v>
      </c>
      <c r="AY260" s="150" t="s">
        <v>337</v>
      </c>
    </row>
    <row r="261" spans="2:65" s="16" customFormat="1" ht="16.5" customHeight="1" x14ac:dyDescent="0.2">
      <c r="B261" s="17"/>
      <c r="C261" s="128">
        <v>110</v>
      </c>
      <c r="D261" s="128" t="s">
        <v>339</v>
      </c>
      <c r="E261" s="129" t="s">
        <v>6262</v>
      </c>
      <c r="F261" s="130" t="s">
        <v>6263</v>
      </c>
      <c r="G261" s="131" t="s">
        <v>449</v>
      </c>
      <c r="H261" s="132">
        <v>2</v>
      </c>
      <c r="I261" s="133"/>
      <c r="J261" s="134">
        <f>ROUND(I261*H261,2)</f>
        <v>0</v>
      </c>
      <c r="K261" s="130"/>
      <c r="L261" s="17"/>
      <c r="M261" s="135"/>
      <c r="N261" s="136" t="s">
        <v>45</v>
      </c>
      <c r="P261" s="137">
        <f>O261*H261</f>
        <v>0</v>
      </c>
      <c r="Q261" s="137">
        <v>0</v>
      </c>
      <c r="R261" s="137">
        <f>Q261*H261</f>
        <v>0</v>
      </c>
      <c r="S261" s="137">
        <v>0</v>
      </c>
      <c r="T261" s="138">
        <f>S261*H261</f>
        <v>0</v>
      </c>
      <c r="X261" s="200"/>
      <c r="AR261" s="139" t="s">
        <v>496</v>
      </c>
      <c r="AT261" s="139" t="s">
        <v>339</v>
      </c>
      <c r="AU261" s="139" t="s">
        <v>90</v>
      </c>
      <c r="AY261" s="2" t="s">
        <v>337</v>
      </c>
      <c r="BE261" s="140">
        <f>IF(N261="základní",J261,0)</f>
        <v>0</v>
      </c>
      <c r="BF261" s="140">
        <f>IF(N261="snížená",J261,0)</f>
        <v>0</v>
      </c>
      <c r="BG261" s="140">
        <f>IF(N261="zákl. přenesená",J261,0)</f>
        <v>0</v>
      </c>
      <c r="BH261" s="140">
        <f>IF(N261="sníž. přenesená",J261,0)</f>
        <v>0</v>
      </c>
      <c r="BI261" s="140">
        <f>IF(N261="nulová",J261,0)</f>
        <v>0</v>
      </c>
      <c r="BJ261" s="2" t="s">
        <v>87</v>
      </c>
      <c r="BK261" s="140">
        <f>ROUND(I261*H261,2)</f>
        <v>0</v>
      </c>
      <c r="BL261" s="2" t="s">
        <v>496</v>
      </c>
      <c r="BM261" s="139" t="s">
        <v>6264</v>
      </c>
    </row>
    <row r="262" spans="2:65" s="141" customFormat="1" x14ac:dyDescent="0.2">
      <c r="B262" s="142"/>
      <c r="D262" s="143" t="s">
        <v>346</v>
      </c>
      <c r="E262" s="144"/>
      <c r="F262" s="145" t="s">
        <v>6260</v>
      </c>
      <c r="H262" s="144" t="s">
        <v>9240</v>
      </c>
      <c r="L262" s="142"/>
      <c r="M262" s="146"/>
      <c r="T262" s="147"/>
      <c r="X262" s="200"/>
      <c r="AT262" s="144" t="s">
        <v>346</v>
      </c>
      <c r="AU262" s="144" t="s">
        <v>90</v>
      </c>
      <c r="AV262" s="141" t="s">
        <v>87</v>
      </c>
      <c r="AW262" s="141" t="s">
        <v>33</v>
      </c>
      <c r="AX262" s="141" t="s">
        <v>80</v>
      </c>
      <c r="AY262" s="144" t="s">
        <v>337</v>
      </c>
    </row>
    <row r="263" spans="2:65" s="148" customFormat="1" x14ac:dyDescent="0.2">
      <c r="B263" s="149"/>
      <c r="D263" s="143" t="s">
        <v>346</v>
      </c>
      <c r="E263" s="150"/>
      <c r="F263" s="151" t="s">
        <v>90</v>
      </c>
      <c r="H263" s="152">
        <v>2</v>
      </c>
      <c r="L263" s="149"/>
      <c r="M263" s="153"/>
      <c r="T263" s="154"/>
      <c r="X263" s="200"/>
      <c r="AT263" s="150" t="s">
        <v>346</v>
      </c>
      <c r="AU263" s="150" t="s">
        <v>90</v>
      </c>
      <c r="AV263" s="148" t="s">
        <v>90</v>
      </c>
      <c r="AW263" s="148" t="s">
        <v>33</v>
      </c>
      <c r="AX263" s="148" t="s">
        <v>87</v>
      </c>
      <c r="AY263" s="150" t="s">
        <v>337</v>
      </c>
    </row>
    <row r="264" spans="2:65" s="16" customFormat="1" ht="16.5" customHeight="1" x14ac:dyDescent="0.2">
      <c r="B264" s="17"/>
      <c r="C264" s="128">
        <v>111</v>
      </c>
      <c r="D264" s="128" t="s">
        <v>339</v>
      </c>
      <c r="E264" s="129" t="s">
        <v>6265</v>
      </c>
      <c r="F264" s="130" t="s">
        <v>6266</v>
      </c>
      <c r="G264" s="131" t="s">
        <v>449</v>
      </c>
      <c r="H264" s="132">
        <v>47</v>
      </c>
      <c r="I264" s="133"/>
      <c r="J264" s="134">
        <f t="shared" ref="J264:J273" si="60">ROUND(I264*H264,2)</f>
        <v>0</v>
      </c>
      <c r="K264" s="130"/>
      <c r="L264" s="17"/>
      <c r="M264" s="135"/>
      <c r="N264" s="136" t="s">
        <v>45</v>
      </c>
      <c r="P264" s="137">
        <f t="shared" ref="P264:P273" si="61">O264*H264</f>
        <v>0</v>
      </c>
      <c r="Q264" s="137">
        <v>0</v>
      </c>
      <c r="R264" s="137">
        <f t="shared" ref="R264:R273" si="62">Q264*H264</f>
        <v>0</v>
      </c>
      <c r="S264" s="137">
        <v>0</v>
      </c>
      <c r="T264" s="138">
        <f t="shared" ref="T264:T273" si="63">S264*H264</f>
        <v>0</v>
      </c>
      <c r="X264" s="200"/>
      <c r="AR264" s="139" t="s">
        <v>496</v>
      </c>
      <c r="AT264" s="139" t="s">
        <v>339</v>
      </c>
      <c r="AU264" s="139" t="s">
        <v>90</v>
      </c>
      <c r="AY264" s="2" t="s">
        <v>337</v>
      </c>
      <c r="BE264" s="140">
        <f t="shared" ref="BE264:BE273" si="64">IF(N264="základní",J264,0)</f>
        <v>0</v>
      </c>
      <c r="BF264" s="140">
        <f t="shared" ref="BF264:BF273" si="65">IF(N264="snížená",J264,0)</f>
        <v>0</v>
      </c>
      <c r="BG264" s="140">
        <f t="shared" ref="BG264:BG273" si="66">IF(N264="zákl. přenesená",J264,0)</f>
        <v>0</v>
      </c>
      <c r="BH264" s="140">
        <f t="shared" ref="BH264:BH273" si="67">IF(N264="sníž. přenesená",J264,0)</f>
        <v>0</v>
      </c>
      <c r="BI264" s="140">
        <f t="shared" ref="BI264:BI273" si="68">IF(N264="nulová",J264,0)</f>
        <v>0</v>
      </c>
      <c r="BJ264" s="2" t="s">
        <v>87</v>
      </c>
      <c r="BK264" s="140">
        <f t="shared" ref="BK264:BK273" si="69">ROUND(I264*H264,2)</f>
        <v>0</v>
      </c>
      <c r="BL264" s="2" t="s">
        <v>496</v>
      </c>
      <c r="BM264" s="139" t="s">
        <v>6267</v>
      </c>
    </row>
    <row r="265" spans="2:65" s="16" customFormat="1" ht="16.5" customHeight="1" x14ac:dyDescent="0.2">
      <c r="B265" s="17"/>
      <c r="C265" s="128">
        <v>112</v>
      </c>
      <c r="D265" s="128" t="s">
        <v>339</v>
      </c>
      <c r="E265" s="129" t="s">
        <v>6268</v>
      </c>
      <c r="F265" s="130" t="s">
        <v>6269</v>
      </c>
      <c r="G265" s="131" t="s">
        <v>449</v>
      </c>
      <c r="H265" s="132">
        <v>1</v>
      </c>
      <c r="I265" s="133"/>
      <c r="J265" s="134">
        <f t="shared" si="60"/>
        <v>0</v>
      </c>
      <c r="K265" s="130"/>
      <c r="L265" s="17"/>
      <c r="M265" s="135"/>
      <c r="N265" s="136" t="s">
        <v>45</v>
      </c>
      <c r="P265" s="137">
        <f t="shared" si="61"/>
        <v>0</v>
      </c>
      <c r="Q265" s="137">
        <v>0</v>
      </c>
      <c r="R265" s="137">
        <f t="shared" si="62"/>
        <v>0</v>
      </c>
      <c r="S265" s="137">
        <v>0</v>
      </c>
      <c r="T265" s="138">
        <f t="shared" si="63"/>
        <v>0</v>
      </c>
      <c r="X265" s="200"/>
      <c r="AR265" s="139" t="s">
        <v>496</v>
      </c>
      <c r="AT265" s="139" t="s">
        <v>339</v>
      </c>
      <c r="AU265" s="139" t="s">
        <v>90</v>
      </c>
      <c r="AY265" s="2" t="s">
        <v>337</v>
      </c>
      <c r="BE265" s="140">
        <f t="shared" si="64"/>
        <v>0</v>
      </c>
      <c r="BF265" s="140">
        <f t="shared" si="65"/>
        <v>0</v>
      </c>
      <c r="BG265" s="140">
        <f t="shared" si="66"/>
        <v>0</v>
      </c>
      <c r="BH265" s="140">
        <f t="shared" si="67"/>
        <v>0</v>
      </c>
      <c r="BI265" s="140">
        <f t="shared" si="68"/>
        <v>0</v>
      </c>
      <c r="BJ265" s="2" t="s">
        <v>87</v>
      </c>
      <c r="BK265" s="140">
        <f t="shared" si="69"/>
        <v>0</v>
      </c>
      <c r="BL265" s="2" t="s">
        <v>496</v>
      </c>
      <c r="BM265" s="139" t="s">
        <v>6270</v>
      </c>
    </row>
    <row r="266" spans="2:65" s="16" customFormat="1" ht="16.5" customHeight="1" x14ac:dyDescent="0.2">
      <c r="B266" s="17"/>
      <c r="C266" s="128">
        <v>113</v>
      </c>
      <c r="D266" s="128" t="s">
        <v>339</v>
      </c>
      <c r="E266" s="129" t="s">
        <v>6271</v>
      </c>
      <c r="F266" s="130" t="s">
        <v>6272</v>
      </c>
      <c r="G266" s="131" t="s">
        <v>449</v>
      </c>
      <c r="H266" s="132">
        <v>1</v>
      </c>
      <c r="I266" s="133"/>
      <c r="J266" s="134">
        <f t="shared" si="60"/>
        <v>0</v>
      </c>
      <c r="K266" s="130"/>
      <c r="L266" s="17"/>
      <c r="M266" s="135"/>
      <c r="N266" s="136" t="s">
        <v>45</v>
      </c>
      <c r="P266" s="137">
        <f t="shared" si="61"/>
        <v>0</v>
      </c>
      <c r="Q266" s="137">
        <v>0</v>
      </c>
      <c r="R266" s="137">
        <f t="shared" si="62"/>
        <v>0</v>
      </c>
      <c r="S266" s="137">
        <v>0</v>
      </c>
      <c r="T266" s="138">
        <f t="shared" si="63"/>
        <v>0</v>
      </c>
      <c r="X266" s="200"/>
      <c r="AR266" s="139" t="s">
        <v>496</v>
      </c>
      <c r="AT266" s="139" t="s">
        <v>339</v>
      </c>
      <c r="AU266" s="139" t="s">
        <v>90</v>
      </c>
      <c r="AY266" s="2" t="s">
        <v>337</v>
      </c>
      <c r="BE266" s="140">
        <f t="shared" si="64"/>
        <v>0</v>
      </c>
      <c r="BF266" s="140">
        <f t="shared" si="65"/>
        <v>0</v>
      </c>
      <c r="BG266" s="140">
        <f t="shared" si="66"/>
        <v>0</v>
      </c>
      <c r="BH266" s="140">
        <f t="shared" si="67"/>
        <v>0</v>
      </c>
      <c r="BI266" s="140">
        <f t="shared" si="68"/>
        <v>0</v>
      </c>
      <c r="BJ266" s="2" t="s">
        <v>87</v>
      </c>
      <c r="BK266" s="140">
        <f t="shared" si="69"/>
        <v>0</v>
      </c>
      <c r="BL266" s="2" t="s">
        <v>496</v>
      </c>
      <c r="BM266" s="139" t="s">
        <v>6273</v>
      </c>
    </row>
    <row r="267" spans="2:65" s="16" customFormat="1" ht="16.5" customHeight="1" x14ac:dyDescent="0.2">
      <c r="B267" s="17"/>
      <c r="C267" s="128">
        <v>114</v>
      </c>
      <c r="D267" s="128" t="s">
        <v>339</v>
      </c>
      <c r="E267" s="129" t="s">
        <v>6274</v>
      </c>
      <c r="F267" s="130" t="s">
        <v>6275</v>
      </c>
      <c r="G267" s="131" t="s">
        <v>449</v>
      </c>
      <c r="H267" s="132">
        <v>25</v>
      </c>
      <c r="I267" s="133"/>
      <c r="J267" s="134">
        <f t="shared" si="60"/>
        <v>0</v>
      </c>
      <c r="K267" s="130"/>
      <c r="L267" s="17"/>
      <c r="M267" s="135"/>
      <c r="N267" s="136" t="s">
        <v>45</v>
      </c>
      <c r="P267" s="137">
        <f t="shared" si="61"/>
        <v>0</v>
      </c>
      <c r="Q267" s="137">
        <v>0</v>
      </c>
      <c r="R267" s="137">
        <f t="shared" si="62"/>
        <v>0</v>
      </c>
      <c r="S267" s="137">
        <v>0</v>
      </c>
      <c r="T267" s="138">
        <f t="shared" si="63"/>
        <v>0</v>
      </c>
      <c r="X267" s="200"/>
      <c r="AR267" s="139" t="s">
        <v>496</v>
      </c>
      <c r="AT267" s="139" t="s">
        <v>339</v>
      </c>
      <c r="AU267" s="139" t="s">
        <v>90</v>
      </c>
      <c r="AY267" s="2" t="s">
        <v>337</v>
      </c>
      <c r="BE267" s="140">
        <f t="shared" si="64"/>
        <v>0</v>
      </c>
      <c r="BF267" s="140">
        <f t="shared" si="65"/>
        <v>0</v>
      </c>
      <c r="BG267" s="140">
        <f t="shared" si="66"/>
        <v>0</v>
      </c>
      <c r="BH267" s="140">
        <f t="shared" si="67"/>
        <v>0</v>
      </c>
      <c r="BI267" s="140">
        <f t="shared" si="68"/>
        <v>0</v>
      </c>
      <c r="BJ267" s="2" t="s">
        <v>87</v>
      </c>
      <c r="BK267" s="140">
        <f t="shared" si="69"/>
        <v>0</v>
      </c>
      <c r="BL267" s="2" t="s">
        <v>496</v>
      </c>
      <c r="BM267" s="139" t="s">
        <v>6276</v>
      </c>
    </row>
    <row r="268" spans="2:65" s="16" customFormat="1" ht="16.5" customHeight="1" x14ac:dyDescent="0.2">
      <c r="B268" s="17"/>
      <c r="C268" s="128">
        <v>115</v>
      </c>
      <c r="D268" s="128" t="s">
        <v>339</v>
      </c>
      <c r="E268" s="129" t="s">
        <v>6277</v>
      </c>
      <c r="F268" s="130" t="s">
        <v>6278</v>
      </c>
      <c r="G268" s="131" t="s">
        <v>449</v>
      </c>
      <c r="H268" s="132">
        <v>9</v>
      </c>
      <c r="I268" s="133"/>
      <c r="J268" s="134">
        <f t="shared" si="60"/>
        <v>0</v>
      </c>
      <c r="K268" s="130"/>
      <c r="L268" s="17"/>
      <c r="M268" s="135"/>
      <c r="N268" s="136" t="s">
        <v>45</v>
      </c>
      <c r="P268" s="137">
        <f t="shared" si="61"/>
        <v>0</v>
      </c>
      <c r="Q268" s="137">
        <v>0</v>
      </c>
      <c r="R268" s="137">
        <f t="shared" si="62"/>
        <v>0</v>
      </c>
      <c r="S268" s="137">
        <v>0</v>
      </c>
      <c r="T268" s="138">
        <f t="shared" si="63"/>
        <v>0</v>
      </c>
      <c r="X268" s="200"/>
      <c r="AR268" s="139" t="s">
        <v>496</v>
      </c>
      <c r="AT268" s="139" t="s">
        <v>339</v>
      </c>
      <c r="AU268" s="139" t="s">
        <v>90</v>
      </c>
      <c r="AY268" s="2" t="s">
        <v>337</v>
      </c>
      <c r="BE268" s="140">
        <f t="shared" si="64"/>
        <v>0</v>
      </c>
      <c r="BF268" s="140">
        <f t="shared" si="65"/>
        <v>0</v>
      </c>
      <c r="BG268" s="140">
        <f t="shared" si="66"/>
        <v>0</v>
      </c>
      <c r="BH268" s="140">
        <f t="shared" si="67"/>
        <v>0</v>
      </c>
      <c r="BI268" s="140">
        <f t="shared" si="68"/>
        <v>0</v>
      </c>
      <c r="BJ268" s="2" t="s">
        <v>87</v>
      </c>
      <c r="BK268" s="140">
        <f t="shared" si="69"/>
        <v>0</v>
      </c>
      <c r="BL268" s="2" t="s">
        <v>496</v>
      </c>
      <c r="BM268" s="139" t="s">
        <v>6279</v>
      </c>
    </row>
    <row r="269" spans="2:65" s="16" customFormat="1" ht="16.5" customHeight="1" x14ac:dyDescent="0.2">
      <c r="B269" s="17"/>
      <c r="C269" s="128">
        <v>116</v>
      </c>
      <c r="D269" s="128" t="s">
        <v>339</v>
      </c>
      <c r="E269" s="129" t="s">
        <v>6280</v>
      </c>
      <c r="F269" s="130" t="s">
        <v>6281</v>
      </c>
      <c r="G269" s="131" t="s">
        <v>449</v>
      </c>
      <c r="H269" s="132">
        <v>2</v>
      </c>
      <c r="I269" s="133"/>
      <c r="J269" s="134">
        <f t="shared" si="60"/>
        <v>0</v>
      </c>
      <c r="K269" s="130"/>
      <c r="L269" s="17"/>
      <c r="M269" s="135"/>
      <c r="N269" s="136" t="s">
        <v>45</v>
      </c>
      <c r="P269" s="137">
        <f t="shared" si="61"/>
        <v>0</v>
      </c>
      <c r="Q269" s="137">
        <v>0</v>
      </c>
      <c r="R269" s="137">
        <f t="shared" si="62"/>
        <v>0</v>
      </c>
      <c r="S269" s="137">
        <v>0</v>
      </c>
      <c r="T269" s="138">
        <f t="shared" si="63"/>
        <v>0</v>
      </c>
      <c r="X269" s="200"/>
      <c r="AR269" s="139" t="s">
        <v>496</v>
      </c>
      <c r="AT269" s="139" t="s">
        <v>339</v>
      </c>
      <c r="AU269" s="139" t="s">
        <v>90</v>
      </c>
      <c r="AY269" s="2" t="s">
        <v>337</v>
      </c>
      <c r="BE269" s="140">
        <f t="shared" si="64"/>
        <v>0</v>
      </c>
      <c r="BF269" s="140">
        <f t="shared" si="65"/>
        <v>0</v>
      </c>
      <c r="BG269" s="140">
        <f t="shared" si="66"/>
        <v>0</v>
      </c>
      <c r="BH269" s="140">
        <f t="shared" si="67"/>
        <v>0</v>
      </c>
      <c r="BI269" s="140">
        <f t="shared" si="68"/>
        <v>0</v>
      </c>
      <c r="BJ269" s="2" t="s">
        <v>87</v>
      </c>
      <c r="BK269" s="140">
        <f t="shared" si="69"/>
        <v>0</v>
      </c>
      <c r="BL269" s="2" t="s">
        <v>496</v>
      </c>
      <c r="BM269" s="139" t="s">
        <v>6282</v>
      </c>
    </row>
    <row r="270" spans="2:65" s="16" customFormat="1" ht="16.5" customHeight="1" x14ac:dyDescent="0.2">
      <c r="B270" s="17"/>
      <c r="C270" s="128">
        <v>117</v>
      </c>
      <c r="D270" s="128" t="s">
        <v>339</v>
      </c>
      <c r="E270" s="129" t="s">
        <v>6283</v>
      </c>
      <c r="F270" s="130" t="s">
        <v>6284</v>
      </c>
      <c r="G270" s="131" t="s">
        <v>449</v>
      </c>
      <c r="H270" s="132">
        <v>43</v>
      </c>
      <c r="I270" s="133"/>
      <c r="J270" s="134">
        <f t="shared" si="60"/>
        <v>0</v>
      </c>
      <c r="K270" s="130"/>
      <c r="L270" s="17"/>
      <c r="M270" s="135"/>
      <c r="N270" s="136" t="s">
        <v>45</v>
      </c>
      <c r="P270" s="137">
        <f t="shared" si="61"/>
        <v>0</v>
      </c>
      <c r="Q270" s="137">
        <v>0</v>
      </c>
      <c r="R270" s="137">
        <f t="shared" si="62"/>
        <v>0</v>
      </c>
      <c r="S270" s="137">
        <v>0</v>
      </c>
      <c r="T270" s="138">
        <f t="shared" si="63"/>
        <v>0</v>
      </c>
      <c r="X270" s="200"/>
      <c r="AR270" s="139" t="s">
        <v>496</v>
      </c>
      <c r="AT270" s="139" t="s">
        <v>339</v>
      </c>
      <c r="AU270" s="139" t="s">
        <v>90</v>
      </c>
      <c r="AY270" s="2" t="s">
        <v>337</v>
      </c>
      <c r="BE270" s="140">
        <f t="shared" si="64"/>
        <v>0</v>
      </c>
      <c r="BF270" s="140">
        <f t="shared" si="65"/>
        <v>0</v>
      </c>
      <c r="BG270" s="140">
        <f t="shared" si="66"/>
        <v>0</v>
      </c>
      <c r="BH270" s="140">
        <f t="shared" si="67"/>
        <v>0</v>
      </c>
      <c r="BI270" s="140">
        <f t="shared" si="68"/>
        <v>0</v>
      </c>
      <c r="BJ270" s="2" t="s">
        <v>87</v>
      </c>
      <c r="BK270" s="140">
        <f t="shared" si="69"/>
        <v>0</v>
      </c>
      <c r="BL270" s="2" t="s">
        <v>496</v>
      </c>
      <c r="BM270" s="139" t="s">
        <v>6285</v>
      </c>
    </row>
    <row r="271" spans="2:65" s="16" customFormat="1" ht="24.2" customHeight="1" x14ac:dyDescent="0.2">
      <c r="B271" s="17"/>
      <c r="C271" s="128">
        <v>118</v>
      </c>
      <c r="D271" s="128" t="s">
        <v>339</v>
      </c>
      <c r="E271" s="129" t="s">
        <v>6286</v>
      </c>
      <c r="F271" s="130" t="s">
        <v>6287</v>
      </c>
      <c r="G271" s="131" t="s">
        <v>449</v>
      </c>
      <c r="H271" s="132">
        <v>43</v>
      </c>
      <c r="I271" s="133"/>
      <c r="J271" s="134">
        <f t="shared" si="60"/>
        <v>0</v>
      </c>
      <c r="K271" s="130"/>
      <c r="L271" s="17"/>
      <c r="M271" s="135"/>
      <c r="N271" s="136" t="s">
        <v>45</v>
      </c>
      <c r="P271" s="137">
        <f t="shared" si="61"/>
        <v>0</v>
      </c>
      <c r="Q271" s="137">
        <v>0</v>
      </c>
      <c r="R271" s="137">
        <f t="shared" si="62"/>
        <v>0</v>
      </c>
      <c r="S271" s="137">
        <v>0</v>
      </c>
      <c r="T271" s="138">
        <f t="shared" si="63"/>
        <v>0</v>
      </c>
      <c r="X271" s="200"/>
      <c r="AR271" s="139" t="s">
        <v>496</v>
      </c>
      <c r="AT271" s="139" t="s">
        <v>339</v>
      </c>
      <c r="AU271" s="139" t="s">
        <v>90</v>
      </c>
      <c r="AY271" s="2" t="s">
        <v>337</v>
      </c>
      <c r="BE271" s="140">
        <f t="shared" si="64"/>
        <v>0</v>
      </c>
      <c r="BF271" s="140">
        <f t="shared" si="65"/>
        <v>0</v>
      </c>
      <c r="BG271" s="140">
        <f t="shared" si="66"/>
        <v>0</v>
      </c>
      <c r="BH271" s="140">
        <f t="shared" si="67"/>
        <v>0</v>
      </c>
      <c r="BI271" s="140">
        <f t="shared" si="68"/>
        <v>0</v>
      </c>
      <c r="BJ271" s="2" t="s">
        <v>87</v>
      </c>
      <c r="BK271" s="140">
        <f t="shared" si="69"/>
        <v>0</v>
      </c>
      <c r="BL271" s="2" t="s">
        <v>496</v>
      </c>
      <c r="BM271" s="139" t="s">
        <v>6288</v>
      </c>
    </row>
    <row r="272" spans="2:65" s="16" customFormat="1" ht="16.5" customHeight="1" x14ac:dyDescent="0.2">
      <c r="B272" s="17"/>
      <c r="C272" s="128">
        <v>119</v>
      </c>
      <c r="D272" s="128" t="s">
        <v>339</v>
      </c>
      <c r="E272" s="129" t="s">
        <v>6289</v>
      </c>
      <c r="F272" s="130" t="s">
        <v>6290</v>
      </c>
      <c r="G272" s="131" t="s">
        <v>4749</v>
      </c>
      <c r="H272" s="132">
        <v>4</v>
      </c>
      <c r="I272" s="133"/>
      <c r="J272" s="134">
        <f t="shared" si="60"/>
        <v>0</v>
      </c>
      <c r="K272" s="130"/>
      <c r="L272" s="17"/>
      <c r="M272" s="135"/>
      <c r="N272" s="136" t="s">
        <v>45</v>
      </c>
      <c r="P272" s="137">
        <f t="shared" si="61"/>
        <v>0</v>
      </c>
      <c r="Q272" s="137">
        <v>0</v>
      </c>
      <c r="R272" s="137">
        <f t="shared" si="62"/>
        <v>0</v>
      </c>
      <c r="S272" s="137">
        <v>0</v>
      </c>
      <c r="T272" s="138">
        <f t="shared" si="63"/>
        <v>0</v>
      </c>
      <c r="X272" s="200"/>
      <c r="AR272" s="139" t="s">
        <v>496</v>
      </c>
      <c r="AT272" s="139" t="s">
        <v>339</v>
      </c>
      <c r="AU272" s="139" t="s">
        <v>90</v>
      </c>
      <c r="AY272" s="2" t="s">
        <v>337</v>
      </c>
      <c r="BE272" s="140">
        <f t="shared" si="64"/>
        <v>0</v>
      </c>
      <c r="BF272" s="140">
        <f t="shared" si="65"/>
        <v>0</v>
      </c>
      <c r="BG272" s="140">
        <f t="shared" si="66"/>
        <v>0</v>
      </c>
      <c r="BH272" s="140">
        <f t="shared" si="67"/>
        <v>0</v>
      </c>
      <c r="BI272" s="140">
        <f t="shared" si="68"/>
        <v>0</v>
      </c>
      <c r="BJ272" s="2" t="s">
        <v>87</v>
      </c>
      <c r="BK272" s="140">
        <f t="shared" si="69"/>
        <v>0</v>
      </c>
      <c r="BL272" s="2" t="s">
        <v>496</v>
      </c>
      <c r="BM272" s="139" t="s">
        <v>6291</v>
      </c>
    </row>
    <row r="273" spans="2:65" s="16" customFormat="1" ht="16.5" customHeight="1" x14ac:dyDescent="0.2">
      <c r="B273" s="17"/>
      <c r="C273" s="128">
        <v>120</v>
      </c>
      <c r="D273" s="128" t="s">
        <v>339</v>
      </c>
      <c r="E273" s="129" t="s">
        <v>6292</v>
      </c>
      <c r="F273" s="130" t="s">
        <v>6293</v>
      </c>
      <c r="G273" s="131" t="s">
        <v>449</v>
      </c>
      <c r="H273" s="132">
        <v>8</v>
      </c>
      <c r="I273" s="133"/>
      <c r="J273" s="134">
        <f t="shared" si="60"/>
        <v>0</v>
      </c>
      <c r="K273" s="130"/>
      <c r="L273" s="17"/>
      <c r="M273" s="135"/>
      <c r="N273" s="136" t="s">
        <v>45</v>
      </c>
      <c r="P273" s="137">
        <f t="shared" si="61"/>
        <v>0</v>
      </c>
      <c r="Q273" s="137">
        <v>0</v>
      </c>
      <c r="R273" s="137">
        <f t="shared" si="62"/>
        <v>0</v>
      </c>
      <c r="S273" s="137">
        <v>0</v>
      </c>
      <c r="T273" s="138">
        <f t="shared" si="63"/>
        <v>0</v>
      </c>
      <c r="X273" s="200"/>
      <c r="AR273" s="139" t="s">
        <v>496</v>
      </c>
      <c r="AT273" s="139" t="s">
        <v>339</v>
      </c>
      <c r="AU273" s="139" t="s">
        <v>90</v>
      </c>
      <c r="AY273" s="2" t="s">
        <v>337</v>
      </c>
      <c r="BE273" s="140">
        <f t="shared" si="64"/>
        <v>0</v>
      </c>
      <c r="BF273" s="140">
        <f t="shared" si="65"/>
        <v>0</v>
      </c>
      <c r="BG273" s="140">
        <f t="shared" si="66"/>
        <v>0</v>
      </c>
      <c r="BH273" s="140">
        <f t="shared" si="67"/>
        <v>0</v>
      </c>
      <c r="BI273" s="140">
        <f t="shared" si="68"/>
        <v>0</v>
      </c>
      <c r="BJ273" s="2" t="s">
        <v>87</v>
      </c>
      <c r="BK273" s="140">
        <f t="shared" si="69"/>
        <v>0</v>
      </c>
      <c r="BL273" s="2" t="s">
        <v>496</v>
      </c>
      <c r="BM273" s="139" t="s">
        <v>6294</v>
      </c>
    </row>
    <row r="274" spans="2:65" s="148" customFormat="1" x14ac:dyDescent="0.2">
      <c r="B274" s="149"/>
      <c r="D274" s="143" t="s">
        <v>346</v>
      </c>
      <c r="E274" s="150"/>
      <c r="F274" s="151" t="s">
        <v>6295</v>
      </c>
      <c r="H274" s="152">
        <v>8</v>
      </c>
      <c r="L274" s="149"/>
      <c r="M274" s="153"/>
      <c r="T274" s="154"/>
      <c r="X274" s="200"/>
      <c r="AT274" s="150" t="s">
        <v>346</v>
      </c>
      <c r="AU274" s="150" t="s">
        <v>90</v>
      </c>
      <c r="AV274" s="148" t="s">
        <v>90</v>
      </c>
      <c r="AW274" s="148" t="s">
        <v>33</v>
      </c>
      <c r="AX274" s="148" t="s">
        <v>87</v>
      </c>
      <c r="AY274" s="150" t="s">
        <v>337</v>
      </c>
    </row>
    <row r="275" spans="2:65" s="16" customFormat="1" ht="16.5" customHeight="1" x14ac:dyDescent="0.2">
      <c r="B275" s="17"/>
      <c r="C275" s="128">
        <v>121</v>
      </c>
      <c r="D275" s="128" t="s">
        <v>339</v>
      </c>
      <c r="E275" s="129" t="s">
        <v>6296</v>
      </c>
      <c r="F275" s="130" t="s">
        <v>6297</v>
      </c>
      <c r="G275" s="131" t="s">
        <v>449</v>
      </c>
      <c r="H275" s="132">
        <v>4</v>
      </c>
      <c r="I275" s="133"/>
      <c r="J275" s="134">
        <f>ROUND(I275*H275,2)</f>
        <v>0</v>
      </c>
      <c r="K275" s="130"/>
      <c r="L275" s="17"/>
      <c r="M275" s="135"/>
      <c r="N275" s="136" t="s">
        <v>45</v>
      </c>
      <c r="P275" s="137">
        <f>O275*H275</f>
        <v>0</v>
      </c>
      <c r="Q275" s="137">
        <v>0</v>
      </c>
      <c r="R275" s="137">
        <f>Q275*H275</f>
        <v>0</v>
      </c>
      <c r="S275" s="137">
        <v>0</v>
      </c>
      <c r="T275" s="138">
        <f>S275*H275</f>
        <v>0</v>
      </c>
      <c r="X275" s="200"/>
      <c r="AR275" s="139" t="s">
        <v>496</v>
      </c>
      <c r="AT275" s="139" t="s">
        <v>339</v>
      </c>
      <c r="AU275" s="139" t="s">
        <v>90</v>
      </c>
      <c r="AY275" s="2" t="s">
        <v>337</v>
      </c>
      <c r="BE275" s="140">
        <f>IF(N275="základní",J275,0)</f>
        <v>0</v>
      </c>
      <c r="BF275" s="140">
        <f>IF(N275="snížená",J275,0)</f>
        <v>0</v>
      </c>
      <c r="BG275" s="140">
        <f>IF(N275="zákl. přenesená",J275,0)</f>
        <v>0</v>
      </c>
      <c r="BH275" s="140">
        <f>IF(N275="sníž. přenesená",J275,0)</f>
        <v>0</v>
      </c>
      <c r="BI275" s="140">
        <f>IF(N275="nulová",J275,0)</f>
        <v>0</v>
      </c>
      <c r="BJ275" s="2" t="s">
        <v>87</v>
      </c>
      <c r="BK275" s="140">
        <f>ROUND(I275*H275,2)</f>
        <v>0</v>
      </c>
      <c r="BL275" s="2" t="s">
        <v>496</v>
      </c>
      <c r="BM275" s="139" t="s">
        <v>6298</v>
      </c>
    </row>
    <row r="276" spans="2:65" s="16" customFormat="1" ht="16.5" customHeight="1" x14ac:dyDescent="0.2">
      <c r="B276" s="17"/>
      <c r="C276" s="128">
        <v>122</v>
      </c>
      <c r="D276" s="128" t="s">
        <v>339</v>
      </c>
      <c r="E276" s="129" t="s">
        <v>6299</v>
      </c>
      <c r="F276" s="130" t="s">
        <v>6300</v>
      </c>
      <c r="G276" s="131" t="s">
        <v>449</v>
      </c>
      <c r="H276" s="132">
        <v>6</v>
      </c>
      <c r="I276" s="133"/>
      <c r="J276" s="134">
        <f>ROUND(I276*H276,2)</f>
        <v>0</v>
      </c>
      <c r="K276" s="130"/>
      <c r="L276" s="17"/>
      <c r="M276" s="135"/>
      <c r="N276" s="136" t="s">
        <v>45</v>
      </c>
      <c r="P276" s="137">
        <f>O276*H276</f>
        <v>0</v>
      </c>
      <c r="Q276" s="137">
        <v>0</v>
      </c>
      <c r="R276" s="137">
        <f>Q276*H276</f>
        <v>0</v>
      </c>
      <c r="S276" s="137">
        <v>0</v>
      </c>
      <c r="T276" s="138">
        <f>S276*H276</f>
        <v>0</v>
      </c>
      <c r="X276" s="200"/>
      <c r="AR276" s="139" t="s">
        <v>496</v>
      </c>
      <c r="AT276" s="139" t="s">
        <v>339</v>
      </c>
      <c r="AU276" s="139" t="s">
        <v>90</v>
      </c>
      <c r="AY276" s="2" t="s">
        <v>337</v>
      </c>
      <c r="BE276" s="140">
        <f>IF(N276="základní",J276,0)</f>
        <v>0</v>
      </c>
      <c r="BF276" s="140">
        <f>IF(N276="snížená",J276,0)</f>
        <v>0</v>
      </c>
      <c r="BG276" s="140">
        <f>IF(N276="zákl. přenesená",J276,0)</f>
        <v>0</v>
      </c>
      <c r="BH276" s="140">
        <f>IF(N276="sníž. přenesená",J276,0)</f>
        <v>0</v>
      </c>
      <c r="BI276" s="140">
        <f>IF(N276="nulová",J276,0)</f>
        <v>0</v>
      </c>
      <c r="BJ276" s="2" t="s">
        <v>87</v>
      </c>
      <c r="BK276" s="140">
        <f>ROUND(I276*H276,2)</f>
        <v>0</v>
      </c>
      <c r="BL276" s="2" t="s">
        <v>496</v>
      </c>
      <c r="BM276" s="139" t="s">
        <v>6301</v>
      </c>
    </row>
    <row r="277" spans="2:65" s="148" customFormat="1" x14ac:dyDescent="0.2">
      <c r="B277" s="149"/>
      <c r="D277" s="143" t="s">
        <v>346</v>
      </c>
      <c r="E277" s="150"/>
      <c r="F277" s="151" t="s">
        <v>6302</v>
      </c>
      <c r="H277" s="152">
        <v>6</v>
      </c>
      <c r="L277" s="149"/>
      <c r="M277" s="153"/>
      <c r="T277" s="154"/>
      <c r="X277" s="200"/>
      <c r="AT277" s="150" t="s">
        <v>346</v>
      </c>
      <c r="AU277" s="150" t="s">
        <v>90</v>
      </c>
      <c r="AV277" s="148" t="s">
        <v>90</v>
      </c>
      <c r="AW277" s="148" t="s">
        <v>33</v>
      </c>
      <c r="AX277" s="148" t="s">
        <v>87</v>
      </c>
      <c r="AY277" s="150" t="s">
        <v>337</v>
      </c>
    </row>
    <row r="278" spans="2:65" s="16" customFormat="1" ht="16.5" customHeight="1" x14ac:dyDescent="0.2">
      <c r="B278" s="17"/>
      <c r="C278" s="128">
        <v>123</v>
      </c>
      <c r="D278" s="128" t="s">
        <v>339</v>
      </c>
      <c r="E278" s="129" t="s">
        <v>6303</v>
      </c>
      <c r="F278" s="130" t="s">
        <v>6304</v>
      </c>
      <c r="G278" s="131" t="s">
        <v>449</v>
      </c>
      <c r="H278" s="132">
        <v>4</v>
      </c>
      <c r="I278" s="133"/>
      <c r="J278" s="134">
        <f>ROUND(I278*H278,2)</f>
        <v>0</v>
      </c>
      <c r="K278" s="130"/>
      <c r="L278" s="17"/>
      <c r="M278" s="135"/>
      <c r="N278" s="136" t="s">
        <v>45</v>
      </c>
      <c r="P278" s="137">
        <f>O278*H278</f>
        <v>0</v>
      </c>
      <c r="Q278" s="137">
        <v>0</v>
      </c>
      <c r="R278" s="137">
        <f>Q278*H278</f>
        <v>0</v>
      </c>
      <c r="S278" s="137">
        <v>0</v>
      </c>
      <c r="T278" s="138">
        <f>S278*H278</f>
        <v>0</v>
      </c>
      <c r="X278" s="200"/>
      <c r="AR278" s="139" t="s">
        <v>496</v>
      </c>
      <c r="AT278" s="139" t="s">
        <v>339</v>
      </c>
      <c r="AU278" s="139" t="s">
        <v>90</v>
      </c>
      <c r="AY278" s="2" t="s">
        <v>337</v>
      </c>
      <c r="BE278" s="140">
        <f>IF(N278="základní",J278,0)</f>
        <v>0</v>
      </c>
      <c r="BF278" s="140">
        <f>IF(N278="snížená",J278,0)</f>
        <v>0</v>
      </c>
      <c r="BG278" s="140">
        <f>IF(N278="zákl. přenesená",J278,0)</f>
        <v>0</v>
      </c>
      <c r="BH278" s="140">
        <f>IF(N278="sníž. přenesená",J278,0)</f>
        <v>0</v>
      </c>
      <c r="BI278" s="140">
        <f>IF(N278="nulová",J278,0)</f>
        <v>0</v>
      </c>
      <c r="BJ278" s="2" t="s">
        <v>87</v>
      </c>
      <c r="BK278" s="140">
        <f>ROUND(I278*H278,2)</f>
        <v>0</v>
      </c>
      <c r="BL278" s="2" t="s">
        <v>496</v>
      </c>
      <c r="BM278" s="139" t="s">
        <v>6305</v>
      </c>
    </row>
    <row r="279" spans="2:65" s="16" customFormat="1" ht="16.5" customHeight="1" x14ac:dyDescent="0.2">
      <c r="B279" s="17"/>
      <c r="C279" s="128">
        <v>124</v>
      </c>
      <c r="D279" s="128" t="s">
        <v>339</v>
      </c>
      <c r="E279" s="129" t="s">
        <v>6306</v>
      </c>
      <c r="F279" s="130" t="s">
        <v>6307</v>
      </c>
      <c r="G279" s="131" t="s">
        <v>449</v>
      </c>
      <c r="H279" s="132">
        <v>44</v>
      </c>
      <c r="I279" s="133"/>
      <c r="J279" s="134">
        <f>ROUND(I279*H279,2)</f>
        <v>0</v>
      </c>
      <c r="K279" s="130"/>
      <c r="L279" s="17"/>
      <c r="M279" s="135"/>
      <c r="N279" s="136" t="s">
        <v>45</v>
      </c>
      <c r="P279" s="137">
        <f>O279*H279</f>
        <v>0</v>
      </c>
      <c r="Q279" s="137">
        <v>0</v>
      </c>
      <c r="R279" s="137">
        <f>Q279*H279</f>
        <v>0</v>
      </c>
      <c r="S279" s="137">
        <v>0</v>
      </c>
      <c r="T279" s="138">
        <f>S279*H279</f>
        <v>0</v>
      </c>
      <c r="X279" s="200"/>
      <c r="AR279" s="139" t="s">
        <v>496</v>
      </c>
      <c r="AT279" s="139" t="s">
        <v>339</v>
      </c>
      <c r="AU279" s="139" t="s">
        <v>90</v>
      </c>
      <c r="AY279" s="2" t="s">
        <v>337</v>
      </c>
      <c r="BE279" s="140">
        <f>IF(N279="základní",J279,0)</f>
        <v>0</v>
      </c>
      <c r="BF279" s="140">
        <f>IF(N279="snížená",J279,0)</f>
        <v>0</v>
      </c>
      <c r="BG279" s="140">
        <f>IF(N279="zákl. přenesená",J279,0)</f>
        <v>0</v>
      </c>
      <c r="BH279" s="140">
        <f>IF(N279="sníž. přenesená",J279,0)</f>
        <v>0</v>
      </c>
      <c r="BI279" s="140">
        <f>IF(N279="nulová",J279,0)</f>
        <v>0</v>
      </c>
      <c r="BJ279" s="2" t="s">
        <v>87</v>
      </c>
      <c r="BK279" s="140">
        <f>ROUND(I279*H279,2)</f>
        <v>0</v>
      </c>
      <c r="BL279" s="2" t="s">
        <v>496</v>
      </c>
      <c r="BM279" s="139" t="s">
        <v>6308</v>
      </c>
    </row>
    <row r="280" spans="2:65" s="16" customFormat="1" ht="16.5" customHeight="1" x14ac:dyDescent="0.2">
      <c r="B280" s="17"/>
      <c r="C280" s="128">
        <v>125</v>
      </c>
      <c r="D280" s="128" t="s">
        <v>339</v>
      </c>
      <c r="E280" s="129" t="s">
        <v>6309</v>
      </c>
      <c r="F280" s="130" t="s">
        <v>6310</v>
      </c>
      <c r="G280" s="131" t="s">
        <v>449</v>
      </c>
      <c r="H280" s="132">
        <v>238</v>
      </c>
      <c r="I280" s="133"/>
      <c r="J280" s="134">
        <f>ROUND(I280*H280,2)</f>
        <v>0</v>
      </c>
      <c r="K280" s="130"/>
      <c r="L280" s="17"/>
      <c r="M280" s="135"/>
      <c r="N280" s="136" t="s">
        <v>45</v>
      </c>
      <c r="P280" s="137">
        <f>O280*H280</f>
        <v>0</v>
      </c>
      <c r="Q280" s="137">
        <v>0</v>
      </c>
      <c r="R280" s="137">
        <f>Q280*H280</f>
        <v>0</v>
      </c>
      <c r="S280" s="137">
        <v>0</v>
      </c>
      <c r="T280" s="138">
        <f>S280*H280</f>
        <v>0</v>
      </c>
      <c r="X280" s="200"/>
      <c r="AR280" s="139" t="s">
        <v>496</v>
      </c>
      <c r="AT280" s="139" t="s">
        <v>339</v>
      </c>
      <c r="AU280" s="139" t="s">
        <v>90</v>
      </c>
      <c r="AY280" s="2" t="s">
        <v>337</v>
      </c>
      <c r="BE280" s="140">
        <f>IF(N280="základní",J280,0)</f>
        <v>0</v>
      </c>
      <c r="BF280" s="140">
        <f>IF(N280="snížená",J280,0)</f>
        <v>0</v>
      </c>
      <c r="BG280" s="140">
        <f>IF(N280="zákl. přenesená",J280,0)</f>
        <v>0</v>
      </c>
      <c r="BH280" s="140">
        <f>IF(N280="sníž. přenesená",J280,0)</f>
        <v>0</v>
      </c>
      <c r="BI280" s="140">
        <f>IF(N280="nulová",J280,0)</f>
        <v>0</v>
      </c>
      <c r="BJ280" s="2" t="s">
        <v>87</v>
      </c>
      <c r="BK280" s="140">
        <f>ROUND(I280*H280,2)</f>
        <v>0</v>
      </c>
      <c r="BL280" s="2" t="s">
        <v>496</v>
      </c>
      <c r="BM280" s="139" t="s">
        <v>6311</v>
      </c>
    </row>
    <row r="281" spans="2:65" s="16" customFormat="1" ht="16.5" customHeight="1" x14ac:dyDescent="0.2">
      <c r="B281" s="17"/>
      <c r="C281" s="128">
        <v>126</v>
      </c>
      <c r="D281" s="128" t="s">
        <v>339</v>
      </c>
      <c r="E281" s="129" t="s">
        <v>6312</v>
      </c>
      <c r="F281" s="130" t="s">
        <v>6313</v>
      </c>
      <c r="G281" s="131" t="s">
        <v>449</v>
      </c>
      <c r="H281" s="132">
        <v>199</v>
      </c>
      <c r="I281" s="133"/>
      <c r="J281" s="134">
        <f>ROUND(I281*H281,2)</f>
        <v>0</v>
      </c>
      <c r="K281" s="130"/>
      <c r="L281" s="17"/>
      <c r="M281" s="135"/>
      <c r="N281" s="136" t="s">
        <v>45</v>
      </c>
      <c r="P281" s="137">
        <f>O281*H281</f>
        <v>0</v>
      </c>
      <c r="Q281" s="137">
        <v>0</v>
      </c>
      <c r="R281" s="137">
        <f>Q281*H281</f>
        <v>0</v>
      </c>
      <c r="S281" s="137">
        <v>0</v>
      </c>
      <c r="T281" s="138">
        <f>S281*H281</f>
        <v>0</v>
      </c>
      <c r="X281" s="200"/>
      <c r="AR281" s="139" t="s">
        <v>496</v>
      </c>
      <c r="AT281" s="139" t="s">
        <v>339</v>
      </c>
      <c r="AU281" s="139" t="s">
        <v>90</v>
      </c>
      <c r="AY281" s="2" t="s">
        <v>337</v>
      </c>
      <c r="BE281" s="140">
        <f>IF(N281="základní",J281,0)</f>
        <v>0</v>
      </c>
      <c r="BF281" s="140">
        <f>IF(N281="snížená",J281,0)</f>
        <v>0</v>
      </c>
      <c r="BG281" s="140">
        <f>IF(N281="zákl. přenesená",J281,0)</f>
        <v>0</v>
      </c>
      <c r="BH281" s="140">
        <f>IF(N281="sníž. přenesená",J281,0)</f>
        <v>0</v>
      </c>
      <c r="BI281" s="140">
        <f>IF(N281="nulová",J281,0)</f>
        <v>0</v>
      </c>
      <c r="BJ281" s="2" t="s">
        <v>87</v>
      </c>
      <c r="BK281" s="140">
        <f>ROUND(I281*H281,2)</f>
        <v>0</v>
      </c>
      <c r="BL281" s="2" t="s">
        <v>496</v>
      </c>
      <c r="BM281" s="139" t="s">
        <v>6314</v>
      </c>
    </row>
    <row r="282" spans="2:65" s="16" customFormat="1" ht="16.5" customHeight="1" x14ac:dyDescent="0.2">
      <c r="B282" s="17"/>
      <c r="C282" s="128">
        <v>127</v>
      </c>
      <c r="D282" s="128" t="s">
        <v>339</v>
      </c>
      <c r="E282" s="129" t="s">
        <v>6315</v>
      </c>
      <c r="F282" s="130" t="s">
        <v>6316</v>
      </c>
      <c r="G282" s="131" t="s">
        <v>449</v>
      </c>
      <c r="H282" s="132">
        <v>48</v>
      </c>
      <c r="I282" s="133"/>
      <c r="J282" s="134">
        <f>ROUND(I282*H282,2)</f>
        <v>0</v>
      </c>
      <c r="K282" s="130"/>
      <c r="L282" s="17"/>
      <c r="M282" s="135"/>
      <c r="N282" s="136" t="s">
        <v>45</v>
      </c>
      <c r="P282" s="137">
        <f>O282*H282</f>
        <v>0</v>
      </c>
      <c r="Q282" s="137">
        <v>0</v>
      </c>
      <c r="R282" s="137">
        <f>Q282*H282</f>
        <v>0</v>
      </c>
      <c r="S282" s="137">
        <v>0</v>
      </c>
      <c r="T282" s="138">
        <f>S282*H282</f>
        <v>0</v>
      </c>
      <c r="X282" s="200"/>
      <c r="AR282" s="139" t="s">
        <v>496</v>
      </c>
      <c r="AT282" s="139" t="s">
        <v>339</v>
      </c>
      <c r="AU282" s="139" t="s">
        <v>90</v>
      </c>
      <c r="AY282" s="2" t="s">
        <v>337</v>
      </c>
      <c r="BE282" s="140">
        <f>IF(N282="základní",J282,0)</f>
        <v>0</v>
      </c>
      <c r="BF282" s="140">
        <f>IF(N282="snížená",J282,0)</f>
        <v>0</v>
      </c>
      <c r="BG282" s="140">
        <f>IF(N282="zákl. přenesená",J282,0)</f>
        <v>0</v>
      </c>
      <c r="BH282" s="140">
        <f>IF(N282="sníž. přenesená",J282,0)</f>
        <v>0</v>
      </c>
      <c r="BI282" s="140">
        <f>IF(N282="nulová",J282,0)</f>
        <v>0</v>
      </c>
      <c r="BJ282" s="2" t="s">
        <v>87</v>
      </c>
      <c r="BK282" s="140">
        <f>ROUND(I282*H282,2)</f>
        <v>0</v>
      </c>
      <c r="BL282" s="2" t="s">
        <v>496</v>
      </c>
      <c r="BM282" s="139" t="s">
        <v>6317</v>
      </c>
    </row>
    <row r="283" spans="2:65" s="116" customFormat="1" ht="25.9" customHeight="1" x14ac:dyDescent="0.2">
      <c r="B283" s="117"/>
      <c r="D283" s="118" t="s">
        <v>79</v>
      </c>
      <c r="E283" s="119" t="s">
        <v>5123</v>
      </c>
      <c r="F283" s="119" t="s">
        <v>5124</v>
      </c>
      <c r="J283" s="120">
        <f>BK283</f>
        <v>0</v>
      </c>
      <c r="L283" s="117"/>
      <c r="M283" s="121"/>
      <c r="P283" s="122">
        <f>P284</f>
        <v>0</v>
      </c>
      <c r="R283" s="122">
        <f>R284</f>
        <v>0</v>
      </c>
      <c r="T283" s="123">
        <f>T284</f>
        <v>0</v>
      </c>
      <c r="X283" s="200"/>
      <c r="AR283" s="118" t="s">
        <v>344</v>
      </c>
      <c r="AT283" s="124" t="s">
        <v>79</v>
      </c>
      <c r="AU283" s="124" t="s">
        <v>80</v>
      </c>
      <c r="AY283" s="118" t="s">
        <v>337</v>
      </c>
      <c r="BK283" s="125">
        <f>BK284</f>
        <v>0</v>
      </c>
    </row>
    <row r="284" spans="2:65" s="16" customFormat="1" ht="21.75" customHeight="1" x14ac:dyDescent="0.2">
      <c r="B284" s="17"/>
      <c r="C284" s="128">
        <v>128</v>
      </c>
      <c r="D284" s="128" t="s">
        <v>339</v>
      </c>
      <c r="E284" s="129" t="s">
        <v>6318</v>
      </c>
      <c r="F284" s="130" t="s">
        <v>6319</v>
      </c>
      <c r="G284" s="131" t="s">
        <v>3042</v>
      </c>
      <c r="H284" s="132">
        <v>400</v>
      </c>
      <c r="I284" s="133"/>
      <c r="J284" s="134">
        <f>ROUND(I284*H284,2)</f>
        <v>0</v>
      </c>
      <c r="K284" s="130" t="s">
        <v>343</v>
      </c>
      <c r="L284" s="17"/>
      <c r="M284" s="135"/>
      <c r="N284" s="136" t="s">
        <v>45</v>
      </c>
      <c r="P284" s="137">
        <f>O284*H284</f>
        <v>0</v>
      </c>
      <c r="Q284" s="137">
        <v>0</v>
      </c>
      <c r="R284" s="137">
        <f>Q284*H284</f>
        <v>0</v>
      </c>
      <c r="S284" s="137">
        <v>0</v>
      </c>
      <c r="T284" s="138">
        <f>S284*H284</f>
        <v>0</v>
      </c>
      <c r="X284" s="200"/>
      <c r="AR284" s="139" t="s">
        <v>6320</v>
      </c>
      <c r="AT284" s="139" t="s">
        <v>339</v>
      </c>
      <c r="AU284" s="139" t="s">
        <v>87</v>
      </c>
      <c r="AY284" s="2" t="s">
        <v>337</v>
      </c>
      <c r="BE284" s="140">
        <f>IF(N284="základní",J284,0)</f>
        <v>0</v>
      </c>
      <c r="BF284" s="140">
        <f>IF(N284="snížená",J284,0)</f>
        <v>0</v>
      </c>
      <c r="BG284" s="140">
        <f>IF(N284="zákl. přenesená",J284,0)</f>
        <v>0</v>
      </c>
      <c r="BH284" s="140">
        <f>IF(N284="sníž. přenesená",J284,0)</f>
        <v>0</v>
      </c>
      <c r="BI284" s="140">
        <f>IF(N284="nulová",J284,0)</f>
        <v>0</v>
      </c>
      <c r="BJ284" s="2" t="s">
        <v>87</v>
      </c>
      <c r="BK284" s="140">
        <f>ROUND(I284*H284,2)</f>
        <v>0</v>
      </c>
      <c r="BL284" s="2" t="s">
        <v>6320</v>
      </c>
      <c r="BM284" s="139" t="s">
        <v>2059</v>
      </c>
    </row>
    <row r="285" spans="2:65" s="116" customFormat="1" ht="25.9" customHeight="1" x14ac:dyDescent="0.2">
      <c r="B285" s="117"/>
      <c r="D285" s="118" t="s">
        <v>79</v>
      </c>
      <c r="E285" s="119" t="s">
        <v>6321</v>
      </c>
      <c r="F285" s="119" t="s">
        <v>6322</v>
      </c>
      <c r="J285" s="120">
        <f>BK285</f>
        <v>0</v>
      </c>
      <c r="L285" s="117"/>
      <c r="M285" s="121"/>
      <c r="P285" s="122">
        <f>SUM(P286:P287)</f>
        <v>0</v>
      </c>
      <c r="R285" s="122">
        <f>SUM(R286:R287)</f>
        <v>0</v>
      </c>
      <c r="T285" s="123">
        <f>SUM(T286:T287)</f>
        <v>0</v>
      </c>
      <c r="X285" s="200"/>
      <c r="AR285" s="118" t="s">
        <v>422</v>
      </c>
      <c r="AT285" s="124" t="s">
        <v>79</v>
      </c>
      <c r="AU285" s="124" t="s">
        <v>80</v>
      </c>
      <c r="AY285" s="118" t="s">
        <v>337</v>
      </c>
      <c r="BK285" s="125">
        <f>SUM(BK286:BK287)</f>
        <v>0</v>
      </c>
    </row>
    <row r="286" spans="2:65" s="16" customFormat="1" ht="12" x14ac:dyDescent="0.2">
      <c r="B286" s="17"/>
      <c r="C286" s="128">
        <v>129</v>
      </c>
      <c r="D286" s="128" t="s">
        <v>339</v>
      </c>
      <c r="E286" s="129" t="s">
        <v>6323</v>
      </c>
      <c r="F286" s="130" t="s">
        <v>6324</v>
      </c>
      <c r="G286" s="131" t="s">
        <v>6145</v>
      </c>
      <c r="H286" s="132">
        <v>1</v>
      </c>
      <c r="I286" s="133"/>
      <c r="J286" s="134">
        <f>ROUND(I286*H286,2)</f>
        <v>0</v>
      </c>
      <c r="K286" s="130"/>
      <c r="L286" s="17"/>
      <c r="M286" s="135"/>
      <c r="N286" s="136" t="s">
        <v>45</v>
      </c>
      <c r="P286" s="137">
        <f>O286*H286</f>
        <v>0</v>
      </c>
      <c r="Q286" s="137">
        <v>0</v>
      </c>
      <c r="R286" s="137">
        <f>Q286*H286</f>
        <v>0</v>
      </c>
      <c r="S286" s="137">
        <v>0</v>
      </c>
      <c r="T286" s="138">
        <f>S286*H286</f>
        <v>0</v>
      </c>
      <c r="X286" s="200"/>
      <c r="AR286" s="139" t="s">
        <v>344</v>
      </c>
      <c r="AT286" s="139" t="s">
        <v>339</v>
      </c>
      <c r="AU286" s="139" t="s">
        <v>87</v>
      </c>
      <c r="AY286" s="2" t="s">
        <v>337</v>
      </c>
      <c r="BE286" s="140">
        <f>IF(N286="základní",J286,0)</f>
        <v>0</v>
      </c>
      <c r="BF286" s="140">
        <f>IF(N286="snížená",J286,0)</f>
        <v>0</v>
      </c>
      <c r="BG286" s="140">
        <f>IF(N286="zákl. přenesená",J286,0)</f>
        <v>0</v>
      </c>
      <c r="BH286" s="140">
        <f>IF(N286="sníž. přenesená",J286,0)</f>
        <v>0</v>
      </c>
      <c r="BI286" s="140">
        <f>IF(N286="nulová",J286,0)</f>
        <v>0</v>
      </c>
      <c r="BJ286" s="2" t="s">
        <v>87</v>
      </c>
      <c r="BK286" s="140">
        <f>ROUND(I286*H286,2)</f>
        <v>0</v>
      </c>
      <c r="BL286" s="2" t="s">
        <v>344</v>
      </c>
      <c r="BM286" s="139" t="s">
        <v>2200</v>
      </c>
    </row>
    <row r="287" spans="2:65" s="16" customFormat="1" ht="24.2" customHeight="1" x14ac:dyDescent="0.2">
      <c r="B287" s="17"/>
      <c r="C287" s="128">
        <v>130</v>
      </c>
      <c r="D287" s="128" t="s">
        <v>339</v>
      </c>
      <c r="E287" s="129" t="s">
        <v>6325</v>
      </c>
      <c r="F287" s="130" t="s">
        <v>6326</v>
      </c>
      <c r="G287" s="131" t="s">
        <v>449</v>
      </c>
      <c r="H287" s="132">
        <v>400</v>
      </c>
      <c r="I287" s="133"/>
      <c r="J287" s="134">
        <f>ROUND(I287*H287,2)</f>
        <v>0</v>
      </c>
      <c r="K287" s="130"/>
      <c r="L287" s="17"/>
      <c r="M287" s="187"/>
      <c r="N287" s="188" t="s">
        <v>45</v>
      </c>
      <c r="O287" s="189"/>
      <c r="P287" s="190">
        <f>O287*H287</f>
        <v>0</v>
      </c>
      <c r="Q287" s="190">
        <v>0</v>
      </c>
      <c r="R287" s="190">
        <f>Q287*H287</f>
        <v>0</v>
      </c>
      <c r="S287" s="190">
        <v>0</v>
      </c>
      <c r="T287" s="191">
        <f>S287*H287</f>
        <v>0</v>
      </c>
      <c r="X287" s="200"/>
      <c r="AR287" s="139" t="s">
        <v>344</v>
      </c>
      <c r="AT287" s="139" t="s">
        <v>339</v>
      </c>
      <c r="AU287" s="139" t="s">
        <v>87</v>
      </c>
      <c r="AY287" s="2" t="s">
        <v>337</v>
      </c>
      <c r="BE287" s="140">
        <f>IF(N287="základní",J287,0)</f>
        <v>0</v>
      </c>
      <c r="BF287" s="140">
        <f>IF(N287="snížená",J287,0)</f>
        <v>0</v>
      </c>
      <c r="BG287" s="140">
        <f>IF(N287="zákl. přenesená",J287,0)</f>
        <v>0</v>
      </c>
      <c r="BH287" s="140">
        <f>IF(N287="sníž. přenesená",J287,0)</f>
        <v>0</v>
      </c>
      <c r="BI287" s="140">
        <f>IF(N287="nulová",J287,0)</f>
        <v>0</v>
      </c>
      <c r="BJ287" s="2" t="s">
        <v>87</v>
      </c>
      <c r="BK287" s="140">
        <f>ROUND(I287*H287,2)</f>
        <v>0</v>
      </c>
      <c r="BL287" s="2" t="s">
        <v>344</v>
      </c>
      <c r="BM287" s="139" t="s">
        <v>2209</v>
      </c>
    </row>
    <row r="288" spans="2:65" s="16" customFormat="1" ht="6.95" customHeight="1" x14ac:dyDescent="0.2">
      <c r="B288" s="30"/>
      <c r="C288" s="19"/>
      <c r="D288" s="19"/>
      <c r="E288" s="19"/>
      <c r="F288" s="19"/>
      <c r="G288" s="19"/>
      <c r="H288" s="19"/>
      <c r="I288" s="19"/>
      <c r="J288" s="19"/>
      <c r="K288" s="19"/>
      <c r="L288" s="17"/>
    </row>
  </sheetData>
  <sheetProtection algorithmName="SHA-512" hashValue="7dhFWgZldYxRKgko8BQxGFlbcsIk0KMNWOfwteLbOw7Fl2uPpjz9qRwz1corsigv0Mx1Skub26PL3MURAvsw5g==" saltValue="MpiBvPxrEXmSPxsX5y5FvA==" spinCount="100000" sheet="1" objects="1" scenarios="1" formatCells="0" formatColumns="0" formatRows="0" autoFilter="0"/>
  <autoFilter ref="C137:K287" xr:uid="{00000000-0009-0000-0000-00000D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conditionalFormatting sqref="X141:X287">
    <cfRule type="cellIs" dxfId="0" priority="1" operator="greaterThan">
      <formula>0</formula>
    </cfRule>
  </conditionalFormatting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5"/>
  <dimension ref="B2:BM259"/>
  <sheetViews>
    <sheetView showGridLines="0" workbookViewId="0">
      <selection activeCell="F98" sqref="F98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832031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5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138</v>
      </c>
      <c r="AZ2" s="2" t="s">
        <v>3014</v>
      </c>
      <c r="BA2" s="2"/>
      <c r="BB2" s="2"/>
      <c r="BC2" s="2" t="s">
        <v>6327</v>
      </c>
      <c r="BD2" s="2" t="s">
        <v>90</v>
      </c>
    </row>
    <row r="3" spans="2:5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  <c r="AZ3" s="2" t="s">
        <v>6328</v>
      </c>
      <c r="BA3" s="2"/>
      <c r="BB3" s="2"/>
      <c r="BC3" s="2" t="s">
        <v>6329</v>
      </c>
      <c r="BD3" s="2" t="s">
        <v>90</v>
      </c>
    </row>
    <row r="4" spans="2:5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  <c r="AZ4" s="2" t="s">
        <v>6330</v>
      </c>
      <c r="BA4" s="2"/>
      <c r="BB4" s="2"/>
      <c r="BC4" s="2" t="s">
        <v>6331</v>
      </c>
      <c r="BD4" s="2" t="s">
        <v>90</v>
      </c>
    </row>
    <row r="5" spans="2:56" ht="6.95" hidden="1" customHeight="1" x14ac:dyDescent="0.2">
      <c r="B5" s="5"/>
      <c r="L5" s="5"/>
      <c r="AZ5" s="2" t="s">
        <v>6332</v>
      </c>
      <c r="BA5" s="2"/>
      <c r="BB5" s="2"/>
      <c r="BC5" s="2" t="s">
        <v>6333</v>
      </c>
      <c r="BD5" s="2" t="s">
        <v>90</v>
      </c>
    </row>
    <row r="6" spans="2:56" ht="12" hidden="1" customHeight="1" x14ac:dyDescent="0.2">
      <c r="B6" s="5"/>
      <c r="D6" s="12" t="s">
        <v>15</v>
      </c>
      <c r="L6" s="5"/>
      <c r="AZ6" s="2" t="s">
        <v>3031</v>
      </c>
      <c r="BA6" s="2"/>
      <c r="BB6" s="2"/>
      <c r="BC6" s="2" t="s">
        <v>6334</v>
      </c>
      <c r="BD6" s="2" t="s">
        <v>90</v>
      </c>
    </row>
    <row r="7" spans="2:5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56" ht="12" hidden="1" customHeight="1" x14ac:dyDescent="0.2">
      <c r="B8" s="5"/>
      <c r="D8" s="12" t="s">
        <v>190</v>
      </c>
      <c r="L8" s="5"/>
    </row>
    <row r="9" spans="2:5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</row>
    <row r="10" spans="2:56" s="16" customFormat="1" ht="12" hidden="1" customHeight="1" x14ac:dyDescent="0.2">
      <c r="B10" s="17"/>
      <c r="D10" s="12" t="s">
        <v>196</v>
      </c>
      <c r="L10" s="17"/>
    </row>
    <row r="11" spans="2:56" s="16" customFormat="1" ht="16.5" hidden="1" customHeight="1" x14ac:dyDescent="0.2">
      <c r="B11" s="17"/>
      <c r="E11" s="309" t="s">
        <v>6335</v>
      </c>
      <c r="F11" s="309"/>
      <c r="G11" s="309"/>
      <c r="H11" s="309"/>
      <c r="L11" s="17"/>
    </row>
    <row r="12" spans="2:56" s="16" customFormat="1" hidden="1" x14ac:dyDescent="0.2">
      <c r="B12" s="17"/>
      <c r="L12" s="17"/>
    </row>
    <row r="13" spans="2:56" s="16" customFormat="1" ht="12" hidden="1" customHeight="1" x14ac:dyDescent="0.2">
      <c r="B13" s="17"/>
      <c r="D13" s="12" t="s">
        <v>17</v>
      </c>
      <c r="F13" s="10" t="s">
        <v>139</v>
      </c>
      <c r="I13" s="12" t="s">
        <v>18</v>
      </c>
      <c r="J13" s="10"/>
      <c r="L13" s="17"/>
    </row>
    <row r="14" spans="2:56" s="16" customFormat="1" ht="12" hidden="1" customHeight="1" x14ac:dyDescent="0.2">
      <c r="B14" s="17"/>
      <c r="D14" s="12" t="s">
        <v>19</v>
      </c>
      <c r="F14" s="10" t="s">
        <v>371</v>
      </c>
      <c r="I14" s="12" t="s">
        <v>21</v>
      </c>
      <c r="J14" s="38" t="str">
        <f>IF(Rekapitulace_stavby!AN8&lt;&gt;"",Rekapitulace_stavby!AN8,"")</f>
        <v/>
      </c>
      <c r="L14" s="17"/>
    </row>
    <row r="15" spans="2:56" s="16" customFormat="1" ht="10.9" hidden="1" customHeight="1" x14ac:dyDescent="0.2">
      <c r="B15" s="17"/>
      <c r="L15" s="17"/>
    </row>
    <row r="16" spans="2:56" s="16" customFormat="1" ht="12" hidden="1" customHeight="1" x14ac:dyDescent="0.2">
      <c r="B16" s="17"/>
      <c r="D16" s="12" t="s">
        <v>22</v>
      </c>
      <c r="I16" s="12" t="s">
        <v>23</v>
      </c>
      <c r="J16" s="10" t="str">
        <f>IF(Rekapitulace_stavby!AN10="","",Rekapitulace_stavby!AN10)</f>
        <v>00216208</v>
      </c>
      <c r="L16" s="17"/>
    </row>
    <row r="17" spans="2:12" s="16" customFormat="1" ht="18" hidden="1" customHeight="1" x14ac:dyDescent="0.2">
      <c r="B17" s="17"/>
      <c r="E17" s="10" t="str">
        <f>IF(Rekapitulace_stavby!E11="","",Rekapitulace_stavby!E11)</f>
        <v>Univerzita Karlova, Lékařská fakulta v Plzni</v>
      </c>
      <c r="I17" s="12" t="s">
        <v>26</v>
      </c>
      <c r="J17" s="10" t="str">
        <f>IF(Rekapitulace_stavby!AN11="","",Rekapitulace_stavby!AN11)</f>
        <v>CZ00216208</v>
      </c>
      <c r="L17" s="17"/>
    </row>
    <row r="18" spans="2:12" s="16" customFormat="1" ht="6.95" hidden="1" customHeight="1" x14ac:dyDescent="0.2">
      <c r="B18" s="17"/>
      <c r="L18" s="17"/>
    </row>
    <row r="19" spans="2:12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</row>
    <row r="20" spans="2:12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12" s="16" customFormat="1" ht="6.95" hidden="1" customHeight="1" x14ac:dyDescent="0.2">
      <c r="B21" s="17"/>
      <c r="L21" s="17"/>
    </row>
    <row r="22" spans="2:12" s="16" customFormat="1" ht="12" hidden="1" customHeight="1" x14ac:dyDescent="0.2">
      <c r="B22" s="17"/>
      <c r="D22" s="12" t="s">
        <v>29</v>
      </c>
      <c r="I22" s="12" t="s">
        <v>23</v>
      </c>
      <c r="J22" s="10"/>
      <c r="L22" s="17"/>
    </row>
    <row r="23" spans="2:12" s="16" customFormat="1" ht="18" hidden="1" customHeight="1" x14ac:dyDescent="0.2">
      <c r="B23" s="17"/>
      <c r="E23" s="10" t="s">
        <v>6336</v>
      </c>
      <c r="I23" s="12" t="s">
        <v>26</v>
      </c>
      <c r="J23" s="10"/>
      <c r="L23" s="17"/>
    </row>
    <row r="24" spans="2:12" s="16" customFormat="1" ht="6.95" hidden="1" customHeight="1" x14ac:dyDescent="0.2">
      <c r="B24" s="17"/>
      <c r="L24" s="17"/>
    </row>
    <row r="25" spans="2:12" s="16" customFormat="1" ht="12" hidden="1" customHeight="1" x14ac:dyDescent="0.2">
      <c r="B25" s="17"/>
      <c r="D25" s="12" t="s">
        <v>34</v>
      </c>
      <c r="I25" s="12" t="s">
        <v>23</v>
      </c>
      <c r="J25" s="10" t="s">
        <v>35</v>
      </c>
      <c r="L25" s="17"/>
    </row>
    <row r="26" spans="2:12" s="16" customFormat="1" ht="18" hidden="1" customHeight="1" x14ac:dyDescent="0.2">
      <c r="B26" s="17"/>
      <c r="E26" s="10" t="s">
        <v>36</v>
      </c>
      <c r="I26" s="12" t="s">
        <v>26</v>
      </c>
      <c r="J26" s="10" t="s">
        <v>37</v>
      </c>
      <c r="L26" s="17"/>
    </row>
    <row r="27" spans="2:12" s="16" customFormat="1" ht="6.95" hidden="1" customHeight="1" x14ac:dyDescent="0.2">
      <c r="B27" s="17"/>
      <c r="L27" s="17"/>
    </row>
    <row r="28" spans="2:12" s="16" customFormat="1" ht="12" hidden="1" customHeight="1" x14ac:dyDescent="0.2">
      <c r="B28" s="17"/>
      <c r="D28" s="12" t="s">
        <v>38</v>
      </c>
      <c r="L28" s="17"/>
    </row>
    <row r="29" spans="2:12" s="81" customFormat="1" ht="47.25" hidden="1" customHeight="1" x14ac:dyDescent="0.2">
      <c r="B29" s="82"/>
      <c r="E29" s="304" t="s">
        <v>6337</v>
      </c>
      <c r="F29" s="304"/>
      <c r="G29" s="304"/>
      <c r="H29" s="304"/>
      <c r="L29" s="82"/>
    </row>
    <row r="30" spans="2:12" s="16" customFormat="1" ht="6.95" hidden="1" customHeight="1" x14ac:dyDescent="0.2">
      <c r="B30" s="17"/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ROUND((SUM(BE138:BE258)),  2)</f>
        <v>0</v>
      </c>
      <c r="I35" s="86">
        <v>0.21</v>
      </c>
      <c r="J35" s="73">
        <f>ROUND(((SUM(BE138:BE258))*I35),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ROUND((SUM(BF138:BF258)),  2)</f>
        <v>0</v>
      </c>
      <c r="I36" s="86">
        <v>0.12</v>
      </c>
      <c r="J36" s="73">
        <f>ROUND(((SUM(BF138:BF258))*I36),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ROUND((SUM(BG138:BG258)),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ROUND((SUM(BH138:BH258)),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ROUND((SUM(BI138:BI258)),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DEŠ - Dešťová kanalizace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 xml:space="preserve"> 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Ing. Vojtěch Tluček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304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3037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70" customFormat="1" ht="19.899999999999999" customHeight="1" x14ac:dyDescent="0.2">
      <c r="B101" s="103"/>
      <c r="D101" s="104" t="s">
        <v>306</v>
      </c>
      <c r="E101" s="105"/>
      <c r="F101" s="105"/>
      <c r="G101" s="105"/>
      <c r="H101" s="105"/>
      <c r="I101" s="105"/>
      <c r="J101" s="106">
        <f>J200</f>
        <v>0</v>
      </c>
      <c r="L101" s="103"/>
    </row>
    <row r="102" spans="2:47" s="70" customFormat="1" ht="19.899999999999999" customHeight="1" x14ac:dyDescent="0.2">
      <c r="B102" s="103"/>
      <c r="D102" s="104" t="s">
        <v>2442</v>
      </c>
      <c r="E102" s="105"/>
      <c r="F102" s="105"/>
      <c r="G102" s="105"/>
      <c r="H102" s="105"/>
      <c r="I102" s="105"/>
      <c r="J102" s="106">
        <f>J214</f>
        <v>0</v>
      </c>
      <c r="L102" s="103"/>
    </row>
    <row r="103" spans="2:47" s="70" customFormat="1" ht="19.899999999999999" customHeight="1" x14ac:dyDescent="0.2">
      <c r="B103" s="103"/>
      <c r="D103" s="104" t="s">
        <v>307</v>
      </c>
      <c r="E103" s="105"/>
      <c r="F103" s="105"/>
      <c r="G103" s="105"/>
      <c r="H103" s="105"/>
      <c r="I103" s="105"/>
      <c r="J103" s="106">
        <f>J222</f>
        <v>0</v>
      </c>
      <c r="L103" s="103"/>
    </row>
    <row r="104" spans="2:47" s="70" customFormat="1" ht="19.899999999999999" customHeight="1" x14ac:dyDescent="0.2">
      <c r="B104" s="103"/>
      <c r="D104" s="104" t="s">
        <v>6338</v>
      </c>
      <c r="E104" s="105"/>
      <c r="F104" s="105"/>
      <c r="G104" s="105"/>
      <c r="H104" s="105"/>
      <c r="I104" s="105"/>
      <c r="J104" s="106">
        <f>J226</f>
        <v>0</v>
      </c>
      <c r="L104" s="103"/>
    </row>
    <row r="105" spans="2:47" s="70" customFormat="1" ht="19.899999999999999" customHeight="1" x14ac:dyDescent="0.2">
      <c r="B105" s="103"/>
      <c r="D105" s="104" t="s">
        <v>308</v>
      </c>
      <c r="E105" s="105"/>
      <c r="F105" s="105"/>
      <c r="G105" s="105"/>
      <c r="H105" s="105"/>
      <c r="I105" s="105"/>
      <c r="J105" s="106">
        <f>J250</f>
        <v>0</v>
      </c>
      <c r="L105" s="103"/>
    </row>
    <row r="106" spans="2:47" s="70" customFormat="1" ht="19.899999999999999" customHeight="1" x14ac:dyDescent="0.2">
      <c r="B106" s="103"/>
      <c r="D106" s="104" t="s">
        <v>309</v>
      </c>
      <c r="E106" s="105"/>
      <c r="F106" s="105"/>
      <c r="G106" s="105"/>
      <c r="H106" s="105"/>
      <c r="I106" s="105"/>
      <c r="J106" s="106">
        <f>J253</f>
        <v>0</v>
      </c>
      <c r="L106" s="103"/>
    </row>
    <row r="107" spans="2:47" s="98" customFormat="1" ht="24.95" customHeight="1" x14ac:dyDescent="0.2">
      <c r="B107" s="99"/>
      <c r="D107" s="100" t="s">
        <v>4965</v>
      </c>
      <c r="E107" s="101"/>
      <c r="F107" s="101"/>
      <c r="G107" s="101"/>
      <c r="H107" s="101"/>
      <c r="I107" s="101"/>
      <c r="J107" s="102">
        <f>J255</f>
        <v>0</v>
      </c>
      <c r="L107" s="99"/>
    </row>
    <row r="108" spans="2:47" s="16" customFormat="1" ht="21.75" customHeight="1" x14ac:dyDescent="0.2">
      <c r="B108" s="17"/>
      <c r="L108" s="17"/>
    </row>
    <row r="109" spans="2:47" s="16" customFormat="1" ht="6.95" customHeight="1" x14ac:dyDescent="0.2">
      <c r="B109" s="30"/>
      <c r="C109" s="19"/>
      <c r="D109" s="19"/>
      <c r="E109" s="19"/>
      <c r="F109" s="19"/>
      <c r="G109" s="19"/>
      <c r="H109" s="19"/>
      <c r="I109" s="19"/>
      <c r="J109" s="19"/>
      <c r="K109" s="19"/>
      <c r="L109" s="17"/>
    </row>
    <row r="113" spans="2:12" ht="2.4500000000000002" customHeight="1" x14ac:dyDescent="0.2"/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ht="2.4500000000000002" customHeight="1" x14ac:dyDescent="0.2"/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DEŠ - Dešťová kanalizace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">
        <v>20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6.5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Ing. Vojtěch Tluček</v>
      </c>
      <c r="L134" s="17"/>
    </row>
    <row r="135" spans="2:65" s="16" customFormat="1" ht="12.75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P139+P255</f>
        <v>0</v>
      </c>
      <c r="Q138" s="39"/>
      <c r="R138" s="113">
        <f>R139+R255</f>
        <v>23.909663380000001</v>
      </c>
      <c r="S138" s="39"/>
      <c r="T138" s="114">
        <f>T139+T255</f>
        <v>0</v>
      </c>
      <c r="AT138" s="2" t="s">
        <v>79</v>
      </c>
      <c r="AU138" s="2" t="s">
        <v>303</v>
      </c>
      <c r="BK138" s="115">
        <f>BK139+BK255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P140+P200+P214+P222+P226+P250+P253</f>
        <v>0</v>
      </c>
      <c r="R139" s="122">
        <f>R140+R200+R214+R222+R226+R250+R253</f>
        <v>23.909663380000001</v>
      </c>
      <c r="T139" s="123">
        <f>T140+T200+T214+T222+T226+T250+T253</f>
        <v>0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BK140+BK200+BK214+BK222+BK226+BK250+BK253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87</v>
      </c>
      <c r="F140" s="126" t="s">
        <v>3039</v>
      </c>
      <c r="J140" s="127">
        <f>BK140</f>
        <v>0</v>
      </c>
      <c r="L140" s="117"/>
      <c r="M140" s="121"/>
      <c r="P140" s="122">
        <f>SUM(P141:P199)</f>
        <v>0</v>
      </c>
      <c r="R140" s="122">
        <f>SUM(R141:R199)</f>
        <v>0.10147400000000001</v>
      </c>
      <c r="T140" s="123">
        <f>SUM(T141:T199)</f>
        <v>0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SUM(BK141:BK199)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6339</v>
      </c>
      <c r="F141" s="130" t="s">
        <v>6340</v>
      </c>
      <c r="G141" s="131" t="s">
        <v>342</v>
      </c>
      <c r="H141" s="132">
        <v>14.2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6341</v>
      </c>
    </row>
    <row r="142" spans="2:65" s="141" customFormat="1" x14ac:dyDescent="0.2">
      <c r="B142" s="142"/>
      <c r="D142" s="143" t="s">
        <v>346</v>
      </c>
      <c r="E142" s="144"/>
      <c r="F142" s="145" t="s">
        <v>6342</v>
      </c>
      <c r="H142" s="144"/>
      <c r="L142" s="142"/>
      <c r="M142" s="146"/>
      <c r="T142" s="147"/>
      <c r="AT142" s="144" t="s">
        <v>346</v>
      </c>
      <c r="AU142" s="144" t="s">
        <v>90</v>
      </c>
      <c r="AV142" s="141" t="s">
        <v>87</v>
      </c>
      <c r="AW142" s="141" t="s">
        <v>33</v>
      </c>
      <c r="AX142" s="141" t="s">
        <v>80</v>
      </c>
      <c r="AY142" s="144" t="s">
        <v>337</v>
      </c>
    </row>
    <row r="143" spans="2:65" s="141" customFormat="1" x14ac:dyDescent="0.2">
      <c r="B143" s="142"/>
      <c r="D143" s="143" t="s">
        <v>346</v>
      </c>
      <c r="E143" s="144"/>
      <c r="F143" s="145" t="s">
        <v>6343</v>
      </c>
      <c r="H143" s="144"/>
      <c r="L143" s="142"/>
      <c r="M143" s="146"/>
      <c r="T143" s="147"/>
      <c r="AT143" s="144" t="s">
        <v>346</v>
      </c>
      <c r="AU143" s="144" t="s">
        <v>90</v>
      </c>
      <c r="AV143" s="141" t="s">
        <v>87</v>
      </c>
      <c r="AW143" s="141" t="s">
        <v>33</v>
      </c>
      <c r="AX143" s="141" t="s">
        <v>80</v>
      </c>
      <c r="AY143" s="144" t="s">
        <v>337</v>
      </c>
    </row>
    <row r="144" spans="2:65" s="148" customFormat="1" x14ac:dyDescent="0.2">
      <c r="B144" s="149"/>
      <c r="D144" s="143" t="s">
        <v>346</v>
      </c>
      <c r="E144" s="150"/>
      <c r="F144" s="151" t="s">
        <v>6344</v>
      </c>
      <c r="H144" s="152">
        <v>5.7</v>
      </c>
      <c r="L144" s="149"/>
      <c r="M144" s="153"/>
      <c r="T144" s="154"/>
      <c r="AT144" s="150" t="s">
        <v>346</v>
      </c>
      <c r="AU144" s="150" t="s">
        <v>90</v>
      </c>
      <c r="AV144" s="148" t="s">
        <v>90</v>
      </c>
      <c r="AW144" s="148" t="s">
        <v>33</v>
      </c>
      <c r="AX144" s="148" t="s">
        <v>80</v>
      </c>
      <c r="AY144" s="150" t="s">
        <v>337</v>
      </c>
    </row>
    <row r="145" spans="2:65" s="141" customFormat="1" x14ac:dyDescent="0.2">
      <c r="B145" s="142"/>
      <c r="D145" s="143" t="s">
        <v>346</v>
      </c>
      <c r="E145" s="144"/>
      <c r="F145" s="145" t="s">
        <v>6345</v>
      </c>
      <c r="H145" s="144"/>
      <c r="L145" s="142"/>
      <c r="M145" s="146"/>
      <c r="T145" s="147"/>
      <c r="AT145" s="144" t="s">
        <v>346</v>
      </c>
      <c r="AU145" s="144" t="s">
        <v>90</v>
      </c>
      <c r="AV145" s="141" t="s">
        <v>87</v>
      </c>
      <c r="AW145" s="141" t="s">
        <v>33</v>
      </c>
      <c r="AX145" s="141" t="s">
        <v>80</v>
      </c>
      <c r="AY145" s="144" t="s">
        <v>337</v>
      </c>
    </row>
    <row r="146" spans="2:65" s="148" customFormat="1" x14ac:dyDescent="0.2">
      <c r="B146" s="149"/>
      <c r="D146" s="143" t="s">
        <v>346</v>
      </c>
      <c r="E146" s="150"/>
      <c r="F146" s="151" t="s">
        <v>6346</v>
      </c>
      <c r="H146" s="152">
        <v>8.5</v>
      </c>
      <c r="L146" s="149"/>
      <c r="M146" s="153"/>
      <c r="T146" s="154"/>
      <c r="AT146" s="150" t="s">
        <v>346</v>
      </c>
      <c r="AU146" s="150" t="s">
        <v>90</v>
      </c>
      <c r="AV146" s="148" t="s">
        <v>90</v>
      </c>
      <c r="AW146" s="148" t="s">
        <v>33</v>
      </c>
      <c r="AX146" s="148" t="s">
        <v>80</v>
      </c>
      <c r="AY146" s="150" t="s">
        <v>337</v>
      </c>
    </row>
    <row r="147" spans="2:65" s="155" customFormat="1" x14ac:dyDescent="0.2">
      <c r="B147" s="156"/>
      <c r="D147" s="143" t="s">
        <v>346</v>
      </c>
      <c r="E147" s="157" t="s">
        <v>6328</v>
      </c>
      <c r="F147" s="158" t="s">
        <v>351</v>
      </c>
      <c r="H147" s="159">
        <v>14.2</v>
      </c>
      <c r="L147" s="156"/>
      <c r="M147" s="160"/>
      <c r="T147" s="161"/>
      <c r="AT147" s="157" t="s">
        <v>346</v>
      </c>
      <c r="AU147" s="157" t="s">
        <v>90</v>
      </c>
      <c r="AV147" s="155" t="s">
        <v>344</v>
      </c>
      <c r="AW147" s="155" t="s">
        <v>33</v>
      </c>
      <c r="AX147" s="155" t="s">
        <v>87</v>
      </c>
      <c r="AY147" s="157" t="s">
        <v>337</v>
      </c>
    </row>
    <row r="148" spans="2:65" s="16" customFormat="1" ht="16.5" customHeight="1" x14ac:dyDescent="0.2">
      <c r="B148" s="17"/>
      <c r="C148" s="128">
        <v>2</v>
      </c>
      <c r="D148" s="128" t="s">
        <v>339</v>
      </c>
      <c r="E148" s="129" t="s">
        <v>6347</v>
      </c>
      <c r="F148" s="130" t="s">
        <v>6348</v>
      </c>
      <c r="G148" s="131" t="s">
        <v>342</v>
      </c>
      <c r="H148" s="132">
        <v>68.88</v>
      </c>
      <c r="I148" s="133"/>
      <c r="J148" s="134">
        <f>ROUND(I148*H148,2)</f>
        <v>0</v>
      </c>
      <c r="K148" s="130" t="s">
        <v>343</v>
      </c>
      <c r="L148" s="17"/>
      <c r="M148" s="135"/>
      <c r="N148" s="136" t="s">
        <v>45</v>
      </c>
      <c r="P148" s="137">
        <f>O148*H148</f>
        <v>0</v>
      </c>
      <c r="Q148" s="137">
        <v>0</v>
      </c>
      <c r="R148" s="137">
        <f>Q148*H148</f>
        <v>0</v>
      </c>
      <c r="S148" s="137">
        <v>0</v>
      </c>
      <c r="T148" s="138">
        <f>S148*H148</f>
        <v>0</v>
      </c>
      <c r="AR148" s="139" t="s">
        <v>344</v>
      </c>
      <c r="AT148" s="139" t="s">
        <v>339</v>
      </c>
      <c r="AU148" s="139" t="s">
        <v>90</v>
      </c>
      <c r="AY148" s="2" t="s">
        <v>337</v>
      </c>
      <c r="BE148" s="140">
        <f>IF(N148="základní",J148,0)</f>
        <v>0</v>
      </c>
      <c r="BF148" s="140">
        <f>IF(N148="snížená",J148,0)</f>
        <v>0</v>
      </c>
      <c r="BG148" s="140">
        <f>IF(N148="zákl. přenesená",J148,0)</f>
        <v>0</v>
      </c>
      <c r="BH148" s="140">
        <f>IF(N148="sníž. přenesená",J148,0)</f>
        <v>0</v>
      </c>
      <c r="BI148" s="140">
        <f>IF(N148="nulová",J148,0)</f>
        <v>0</v>
      </c>
      <c r="BJ148" s="2" t="s">
        <v>87</v>
      </c>
      <c r="BK148" s="140">
        <f>ROUND(I148*H148,2)</f>
        <v>0</v>
      </c>
      <c r="BL148" s="2" t="s">
        <v>344</v>
      </c>
      <c r="BM148" s="139" t="s">
        <v>6349</v>
      </c>
    </row>
    <row r="149" spans="2:65" s="141" customFormat="1" x14ac:dyDescent="0.2">
      <c r="B149" s="142"/>
      <c r="D149" s="143" t="s">
        <v>346</v>
      </c>
      <c r="E149" s="144"/>
      <c r="F149" s="145" t="s">
        <v>6350</v>
      </c>
      <c r="H149" s="144"/>
      <c r="L149" s="142"/>
      <c r="M149" s="146"/>
      <c r="T149" s="147"/>
      <c r="AT149" s="144" t="s">
        <v>346</v>
      </c>
      <c r="AU149" s="144" t="s">
        <v>90</v>
      </c>
      <c r="AV149" s="141" t="s">
        <v>87</v>
      </c>
      <c r="AW149" s="141" t="s">
        <v>33</v>
      </c>
      <c r="AX149" s="141" t="s">
        <v>80</v>
      </c>
      <c r="AY149" s="144" t="s">
        <v>337</v>
      </c>
    </row>
    <row r="150" spans="2:65" s="148" customFormat="1" x14ac:dyDescent="0.2">
      <c r="B150" s="149"/>
      <c r="D150" s="143" t="s">
        <v>346</v>
      </c>
      <c r="E150" s="150"/>
      <c r="F150" s="151" t="s">
        <v>6331</v>
      </c>
      <c r="H150" s="152">
        <v>68.88</v>
      </c>
      <c r="L150" s="149"/>
      <c r="M150" s="153"/>
      <c r="T150" s="154"/>
      <c r="AT150" s="150" t="s">
        <v>346</v>
      </c>
      <c r="AU150" s="150" t="s">
        <v>90</v>
      </c>
      <c r="AV150" s="148" t="s">
        <v>90</v>
      </c>
      <c r="AW150" s="148" t="s">
        <v>33</v>
      </c>
      <c r="AX150" s="148" t="s">
        <v>80</v>
      </c>
      <c r="AY150" s="150" t="s">
        <v>337</v>
      </c>
    </row>
    <row r="151" spans="2:65" s="155" customFormat="1" x14ac:dyDescent="0.2">
      <c r="B151" s="156"/>
      <c r="D151" s="143" t="s">
        <v>346</v>
      </c>
      <c r="E151" s="157" t="s">
        <v>6330</v>
      </c>
      <c r="F151" s="158" t="s">
        <v>351</v>
      </c>
      <c r="H151" s="159">
        <v>68.88</v>
      </c>
      <c r="L151" s="156"/>
      <c r="M151" s="160"/>
      <c r="T151" s="161"/>
      <c r="AT151" s="157" t="s">
        <v>346</v>
      </c>
      <c r="AU151" s="157" t="s">
        <v>90</v>
      </c>
      <c r="AV151" s="155" t="s">
        <v>344</v>
      </c>
      <c r="AW151" s="155" t="s">
        <v>33</v>
      </c>
      <c r="AX151" s="155" t="s">
        <v>87</v>
      </c>
      <c r="AY151" s="157" t="s">
        <v>337</v>
      </c>
    </row>
    <row r="152" spans="2:65" s="16" customFormat="1" ht="21.75" customHeight="1" x14ac:dyDescent="0.2">
      <c r="B152" s="17"/>
      <c r="C152" s="128">
        <v>3</v>
      </c>
      <c r="D152" s="128" t="s">
        <v>339</v>
      </c>
      <c r="E152" s="129" t="s">
        <v>6351</v>
      </c>
      <c r="F152" s="130" t="s">
        <v>6352</v>
      </c>
      <c r="G152" s="131" t="s">
        <v>342</v>
      </c>
      <c r="H152" s="132">
        <v>27.7</v>
      </c>
      <c r="I152" s="133"/>
      <c r="J152" s="134">
        <f>ROUND(I152*H152,2)</f>
        <v>0</v>
      </c>
      <c r="K152" s="130" t="s">
        <v>343</v>
      </c>
      <c r="L152" s="17"/>
      <c r="M152" s="135"/>
      <c r="N152" s="136" t="s">
        <v>45</v>
      </c>
      <c r="P152" s="137">
        <f>O152*H152</f>
        <v>0</v>
      </c>
      <c r="Q152" s="137">
        <v>0</v>
      </c>
      <c r="R152" s="137">
        <f>Q152*H152</f>
        <v>0</v>
      </c>
      <c r="S152" s="137">
        <v>0</v>
      </c>
      <c r="T152" s="138">
        <f>S152*H152</f>
        <v>0</v>
      </c>
      <c r="AR152" s="139" t="s">
        <v>344</v>
      </c>
      <c r="AT152" s="139" t="s">
        <v>339</v>
      </c>
      <c r="AU152" s="139" t="s">
        <v>90</v>
      </c>
      <c r="AY152" s="2" t="s">
        <v>337</v>
      </c>
      <c r="BE152" s="140">
        <f>IF(N152="základní",J152,0)</f>
        <v>0</v>
      </c>
      <c r="BF152" s="140">
        <f>IF(N152="snížená",J152,0)</f>
        <v>0</v>
      </c>
      <c r="BG152" s="140">
        <f>IF(N152="zákl. přenesená",J152,0)</f>
        <v>0</v>
      </c>
      <c r="BH152" s="140">
        <f>IF(N152="sníž. přenesená",J152,0)</f>
        <v>0</v>
      </c>
      <c r="BI152" s="140">
        <f>IF(N152="nulová",J152,0)</f>
        <v>0</v>
      </c>
      <c r="BJ152" s="2" t="s">
        <v>87</v>
      </c>
      <c r="BK152" s="140">
        <f>ROUND(I152*H152,2)</f>
        <v>0</v>
      </c>
      <c r="BL152" s="2" t="s">
        <v>344</v>
      </c>
      <c r="BM152" s="139" t="s">
        <v>6353</v>
      </c>
    </row>
    <row r="153" spans="2:65" s="141" customFormat="1" x14ac:dyDescent="0.2">
      <c r="B153" s="142"/>
      <c r="D153" s="143" t="s">
        <v>346</v>
      </c>
      <c r="E153" s="144"/>
      <c r="F153" s="145" t="s">
        <v>6354</v>
      </c>
      <c r="H153" s="144"/>
      <c r="L153" s="142"/>
      <c r="M153" s="146"/>
      <c r="T153" s="147"/>
      <c r="AT153" s="144" t="s">
        <v>346</v>
      </c>
      <c r="AU153" s="144" t="s">
        <v>90</v>
      </c>
      <c r="AV153" s="141" t="s">
        <v>87</v>
      </c>
      <c r="AW153" s="141" t="s">
        <v>33</v>
      </c>
      <c r="AX153" s="141" t="s">
        <v>80</v>
      </c>
      <c r="AY153" s="144" t="s">
        <v>337</v>
      </c>
    </row>
    <row r="154" spans="2:65" s="148" customFormat="1" x14ac:dyDescent="0.2">
      <c r="B154" s="149"/>
      <c r="D154" s="143" t="s">
        <v>346</v>
      </c>
      <c r="E154" s="150"/>
      <c r="F154" s="151" t="s">
        <v>6355</v>
      </c>
      <c r="H154" s="152">
        <v>27.7</v>
      </c>
      <c r="L154" s="149"/>
      <c r="M154" s="153"/>
      <c r="T154" s="154"/>
      <c r="AT154" s="150" t="s">
        <v>346</v>
      </c>
      <c r="AU154" s="150" t="s">
        <v>90</v>
      </c>
      <c r="AV154" s="148" t="s">
        <v>90</v>
      </c>
      <c r="AW154" s="148" t="s">
        <v>33</v>
      </c>
      <c r="AX154" s="148" t="s">
        <v>80</v>
      </c>
      <c r="AY154" s="150" t="s">
        <v>337</v>
      </c>
    </row>
    <row r="155" spans="2:65" s="155" customFormat="1" x14ac:dyDescent="0.2">
      <c r="B155" s="156"/>
      <c r="D155" s="143" t="s">
        <v>346</v>
      </c>
      <c r="E155" s="157" t="s">
        <v>6332</v>
      </c>
      <c r="F155" s="158" t="s">
        <v>351</v>
      </c>
      <c r="H155" s="159">
        <v>27.7</v>
      </c>
      <c r="L155" s="156"/>
      <c r="M155" s="160"/>
      <c r="T155" s="161"/>
      <c r="AT155" s="157" t="s">
        <v>346</v>
      </c>
      <c r="AU155" s="157" t="s">
        <v>90</v>
      </c>
      <c r="AV155" s="155" t="s">
        <v>344</v>
      </c>
      <c r="AW155" s="155" t="s">
        <v>33</v>
      </c>
      <c r="AX155" s="155" t="s">
        <v>87</v>
      </c>
      <c r="AY155" s="157" t="s">
        <v>337</v>
      </c>
    </row>
    <row r="156" spans="2:65" s="16" customFormat="1" ht="16.5" customHeight="1" x14ac:dyDescent="0.2">
      <c r="B156" s="17"/>
      <c r="C156" s="128">
        <v>4</v>
      </c>
      <c r="D156" s="128" t="s">
        <v>339</v>
      </c>
      <c r="E156" s="129" t="s">
        <v>6356</v>
      </c>
      <c r="F156" s="130" t="s">
        <v>6357</v>
      </c>
      <c r="G156" s="131" t="s">
        <v>425</v>
      </c>
      <c r="H156" s="132">
        <v>30.65</v>
      </c>
      <c r="I156" s="133"/>
      <c r="J156" s="134">
        <f>ROUND(I156*H156,2)</f>
        <v>0</v>
      </c>
      <c r="K156" s="130" t="s">
        <v>343</v>
      </c>
      <c r="L156" s="17"/>
      <c r="M156" s="135"/>
      <c r="N156" s="136" t="s">
        <v>45</v>
      </c>
      <c r="P156" s="137">
        <f>O156*H156</f>
        <v>0</v>
      </c>
      <c r="Q156" s="137">
        <v>8.4000000000000003E-4</v>
      </c>
      <c r="R156" s="137">
        <f>Q156*H156</f>
        <v>2.5746000000000002E-2</v>
      </c>
      <c r="S156" s="137">
        <v>0</v>
      </c>
      <c r="T156" s="138">
        <f>S156*H156</f>
        <v>0</v>
      </c>
      <c r="AR156" s="139" t="s">
        <v>344</v>
      </c>
      <c r="AT156" s="139" t="s">
        <v>339</v>
      </c>
      <c r="AU156" s="139" t="s">
        <v>90</v>
      </c>
      <c r="AY156" s="2" t="s">
        <v>337</v>
      </c>
      <c r="BE156" s="140">
        <f>IF(N156="základní",J156,0)</f>
        <v>0</v>
      </c>
      <c r="BF156" s="140">
        <f>IF(N156="snížená",J156,0)</f>
        <v>0</v>
      </c>
      <c r="BG156" s="140">
        <f>IF(N156="zákl. přenesená",J156,0)</f>
        <v>0</v>
      </c>
      <c r="BH156" s="140">
        <f>IF(N156="sníž. přenesená",J156,0)</f>
        <v>0</v>
      </c>
      <c r="BI156" s="140">
        <f>IF(N156="nulová",J156,0)</f>
        <v>0</v>
      </c>
      <c r="BJ156" s="2" t="s">
        <v>87</v>
      </c>
      <c r="BK156" s="140">
        <f>ROUND(I156*H156,2)</f>
        <v>0</v>
      </c>
      <c r="BL156" s="2" t="s">
        <v>344</v>
      </c>
      <c r="BM156" s="139" t="s">
        <v>6358</v>
      </c>
    </row>
    <row r="157" spans="2:65" s="141" customFormat="1" x14ac:dyDescent="0.2">
      <c r="B157" s="142"/>
      <c r="D157" s="143" t="s">
        <v>346</v>
      </c>
      <c r="E157" s="144"/>
      <c r="F157" s="145" t="s">
        <v>6359</v>
      </c>
      <c r="H157" s="144"/>
      <c r="L157" s="142"/>
      <c r="M157" s="146"/>
      <c r="T157" s="147"/>
      <c r="AT157" s="144" t="s">
        <v>346</v>
      </c>
      <c r="AU157" s="144" t="s">
        <v>90</v>
      </c>
      <c r="AV157" s="141" t="s">
        <v>87</v>
      </c>
      <c r="AW157" s="141" t="s">
        <v>33</v>
      </c>
      <c r="AX157" s="141" t="s">
        <v>80</v>
      </c>
      <c r="AY157" s="144" t="s">
        <v>337</v>
      </c>
    </row>
    <row r="158" spans="2:65" s="148" customFormat="1" x14ac:dyDescent="0.2">
      <c r="B158" s="149"/>
      <c r="D158" s="143" t="s">
        <v>346</v>
      </c>
      <c r="E158" s="150"/>
      <c r="F158" s="151" t="s">
        <v>6360</v>
      </c>
      <c r="H158" s="152">
        <v>30.65</v>
      </c>
      <c r="L158" s="149"/>
      <c r="M158" s="153"/>
      <c r="T158" s="154"/>
      <c r="AT158" s="150" t="s">
        <v>346</v>
      </c>
      <c r="AU158" s="150" t="s">
        <v>90</v>
      </c>
      <c r="AV158" s="148" t="s">
        <v>90</v>
      </c>
      <c r="AW158" s="148" t="s">
        <v>33</v>
      </c>
      <c r="AX158" s="148" t="s">
        <v>87</v>
      </c>
      <c r="AY158" s="150" t="s">
        <v>337</v>
      </c>
    </row>
    <row r="159" spans="2:65" s="16" customFormat="1" ht="16.5" customHeight="1" x14ac:dyDescent="0.2">
      <c r="B159" s="17"/>
      <c r="C159" s="128">
        <v>5</v>
      </c>
      <c r="D159" s="128" t="s">
        <v>339</v>
      </c>
      <c r="E159" s="129" t="s">
        <v>6361</v>
      </c>
      <c r="F159" s="130" t="s">
        <v>6362</v>
      </c>
      <c r="G159" s="131" t="s">
        <v>425</v>
      </c>
      <c r="H159" s="132">
        <v>30.65</v>
      </c>
      <c r="I159" s="133"/>
      <c r="J159" s="134">
        <f>ROUND(I159*H159,2)</f>
        <v>0</v>
      </c>
      <c r="K159" s="130" t="s">
        <v>343</v>
      </c>
      <c r="L159" s="17"/>
      <c r="M159" s="135"/>
      <c r="N159" s="136" t="s">
        <v>45</v>
      </c>
      <c r="P159" s="137">
        <f>O159*H159</f>
        <v>0</v>
      </c>
      <c r="Q159" s="137">
        <v>0</v>
      </c>
      <c r="R159" s="137">
        <f>Q159*H159</f>
        <v>0</v>
      </c>
      <c r="S159" s="137">
        <v>0</v>
      </c>
      <c r="T159" s="138">
        <f>S159*H159</f>
        <v>0</v>
      </c>
      <c r="AR159" s="139" t="s">
        <v>344</v>
      </c>
      <c r="AT159" s="139" t="s">
        <v>339</v>
      </c>
      <c r="AU159" s="139" t="s">
        <v>90</v>
      </c>
      <c r="AY159" s="2" t="s">
        <v>337</v>
      </c>
      <c r="BE159" s="140">
        <f>IF(N159="základní",J159,0)</f>
        <v>0</v>
      </c>
      <c r="BF159" s="140">
        <f>IF(N159="snížená",J159,0)</f>
        <v>0</v>
      </c>
      <c r="BG159" s="140">
        <f>IF(N159="zákl. přenesená",J159,0)</f>
        <v>0</v>
      </c>
      <c r="BH159" s="140">
        <f>IF(N159="sníž. přenesená",J159,0)</f>
        <v>0</v>
      </c>
      <c r="BI159" s="140">
        <f>IF(N159="nulová",J159,0)</f>
        <v>0</v>
      </c>
      <c r="BJ159" s="2" t="s">
        <v>87</v>
      </c>
      <c r="BK159" s="140">
        <f>ROUND(I159*H159,2)</f>
        <v>0</v>
      </c>
      <c r="BL159" s="2" t="s">
        <v>344</v>
      </c>
      <c r="BM159" s="139" t="s">
        <v>6363</v>
      </c>
    </row>
    <row r="160" spans="2:65" s="16" customFormat="1" ht="16.5" customHeight="1" x14ac:dyDescent="0.2">
      <c r="B160" s="17"/>
      <c r="C160" s="128">
        <v>6</v>
      </c>
      <c r="D160" s="128" t="s">
        <v>339</v>
      </c>
      <c r="E160" s="129" t="s">
        <v>3151</v>
      </c>
      <c r="F160" s="130" t="s">
        <v>3152</v>
      </c>
      <c r="G160" s="131" t="s">
        <v>425</v>
      </c>
      <c r="H160" s="132">
        <v>57.32</v>
      </c>
      <c r="I160" s="133"/>
      <c r="J160" s="134">
        <f>ROUND(I160*H160,2)</f>
        <v>0</v>
      </c>
      <c r="K160" s="130" t="s">
        <v>343</v>
      </c>
      <c r="L160" s="17"/>
      <c r="M160" s="135"/>
      <c r="N160" s="136" t="s">
        <v>45</v>
      </c>
      <c r="P160" s="137">
        <f>O160*H160</f>
        <v>0</v>
      </c>
      <c r="Q160" s="137">
        <v>6.9999999999999999E-4</v>
      </c>
      <c r="R160" s="137">
        <f>Q160*H160</f>
        <v>4.0124E-2</v>
      </c>
      <c r="S160" s="137">
        <v>0</v>
      </c>
      <c r="T160" s="138">
        <f>S160*H160</f>
        <v>0</v>
      </c>
      <c r="AR160" s="139" t="s">
        <v>344</v>
      </c>
      <c r="AT160" s="139" t="s">
        <v>339</v>
      </c>
      <c r="AU160" s="139" t="s">
        <v>90</v>
      </c>
      <c r="AY160" s="2" t="s">
        <v>337</v>
      </c>
      <c r="BE160" s="140">
        <f>IF(N160="základní",J160,0)</f>
        <v>0</v>
      </c>
      <c r="BF160" s="140">
        <f>IF(N160="snížená",J160,0)</f>
        <v>0</v>
      </c>
      <c r="BG160" s="140">
        <f>IF(N160="zákl. přenesená",J160,0)</f>
        <v>0</v>
      </c>
      <c r="BH160" s="140">
        <f>IF(N160="sníž. přenesená",J160,0)</f>
        <v>0</v>
      </c>
      <c r="BI160" s="140">
        <f>IF(N160="nulová",J160,0)</f>
        <v>0</v>
      </c>
      <c r="BJ160" s="2" t="s">
        <v>87</v>
      </c>
      <c r="BK160" s="140">
        <f>ROUND(I160*H160,2)</f>
        <v>0</v>
      </c>
      <c r="BL160" s="2" t="s">
        <v>344</v>
      </c>
      <c r="BM160" s="139" t="s">
        <v>6364</v>
      </c>
    </row>
    <row r="161" spans="2:65" s="141" customFormat="1" x14ac:dyDescent="0.2">
      <c r="B161" s="142"/>
      <c r="D161" s="143" t="s">
        <v>346</v>
      </c>
      <c r="E161" s="144"/>
      <c r="F161" s="145" t="s">
        <v>6365</v>
      </c>
      <c r="H161" s="144"/>
      <c r="L161" s="142"/>
      <c r="M161" s="146"/>
      <c r="T161" s="147"/>
      <c r="AT161" s="144" t="s">
        <v>346</v>
      </c>
      <c r="AU161" s="144" t="s">
        <v>90</v>
      </c>
      <c r="AV161" s="141" t="s">
        <v>87</v>
      </c>
      <c r="AW161" s="141" t="s">
        <v>33</v>
      </c>
      <c r="AX161" s="141" t="s">
        <v>80</v>
      </c>
      <c r="AY161" s="144" t="s">
        <v>337</v>
      </c>
    </row>
    <row r="162" spans="2:65" s="148" customFormat="1" x14ac:dyDescent="0.2">
      <c r="B162" s="149"/>
      <c r="D162" s="143" t="s">
        <v>346</v>
      </c>
      <c r="E162" s="150"/>
      <c r="F162" s="151" t="s">
        <v>6366</v>
      </c>
      <c r="H162" s="152">
        <v>8.61</v>
      </c>
      <c r="L162" s="149"/>
      <c r="M162" s="153"/>
      <c r="T162" s="154"/>
      <c r="AT162" s="150" t="s">
        <v>346</v>
      </c>
      <c r="AU162" s="150" t="s">
        <v>90</v>
      </c>
      <c r="AV162" s="148" t="s">
        <v>90</v>
      </c>
      <c r="AW162" s="148" t="s">
        <v>33</v>
      </c>
      <c r="AX162" s="148" t="s">
        <v>80</v>
      </c>
      <c r="AY162" s="150" t="s">
        <v>337</v>
      </c>
    </row>
    <row r="163" spans="2:65" s="141" customFormat="1" x14ac:dyDescent="0.2">
      <c r="B163" s="142"/>
      <c r="D163" s="143" t="s">
        <v>346</v>
      </c>
      <c r="E163" s="144"/>
      <c r="F163" s="145" t="s">
        <v>6367</v>
      </c>
      <c r="H163" s="144"/>
      <c r="L163" s="142"/>
      <c r="M163" s="146"/>
      <c r="T163" s="147"/>
      <c r="AT163" s="144" t="s">
        <v>346</v>
      </c>
      <c r="AU163" s="144" t="s">
        <v>90</v>
      </c>
      <c r="AV163" s="141" t="s">
        <v>87</v>
      </c>
      <c r="AW163" s="141" t="s">
        <v>33</v>
      </c>
      <c r="AX163" s="141" t="s">
        <v>80</v>
      </c>
      <c r="AY163" s="144" t="s">
        <v>337</v>
      </c>
    </row>
    <row r="164" spans="2:65" s="148" customFormat="1" x14ac:dyDescent="0.2">
      <c r="B164" s="149"/>
      <c r="D164" s="143" t="s">
        <v>346</v>
      </c>
      <c r="E164" s="150"/>
      <c r="F164" s="151" t="s">
        <v>6368</v>
      </c>
      <c r="H164" s="152">
        <v>48.71</v>
      </c>
      <c r="L164" s="149"/>
      <c r="M164" s="153"/>
      <c r="T164" s="154"/>
      <c r="AT164" s="150" t="s">
        <v>346</v>
      </c>
      <c r="AU164" s="150" t="s">
        <v>90</v>
      </c>
      <c r="AV164" s="148" t="s">
        <v>90</v>
      </c>
      <c r="AW164" s="148" t="s">
        <v>33</v>
      </c>
      <c r="AX164" s="148" t="s">
        <v>80</v>
      </c>
      <c r="AY164" s="150" t="s">
        <v>337</v>
      </c>
    </row>
    <row r="165" spans="2:65" s="155" customFormat="1" x14ac:dyDescent="0.2">
      <c r="B165" s="156"/>
      <c r="D165" s="143" t="s">
        <v>346</v>
      </c>
      <c r="E165" s="157"/>
      <c r="F165" s="158" t="s">
        <v>351</v>
      </c>
      <c r="H165" s="159">
        <v>57.32</v>
      </c>
      <c r="L165" s="156"/>
      <c r="M165" s="160"/>
      <c r="T165" s="161"/>
      <c r="AT165" s="157" t="s">
        <v>346</v>
      </c>
      <c r="AU165" s="157" t="s">
        <v>90</v>
      </c>
      <c r="AV165" s="155" t="s">
        <v>344</v>
      </c>
      <c r="AW165" s="155" t="s">
        <v>33</v>
      </c>
      <c r="AX165" s="155" t="s">
        <v>87</v>
      </c>
      <c r="AY165" s="157" t="s">
        <v>337</v>
      </c>
    </row>
    <row r="166" spans="2:65" s="16" customFormat="1" ht="16.5" customHeight="1" x14ac:dyDescent="0.2">
      <c r="B166" s="17"/>
      <c r="C166" s="128">
        <v>7</v>
      </c>
      <c r="D166" s="128" t="s">
        <v>339</v>
      </c>
      <c r="E166" s="129" t="s">
        <v>3155</v>
      </c>
      <c r="F166" s="130" t="s">
        <v>3156</v>
      </c>
      <c r="G166" s="131" t="s">
        <v>425</v>
      </c>
      <c r="H166" s="132">
        <v>57.32</v>
      </c>
      <c r="I166" s="133"/>
      <c r="J166" s="134">
        <f>ROUND(I166*H166,2)</f>
        <v>0</v>
      </c>
      <c r="K166" s="130" t="s">
        <v>343</v>
      </c>
      <c r="L166" s="17"/>
      <c r="M166" s="135"/>
      <c r="N166" s="136" t="s">
        <v>45</v>
      </c>
      <c r="P166" s="137">
        <f>O166*H166</f>
        <v>0</v>
      </c>
      <c r="Q166" s="137">
        <v>0</v>
      </c>
      <c r="R166" s="137">
        <f>Q166*H166</f>
        <v>0</v>
      </c>
      <c r="S166" s="137">
        <v>0</v>
      </c>
      <c r="T166" s="138">
        <f>S166*H166</f>
        <v>0</v>
      </c>
      <c r="AR166" s="139" t="s">
        <v>344</v>
      </c>
      <c r="AT166" s="139" t="s">
        <v>339</v>
      </c>
      <c r="AU166" s="139" t="s">
        <v>90</v>
      </c>
      <c r="AY166" s="2" t="s">
        <v>337</v>
      </c>
      <c r="BE166" s="140">
        <f>IF(N166="základní",J166,0)</f>
        <v>0</v>
      </c>
      <c r="BF166" s="140">
        <f>IF(N166="snížená",J166,0)</f>
        <v>0</v>
      </c>
      <c r="BG166" s="140">
        <f>IF(N166="zákl. přenesená",J166,0)</f>
        <v>0</v>
      </c>
      <c r="BH166" s="140">
        <f>IF(N166="sníž. přenesená",J166,0)</f>
        <v>0</v>
      </c>
      <c r="BI166" s="140">
        <f>IF(N166="nulová",J166,0)</f>
        <v>0</v>
      </c>
      <c r="BJ166" s="2" t="s">
        <v>87</v>
      </c>
      <c r="BK166" s="140">
        <f>ROUND(I166*H166,2)</f>
        <v>0</v>
      </c>
      <c r="BL166" s="2" t="s">
        <v>344</v>
      </c>
      <c r="BM166" s="139" t="s">
        <v>6369</v>
      </c>
    </row>
    <row r="167" spans="2:65" s="16" customFormat="1" ht="16.5" customHeight="1" x14ac:dyDescent="0.2">
      <c r="B167" s="17"/>
      <c r="C167" s="128">
        <v>8</v>
      </c>
      <c r="D167" s="128" t="s">
        <v>339</v>
      </c>
      <c r="E167" s="129" t="s">
        <v>6370</v>
      </c>
      <c r="F167" s="130" t="s">
        <v>6371</v>
      </c>
      <c r="G167" s="131" t="s">
        <v>342</v>
      </c>
      <c r="H167" s="132">
        <v>77.400000000000006</v>
      </c>
      <c r="I167" s="133"/>
      <c r="J167" s="134">
        <f>ROUND(I167*H167,2)</f>
        <v>0</v>
      </c>
      <c r="K167" s="130" t="s">
        <v>343</v>
      </c>
      <c r="L167" s="17"/>
      <c r="M167" s="135"/>
      <c r="N167" s="136" t="s">
        <v>45</v>
      </c>
      <c r="P167" s="137">
        <f>O167*H167</f>
        <v>0</v>
      </c>
      <c r="Q167" s="137">
        <v>4.6000000000000001E-4</v>
      </c>
      <c r="R167" s="137">
        <f>Q167*H167</f>
        <v>3.5604000000000004E-2</v>
      </c>
      <c r="S167" s="137">
        <v>0</v>
      </c>
      <c r="T167" s="138">
        <f>S167*H167</f>
        <v>0</v>
      </c>
      <c r="AR167" s="139" t="s">
        <v>344</v>
      </c>
      <c r="AT167" s="139" t="s">
        <v>339</v>
      </c>
      <c r="AU167" s="139" t="s">
        <v>90</v>
      </c>
      <c r="AY167" s="2" t="s">
        <v>337</v>
      </c>
      <c r="BE167" s="140">
        <f>IF(N167="základní",J167,0)</f>
        <v>0</v>
      </c>
      <c r="BF167" s="140">
        <f>IF(N167="snížená",J167,0)</f>
        <v>0</v>
      </c>
      <c r="BG167" s="140">
        <f>IF(N167="zákl. přenesená",J167,0)</f>
        <v>0</v>
      </c>
      <c r="BH167" s="140">
        <f>IF(N167="sníž. přenesená",J167,0)</f>
        <v>0</v>
      </c>
      <c r="BI167" s="140">
        <f>IF(N167="nulová",J167,0)</f>
        <v>0</v>
      </c>
      <c r="BJ167" s="2" t="s">
        <v>87</v>
      </c>
      <c r="BK167" s="140">
        <f>ROUND(I167*H167,2)</f>
        <v>0</v>
      </c>
      <c r="BL167" s="2" t="s">
        <v>344</v>
      </c>
      <c r="BM167" s="139" t="s">
        <v>6372</v>
      </c>
    </row>
    <row r="168" spans="2:65" s="141" customFormat="1" x14ac:dyDescent="0.2">
      <c r="B168" s="142"/>
      <c r="D168" s="143" t="s">
        <v>346</v>
      </c>
      <c r="E168" s="144"/>
      <c r="F168" s="145" t="s">
        <v>6373</v>
      </c>
      <c r="H168" s="144"/>
      <c r="L168" s="142"/>
      <c r="M168" s="146"/>
      <c r="T168" s="147"/>
      <c r="AT168" s="144" t="s">
        <v>346</v>
      </c>
      <c r="AU168" s="144" t="s">
        <v>90</v>
      </c>
      <c r="AV168" s="141" t="s">
        <v>87</v>
      </c>
      <c r="AW168" s="141" t="s">
        <v>33</v>
      </c>
      <c r="AX168" s="141" t="s">
        <v>80</v>
      </c>
      <c r="AY168" s="144" t="s">
        <v>337</v>
      </c>
    </row>
    <row r="169" spans="2:65" s="148" customFormat="1" x14ac:dyDescent="0.2">
      <c r="B169" s="149"/>
      <c r="D169" s="143" t="s">
        <v>346</v>
      </c>
      <c r="E169" s="150"/>
      <c r="F169" s="151" t="s">
        <v>6346</v>
      </c>
      <c r="H169" s="152">
        <v>8.5</v>
      </c>
      <c r="L169" s="149"/>
      <c r="M169" s="153"/>
      <c r="T169" s="154"/>
      <c r="AT169" s="150" t="s">
        <v>346</v>
      </c>
      <c r="AU169" s="150" t="s">
        <v>90</v>
      </c>
      <c r="AV169" s="148" t="s">
        <v>90</v>
      </c>
      <c r="AW169" s="148" t="s">
        <v>33</v>
      </c>
      <c r="AX169" s="148" t="s">
        <v>80</v>
      </c>
      <c r="AY169" s="150" t="s">
        <v>337</v>
      </c>
    </row>
    <row r="170" spans="2:65" s="141" customFormat="1" x14ac:dyDescent="0.2">
      <c r="B170" s="142"/>
      <c r="D170" s="143" t="s">
        <v>346</v>
      </c>
      <c r="E170" s="144"/>
      <c r="F170" s="145" t="s">
        <v>6374</v>
      </c>
      <c r="H170" s="144"/>
      <c r="L170" s="142"/>
      <c r="M170" s="146"/>
      <c r="T170" s="147"/>
      <c r="AT170" s="144" t="s">
        <v>346</v>
      </c>
      <c r="AU170" s="144" t="s">
        <v>90</v>
      </c>
      <c r="AV170" s="141" t="s">
        <v>87</v>
      </c>
      <c r="AW170" s="141" t="s">
        <v>33</v>
      </c>
      <c r="AX170" s="141" t="s">
        <v>80</v>
      </c>
      <c r="AY170" s="144" t="s">
        <v>337</v>
      </c>
    </row>
    <row r="171" spans="2:65" s="148" customFormat="1" x14ac:dyDescent="0.2">
      <c r="B171" s="149"/>
      <c r="D171" s="143" t="s">
        <v>346</v>
      </c>
      <c r="E171" s="150"/>
      <c r="F171" s="151" t="s">
        <v>6375</v>
      </c>
      <c r="H171" s="152">
        <v>68.900000000000006</v>
      </c>
      <c r="L171" s="149"/>
      <c r="M171" s="153"/>
      <c r="T171" s="154"/>
      <c r="AT171" s="150" t="s">
        <v>346</v>
      </c>
      <c r="AU171" s="150" t="s">
        <v>90</v>
      </c>
      <c r="AV171" s="148" t="s">
        <v>90</v>
      </c>
      <c r="AW171" s="148" t="s">
        <v>33</v>
      </c>
      <c r="AX171" s="148" t="s">
        <v>80</v>
      </c>
      <c r="AY171" s="150" t="s">
        <v>337</v>
      </c>
    </row>
    <row r="172" spans="2:65" s="155" customFormat="1" x14ac:dyDescent="0.2">
      <c r="B172" s="156"/>
      <c r="D172" s="143" t="s">
        <v>346</v>
      </c>
      <c r="E172" s="157"/>
      <c r="F172" s="158" t="s">
        <v>351</v>
      </c>
      <c r="H172" s="159">
        <v>77.400000000000006</v>
      </c>
      <c r="L172" s="156"/>
      <c r="M172" s="160"/>
      <c r="T172" s="161"/>
      <c r="AT172" s="157" t="s">
        <v>346</v>
      </c>
      <c r="AU172" s="157" t="s">
        <v>90</v>
      </c>
      <c r="AV172" s="155" t="s">
        <v>344</v>
      </c>
      <c r="AW172" s="155" t="s">
        <v>33</v>
      </c>
      <c r="AX172" s="155" t="s">
        <v>87</v>
      </c>
      <c r="AY172" s="157" t="s">
        <v>337</v>
      </c>
    </row>
    <row r="173" spans="2:65" s="16" customFormat="1" ht="16.5" customHeight="1" x14ac:dyDescent="0.2">
      <c r="B173" s="17"/>
      <c r="C173" s="128">
        <v>9</v>
      </c>
      <c r="D173" s="128" t="s">
        <v>339</v>
      </c>
      <c r="E173" s="129" t="s">
        <v>6376</v>
      </c>
      <c r="F173" s="130" t="s">
        <v>6377</v>
      </c>
      <c r="G173" s="131" t="s">
        <v>342</v>
      </c>
      <c r="H173" s="132">
        <v>77.400000000000006</v>
      </c>
      <c r="I173" s="133"/>
      <c r="J173" s="134">
        <f>ROUND(I173*H173,2)</f>
        <v>0</v>
      </c>
      <c r="K173" s="130" t="s">
        <v>343</v>
      </c>
      <c r="L173" s="17"/>
      <c r="M173" s="135"/>
      <c r="N173" s="136" t="s">
        <v>45</v>
      </c>
      <c r="P173" s="137">
        <f>O173*H173</f>
        <v>0</v>
      </c>
      <c r="Q173" s="137">
        <v>0</v>
      </c>
      <c r="R173" s="137">
        <f>Q173*H173</f>
        <v>0</v>
      </c>
      <c r="S173" s="137">
        <v>0</v>
      </c>
      <c r="T173" s="138">
        <f>S173*H173</f>
        <v>0</v>
      </c>
      <c r="AR173" s="139" t="s">
        <v>344</v>
      </c>
      <c r="AT173" s="139" t="s">
        <v>339</v>
      </c>
      <c r="AU173" s="139" t="s">
        <v>90</v>
      </c>
      <c r="AY173" s="2" t="s">
        <v>337</v>
      </c>
      <c r="BE173" s="140">
        <f>IF(N173="základní",J173,0)</f>
        <v>0</v>
      </c>
      <c r="BF173" s="140">
        <f>IF(N173="snížená",J173,0)</f>
        <v>0</v>
      </c>
      <c r="BG173" s="140">
        <f>IF(N173="zákl. přenesená",J173,0)</f>
        <v>0</v>
      </c>
      <c r="BH173" s="140">
        <f>IF(N173="sníž. přenesená",J173,0)</f>
        <v>0</v>
      </c>
      <c r="BI173" s="140">
        <f>IF(N173="nulová",J173,0)</f>
        <v>0</v>
      </c>
      <c r="BJ173" s="2" t="s">
        <v>87</v>
      </c>
      <c r="BK173" s="140">
        <f>ROUND(I173*H173,2)</f>
        <v>0</v>
      </c>
      <c r="BL173" s="2" t="s">
        <v>344</v>
      </c>
      <c r="BM173" s="139" t="s">
        <v>6378</v>
      </c>
    </row>
    <row r="174" spans="2:65" s="16" customFormat="1" ht="21.75" customHeight="1" x14ac:dyDescent="0.2">
      <c r="B174" s="17"/>
      <c r="C174" s="128">
        <v>10</v>
      </c>
      <c r="D174" s="128" t="s">
        <v>339</v>
      </c>
      <c r="E174" s="129" t="s">
        <v>3168</v>
      </c>
      <c r="F174" s="130" t="s">
        <v>3169</v>
      </c>
      <c r="G174" s="131" t="s">
        <v>342</v>
      </c>
      <c r="H174" s="132">
        <v>38.94</v>
      </c>
      <c r="I174" s="133"/>
      <c r="J174" s="134">
        <f>ROUND(I174*H174,2)</f>
        <v>0</v>
      </c>
      <c r="K174" s="130" t="s">
        <v>343</v>
      </c>
      <c r="L174" s="17"/>
      <c r="M174" s="135"/>
      <c r="N174" s="136" t="s">
        <v>45</v>
      </c>
      <c r="P174" s="137">
        <f>O174*H174</f>
        <v>0</v>
      </c>
      <c r="Q174" s="137">
        <v>0</v>
      </c>
      <c r="R174" s="137">
        <f>Q174*H174</f>
        <v>0</v>
      </c>
      <c r="S174" s="137">
        <v>0</v>
      </c>
      <c r="T174" s="138">
        <f>S174*H174</f>
        <v>0</v>
      </c>
      <c r="AR174" s="139" t="s">
        <v>344</v>
      </c>
      <c r="AT174" s="139" t="s">
        <v>339</v>
      </c>
      <c r="AU174" s="139" t="s">
        <v>90</v>
      </c>
      <c r="AY174" s="2" t="s">
        <v>337</v>
      </c>
      <c r="BE174" s="140">
        <f>IF(N174="základní",J174,0)</f>
        <v>0</v>
      </c>
      <c r="BF174" s="140">
        <f>IF(N174="snížená",J174,0)</f>
        <v>0</v>
      </c>
      <c r="BG174" s="140">
        <f>IF(N174="zákl. přenesená",J174,0)</f>
        <v>0</v>
      </c>
      <c r="BH174" s="140">
        <f>IF(N174="sníž. přenesená",J174,0)</f>
        <v>0</v>
      </c>
      <c r="BI174" s="140">
        <f>IF(N174="nulová",J174,0)</f>
        <v>0</v>
      </c>
      <c r="BJ174" s="2" t="s">
        <v>87</v>
      </c>
      <c r="BK174" s="140">
        <f>ROUND(I174*H174,2)</f>
        <v>0</v>
      </c>
      <c r="BL174" s="2" t="s">
        <v>344</v>
      </c>
      <c r="BM174" s="139" t="s">
        <v>6379</v>
      </c>
    </row>
    <row r="175" spans="2:65" s="141" customFormat="1" x14ac:dyDescent="0.2">
      <c r="B175" s="142"/>
      <c r="D175" s="143" t="s">
        <v>346</v>
      </c>
      <c r="E175" s="144"/>
      <c r="F175" s="145" t="s">
        <v>3171</v>
      </c>
      <c r="H175" s="144"/>
      <c r="L175" s="142"/>
      <c r="M175" s="146"/>
      <c r="T175" s="147"/>
      <c r="AT175" s="144" t="s">
        <v>346</v>
      </c>
      <c r="AU175" s="144" t="s">
        <v>90</v>
      </c>
      <c r="AV175" s="141" t="s">
        <v>87</v>
      </c>
      <c r="AW175" s="141" t="s">
        <v>33</v>
      </c>
      <c r="AX175" s="141" t="s">
        <v>80</v>
      </c>
      <c r="AY175" s="144" t="s">
        <v>337</v>
      </c>
    </row>
    <row r="176" spans="2:65" s="141" customFormat="1" x14ac:dyDescent="0.2">
      <c r="B176" s="142"/>
      <c r="D176" s="143" t="s">
        <v>346</v>
      </c>
      <c r="E176" s="144"/>
      <c r="F176" s="145" t="s">
        <v>3172</v>
      </c>
      <c r="H176" s="144"/>
      <c r="L176" s="142"/>
      <c r="M176" s="146"/>
      <c r="T176" s="147"/>
      <c r="AT176" s="144" t="s">
        <v>346</v>
      </c>
      <c r="AU176" s="144" t="s">
        <v>90</v>
      </c>
      <c r="AV176" s="141" t="s">
        <v>87</v>
      </c>
      <c r="AW176" s="141" t="s">
        <v>33</v>
      </c>
      <c r="AX176" s="141" t="s">
        <v>80</v>
      </c>
      <c r="AY176" s="144" t="s">
        <v>337</v>
      </c>
    </row>
    <row r="177" spans="2:65" s="148" customFormat="1" x14ac:dyDescent="0.2">
      <c r="B177" s="149"/>
      <c r="D177" s="143" t="s">
        <v>346</v>
      </c>
      <c r="E177" s="150"/>
      <c r="F177" s="151" t="s">
        <v>6328</v>
      </c>
      <c r="H177" s="152">
        <v>14.2</v>
      </c>
      <c r="L177" s="149"/>
      <c r="M177" s="153"/>
      <c r="T177" s="154"/>
      <c r="AT177" s="150" t="s">
        <v>346</v>
      </c>
      <c r="AU177" s="150" t="s">
        <v>90</v>
      </c>
      <c r="AV177" s="148" t="s">
        <v>90</v>
      </c>
      <c r="AW177" s="148" t="s">
        <v>33</v>
      </c>
      <c r="AX177" s="148" t="s">
        <v>80</v>
      </c>
      <c r="AY177" s="150" t="s">
        <v>337</v>
      </c>
    </row>
    <row r="178" spans="2:65" s="148" customFormat="1" x14ac:dyDescent="0.2">
      <c r="B178" s="149"/>
      <c r="D178" s="143" t="s">
        <v>346</v>
      </c>
      <c r="E178" s="150"/>
      <c r="F178" s="151" t="s">
        <v>6330</v>
      </c>
      <c r="H178" s="152">
        <v>68.88</v>
      </c>
      <c r="L178" s="149"/>
      <c r="M178" s="153"/>
      <c r="T178" s="154"/>
      <c r="AT178" s="150" t="s">
        <v>346</v>
      </c>
      <c r="AU178" s="150" t="s">
        <v>90</v>
      </c>
      <c r="AV178" s="148" t="s">
        <v>90</v>
      </c>
      <c r="AW178" s="148" t="s">
        <v>33</v>
      </c>
      <c r="AX178" s="148" t="s">
        <v>80</v>
      </c>
      <c r="AY178" s="150" t="s">
        <v>337</v>
      </c>
    </row>
    <row r="179" spans="2:65" s="148" customFormat="1" x14ac:dyDescent="0.2">
      <c r="B179" s="149"/>
      <c r="D179" s="143" t="s">
        <v>346</v>
      </c>
      <c r="E179" s="150"/>
      <c r="F179" s="151" t="s">
        <v>6332</v>
      </c>
      <c r="H179" s="152">
        <v>27.7</v>
      </c>
      <c r="L179" s="149"/>
      <c r="M179" s="153"/>
      <c r="T179" s="154"/>
      <c r="AT179" s="150" t="s">
        <v>346</v>
      </c>
      <c r="AU179" s="150" t="s">
        <v>90</v>
      </c>
      <c r="AV179" s="148" t="s">
        <v>90</v>
      </c>
      <c r="AW179" s="148" t="s">
        <v>33</v>
      </c>
      <c r="AX179" s="148" t="s">
        <v>80</v>
      </c>
      <c r="AY179" s="150" t="s">
        <v>337</v>
      </c>
    </row>
    <row r="180" spans="2:65" s="141" customFormat="1" x14ac:dyDescent="0.2">
      <c r="B180" s="142"/>
      <c r="D180" s="143" t="s">
        <v>346</v>
      </c>
      <c r="E180" s="144"/>
      <c r="F180" s="145" t="s">
        <v>3173</v>
      </c>
      <c r="H180" s="144"/>
      <c r="L180" s="142"/>
      <c r="M180" s="146"/>
      <c r="T180" s="147"/>
      <c r="AT180" s="144" t="s">
        <v>346</v>
      </c>
      <c r="AU180" s="144" t="s">
        <v>90</v>
      </c>
      <c r="AV180" s="141" t="s">
        <v>87</v>
      </c>
      <c r="AW180" s="141" t="s">
        <v>33</v>
      </c>
      <c r="AX180" s="141" t="s">
        <v>80</v>
      </c>
      <c r="AY180" s="144" t="s">
        <v>337</v>
      </c>
    </row>
    <row r="181" spans="2:65" s="148" customFormat="1" x14ac:dyDescent="0.2">
      <c r="B181" s="149"/>
      <c r="D181" s="143" t="s">
        <v>346</v>
      </c>
      <c r="E181" s="150"/>
      <c r="F181" s="151" t="s">
        <v>3174</v>
      </c>
      <c r="H181" s="152">
        <v>-71.84</v>
      </c>
      <c r="L181" s="149"/>
      <c r="M181" s="153"/>
      <c r="T181" s="154"/>
      <c r="AT181" s="150" t="s">
        <v>346</v>
      </c>
      <c r="AU181" s="150" t="s">
        <v>90</v>
      </c>
      <c r="AV181" s="148" t="s">
        <v>90</v>
      </c>
      <c r="AW181" s="148" t="s">
        <v>33</v>
      </c>
      <c r="AX181" s="148" t="s">
        <v>80</v>
      </c>
      <c r="AY181" s="150" t="s">
        <v>337</v>
      </c>
    </row>
    <row r="182" spans="2:65" s="155" customFormat="1" x14ac:dyDescent="0.2">
      <c r="B182" s="156"/>
      <c r="D182" s="143" t="s">
        <v>346</v>
      </c>
      <c r="E182" s="157" t="s">
        <v>3014</v>
      </c>
      <c r="F182" s="158" t="s">
        <v>351</v>
      </c>
      <c r="H182" s="159">
        <v>38.94</v>
      </c>
      <c r="L182" s="156"/>
      <c r="M182" s="160"/>
      <c r="T182" s="161"/>
      <c r="AT182" s="157" t="s">
        <v>346</v>
      </c>
      <c r="AU182" s="157" t="s">
        <v>90</v>
      </c>
      <c r="AV182" s="155" t="s">
        <v>344</v>
      </c>
      <c r="AW182" s="155" t="s">
        <v>33</v>
      </c>
      <c r="AX182" s="155" t="s">
        <v>87</v>
      </c>
      <c r="AY182" s="157" t="s">
        <v>337</v>
      </c>
    </row>
    <row r="183" spans="2:65" s="16" customFormat="1" ht="24.2" customHeight="1" x14ac:dyDescent="0.2">
      <c r="B183" s="17"/>
      <c r="C183" s="128">
        <v>11</v>
      </c>
      <c r="D183" s="128" t="s">
        <v>339</v>
      </c>
      <c r="E183" s="129" t="s">
        <v>3175</v>
      </c>
      <c r="F183" s="130" t="s">
        <v>3176</v>
      </c>
      <c r="G183" s="131" t="s">
        <v>342</v>
      </c>
      <c r="H183" s="132">
        <v>194.7</v>
      </c>
      <c r="I183" s="133"/>
      <c r="J183" s="134">
        <f>ROUND(I183*H183,2)</f>
        <v>0</v>
      </c>
      <c r="K183" s="130" t="s">
        <v>343</v>
      </c>
      <c r="L183" s="17"/>
      <c r="M183" s="135"/>
      <c r="N183" s="136" t="s">
        <v>45</v>
      </c>
      <c r="P183" s="137">
        <f>O183*H183</f>
        <v>0</v>
      </c>
      <c r="Q183" s="137">
        <v>0</v>
      </c>
      <c r="R183" s="137">
        <f>Q183*H183</f>
        <v>0</v>
      </c>
      <c r="S183" s="137">
        <v>0</v>
      </c>
      <c r="T183" s="138">
        <f>S183*H183</f>
        <v>0</v>
      </c>
      <c r="AR183" s="139" t="s">
        <v>344</v>
      </c>
      <c r="AT183" s="139" t="s">
        <v>339</v>
      </c>
      <c r="AU183" s="139" t="s">
        <v>90</v>
      </c>
      <c r="AY183" s="2" t="s">
        <v>337</v>
      </c>
      <c r="BE183" s="140">
        <f>IF(N183="základní",J183,0)</f>
        <v>0</v>
      </c>
      <c r="BF183" s="140">
        <f>IF(N183="snížená",J183,0)</f>
        <v>0</v>
      </c>
      <c r="BG183" s="140">
        <f>IF(N183="zákl. přenesená",J183,0)</f>
        <v>0</v>
      </c>
      <c r="BH183" s="140">
        <f>IF(N183="sníž. přenesená",J183,0)</f>
        <v>0</v>
      </c>
      <c r="BI183" s="140">
        <f>IF(N183="nulová",J183,0)</f>
        <v>0</v>
      </c>
      <c r="BJ183" s="2" t="s">
        <v>87</v>
      </c>
      <c r="BK183" s="140">
        <f>ROUND(I183*H183,2)</f>
        <v>0</v>
      </c>
      <c r="BL183" s="2" t="s">
        <v>344</v>
      </c>
      <c r="BM183" s="139" t="s">
        <v>6380</v>
      </c>
    </row>
    <row r="184" spans="2:65" s="148" customFormat="1" x14ac:dyDescent="0.2">
      <c r="B184" s="149"/>
      <c r="D184" s="143" t="s">
        <v>346</v>
      </c>
      <c r="E184" s="150"/>
      <c r="F184" s="151" t="s">
        <v>3178</v>
      </c>
      <c r="H184" s="152">
        <v>194.7</v>
      </c>
      <c r="L184" s="149"/>
      <c r="M184" s="153"/>
      <c r="T184" s="154"/>
      <c r="AT184" s="150" t="s">
        <v>346</v>
      </c>
      <c r="AU184" s="150" t="s">
        <v>90</v>
      </c>
      <c r="AV184" s="148" t="s">
        <v>90</v>
      </c>
      <c r="AW184" s="148" t="s">
        <v>33</v>
      </c>
      <c r="AX184" s="148" t="s">
        <v>87</v>
      </c>
      <c r="AY184" s="150" t="s">
        <v>337</v>
      </c>
    </row>
    <row r="185" spans="2:65" s="16" customFormat="1" ht="16.5" customHeight="1" x14ac:dyDescent="0.2">
      <c r="B185" s="17"/>
      <c r="C185" s="128">
        <v>12</v>
      </c>
      <c r="D185" s="128" t="s">
        <v>339</v>
      </c>
      <c r="E185" s="129" t="s">
        <v>3186</v>
      </c>
      <c r="F185" s="130" t="s">
        <v>3187</v>
      </c>
      <c r="G185" s="131" t="s">
        <v>990</v>
      </c>
      <c r="H185" s="132">
        <v>70.091999999999999</v>
      </c>
      <c r="I185" s="133"/>
      <c r="J185" s="134">
        <f>ROUND(I185*H185,2)</f>
        <v>0</v>
      </c>
      <c r="K185" s="130" t="s">
        <v>343</v>
      </c>
      <c r="L185" s="17"/>
      <c r="M185" s="135"/>
      <c r="N185" s="136" t="s">
        <v>45</v>
      </c>
      <c r="P185" s="137">
        <f>O185*H185</f>
        <v>0</v>
      </c>
      <c r="Q185" s="137">
        <v>0</v>
      </c>
      <c r="R185" s="137">
        <f>Q185*H185</f>
        <v>0</v>
      </c>
      <c r="S185" s="137">
        <v>0</v>
      </c>
      <c r="T185" s="138">
        <f>S185*H185</f>
        <v>0</v>
      </c>
      <c r="AR185" s="139" t="s">
        <v>344</v>
      </c>
      <c r="AT185" s="139" t="s">
        <v>339</v>
      </c>
      <c r="AU185" s="139" t="s">
        <v>90</v>
      </c>
      <c r="AY185" s="2" t="s">
        <v>337</v>
      </c>
      <c r="BE185" s="140">
        <f>IF(N185="základní",J185,0)</f>
        <v>0</v>
      </c>
      <c r="BF185" s="140">
        <f>IF(N185="snížená",J185,0)</f>
        <v>0</v>
      </c>
      <c r="BG185" s="140">
        <f>IF(N185="zákl. přenesená",J185,0)</f>
        <v>0</v>
      </c>
      <c r="BH185" s="140">
        <f>IF(N185="sníž. přenesená",J185,0)</f>
        <v>0</v>
      </c>
      <c r="BI185" s="140">
        <f>IF(N185="nulová",J185,0)</f>
        <v>0</v>
      </c>
      <c r="BJ185" s="2" t="s">
        <v>87</v>
      </c>
      <c r="BK185" s="140">
        <f>ROUND(I185*H185,2)</f>
        <v>0</v>
      </c>
      <c r="BL185" s="2" t="s">
        <v>344</v>
      </c>
      <c r="BM185" s="139" t="s">
        <v>6381</v>
      </c>
    </row>
    <row r="186" spans="2:65" s="148" customFormat="1" x14ac:dyDescent="0.2">
      <c r="B186" s="149"/>
      <c r="D186" s="143" t="s">
        <v>346</v>
      </c>
      <c r="E186" s="150"/>
      <c r="F186" s="151" t="s">
        <v>3189</v>
      </c>
      <c r="H186" s="152">
        <v>70.091999999999999</v>
      </c>
      <c r="L186" s="149"/>
      <c r="M186" s="153"/>
      <c r="T186" s="154"/>
      <c r="AT186" s="150" t="s">
        <v>346</v>
      </c>
      <c r="AU186" s="150" t="s">
        <v>90</v>
      </c>
      <c r="AV186" s="148" t="s">
        <v>90</v>
      </c>
      <c r="AW186" s="148" t="s">
        <v>33</v>
      </c>
      <c r="AX186" s="148" t="s">
        <v>87</v>
      </c>
      <c r="AY186" s="150" t="s">
        <v>337</v>
      </c>
    </row>
    <row r="187" spans="2:65" s="16" customFormat="1" ht="16.5" customHeight="1" x14ac:dyDescent="0.2">
      <c r="B187" s="17"/>
      <c r="C187" s="128">
        <v>13</v>
      </c>
      <c r="D187" s="128" t="s">
        <v>339</v>
      </c>
      <c r="E187" s="129" t="s">
        <v>3190</v>
      </c>
      <c r="F187" s="130" t="s">
        <v>3191</v>
      </c>
      <c r="G187" s="131" t="s">
        <v>342</v>
      </c>
      <c r="H187" s="132">
        <v>38.94</v>
      </c>
      <c r="I187" s="133"/>
      <c r="J187" s="134">
        <f>ROUND(I187*H187,2)</f>
        <v>0</v>
      </c>
      <c r="K187" s="130" t="s">
        <v>343</v>
      </c>
      <c r="L187" s="17"/>
      <c r="M187" s="135"/>
      <c r="N187" s="136" t="s">
        <v>45</v>
      </c>
      <c r="P187" s="137">
        <f>O187*H187</f>
        <v>0</v>
      </c>
      <c r="Q187" s="137">
        <v>0</v>
      </c>
      <c r="R187" s="137">
        <f>Q187*H187</f>
        <v>0</v>
      </c>
      <c r="S187" s="137">
        <v>0</v>
      </c>
      <c r="T187" s="138">
        <f>S187*H187</f>
        <v>0</v>
      </c>
      <c r="AR187" s="139" t="s">
        <v>344</v>
      </c>
      <c r="AT187" s="139" t="s">
        <v>339</v>
      </c>
      <c r="AU187" s="139" t="s">
        <v>90</v>
      </c>
      <c r="AY187" s="2" t="s">
        <v>337</v>
      </c>
      <c r="BE187" s="140">
        <f>IF(N187="základní",J187,0)</f>
        <v>0</v>
      </c>
      <c r="BF187" s="140">
        <f>IF(N187="snížená",J187,0)</f>
        <v>0</v>
      </c>
      <c r="BG187" s="140">
        <f>IF(N187="zákl. přenesená",J187,0)</f>
        <v>0</v>
      </c>
      <c r="BH187" s="140">
        <f>IF(N187="sníž. přenesená",J187,0)</f>
        <v>0</v>
      </c>
      <c r="BI187" s="140">
        <f>IF(N187="nulová",J187,0)</f>
        <v>0</v>
      </c>
      <c r="BJ187" s="2" t="s">
        <v>87</v>
      </c>
      <c r="BK187" s="140">
        <f>ROUND(I187*H187,2)</f>
        <v>0</v>
      </c>
      <c r="BL187" s="2" t="s">
        <v>344</v>
      </c>
      <c r="BM187" s="139" t="s">
        <v>6382</v>
      </c>
    </row>
    <row r="188" spans="2:65" s="141" customFormat="1" x14ac:dyDescent="0.2">
      <c r="B188" s="142"/>
      <c r="D188" s="143" t="s">
        <v>346</v>
      </c>
      <c r="E188" s="144"/>
      <c r="F188" s="145" t="s">
        <v>3194</v>
      </c>
      <c r="H188" s="144"/>
      <c r="L188" s="142"/>
      <c r="M188" s="146"/>
      <c r="T188" s="147"/>
      <c r="AT188" s="144" t="s">
        <v>346</v>
      </c>
      <c r="AU188" s="144" t="s">
        <v>90</v>
      </c>
      <c r="AV188" s="141" t="s">
        <v>87</v>
      </c>
      <c r="AW188" s="141" t="s">
        <v>33</v>
      </c>
      <c r="AX188" s="141" t="s">
        <v>80</v>
      </c>
      <c r="AY188" s="144" t="s">
        <v>337</v>
      </c>
    </row>
    <row r="189" spans="2:65" s="148" customFormat="1" x14ac:dyDescent="0.2">
      <c r="B189" s="149"/>
      <c r="D189" s="143" t="s">
        <v>346</v>
      </c>
      <c r="E189" s="150"/>
      <c r="F189" s="151" t="s">
        <v>3014</v>
      </c>
      <c r="H189" s="152">
        <v>38.94</v>
      </c>
      <c r="L189" s="149"/>
      <c r="M189" s="153"/>
      <c r="T189" s="154"/>
      <c r="AT189" s="150" t="s">
        <v>346</v>
      </c>
      <c r="AU189" s="150" t="s">
        <v>90</v>
      </c>
      <c r="AV189" s="148" t="s">
        <v>90</v>
      </c>
      <c r="AW189" s="148" t="s">
        <v>33</v>
      </c>
      <c r="AX189" s="148" t="s">
        <v>87</v>
      </c>
      <c r="AY189" s="150" t="s">
        <v>337</v>
      </c>
    </row>
    <row r="190" spans="2:65" s="16" customFormat="1" ht="16.5" customHeight="1" x14ac:dyDescent="0.2">
      <c r="B190" s="17"/>
      <c r="C190" s="128">
        <v>14</v>
      </c>
      <c r="D190" s="128" t="s">
        <v>339</v>
      </c>
      <c r="E190" s="129" t="s">
        <v>3195</v>
      </c>
      <c r="F190" s="130" t="s">
        <v>3196</v>
      </c>
      <c r="G190" s="131" t="s">
        <v>342</v>
      </c>
      <c r="H190" s="132">
        <v>71.84</v>
      </c>
      <c r="I190" s="133"/>
      <c r="J190" s="134">
        <f>ROUND(I190*H190,2)</f>
        <v>0</v>
      </c>
      <c r="K190" s="130" t="s">
        <v>343</v>
      </c>
      <c r="L190" s="17"/>
      <c r="M190" s="135"/>
      <c r="N190" s="136" t="s">
        <v>45</v>
      </c>
      <c r="P190" s="137">
        <f>O190*H190</f>
        <v>0</v>
      </c>
      <c r="Q190" s="137">
        <v>0</v>
      </c>
      <c r="R190" s="137">
        <f>Q190*H190</f>
        <v>0</v>
      </c>
      <c r="S190" s="137">
        <v>0</v>
      </c>
      <c r="T190" s="138">
        <f>S190*H190</f>
        <v>0</v>
      </c>
      <c r="AR190" s="139" t="s">
        <v>344</v>
      </c>
      <c r="AT190" s="139" t="s">
        <v>339</v>
      </c>
      <c r="AU190" s="139" t="s">
        <v>90</v>
      </c>
      <c r="AY190" s="2" t="s">
        <v>337</v>
      </c>
      <c r="BE190" s="140">
        <f>IF(N190="základní",J190,0)</f>
        <v>0</v>
      </c>
      <c r="BF190" s="140">
        <f>IF(N190="snížená",J190,0)</f>
        <v>0</v>
      </c>
      <c r="BG190" s="140">
        <f>IF(N190="zákl. přenesená",J190,0)</f>
        <v>0</v>
      </c>
      <c r="BH190" s="140">
        <f>IF(N190="sníž. přenesená",J190,0)</f>
        <v>0</v>
      </c>
      <c r="BI190" s="140">
        <f>IF(N190="nulová",J190,0)</f>
        <v>0</v>
      </c>
      <c r="BJ190" s="2" t="s">
        <v>87</v>
      </c>
      <c r="BK190" s="140">
        <f>ROUND(I190*H190,2)</f>
        <v>0</v>
      </c>
      <c r="BL190" s="2" t="s">
        <v>344</v>
      </c>
      <c r="BM190" s="139" t="s">
        <v>6383</v>
      </c>
    </row>
    <row r="191" spans="2:65" s="141" customFormat="1" x14ac:dyDescent="0.2">
      <c r="B191" s="142"/>
      <c r="D191" s="143" t="s">
        <v>346</v>
      </c>
      <c r="E191" s="144"/>
      <c r="F191" s="145" t="s">
        <v>6384</v>
      </c>
      <c r="H191" s="144"/>
      <c r="L191" s="142"/>
      <c r="M191" s="146"/>
      <c r="T191" s="147"/>
      <c r="AT191" s="144" t="s">
        <v>346</v>
      </c>
      <c r="AU191" s="144" t="s">
        <v>90</v>
      </c>
      <c r="AV191" s="141" t="s">
        <v>87</v>
      </c>
      <c r="AW191" s="141" t="s">
        <v>33</v>
      </c>
      <c r="AX191" s="141" t="s">
        <v>80</v>
      </c>
      <c r="AY191" s="144" t="s">
        <v>337</v>
      </c>
    </row>
    <row r="192" spans="2:65" s="148" customFormat="1" x14ac:dyDescent="0.2">
      <c r="B192" s="149"/>
      <c r="D192" s="143" t="s">
        <v>346</v>
      </c>
      <c r="E192" s="150"/>
      <c r="F192" s="151" t="s">
        <v>6385</v>
      </c>
      <c r="H192" s="152">
        <v>13.65</v>
      </c>
      <c r="L192" s="149"/>
      <c r="M192" s="153"/>
      <c r="T192" s="154"/>
      <c r="AT192" s="150" t="s">
        <v>346</v>
      </c>
      <c r="AU192" s="150" t="s">
        <v>90</v>
      </c>
      <c r="AV192" s="148" t="s">
        <v>90</v>
      </c>
      <c r="AW192" s="148" t="s">
        <v>33</v>
      </c>
      <c r="AX192" s="148" t="s">
        <v>80</v>
      </c>
      <c r="AY192" s="150" t="s">
        <v>337</v>
      </c>
    </row>
    <row r="193" spans="2:65" s="141" customFormat="1" x14ac:dyDescent="0.2">
      <c r="B193" s="142"/>
      <c r="D193" s="143" t="s">
        <v>346</v>
      </c>
      <c r="E193" s="144"/>
      <c r="F193" s="145" t="s">
        <v>6386</v>
      </c>
      <c r="H193" s="144"/>
      <c r="L193" s="142"/>
      <c r="M193" s="146"/>
      <c r="T193" s="147"/>
      <c r="AT193" s="144" t="s">
        <v>346</v>
      </c>
      <c r="AU193" s="144" t="s">
        <v>90</v>
      </c>
      <c r="AV193" s="141" t="s">
        <v>87</v>
      </c>
      <c r="AW193" s="141" t="s">
        <v>33</v>
      </c>
      <c r="AX193" s="141" t="s">
        <v>80</v>
      </c>
      <c r="AY193" s="144" t="s">
        <v>337</v>
      </c>
    </row>
    <row r="194" spans="2:65" s="148" customFormat="1" x14ac:dyDescent="0.2">
      <c r="B194" s="149"/>
      <c r="D194" s="143" t="s">
        <v>346</v>
      </c>
      <c r="E194" s="150"/>
      <c r="F194" s="151" t="s">
        <v>6387</v>
      </c>
      <c r="H194" s="152">
        <v>4.7</v>
      </c>
      <c r="L194" s="149"/>
      <c r="M194" s="153"/>
      <c r="T194" s="154"/>
      <c r="AT194" s="150" t="s">
        <v>346</v>
      </c>
      <c r="AU194" s="150" t="s">
        <v>90</v>
      </c>
      <c r="AV194" s="148" t="s">
        <v>90</v>
      </c>
      <c r="AW194" s="148" t="s">
        <v>33</v>
      </c>
      <c r="AX194" s="148" t="s">
        <v>80</v>
      </c>
      <c r="AY194" s="150" t="s">
        <v>337</v>
      </c>
    </row>
    <row r="195" spans="2:65" s="141" customFormat="1" x14ac:dyDescent="0.2">
      <c r="B195" s="142"/>
      <c r="D195" s="143" t="s">
        <v>346</v>
      </c>
      <c r="E195" s="144"/>
      <c r="F195" s="145" t="s">
        <v>6388</v>
      </c>
      <c r="H195" s="144"/>
      <c r="L195" s="142"/>
      <c r="M195" s="146"/>
      <c r="T195" s="147"/>
      <c r="AT195" s="144" t="s">
        <v>346</v>
      </c>
      <c r="AU195" s="144" t="s">
        <v>90</v>
      </c>
      <c r="AV195" s="141" t="s">
        <v>87</v>
      </c>
      <c r="AW195" s="141" t="s">
        <v>33</v>
      </c>
      <c r="AX195" s="141" t="s">
        <v>80</v>
      </c>
      <c r="AY195" s="144" t="s">
        <v>337</v>
      </c>
    </row>
    <row r="196" spans="2:65" s="148" customFormat="1" x14ac:dyDescent="0.2">
      <c r="B196" s="149"/>
      <c r="D196" s="143" t="s">
        <v>346</v>
      </c>
      <c r="E196" s="150"/>
      <c r="F196" s="151" t="s">
        <v>6389</v>
      </c>
      <c r="H196" s="152">
        <v>7.54</v>
      </c>
      <c r="L196" s="149"/>
      <c r="M196" s="153"/>
      <c r="T196" s="154"/>
      <c r="AT196" s="150" t="s">
        <v>346</v>
      </c>
      <c r="AU196" s="150" t="s">
        <v>90</v>
      </c>
      <c r="AV196" s="148" t="s">
        <v>90</v>
      </c>
      <c r="AW196" s="148" t="s">
        <v>33</v>
      </c>
      <c r="AX196" s="148" t="s">
        <v>80</v>
      </c>
      <c r="AY196" s="150" t="s">
        <v>337</v>
      </c>
    </row>
    <row r="197" spans="2:65" s="141" customFormat="1" x14ac:dyDescent="0.2">
      <c r="B197" s="142"/>
      <c r="D197" s="143" t="s">
        <v>346</v>
      </c>
      <c r="E197" s="144"/>
      <c r="F197" s="145" t="s">
        <v>6390</v>
      </c>
      <c r="H197" s="144"/>
      <c r="L197" s="142"/>
      <c r="M197" s="146"/>
      <c r="T197" s="147"/>
      <c r="AT197" s="144" t="s">
        <v>346</v>
      </c>
      <c r="AU197" s="144" t="s">
        <v>90</v>
      </c>
      <c r="AV197" s="141" t="s">
        <v>87</v>
      </c>
      <c r="AW197" s="141" t="s">
        <v>33</v>
      </c>
      <c r="AX197" s="141" t="s">
        <v>80</v>
      </c>
      <c r="AY197" s="144" t="s">
        <v>337</v>
      </c>
    </row>
    <row r="198" spans="2:65" s="148" customFormat="1" x14ac:dyDescent="0.2">
      <c r="B198" s="149"/>
      <c r="D198" s="143" t="s">
        <v>346</v>
      </c>
      <c r="E198" s="150"/>
      <c r="F198" s="151" t="s">
        <v>6391</v>
      </c>
      <c r="H198" s="152">
        <v>45.95</v>
      </c>
      <c r="L198" s="149"/>
      <c r="M198" s="153"/>
      <c r="T198" s="154"/>
      <c r="AT198" s="150" t="s">
        <v>346</v>
      </c>
      <c r="AU198" s="150" t="s">
        <v>90</v>
      </c>
      <c r="AV198" s="148" t="s">
        <v>90</v>
      </c>
      <c r="AW198" s="148" t="s">
        <v>33</v>
      </c>
      <c r="AX198" s="148" t="s">
        <v>80</v>
      </c>
      <c r="AY198" s="150" t="s">
        <v>337</v>
      </c>
    </row>
    <row r="199" spans="2:65" s="155" customFormat="1" x14ac:dyDescent="0.2">
      <c r="B199" s="156"/>
      <c r="D199" s="143" t="s">
        <v>346</v>
      </c>
      <c r="E199" s="157" t="s">
        <v>3031</v>
      </c>
      <c r="F199" s="158" t="s">
        <v>351</v>
      </c>
      <c r="H199" s="159">
        <v>71.84</v>
      </c>
      <c r="L199" s="156"/>
      <c r="M199" s="160"/>
      <c r="T199" s="161"/>
      <c r="AT199" s="157" t="s">
        <v>346</v>
      </c>
      <c r="AU199" s="157" t="s">
        <v>90</v>
      </c>
      <c r="AV199" s="155" t="s">
        <v>344</v>
      </c>
      <c r="AW199" s="155" t="s">
        <v>33</v>
      </c>
      <c r="AX199" s="155" t="s">
        <v>87</v>
      </c>
      <c r="AY199" s="157" t="s">
        <v>337</v>
      </c>
    </row>
    <row r="200" spans="2:65" s="116" customFormat="1" ht="22.9" customHeight="1" x14ac:dyDescent="0.2">
      <c r="B200" s="117"/>
      <c r="D200" s="118" t="s">
        <v>79</v>
      </c>
      <c r="E200" s="126" t="s">
        <v>113</v>
      </c>
      <c r="F200" s="126" t="s">
        <v>352</v>
      </c>
      <c r="J200" s="127">
        <f>BK200</f>
        <v>0</v>
      </c>
      <c r="L200" s="117"/>
      <c r="M200" s="121"/>
      <c r="P200" s="122">
        <f>SUM(P201:P213)</f>
        <v>0</v>
      </c>
      <c r="R200" s="122">
        <f>SUM(R201:R213)</f>
        <v>21.498349999999999</v>
      </c>
      <c r="T200" s="123">
        <f>SUM(T201:T213)</f>
        <v>0</v>
      </c>
      <c r="AR200" s="118" t="s">
        <v>87</v>
      </c>
      <c r="AT200" s="124" t="s">
        <v>79</v>
      </c>
      <c r="AU200" s="124" t="s">
        <v>87</v>
      </c>
      <c r="AY200" s="118" t="s">
        <v>337</v>
      </c>
      <c r="BK200" s="125">
        <f>SUM(BK201:BK213)</f>
        <v>0</v>
      </c>
    </row>
    <row r="201" spans="2:65" s="16" customFormat="1" ht="21.75" customHeight="1" x14ac:dyDescent="0.2">
      <c r="B201" s="17"/>
      <c r="C201" s="128">
        <v>15</v>
      </c>
      <c r="D201" s="128" t="s">
        <v>339</v>
      </c>
      <c r="E201" s="129" t="s">
        <v>6392</v>
      </c>
      <c r="F201" s="130" t="s">
        <v>6393</v>
      </c>
      <c r="G201" s="131" t="s">
        <v>449</v>
      </c>
      <c r="H201" s="132">
        <v>1</v>
      </c>
      <c r="I201" s="133"/>
      <c r="J201" s="134">
        <f>ROUND(I201*H201,2)</f>
        <v>0</v>
      </c>
      <c r="K201" s="130" t="s">
        <v>343</v>
      </c>
      <c r="L201" s="17"/>
      <c r="M201" s="135"/>
      <c r="N201" s="136" t="s">
        <v>45</v>
      </c>
      <c r="P201" s="137">
        <f>O201*H201</f>
        <v>0</v>
      </c>
      <c r="Q201" s="137">
        <v>2.6509999999999999E-2</v>
      </c>
      <c r="R201" s="137">
        <f>Q201*H201</f>
        <v>2.6509999999999999E-2</v>
      </c>
      <c r="S201" s="137">
        <v>0</v>
      </c>
      <c r="T201" s="138">
        <f>S201*H201</f>
        <v>0</v>
      </c>
      <c r="AR201" s="139" t="s">
        <v>344</v>
      </c>
      <c r="AT201" s="139" t="s">
        <v>339</v>
      </c>
      <c r="AU201" s="139" t="s">
        <v>90</v>
      </c>
      <c r="AY201" s="2" t="s">
        <v>337</v>
      </c>
      <c r="BE201" s="140">
        <f>IF(N201="základní",J201,0)</f>
        <v>0</v>
      </c>
      <c r="BF201" s="140">
        <f>IF(N201="snížená",J201,0)</f>
        <v>0</v>
      </c>
      <c r="BG201" s="140">
        <f>IF(N201="zákl. přenesená",J201,0)</f>
        <v>0</v>
      </c>
      <c r="BH201" s="140">
        <f>IF(N201="sníž. přenesená",J201,0)</f>
        <v>0</v>
      </c>
      <c r="BI201" s="140">
        <f>IF(N201="nulová",J201,0)</f>
        <v>0</v>
      </c>
      <c r="BJ201" s="2" t="s">
        <v>87</v>
      </c>
      <c r="BK201" s="140">
        <f>ROUND(I201*H201,2)</f>
        <v>0</v>
      </c>
      <c r="BL201" s="2" t="s">
        <v>344</v>
      </c>
      <c r="BM201" s="139" t="s">
        <v>6394</v>
      </c>
    </row>
    <row r="202" spans="2:65" s="16" customFormat="1" ht="16.5" customHeight="1" x14ac:dyDescent="0.2">
      <c r="B202" s="17"/>
      <c r="C202" s="162">
        <v>16</v>
      </c>
      <c r="D202" s="162" t="s">
        <v>519</v>
      </c>
      <c r="E202" s="163" t="s">
        <v>6395</v>
      </c>
      <c r="F202" s="164" t="s">
        <v>6396</v>
      </c>
      <c r="G202" s="165" t="s">
        <v>449</v>
      </c>
      <c r="H202" s="166">
        <v>1</v>
      </c>
      <c r="I202" s="167"/>
      <c r="J202" s="168">
        <f>ROUND(I202*H202,2)</f>
        <v>0</v>
      </c>
      <c r="K202" s="164" t="s">
        <v>343</v>
      </c>
      <c r="L202" s="169"/>
      <c r="M202" s="170"/>
      <c r="N202" s="171" t="s">
        <v>45</v>
      </c>
      <c r="P202" s="137">
        <f>O202*H202</f>
        <v>0</v>
      </c>
      <c r="Q202" s="137">
        <v>9.84</v>
      </c>
      <c r="R202" s="137">
        <f>Q202*H202</f>
        <v>9.84</v>
      </c>
      <c r="S202" s="137">
        <v>0</v>
      </c>
      <c r="T202" s="138">
        <f>S202*H202</f>
        <v>0</v>
      </c>
      <c r="AR202" s="139" t="s">
        <v>446</v>
      </c>
      <c r="AT202" s="139" t="s">
        <v>519</v>
      </c>
      <c r="AU202" s="139" t="s">
        <v>90</v>
      </c>
      <c r="AY202" s="2" t="s">
        <v>337</v>
      </c>
      <c r="BE202" s="140">
        <f>IF(N202="základní",J202,0)</f>
        <v>0</v>
      </c>
      <c r="BF202" s="140">
        <f>IF(N202="snížená",J202,0)</f>
        <v>0</v>
      </c>
      <c r="BG202" s="140">
        <f>IF(N202="zákl. přenesená",J202,0)</f>
        <v>0</v>
      </c>
      <c r="BH202" s="140">
        <f>IF(N202="sníž. přenesená",J202,0)</f>
        <v>0</v>
      </c>
      <c r="BI202" s="140">
        <f>IF(N202="nulová",J202,0)</f>
        <v>0</v>
      </c>
      <c r="BJ202" s="2" t="s">
        <v>87</v>
      </c>
      <c r="BK202" s="140">
        <f>ROUND(I202*H202,2)</f>
        <v>0</v>
      </c>
      <c r="BL202" s="2" t="s">
        <v>344</v>
      </c>
      <c r="BM202" s="139" t="s">
        <v>6397</v>
      </c>
    </row>
    <row r="203" spans="2:65" s="141" customFormat="1" x14ac:dyDescent="0.2">
      <c r="B203" s="142"/>
      <c r="D203" s="143" t="s">
        <v>346</v>
      </c>
      <c r="E203" s="144"/>
      <c r="F203" s="145" t="s">
        <v>6398</v>
      </c>
      <c r="H203" s="144"/>
      <c r="L203" s="142"/>
      <c r="M203" s="146"/>
      <c r="T203" s="147"/>
      <c r="AT203" s="144" t="s">
        <v>346</v>
      </c>
      <c r="AU203" s="144" t="s">
        <v>90</v>
      </c>
      <c r="AV203" s="141" t="s">
        <v>87</v>
      </c>
      <c r="AW203" s="141" t="s">
        <v>33</v>
      </c>
      <c r="AX203" s="141" t="s">
        <v>80</v>
      </c>
      <c r="AY203" s="144" t="s">
        <v>337</v>
      </c>
    </row>
    <row r="204" spans="2:65" s="148" customFormat="1" x14ac:dyDescent="0.2">
      <c r="B204" s="149"/>
      <c r="D204" s="143" t="s">
        <v>346</v>
      </c>
      <c r="E204" s="150"/>
      <c r="F204" s="151" t="s">
        <v>87</v>
      </c>
      <c r="H204" s="152">
        <v>1</v>
      </c>
      <c r="L204" s="149"/>
      <c r="M204" s="153"/>
      <c r="T204" s="154"/>
      <c r="AT204" s="150" t="s">
        <v>346</v>
      </c>
      <c r="AU204" s="150" t="s">
        <v>90</v>
      </c>
      <c r="AV204" s="148" t="s">
        <v>90</v>
      </c>
      <c r="AW204" s="148" t="s">
        <v>33</v>
      </c>
      <c r="AX204" s="148" t="s">
        <v>87</v>
      </c>
      <c r="AY204" s="150" t="s">
        <v>337</v>
      </c>
    </row>
    <row r="205" spans="2:65" s="16" customFormat="1" ht="16.5" customHeight="1" x14ac:dyDescent="0.2">
      <c r="B205" s="17"/>
      <c r="C205" s="128">
        <v>17</v>
      </c>
      <c r="D205" s="128" t="s">
        <v>339</v>
      </c>
      <c r="E205" s="129" t="s">
        <v>6399</v>
      </c>
      <c r="F205" s="130" t="s">
        <v>6400</v>
      </c>
      <c r="G205" s="131" t="s">
        <v>449</v>
      </c>
      <c r="H205" s="132">
        <v>1</v>
      </c>
      <c r="I205" s="133"/>
      <c r="J205" s="134">
        <f>ROUND(I205*H205,2)</f>
        <v>0</v>
      </c>
      <c r="K205" s="130" t="s">
        <v>343</v>
      </c>
      <c r="L205" s="17"/>
      <c r="M205" s="135"/>
      <c r="N205" s="136" t="s">
        <v>45</v>
      </c>
      <c r="P205" s="137">
        <f>O205*H205</f>
        <v>0</v>
      </c>
      <c r="Q205" s="137">
        <v>0</v>
      </c>
      <c r="R205" s="137">
        <f>Q205*H205</f>
        <v>0</v>
      </c>
      <c r="S205" s="137">
        <v>0</v>
      </c>
      <c r="T205" s="138">
        <f>S205*H205</f>
        <v>0</v>
      </c>
      <c r="AR205" s="139" t="s">
        <v>344</v>
      </c>
      <c r="AT205" s="139" t="s">
        <v>339</v>
      </c>
      <c r="AU205" s="139" t="s">
        <v>90</v>
      </c>
      <c r="AY205" s="2" t="s">
        <v>337</v>
      </c>
      <c r="BE205" s="140">
        <f>IF(N205="základní",J205,0)</f>
        <v>0</v>
      </c>
      <c r="BF205" s="140">
        <f>IF(N205="snížená",J205,0)</f>
        <v>0</v>
      </c>
      <c r="BG205" s="140">
        <f>IF(N205="zákl. přenesená",J205,0)</f>
        <v>0</v>
      </c>
      <c r="BH205" s="140">
        <f>IF(N205="sníž. přenesená",J205,0)</f>
        <v>0</v>
      </c>
      <c r="BI205" s="140">
        <f>IF(N205="nulová",J205,0)</f>
        <v>0</v>
      </c>
      <c r="BJ205" s="2" t="s">
        <v>87</v>
      </c>
      <c r="BK205" s="140">
        <f>ROUND(I205*H205,2)</f>
        <v>0</v>
      </c>
      <c r="BL205" s="2" t="s">
        <v>344</v>
      </c>
      <c r="BM205" s="139" t="s">
        <v>6401</v>
      </c>
    </row>
    <row r="206" spans="2:65" s="16" customFormat="1" ht="16.5" customHeight="1" x14ac:dyDescent="0.2">
      <c r="B206" s="17"/>
      <c r="C206" s="162">
        <v>18</v>
      </c>
      <c r="D206" s="162" t="s">
        <v>519</v>
      </c>
      <c r="E206" s="163" t="s">
        <v>6402</v>
      </c>
      <c r="F206" s="164" t="s">
        <v>6403</v>
      </c>
      <c r="G206" s="165" t="s">
        <v>449</v>
      </c>
      <c r="H206" s="166">
        <v>1</v>
      </c>
      <c r="I206" s="167"/>
      <c r="J206" s="168">
        <f>ROUND(I206*H206,2)</f>
        <v>0</v>
      </c>
      <c r="K206" s="164" t="s">
        <v>343</v>
      </c>
      <c r="L206" s="169"/>
      <c r="M206" s="170"/>
      <c r="N206" s="171" t="s">
        <v>45</v>
      </c>
      <c r="P206" s="137">
        <f>O206*H206</f>
        <v>0</v>
      </c>
      <c r="Q206" s="137">
        <v>10.78</v>
      </c>
      <c r="R206" s="137">
        <f>Q206*H206</f>
        <v>10.78</v>
      </c>
      <c r="S206" s="137">
        <v>0</v>
      </c>
      <c r="T206" s="138">
        <f>S206*H206</f>
        <v>0</v>
      </c>
      <c r="AR206" s="139" t="s">
        <v>446</v>
      </c>
      <c r="AT206" s="139" t="s">
        <v>519</v>
      </c>
      <c r="AU206" s="139" t="s">
        <v>90</v>
      </c>
      <c r="AY206" s="2" t="s">
        <v>337</v>
      </c>
      <c r="BE206" s="140">
        <f>IF(N206="základní",J206,0)</f>
        <v>0</v>
      </c>
      <c r="BF206" s="140">
        <f>IF(N206="snížená",J206,0)</f>
        <v>0</v>
      </c>
      <c r="BG206" s="140">
        <f>IF(N206="zákl. přenesená",J206,0)</f>
        <v>0</v>
      </c>
      <c r="BH206" s="140">
        <f>IF(N206="sníž. přenesená",J206,0)</f>
        <v>0</v>
      </c>
      <c r="BI206" s="140">
        <f>IF(N206="nulová",J206,0)</f>
        <v>0</v>
      </c>
      <c r="BJ206" s="2" t="s">
        <v>87</v>
      </c>
      <c r="BK206" s="140">
        <f>ROUND(I206*H206,2)</f>
        <v>0</v>
      </c>
      <c r="BL206" s="2" t="s">
        <v>344</v>
      </c>
      <c r="BM206" s="139" t="s">
        <v>6404</v>
      </c>
    </row>
    <row r="207" spans="2:65" s="141" customFormat="1" x14ac:dyDescent="0.2">
      <c r="B207" s="142"/>
      <c r="D207" s="143" t="s">
        <v>346</v>
      </c>
      <c r="E207" s="144"/>
      <c r="F207" s="145" t="s">
        <v>6405</v>
      </c>
      <c r="H207" s="144"/>
      <c r="L207" s="142"/>
      <c r="M207" s="146"/>
      <c r="T207" s="147"/>
      <c r="AT207" s="144" t="s">
        <v>346</v>
      </c>
      <c r="AU207" s="144" t="s">
        <v>90</v>
      </c>
      <c r="AV207" s="141" t="s">
        <v>87</v>
      </c>
      <c r="AW207" s="141" t="s">
        <v>33</v>
      </c>
      <c r="AX207" s="141" t="s">
        <v>80</v>
      </c>
      <c r="AY207" s="144" t="s">
        <v>337</v>
      </c>
    </row>
    <row r="208" spans="2:65" s="148" customFormat="1" x14ac:dyDescent="0.2">
      <c r="B208" s="149"/>
      <c r="D208" s="143" t="s">
        <v>346</v>
      </c>
      <c r="E208" s="150"/>
      <c r="F208" s="151" t="s">
        <v>87</v>
      </c>
      <c r="H208" s="152">
        <v>1</v>
      </c>
      <c r="L208" s="149"/>
      <c r="M208" s="153"/>
      <c r="T208" s="154"/>
      <c r="AT208" s="150" t="s">
        <v>346</v>
      </c>
      <c r="AU208" s="150" t="s">
        <v>90</v>
      </c>
      <c r="AV208" s="148" t="s">
        <v>90</v>
      </c>
      <c r="AW208" s="148" t="s">
        <v>33</v>
      </c>
      <c r="AX208" s="148" t="s">
        <v>87</v>
      </c>
      <c r="AY208" s="150" t="s">
        <v>337</v>
      </c>
    </row>
    <row r="209" spans="2:65" s="16" customFormat="1" ht="16.5" customHeight="1" x14ac:dyDescent="0.2">
      <c r="B209" s="17"/>
      <c r="C209" s="128">
        <v>19</v>
      </c>
      <c r="D209" s="128" t="s">
        <v>339</v>
      </c>
      <c r="E209" s="129" t="s">
        <v>6406</v>
      </c>
      <c r="F209" s="130" t="s">
        <v>6407</v>
      </c>
      <c r="G209" s="131" t="s">
        <v>449</v>
      </c>
      <c r="H209" s="132">
        <v>1</v>
      </c>
      <c r="I209" s="133"/>
      <c r="J209" s="134">
        <f>ROUND(I209*H209,2)</f>
        <v>0</v>
      </c>
      <c r="K209" s="130" t="s">
        <v>343</v>
      </c>
      <c r="L209" s="17"/>
      <c r="M209" s="135"/>
      <c r="N209" s="136" t="s">
        <v>45</v>
      </c>
      <c r="P209" s="137">
        <f>O209*H209</f>
        <v>0</v>
      </c>
      <c r="Q209" s="137">
        <v>1.2030000000000001E-2</v>
      </c>
      <c r="R209" s="137">
        <f>Q209*H209</f>
        <v>1.2030000000000001E-2</v>
      </c>
      <c r="S209" s="137">
        <v>0</v>
      </c>
      <c r="T209" s="138">
        <f>S209*H209</f>
        <v>0</v>
      </c>
      <c r="AR209" s="139" t="s">
        <v>344</v>
      </c>
      <c r="AT209" s="139" t="s">
        <v>339</v>
      </c>
      <c r="AU209" s="139" t="s">
        <v>90</v>
      </c>
      <c r="AY209" s="2" t="s">
        <v>337</v>
      </c>
      <c r="BE209" s="140">
        <f>IF(N209="základní",J209,0)</f>
        <v>0</v>
      </c>
      <c r="BF209" s="140">
        <f>IF(N209="snížená",J209,0)</f>
        <v>0</v>
      </c>
      <c r="BG209" s="140">
        <f>IF(N209="zákl. přenesená",J209,0)</f>
        <v>0</v>
      </c>
      <c r="BH209" s="140">
        <f>IF(N209="sníž. přenesená",J209,0)</f>
        <v>0</v>
      </c>
      <c r="BI209" s="140">
        <f>IF(N209="nulová",J209,0)</f>
        <v>0</v>
      </c>
      <c r="BJ209" s="2" t="s">
        <v>87</v>
      </c>
      <c r="BK209" s="140">
        <f>ROUND(I209*H209,2)</f>
        <v>0</v>
      </c>
      <c r="BL209" s="2" t="s">
        <v>344</v>
      </c>
      <c r="BM209" s="139" t="s">
        <v>6408</v>
      </c>
    </row>
    <row r="210" spans="2:65" s="16" customFormat="1" ht="16.5" customHeight="1" x14ac:dyDescent="0.2">
      <c r="B210" s="17"/>
      <c r="C210" s="162">
        <v>20</v>
      </c>
      <c r="D210" s="162" t="s">
        <v>519</v>
      </c>
      <c r="E210" s="163" t="s">
        <v>6409</v>
      </c>
      <c r="F210" s="164" t="s">
        <v>6410</v>
      </c>
      <c r="G210" s="165" t="s">
        <v>449</v>
      </c>
      <c r="H210" s="166">
        <v>1</v>
      </c>
      <c r="I210" s="167"/>
      <c r="J210" s="168">
        <f>ROUND(I210*H210,2)</f>
        <v>0</v>
      </c>
      <c r="K210" s="164" t="s">
        <v>343</v>
      </c>
      <c r="L210" s="169"/>
      <c r="M210" s="170"/>
      <c r="N210" s="171" t="s">
        <v>45</v>
      </c>
      <c r="P210" s="137">
        <f>O210*H210</f>
        <v>0</v>
      </c>
      <c r="Q210" s="137">
        <v>0.50800000000000001</v>
      </c>
      <c r="R210" s="137">
        <f>Q210*H210</f>
        <v>0.50800000000000001</v>
      </c>
      <c r="S210" s="137">
        <v>0</v>
      </c>
      <c r="T210" s="138">
        <f>S210*H210</f>
        <v>0</v>
      </c>
      <c r="AR210" s="139" t="s">
        <v>446</v>
      </c>
      <c r="AT210" s="139" t="s">
        <v>519</v>
      </c>
      <c r="AU210" s="139" t="s">
        <v>90</v>
      </c>
      <c r="AY210" s="2" t="s">
        <v>337</v>
      </c>
      <c r="BE210" s="140">
        <f>IF(N210="základní",J210,0)</f>
        <v>0</v>
      </c>
      <c r="BF210" s="140">
        <f>IF(N210="snížená",J210,0)</f>
        <v>0</v>
      </c>
      <c r="BG210" s="140">
        <f>IF(N210="zákl. přenesená",J210,0)</f>
        <v>0</v>
      </c>
      <c r="BH210" s="140">
        <f>IF(N210="sníž. přenesená",J210,0)</f>
        <v>0</v>
      </c>
      <c r="BI210" s="140">
        <f>IF(N210="nulová",J210,0)</f>
        <v>0</v>
      </c>
      <c r="BJ210" s="2" t="s">
        <v>87</v>
      </c>
      <c r="BK210" s="140">
        <f>ROUND(I210*H210,2)</f>
        <v>0</v>
      </c>
      <c r="BL210" s="2" t="s">
        <v>344</v>
      </c>
      <c r="BM210" s="139" t="s">
        <v>6411</v>
      </c>
    </row>
    <row r="211" spans="2:65" s="16" customFormat="1" ht="16.5" customHeight="1" x14ac:dyDescent="0.2">
      <c r="B211" s="17"/>
      <c r="C211" s="128">
        <v>21</v>
      </c>
      <c r="D211" s="128" t="s">
        <v>339</v>
      </c>
      <c r="E211" s="129" t="s">
        <v>6412</v>
      </c>
      <c r="F211" s="130" t="s">
        <v>6413</v>
      </c>
      <c r="G211" s="131" t="s">
        <v>449</v>
      </c>
      <c r="H211" s="132">
        <v>1</v>
      </c>
      <c r="I211" s="133"/>
      <c r="J211" s="134">
        <f>ROUND(I211*H211,2)</f>
        <v>0</v>
      </c>
      <c r="K211" s="130" t="s">
        <v>343</v>
      </c>
      <c r="L211" s="17"/>
      <c r="M211" s="135"/>
      <c r="N211" s="136" t="s">
        <v>45</v>
      </c>
      <c r="P211" s="137">
        <f>O211*H211</f>
        <v>0</v>
      </c>
      <c r="Q211" s="137">
        <v>1.0189999999999999E-2</v>
      </c>
      <c r="R211" s="137">
        <f>Q211*H211</f>
        <v>1.0189999999999999E-2</v>
      </c>
      <c r="S211" s="137">
        <v>0</v>
      </c>
      <c r="T211" s="138">
        <f>S211*H211</f>
        <v>0</v>
      </c>
      <c r="AR211" s="139" t="s">
        <v>344</v>
      </c>
      <c r="AT211" s="139" t="s">
        <v>339</v>
      </c>
      <c r="AU211" s="139" t="s">
        <v>90</v>
      </c>
      <c r="AY211" s="2" t="s">
        <v>337</v>
      </c>
      <c r="BE211" s="140">
        <f>IF(N211="základní",J211,0)</f>
        <v>0</v>
      </c>
      <c r="BF211" s="140">
        <f>IF(N211="snížená",J211,0)</f>
        <v>0</v>
      </c>
      <c r="BG211" s="140">
        <f>IF(N211="zákl. přenesená",J211,0)</f>
        <v>0</v>
      </c>
      <c r="BH211" s="140">
        <f>IF(N211="sníž. přenesená",J211,0)</f>
        <v>0</v>
      </c>
      <c r="BI211" s="140">
        <f>IF(N211="nulová",J211,0)</f>
        <v>0</v>
      </c>
      <c r="BJ211" s="2" t="s">
        <v>87</v>
      </c>
      <c r="BK211" s="140">
        <f>ROUND(I211*H211,2)</f>
        <v>0</v>
      </c>
      <c r="BL211" s="2" t="s">
        <v>344</v>
      </c>
      <c r="BM211" s="139" t="s">
        <v>6414</v>
      </c>
    </row>
    <row r="212" spans="2:65" s="16" customFormat="1" ht="16.5" customHeight="1" x14ac:dyDescent="0.2">
      <c r="B212" s="17"/>
      <c r="C212" s="162">
        <v>22</v>
      </c>
      <c r="D212" s="162" t="s">
        <v>519</v>
      </c>
      <c r="E212" s="163" t="s">
        <v>6415</v>
      </c>
      <c r="F212" s="164" t="s">
        <v>6416</v>
      </c>
      <c r="G212" s="165" t="s">
        <v>449</v>
      </c>
      <c r="H212" s="166">
        <v>1</v>
      </c>
      <c r="I212" s="167"/>
      <c r="J212" s="168">
        <f>ROUND(I212*H212,2)</f>
        <v>0</v>
      </c>
      <c r="K212" s="164" t="s">
        <v>343</v>
      </c>
      <c r="L212" s="169"/>
      <c r="M212" s="170"/>
      <c r="N212" s="171" t="s">
        <v>45</v>
      </c>
      <c r="P212" s="137">
        <f>O212*H212</f>
        <v>0</v>
      </c>
      <c r="Q212" s="137">
        <v>0.32</v>
      </c>
      <c r="R212" s="137">
        <f>Q212*H212</f>
        <v>0.32</v>
      </c>
      <c r="S212" s="137">
        <v>0</v>
      </c>
      <c r="T212" s="138">
        <f>S212*H212</f>
        <v>0</v>
      </c>
      <c r="AR212" s="139" t="s">
        <v>446</v>
      </c>
      <c r="AT212" s="139" t="s">
        <v>519</v>
      </c>
      <c r="AU212" s="139" t="s">
        <v>90</v>
      </c>
      <c r="AY212" s="2" t="s">
        <v>337</v>
      </c>
      <c r="BE212" s="140">
        <f>IF(N212="základní",J212,0)</f>
        <v>0</v>
      </c>
      <c r="BF212" s="140">
        <f>IF(N212="snížená",J212,0)</f>
        <v>0</v>
      </c>
      <c r="BG212" s="140">
        <f>IF(N212="zákl. přenesená",J212,0)</f>
        <v>0</v>
      </c>
      <c r="BH212" s="140">
        <f>IF(N212="sníž. přenesená",J212,0)</f>
        <v>0</v>
      </c>
      <c r="BI212" s="140">
        <f>IF(N212="nulová",J212,0)</f>
        <v>0</v>
      </c>
      <c r="BJ212" s="2" t="s">
        <v>87</v>
      </c>
      <c r="BK212" s="140">
        <f>ROUND(I212*H212,2)</f>
        <v>0</v>
      </c>
      <c r="BL212" s="2" t="s">
        <v>344</v>
      </c>
      <c r="BM212" s="139" t="s">
        <v>6417</v>
      </c>
    </row>
    <row r="213" spans="2:65" s="16" customFormat="1" ht="16.5" customHeight="1" x14ac:dyDescent="0.2">
      <c r="B213" s="17"/>
      <c r="C213" s="128">
        <v>23</v>
      </c>
      <c r="D213" s="128" t="s">
        <v>339</v>
      </c>
      <c r="E213" s="129" t="s">
        <v>6418</v>
      </c>
      <c r="F213" s="130" t="s">
        <v>6419</v>
      </c>
      <c r="G213" s="131" t="s">
        <v>449</v>
      </c>
      <c r="H213" s="132">
        <v>1</v>
      </c>
      <c r="I213" s="133"/>
      <c r="J213" s="134">
        <f>ROUND(I213*H213,2)</f>
        <v>0</v>
      </c>
      <c r="K213" s="130"/>
      <c r="L213" s="17"/>
      <c r="M213" s="135"/>
      <c r="N213" s="136" t="s">
        <v>45</v>
      </c>
      <c r="P213" s="137">
        <f>O213*H213</f>
        <v>0</v>
      </c>
      <c r="Q213" s="137">
        <v>1.6199999999999999E-3</v>
      </c>
      <c r="R213" s="137">
        <f>Q213*H213</f>
        <v>1.6199999999999999E-3</v>
      </c>
      <c r="S213" s="137">
        <v>0</v>
      </c>
      <c r="T213" s="138">
        <f>S213*H213</f>
        <v>0</v>
      </c>
      <c r="AR213" s="139" t="s">
        <v>344</v>
      </c>
      <c r="AT213" s="139" t="s">
        <v>339</v>
      </c>
      <c r="AU213" s="139" t="s">
        <v>90</v>
      </c>
      <c r="AY213" s="2" t="s">
        <v>337</v>
      </c>
      <c r="BE213" s="140">
        <f>IF(N213="základní",J213,0)</f>
        <v>0</v>
      </c>
      <c r="BF213" s="140">
        <f>IF(N213="snížená",J213,0)</f>
        <v>0</v>
      </c>
      <c r="BG213" s="140">
        <f>IF(N213="zákl. přenesená",J213,0)</f>
        <v>0</v>
      </c>
      <c r="BH213" s="140">
        <f>IF(N213="sníž. přenesená",J213,0)</f>
        <v>0</v>
      </c>
      <c r="BI213" s="140">
        <f>IF(N213="nulová",J213,0)</f>
        <v>0</v>
      </c>
      <c r="BJ213" s="2" t="s">
        <v>87</v>
      </c>
      <c r="BK213" s="140">
        <f>ROUND(I213*H213,2)</f>
        <v>0</v>
      </c>
      <c r="BL213" s="2" t="s">
        <v>344</v>
      </c>
      <c r="BM213" s="139" t="s">
        <v>6420</v>
      </c>
    </row>
    <row r="214" spans="2:65" s="116" customFormat="1" ht="22.9" customHeight="1" x14ac:dyDescent="0.2">
      <c r="B214" s="117"/>
      <c r="D214" s="118" t="s">
        <v>79</v>
      </c>
      <c r="E214" s="126" t="s">
        <v>344</v>
      </c>
      <c r="F214" s="126" t="s">
        <v>2501</v>
      </c>
      <c r="J214" s="127">
        <f>BK214</f>
        <v>0</v>
      </c>
      <c r="L214" s="117"/>
      <c r="M214" s="121"/>
      <c r="P214" s="122">
        <f>SUM(P215:P221)</f>
        <v>0</v>
      </c>
      <c r="R214" s="122">
        <f>SUM(R215:R221)</f>
        <v>0</v>
      </c>
      <c r="T214" s="123">
        <f>SUM(T215:T221)</f>
        <v>0</v>
      </c>
      <c r="AR214" s="118" t="s">
        <v>87</v>
      </c>
      <c r="AT214" s="124" t="s">
        <v>79</v>
      </c>
      <c r="AU214" s="124" t="s">
        <v>87</v>
      </c>
      <c r="AY214" s="118" t="s">
        <v>337</v>
      </c>
      <c r="BK214" s="125">
        <f>SUM(BK215:BK221)</f>
        <v>0</v>
      </c>
    </row>
    <row r="215" spans="2:65" s="16" customFormat="1" ht="16.5" customHeight="1" x14ac:dyDescent="0.2">
      <c r="B215" s="17"/>
      <c r="C215" s="128">
        <v>24</v>
      </c>
      <c r="D215" s="128" t="s">
        <v>339</v>
      </c>
      <c r="E215" s="129" t="s">
        <v>6421</v>
      </c>
      <c r="F215" s="130" t="s">
        <v>6422</v>
      </c>
      <c r="G215" s="131" t="s">
        <v>342</v>
      </c>
      <c r="H215" s="132">
        <v>14</v>
      </c>
      <c r="I215" s="133"/>
      <c r="J215" s="134">
        <f>ROUND(I215*H215,2)</f>
        <v>0</v>
      </c>
      <c r="K215" s="130" t="s">
        <v>343</v>
      </c>
      <c r="L215" s="17"/>
      <c r="M215" s="135"/>
      <c r="N215" s="136" t="s">
        <v>45</v>
      </c>
      <c r="P215" s="137">
        <f>O215*H215</f>
        <v>0</v>
      </c>
      <c r="Q215" s="137">
        <v>0</v>
      </c>
      <c r="R215" s="137">
        <f>Q215*H215</f>
        <v>0</v>
      </c>
      <c r="S215" s="137">
        <v>0</v>
      </c>
      <c r="T215" s="138">
        <f>S215*H215</f>
        <v>0</v>
      </c>
      <c r="AR215" s="139" t="s">
        <v>344</v>
      </c>
      <c r="AT215" s="139" t="s">
        <v>339</v>
      </c>
      <c r="AU215" s="139" t="s">
        <v>90</v>
      </c>
      <c r="AY215" s="2" t="s">
        <v>337</v>
      </c>
      <c r="BE215" s="140">
        <f>IF(N215="základní",J215,0)</f>
        <v>0</v>
      </c>
      <c r="BF215" s="140">
        <f>IF(N215="snížená",J215,0)</f>
        <v>0</v>
      </c>
      <c r="BG215" s="140">
        <f>IF(N215="zákl. přenesená",J215,0)</f>
        <v>0</v>
      </c>
      <c r="BH215" s="140">
        <f>IF(N215="sníž. přenesená",J215,0)</f>
        <v>0</v>
      </c>
      <c r="BI215" s="140">
        <f>IF(N215="nulová",J215,0)</f>
        <v>0</v>
      </c>
      <c r="BJ215" s="2" t="s">
        <v>87</v>
      </c>
      <c r="BK215" s="140">
        <f>ROUND(I215*H215,2)</f>
        <v>0</v>
      </c>
      <c r="BL215" s="2" t="s">
        <v>344</v>
      </c>
      <c r="BM215" s="139" t="s">
        <v>6423</v>
      </c>
    </row>
    <row r="216" spans="2:65" s="141" customFormat="1" x14ac:dyDescent="0.2">
      <c r="B216" s="142"/>
      <c r="D216" s="143" t="s">
        <v>346</v>
      </c>
      <c r="E216" s="144"/>
      <c r="F216" s="145" t="s">
        <v>6424</v>
      </c>
      <c r="H216" s="144"/>
      <c r="L216" s="142"/>
      <c r="M216" s="146"/>
      <c r="T216" s="147"/>
      <c r="AT216" s="144" t="s">
        <v>346</v>
      </c>
      <c r="AU216" s="144" t="s">
        <v>90</v>
      </c>
      <c r="AV216" s="141" t="s">
        <v>87</v>
      </c>
      <c r="AW216" s="141" t="s">
        <v>33</v>
      </c>
      <c r="AX216" s="141" t="s">
        <v>80</v>
      </c>
      <c r="AY216" s="144" t="s">
        <v>337</v>
      </c>
    </row>
    <row r="217" spans="2:65" s="148" customFormat="1" x14ac:dyDescent="0.2">
      <c r="B217" s="149"/>
      <c r="D217" s="143" t="s">
        <v>346</v>
      </c>
      <c r="E217" s="150"/>
      <c r="F217" s="151" t="s">
        <v>6425</v>
      </c>
      <c r="H217" s="152">
        <v>14</v>
      </c>
      <c r="L217" s="149"/>
      <c r="M217" s="153"/>
      <c r="T217" s="154"/>
      <c r="AT217" s="150" t="s">
        <v>346</v>
      </c>
      <c r="AU217" s="150" t="s">
        <v>90</v>
      </c>
      <c r="AV217" s="148" t="s">
        <v>90</v>
      </c>
      <c r="AW217" s="148" t="s">
        <v>33</v>
      </c>
      <c r="AX217" s="148" t="s">
        <v>87</v>
      </c>
      <c r="AY217" s="150" t="s">
        <v>337</v>
      </c>
    </row>
    <row r="218" spans="2:65" s="141" customFormat="1" x14ac:dyDescent="0.2">
      <c r="B218" s="142"/>
      <c r="D218" s="143" t="s">
        <v>346</v>
      </c>
      <c r="E218" s="144"/>
      <c r="F218" s="145" t="s">
        <v>6426</v>
      </c>
      <c r="H218" s="144"/>
      <c r="L218" s="142"/>
      <c r="M218" s="146"/>
      <c r="T218" s="147"/>
      <c r="AT218" s="144" t="s">
        <v>346</v>
      </c>
      <c r="AU218" s="144" t="s">
        <v>90</v>
      </c>
      <c r="AV218" s="141" t="s">
        <v>87</v>
      </c>
      <c r="AW218" s="141" t="s">
        <v>33</v>
      </c>
      <c r="AX218" s="141" t="s">
        <v>80</v>
      </c>
      <c r="AY218" s="144" t="s">
        <v>337</v>
      </c>
    </row>
    <row r="219" spans="2:65" s="16" customFormat="1" ht="16.5" customHeight="1" x14ac:dyDescent="0.2">
      <c r="B219" s="17"/>
      <c r="C219" s="128">
        <v>25</v>
      </c>
      <c r="D219" s="128" t="s">
        <v>339</v>
      </c>
      <c r="E219" s="129" t="s">
        <v>6427</v>
      </c>
      <c r="F219" s="130" t="s">
        <v>6428</v>
      </c>
      <c r="G219" s="131" t="s">
        <v>342</v>
      </c>
      <c r="H219" s="132">
        <v>14.08</v>
      </c>
      <c r="I219" s="133"/>
      <c r="J219" s="134">
        <f>ROUND(I219*H219,2)</f>
        <v>0</v>
      </c>
      <c r="K219" s="130" t="s">
        <v>343</v>
      </c>
      <c r="L219" s="17"/>
      <c r="M219" s="135"/>
      <c r="N219" s="136" t="s">
        <v>45</v>
      </c>
      <c r="P219" s="137">
        <f>O219*H219</f>
        <v>0</v>
      </c>
      <c r="Q219" s="137">
        <v>0</v>
      </c>
      <c r="R219" s="137">
        <f>Q219*H219</f>
        <v>0</v>
      </c>
      <c r="S219" s="137">
        <v>0</v>
      </c>
      <c r="T219" s="138">
        <f>S219*H219</f>
        <v>0</v>
      </c>
      <c r="AR219" s="139" t="s">
        <v>344</v>
      </c>
      <c r="AT219" s="139" t="s">
        <v>339</v>
      </c>
      <c r="AU219" s="139" t="s">
        <v>90</v>
      </c>
      <c r="AY219" s="2" t="s">
        <v>337</v>
      </c>
      <c r="BE219" s="140">
        <f>IF(N219="základní",J219,0)</f>
        <v>0</v>
      </c>
      <c r="BF219" s="140">
        <f>IF(N219="snížená",J219,0)</f>
        <v>0</v>
      </c>
      <c r="BG219" s="140">
        <f>IF(N219="zákl. přenesená",J219,0)</f>
        <v>0</v>
      </c>
      <c r="BH219" s="140">
        <f>IF(N219="sníž. přenesená",J219,0)</f>
        <v>0</v>
      </c>
      <c r="BI219" s="140">
        <f>IF(N219="nulová",J219,0)</f>
        <v>0</v>
      </c>
      <c r="BJ219" s="2" t="s">
        <v>87</v>
      </c>
      <c r="BK219" s="140">
        <f>ROUND(I219*H219,2)</f>
        <v>0</v>
      </c>
      <c r="BL219" s="2" t="s">
        <v>344</v>
      </c>
      <c r="BM219" s="139" t="s">
        <v>6429</v>
      </c>
    </row>
    <row r="220" spans="2:65" s="141" customFormat="1" x14ac:dyDescent="0.2">
      <c r="B220" s="142"/>
      <c r="D220" s="143" t="s">
        <v>346</v>
      </c>
      <c r="E220" s="144"/>
      <c r="F220" s="145" t="s">
        <v>6430</v>
      </c>
      <c r="H220" s="144"/>
      <c r="L220" s="142"/>
      <c r="M220" s="146"/>
      <c r="T220" s="147"/>
      <c r="AT220" s="144" t="s">
        <v>346</v>
      </c>
      <c r="AU220" s="144" t="s">
        <v>90</v>
      </c>
      <c r="AV220" s="141" t="s">
        <v>87</v>
      </c>
      <c r="AW220" s="141" t="s">
        <v>33</v>
      </c>
      <c r="AX220" s="141" t="s">
        <v>80</v>
      </c>
      <c r="AY220" s="144" t="s">
        <v>337</v>
      </c>
    </row>
    <row r="221" spans="2:65" s="148" customFormat="1" x14ac:dyDescent="0.2">
      <c r="B221" s="149"/>
      <c r="D221" s="143" t="s">
        <v>346</v>
      </c>
      <c r="E221" s="150"/>
      <c r="F221" s="151" t="s">
        <v>6431</v>
      </c>
      <c r="H221" s="152">
        <v>14.08</v>
      </c>
      <c r="L221" s="149"/>
      <c r="M221" s="153"/>
      <c r="T221" s="154"/>
      <c r="AT221" s="150" t="s">
        <v>346</v>
      </c>
      <c r="AU221" s="150" t="s">
        <v>90</v>
      </c>
      <c r="AV221" s="148" t="s">
        <v>90</v>
      </c>
      <c r="AW221" s="148" t="s">
        <v>33</v>
      </c>
      <c r="AX221" s="148" t="s">
        <v>87</v>
      </c>
      <c r="AY221" s="150" t="s">
        <v>337</v>
      </c>
    </row>
    <row r="222" spans="2:65" s="116" customFormat="1" ht="22.9" customHeight="1" x14ac:dyDescent="0.2">
      <c r="B222" s="117"/>
      <c r="D222" s="118" t="s">
        <v>79</v>
      </c>
      <c r="E222" s="126" t="s">
        <v>430</v>
      </c>
      <c r="F222" s="126" t="s">
        <v>565</v>
      </c>
      <c r="J222" s="127">
        <f>BK222</f>
        <v>0</v>
      </c>
      <c r="L222" s="117"/>
      <c r="M222" s="121"/>
      <c r="P222" s="122">
        <f>SUM(P223:P225)</f>
        <v>0</v>
      </c>
      <c r="R222" s="122">
        <f>SUM(R223:R225)</f>
        <v>0.78004578000000002</v>
      </c>
      <c r="T222" s="123">
        <f>SUM(T223:T225)</f>
        <v>0</v>
      </c>
      <c r="AR222" s="118" t="s">
        <v>87</v>
      </c>
      <c r="AT222" s="124" t="s">
        <v>79</v>
      </c>
      <c r="AU222" s="124" t="s">
        <v>87</v>
      </c>
      <c r="AY222" s="118" t="s">
        <v>337</v>
      </c>
      <c r="BK222" s="125">
        <f>SUM(BK223:BK225)</f>
        <v>0</v>
      </c>
    </row>
    <row r="223" spans="2:65" s="16" customFormat="1" ht="21.75" customHeight="1" x14ac:dyDescent="0.2">
      <c r="B223" s="17"/>
      <c r="C223" s="128">
        <v>26</v>
      </c>
      <c r="D223" s="128" t="s">
        <v>339</v>
      </c>
      <c r="E223" s="129" t="s">
        <v>6432</v>
      </c>
      <c r="F223" s="130" t="s">
        <v>6433</v>
      </c>
      <c r="G223" s="131" t="s">
        <v>342</v>
      </c>
      <c r="H223" s="132">
        <v>0.33900000000000002</v>
      </c>
      <c r="I223" s="133"/>
      <c r="J223" s="134">
        <f>ROUND(I223*H223,2)</f>
        <v>0</v>
      </c>
      <c r="K223" s="130" t="s">
        <v>343</v>
      </c>
      <c r="L223" s="17"/>
      <c r="M223" s="135"/>
      <c r="N223" s="136" t="s">
        <v>45</v>
      </c>
      <c r="P223" s="137">
        <f>O223*H223</f>
        <v>0</v>
      </c>
      <c r="Q223" s="137">
        <v>2.3010199999999998</v>
      </c>
      <c r="R223" s="137">
        <f>Q223*H223</f>
        <v>0.78004578000000002</v>
      </c>
      <c r="S223" s="137">
        <v>0</v>
      </c>
      <c r="T223" s="138">
        <f>S223*H223</f>
        <v>0</v>
      </c>
      <c r="AR223" s="139" t="s">
        <v>344</v>
      </c>
      <c r="AT223" s="139" t="s">
        <v>339</v>
      </c>
      <c r="AU223" s="139" t="s">
        <v>90</v>
      </c>
      <c r="AY223" s="2" t="s">
        <v>337</v>
      </c>
      <c r="BE223" s="140">
        <f>IF(N223="základní",J223,0)</f>
        <v>0</v>
      </c>
      <c r="BF223" s="140">
        <f>IF(N223="snížená",J223,0)</f>
        <v>0</v>
      </c>
      <c r="BG223" s="140">
        <f>IF(N223="zákl. přenesená",J223,0)</f>
        <v>0</v>
      </c>
      <c r="BH223" s="140">
        <f>IF(N223="sníž. přenesená",J223,0)</f>
        <v>0</v>
      </c>
      <c r="BI223" s="140">
        <f>IF(N223="nulová",J223,0)</f>
        <v>0</v>
      </c>
      <c r="BJ223" s="2" t="s">
        <v>87</v>
      </c>
      <c r="BK223" s="140">
        <f>ROUND(I223*H223,2)</f>
        <v>0</v>
      </c>
      <c r="BL223" s="2" t="s">
        <v>344</v>
      </c>
      <c r="BM223" s="139" t="s">
        <v>6434</v>
      </c>
    </row>
    <row r="224" spans="2:65" s="141" customFormat="1" x14ac:dyDescent="0.2">
      <c r="B224" s="142"/>
      <c r="D224" s="143" t="s">
        <v>346</v>
      </c>
      <c r="E224" s="144"/>
      <c r="F224" s="145" t="s">
        <v>6435</v>
      </c>
      <c r="H224" s="144"/>
      <c r="L224" s="142"/>
      <c r="M224" s="146"/>
      <c r="T224" s="147"/>
      <c r="AT224" s="144" t="s">
        <v>346</v>
      </c>
      <c r="AU224" s="144" t="s">
        <v>90</v>
      </c>
      <c r="AV224" s="141" t="s">
        <v>87</v>
      </c>
      <c r="AW224" s="141" t="s">
        <v>33</v>
      </c>
      <c r="AX224" s="141" t="s">
        <v>80</v>
      </c>
      <c r="AY224" s="144" t="s">
        <v>337</v>
      </c>
    </row>
    <row r="225" spans="2:65" s="148" customFormat="1" x14ac:dyDescent="0.2">
      <c r="B225" s="149"/>
      <c r="D225" s="143" t="s">
        <v>346</v>
      </c>
      <c r="E225" s="150"/>
      <c r="F225" s="151" t="s">
        <v>6436</v>
      </c>
      <c r="H225" s="152">
        <v>0.33900000000000002</v>
      </c>
      <c r="L225" s="149"/>
      <c r="M225" s="153"/>
      <c r="T225" s="154"/>
      <c r="AT225" s="150" t="s">
        <v>346</v>
      </c>
      <c r="AU225" s="150" t="s">
        <v>90</v>
      </c>
      <c r="AV225" s="148" t="s">
        <v>90</v>
      </c>
      <c r="AW225" s="148" t="s">
        <v>33</v>
      </c>
      <c r="AX225" s="148" t="s">
        <v>87</v>
      </c>
      <c r="AY225" s="150" t="s">
        <v>337</v>
      </c>
    </row>
    <row r="226" spans="2:65" s="116" customFormat="1" ht="22.9" customHeight="1" x14ac:dyDescent="0.2">
      <c r="B226" s="117"/>
      <c r="D226" s="118" t="s">
        <v>79</v>
      </c>
      <c r="E226" s="126" t="s">
        <v>446</v>
      </c>
      <c r="F226" s="126" t="s">
        <v>6437</v>
      </c>
      <c r="J226" s="127">
        <f>BK226</f>
        <v>0</v>
      </c>
      <c r="L226" s="117"/>
      <c r="M226" s="121"/>
      <c r="P226" s="122">
        <f>SUM(P227:P249)</f>
        <v>0</v>
      </c>
      <c r="R226" s="122">
        <f>SUM(R227:R249)</f>
        <v>1.5296312000000001</v>
      </c>
      <c r="T226" s="123">
        <f>SUM(T227:T249)</f>
        <v>0</v>
      </c>
      <c r="AR226" s="118" t="s">
        <v>87</v>
      </c>
      <c r="AT226" s="124" t="s">
        <v>79</v>
      </c>
      <c r="AU226" s="124" t="s">
        <v>87</v>
      </c>
      <c r="AY226" s="118" t="s">
        <v>337</v>
      </c>
      <c r="BK226" s="125">
        <f>SUM(BK227:BK249)</f>
        <v>0</v>
      </c>
    </row>
    <row r="227" spans="2:65" s="16" customFormat="1" ht="16.5" customHeight="1" x14ac:dyDescent="0.2">
      <c r="B227" s="17"/>
      <c r="C227" s="128">
        <v>27</v>
      </c>
      <c r="D227" s="128" t="s">
        <v>339</v>
      </c>
      <c r="E227" s="129" t="s">
        <v>6438</v>
      </c>
      <c r="F227" s="130" t="s">
        <v>6439</v>
      </c>
      <c r="G227" s="131" t="s">
        <v>724</v>
      </c>
      <c r="H227" s="132">
        <v>23.98</v>
      </c>
      <c r="I227" s="133"/>
      <c r="J227" s="134">
        <f>ROUND(I227*H227,2)</f>
        <v>0</v>
      </c>
      <c r="K227" s="130" t="s">
        <v>343</v>
      </c>
      <c r="L227" s="17"/>
      <c r="M227" s="135"/>
      <c r="N227" s="136" t="s">
        <v>45</v>
      </c>
      <c r="P227" s="137">
        <f>O227*H227</f>
        <v>0</v>
      </c>
      <c r="Q227" s="137">
        <v>1.0000000000000001E-5</v>
      </c>
      <c r="R227" s="137">
        <f>Q227*H227</f>
        <v>2.3980000000000003E-4</v>
      </c>
      <c r="S227" s="137">
        <v>0</v>
      </c>
      <c r="T227" s="138">
        <f>S227*H227</f>
        <v>0</v>
      </c>
      <c r="AR227" s="139" t="s">
        <v>344</v>
      </c>
      <c r="AT227" s="139" t="s">
        <v>339</v>
      </c>
      <c r="AU227" s="139" t="s">
        <v>90</v>
      </c>
      <c r="AY227" s="2" t="s">
        <v>337</v>
      </c>
      <c r="BE227" s="140">
        <f>IF(N227="základní",J227,0)</f>
        <v>0</v>
      </c>
      <c r="BF227" s="140">
        <f>IF(N227="snížená",J227,0)</f>
        <v>0</v>
      </c>
      <c r="BG227" s="140">
        <f>IF(N227="zákl. přenesená",J227,0)</f>
        <v>0</v>
      </c>
      <c r="BH227" s="140">
        <f>IF(N227="sníž. přenesená",J227,0)</f>
        <v>0</v>
      </c>
      <c r="BI227" s="140">
        <f>IF(N227="nulová",J227,0)</f>
        <v>0</v>
      </c>
      <c r="BJ227" s="2" t="s">
        <v>87</v>
      </c>
      <c r="BK227" s="140">
        <f>ROUND(I227*H227,2)</f>
        <v>0</v>
      </c>
      <c r="BL227" s="2" t="s">
        <v>344</v>
      </c>
      <c r="BM227" s="139" t="s">
        <v>6440</v>
      </c>
    </row>
    <row r="228" spans="2:65" s="16" customFormat="1" ht="16.5" customHeight="1" x14ac:dyDescent="0.2">
      <c r="B228" s="17"/>
      <c r="C228" s="162">
        <v>28</v>
      </c>
      <c r="D228" s="162" t="s">
        <v>519</v>
      </c>
      <c r="E228" s="163" t="s">
        <v>6441</v>
      </c>
      <c r="F228" s="164" t="s">
        <v>6442</v>
      </c>
      <c r="G228" s="165" t="s">
        <v>724</v>
      </c>
      <c r="H228" s="166">
        <v>24.699000000000002</v>
      </c>
      <c r="I228" s="167"/>
      <c r="J228" s="168">
        <f>ROUND(I228*H228,2)</f>
        <v>0</v>
      </c>
      <c r="K228" s="164" t="s">
        <v>343</v>
      </c>
      <c r="L228" s="169"/>
      <c r="M228" s="170"/>
      <c r="N228" s="171" t="s">
        <v>45</v>
      </c>
      <c r="P228" s="137">
        <f>O228*H228</f>
        <v>0</v>
      </c>
      <c r="Q228" s="137">
        <v>4.0400000000000002E-3</v>
      </c>
      <c r="R228" s="137">
        <f>Q228*H228</f>
        <v>9.9783960000000005E-2</v>
      </c>
      <c r="S228" s="137">
        <v>0</v>
      </c>
      <c r="T228" s="138">
        <f>S228*H228</f>
        <v>0</v>
      </c>
      <c r="AR228" s="139" t="s">
        <v>446</v>
      </c>
      <c r="AT228" s="139" t="s">
        <v>519</v>
      </c>
      <c r="AU228" s="139" t="s">
        <v>90</v>
      </c>
      <c r="AY228" s="2" t="s">
        <v>337</v>
      </c>
      <c r="BE228" s="140">
        <f>IF(N228="základní",J228,0)</f>
        <v>0</v>
      </c>
      <c r="BF228" s="140">
        <f>IF(N228="snížená",J228,0)</f>
        <v>0</v>
      </c>
      <c r="BG228" s="140">
        <f>IF(N228="zákl. přenesená",J228,0)</f>
        <v>0</v>
      </c>
      <c r="BH228" s="140">
        <f>IF(N228="sníž. přenesená",J228,0)</f>
        <v>0</v>
      </c>
      <c r="BI228" s="140">
        <f>IF(N228="nulová",J228,0)</f>
        <v>0</v>
      </c>
      <c r="BJ228" s="2" t="s">
        <v>87</v>
      </c>
      <c r="BK228" s="140">
        <f>ROUND(I228*H228,2)</f>
        <v>0</v>
      </c>
      <c r="BL228" s="2" t="s">
        <v>344</v>
      </c>
      <c r="BM228" s="139" t="s">
        <v>6443</v>
      </c>
    </row>
    <row r="229" spans="2:65" s="148" customFormat="1" x14ac:dyDescent="0.2">
      <c r="B229" s="149"/>
      <c r="D229" s="143" t="s">
        <v>346</v>
      </c>
      <c r="F229" s="151" t="s">
        <v>6444</v>
      </c>
      <c r="H229" s="152">
        <v>24.699000000000002</v>
      </c>
      <c r="L229" s="149"/>
      <c r="M229" s="153"/>
      <c r="T229" s="154"/>
      <c r="AT229" s="150" t="s">
        <v>346</v>
      </c>
      <c r="AU229" s="150" t="s">
        <v>90</v>
      </c>
      <c r="AV229" s="148" t="s">
        <v>90</v>
      </c>
      <c r="AW229" s="148" t="s">
        <v>3</v>
      </c>
      <c r="AX229" s="148" t="s">
        <v>87</v>
      </c>
      <c r="AY229" s="150" t="s">
        <v>337</v>
      </c>
    </row>
    <row r="230" spans="2:65" s="16" customFormat="1" ht="21.75" customHeight="1" x14ac:dyDescent="0.2">
      <c r="B230" s="17"/>
      <c r="C230" s="128">
        <v>29</v>
      </c>
      <c r="D230" s="128" t="s">
        <v>339</v>
      </c>
      <c r="E230" s="129" t="s">
        <v>6445</v>
      </c>
      <c r="F230" s="130" t="s">
        <v>6446</v>
      </c>
      <c r="G230" s="131" t="s">
        <v>449</v>
      </c>
      <c r="H230" s="132">
        <v>3</v>
      </c>
      <c r="I230" s="133"/>
      <c r="J230" s="134">
        <f t="shared" ref="J230:J236" si="0">ROUND(I230*H230,2)</f>
        <v>0</v>
      </c>
      <c r="K230" s="130" t="s">
        <v>343</v>
      </c>
      <c r="L230" s="17"/>
      <c r="M230" s="135"/>
      <c r="N230" s="136" t="s">
        <v>45</v>
      </c>
      <c r="P230" s="137">
        <f t="shared" ref="P230:P236" si="1">O230*H230</f>
        <v>0</v>
      </c>
      <c r="Q230" s="137">
        <v>0</v>
      </c>
      <c r="R230" s="137">
        <f t="shared" ref="R230:R236" si="2">Q230*H230</f>
        <v>0</v>
      </c>
      <c r="S230" s="137">
        <v>0</v>
      </c>
      <c r="T230" s="138">
        <f t="shared" ref="T230:T236" si="3">S230*H230</f>
        <v>0</v>
      </c>
      <c r="AR230" s="139" t="s">
        <v>344</v>
      </c>
      <c r="AT230" s="139" t="s">
        <v>339</v>
      </c>
      <c r="AU230" s="139" t="s">
        <v>90</v>
      </c>
      <c r="AY230" s="2" t="s">
        <v>337</v>
      </c>
      <c r="BE230" s="140">
        <f t="shared" ref="BE230:BE236" si="4">IF(N230="základní",J230,0)</f>
        <v>0</v>
      </c>
      <c r="BF230" s="140">
        <f t="shared" ref="BF230:BF236" si="5">IF(N230="snížená",J230,0)</f>
        <v>0</v>
      </c>
      <c r="BG230" s="140">
        <f t="shared" ref="BG230:BG236" si="6">IF(N230="zákl. přenesená",J230,0)</f>
        <v>0</v>
      </c>
      <c r="BH230" s="140">
        <f t="shared" ref="BH230:BH236" si="7">IF(N230="sníž. přenesená",J230,0)</f>
        <v>0</v>
      </c>
      <c r="BI230" s="140">
        <f t="shared" ref="BI230:BI236" si="8">IF(N230="nulová",J230,0)</f>
        <v>0</v>
      </c>
      <c r="BJ230" s="2" t="s">
        <v>87</v>
      </c>
      <c r="BK230" s="140">
        <f t="shared" ref="BK230:BK236" si="9">ROUND(I230*H230,2)</f>
        <v>0</v>
      </c>
      <c r="BL230" s="2" t="s">
        <v>344</v>
      </c>
      <c r="BM230" s="139" t="s">
        <v>6447</v>
      </c>
    </row>
    <row r="231" spans="2:65" s="16" customFormat="1" ht="16.5" customHeight="1" x14ac:dyDescent="0.2">
      <c r="B231" s="17"/>
      <c r="C231" s="162">
        <v>30</v>
      </c>
      <c r="D231" s="162" t="s">
        <v>519</v>
      </c>
      <c r="E231" s="163" t="s">
        <v>6448</v>
      </c>
      <c r="F231" s="164" t="s">
        <v>6449</v>
      </c>
      <c r="G231" s="165" t="s">
        <v>449</v>
      </c>
      <c r="H231" s="166">
        <v>3</v>
      </c>
      <c r="I231" s="167"/>
      <c r="J231" s="168">
        <f t="shared" si="0"/>
        <v>0</v>
      </c>
      <c r="K231" s="164" t="s">
        <v>343</v>
      </c>
      <c r="L231" s="169"/>
      <c r="M231" s="170"/>
      <c r="N231" s="171" t="s">
        <v>45</v>
      </c>
      <c r="P231" s="137">
        <f t="shared" si="1"/>
        <v>0</v>
      </c>
      <c r="Q231" s="137">
        <v>1.6000000000000001E-3</v>
      </c>
      <c r="R231" s="137">
        <f t="shared" si="2"/>
        <v>4.8000000000000004E-3</v>
      </c>
      <c r="S231" s="137">
        <v>0</v>
      </c>
      <c r="T231" s="138">
        <f t="shared" si="3"/>
        <v>0</v>
      </c>
      <c r="AR231" s="139" t="s">
        <v>446</v>
      </c>
      <c r="AT231" s="139" t="s">
        <v>519</v>
      </c>
      <c r="AU231" s="139" t="s">
        <v>90</v>
      </c>
      <c r="AY231" s="2" t="s">
        <v>337</v>
      </c>
      <c r="BE231" s="140">
        <f t="shared" si="4"/>
        <v>0</v>
      </c>
      <c r="BF231" s="140">
        <f t="shared" si="5"/>
        <v>0</v>
      </c>
      <c r="BG231" s="140">
        <f t="shared" si="6"/>
        <v>0</v>
      </c>
      <c r="BH231" s="140">
        <f t="shared" si="7"/>
        <v>0</v>
      </c>
      <c r="BI231" s="140">
        <f t="shared" si="8"/>
        <v>0</v>
      </c>
      <c r="BJ231" s="2" t="s">
        <v>87</v>
      </c>
      <c r="BK231" s="140">
        <f t="shared" si="9"/>
        <v>0</v>
      </c>
      <c r="BL231" s="2" t="s">
        <v>344</v>
      </c>
      <c r="BM231" s="139" t="s">
        <v>6450</v>
      </c>
    </row>
    <row r="232" spans="2:65" s="16" customFormat="1" ht="16.5" customHeight="1" x14ac:dyDescent="0.2">
      <c r="B232" s="17"/>
      <c r="C232" s="128">
        <v>31</v>
      </c>
      <c r="D232" s="128" t="s">
        <v>339</v>
      </c>
      <c r="E232" s="129" t="s">
        <v>6451</v>
      </c>
      <c r="F232" s="130" t="s">
        <v>6452</v>
      </c>
      <c r="G232" s="131" t="s">
        <v>6453</v>
      </c>
      <c r="H232" s="132">
        <v>4</v>
      </c>
      <c r="I232" s="133"/>
      <c r="J232" s="134">
        <f t="shared" si="0"/>
        <v>0</v>
      </c>
      <c r="K232" s="130" t="s">
        <v>343</v>
      </c>
      <c r="L232" s="17"/>
      <c r="M232" s="135"/>
      <c r="N232" s="136" t="s">
        <v>45</v>
      </c>
      <c r="P232" s="137">
        <f t="shared" si="1"/>
        <v>0</v>
      </c>
      <c r="Q232" s="137">
        <v>1E-4</v>
      </c>
      <c r="R232" s="137">
        <f t="shared" si="2"/>
        <v>4.0000000000000002E-4</v>
      </c>
      <c r="S232" s="137">
        <v>0</v>
      </c>
      <c r="T232" s="138">
        <f t="shared" si="3"/>
        <v>0</v>
      </c>
      <c r="AR232" s="139" t="s">
        <v>344</v>
      </c>
      <c r="AT232" s="139" t="s">
        <v>339</v>
      </c>
      <c r="AU232" s="139" t="s">
        <v>90</v>
      </c>
      <c r="AY232" s="2" t="s">
        <v>337</v>
      </c>
      <c r="BE232" s="140">
        <f t="shared" si="4"/>
        <v>0</v>
      </c>
      <c r="BF232" s="140">
        <f t="shared" si="5"/>
        <v>0</v>
      </c>
      <c r="BG232" s="140">
        <f t="shared" si="6"/>
        <v>0</v>
      </c>
      <c r="BH232" s="140">
        <f t="shared" si="7"/>
        <v>0</v>
      </c>
      <c r="BI232" s="140">
        <f t="shared" si="8"/>
        <v>0</v>
      </c>
      <c r="BJ232" s="2" t="s">
        <v>87</v>
      </c>
      <c r="BK232" s="140">
        <f t="shared" si="9"/>
        <v>0</v>
      </c>
      <c r="BL232" s="2" t="s">
        <v>344</v>
      </c>
      <c r="BM232" s="139" t="s">
        <v>6454</v>
      </c>
    </row>
    <row r="233" spans="2:65" s="16" customFormat="1" ht="16.5" customHeight="1" x14ac:dyDescent="0.2">
      <c r="B233" s="17"/>
      <c r="C233" s="128">
        <v>32</v>
      </c>
      <c r="D233" s="128" t="s">
        <v>339</v>
      </c>
      <c r="E233" s="129" t="s">
        <v>6455</v>
      </c>
      <c r="F233" s="130" t="s">
        <v>6456</v>
      </c>
      <c r="G233" s="131" t="s">
        <v>449</v>
      </c>
      <c r="H233" s="132">
        <v>1</v>
      </c>
      <c r="I233" s="133"/>
      <c r="J233" s="134">
        <f t="shared" si="0"/>
        <v>0</v>
      </c>
      <c r="K233" s="130"/>
      <c r="L233" s="17"/>
      <c r="M233" s="135"/>
      <c r="N233" s="136" t="s">
        <v>45</v>
      </c>
      <c r="P233" s="137">
        <f t="shared" si="1"/>
        <v>0</v>
      </c>
      <c r="Q233" s="137">
        <v>0.24993000000000001</v>
      </c>
      <c r="R233" s="137">
        <f t="shared" si="2"/>
        <v>0.24993000000000001</v>
      </c>
      <c r="S233" s="137">
        <v>0</v>
      </c>
      <c r="T233" s="138">
        <f t="shared" si="3"/>
        <v>0</v>
      </c>
      <c r="AR233" s="139" t="s">
        <v>344</v>
      </c>
      <c r="AT233" s="139" t="s">
        <v>339</v>
      </c>
      <c r="AU233" s="139" t="s">
        <v>90</v>
      </c>
      <c r="AY233" s="2" t="s">
        <v>337</v>
      </c>
      <c r="BE233" s="140">
        <f t="shared" si="4"/>
        <v>0</v>
      </c>
      <c r="BF233" s="140">
        <f t="shared" si="5"/>
        <v>0</v>
      </c>
      <c r="BG233" s="140">
        <f t="shared" si="6"/>
        <v>0</v>
      </c>
      <c r="BH233" s="140">
        <f t="shared" si="7"/>
        <v>0</v>
      </c>
      <c r="BI233" s="140">
        <f t="shared" si="8"/>
        <v>0</v>
      </c>
      <c r="BJ233" s="2" t="s">
        <v>87</v>
      </c>
      <c r="BK233" s="140">
        <f t="shared" si="9"/>
        <v>0</v>
      </c>
      <c r="BL233" s="2" t="s">
        <v>344</v>
      </c>
      <c r="BM233" s="139" t="s">
        <v>6457</v>
      </c>
    </row>
    <row r="234" spans="2:65" s="16" customFormat="1" ht="16.5" customHeight="1" x14ac:dyDescent="0.2">
      <c r="B234" s="17"/>
      <c r="C234" s="128">
        <v>33</v>
      </c>
      <c r="D234" s="128" t="s">
        <v>339</v>
      </c>
      <c r="E234" s="129" t="s">
        <v>6458</v>
      </c>
      <c r="F234" s="130" t="s">
        <v>6459</v>
      </c>
      <c r="G234" s="131" t="s">
        <v>449</v>
      </c>
      <c r="H234" s="132">
        <v>1</v>
      </c>
      <c r="I234" s="133"/>
      <c r="J234" s="134">
        <f t="shared" si="0"/>
        <v>0</v>
      </c>
      <c r="K234" s="130" t="s">
        <v>343</v>
      </c>
      <c r="L234" s="17"/>
      <c r="M234" s="135"/>
      <c r="N234" s="136" t="s">
        <v>45</v>
      </c>
      <c r="P234" s="137">
        <f t="shared" si="1"/>
        <v>0</v>
      </c>
      <c r="Q234" s="137">
        <v>0.1056</v>
      </c>
      <c r="R234" s="137">
        <f t="shared" si="2"/>
        <v>0.1056</v>
      </c>
      <c r="S234" s="137">
        <v>0</v>
      </c>
      <c r="T234" s="138">
        <f t="shared" si="3"/>
        <v>0</v>
      </c>
      <c r="AR234" s="139" t="s">
        <v>344</v>
      </c>
      <c r="AT234" s="139" t="s">
        <v>339</v>
      </c>
      <c r="AU234" s="139" t="s">
        <v>90</v>
      </c>
      <c r="AY234" s="2" t="s">
        <v>337</v>
      </c>
      <c r="BE234" s="140">
        <f t="shared" si="4"/>
        <v>0</v>
      </c>
      <c r="BF234" s="140">
        <f t="shared" si="5"/>
        <v>0</v>
      </c>
      <c r="BG234" s="140">
        <f t="shared" si="6"/>
        <v>0</v>
      </c>
      <c r="BH234" s="140">
        <f t="shared" si="7"/>
        <v>0</v>
      </c>
      <c r="BI234" s="140">
        <f t="shared" si="8"/>
        <v>0</v>
      </c>
      <c r="BJ234" s="2" t="s">
        <v>87</v>
      </c>
      <c r="BK234" s="140">
        <f t="shared" si="9"/>
        <v>0</v>
      </c>
      <c r="BL234" s="2" t="s">
        <v>344</v>
      </c>
      <c r="BM234" s="139" t="s">
        <v>6460</v>
      </c>
    </row>
    <row r="235" spans="2:65" s="16" customFormat="1" ht="16.5" customHeight="1" x14ac:dyDescent="0.2">
      <c r="B235" s="17"/>
      <c r="C235" s="128">
        <v>34</v>
      </c>
      <c r="D235" s="128" t="s">
        <v>339</v>
      </c>
      <c r="E235" s="129" t="s">
        <v>6461</v>
      </c>
      <c r="F235" s="130" t="s">
        <v>6462</v>
      </c>
      <c r="G235" s="131" t="s">
        <v>449</v>
      </c>
      <c r="H235" s="132">
        <v>1</v>
      </c>
      <c r="I235" s="133"/>
      <c r="J235" s="134">
        <f t="shared" si="0"/>
        <v>0</v>
      </c>
      <c r="K235" s="130" t="s">
        <v>343</v>
      </c>
      <c r="L235" s="17"/>
      <c r="M235" s="135"/>
      <c r="N235" s="136" t="s">
        <v>45</v>
      </c>
      <c r="P235" s="137">
        <f t="shared" si="1"/>
        <v>0</v>
      </c>
      <c r="Q235" s="137">
        <v>1.2120000000000001E-2</v>
      </c>
      <c r="R235" s="137">
        <f t="shared" si="2"/>
        <v>1.2120000000000001E-2</v>
      </c>
      <c r="S235" s="137">
        <v>0</v>
      </c>
      <c r="T235" s="138">
        <f t="shared" si="3"/>
        <v>0</v>
      </c>
      <c r="AR235" s="139" t="s">
        <v>344</v>
      </c>
      <c r="AT235" s="139" t="s">
        <v>339</v>
      </c>
      <c r="AU235" s="139" t="s">
        <v>90</v>
      </c>
      <c r="AY235" s="2" t="s">
        <v>337</v>
      </c>
      <c r="BE235" s="140">
        <f t="shared" si="4"/>
        <v>0</v>
      </c>
      <c r="BF235" s="140">
        <f t="shared" si="5"/>
        <v>0</v>
      </c>
      <c r="BG235" s="140">
        <f t="shared" si="6"/>
        <v>0</v>
      </c>
      <c r="BH235" s="140">
        <f t="shared" si="7"/>
        <v>0</v>
      </c>
      <c r="BI235" s="140">
        <f t="shared" si="8"/>
        <v>0</v>
      </c>
      <c r="BJ235" s="2" t="s">
        <v>87</v>
      </c>
      <c r="BK235" s="140">
        <f t="shared" si="9"/>
        <v>0</v>
      </c>
      <c r="BL235" s="2" t="s">
        <v>344</v>
      </c>
      <c r="BM235" s="139" t="s">
        <v>6463</v>
      </c>
    </row>
    <row r="236" spans="2:65" s="16" customFormat="1" ht="21.75" customHeight="1" x14ac:dyDescent="0.2">
      <c r="B236" s="17"/>
      <c r="C236" s="128">
        <v>35</v>
      </c>
      <c r="D236" s="128" t="s">
        <v>339</v>
      </c>
      <c r="E236" s="129" t="s">
        <v>6464</v>
      </c>
      <c r="F236" s="130" t="s">
        <v>6465</v>
      </c>
      <c r="G236" s="131" t="s">
        <v>449</v>
      </c>
      <c r="H236" s="132">
        <v>1</v>
      </c>
      <c r="I236" s="133"/>
      <c r="J236" s="134">
        <f t="shared" si="0"/>
        <v>0</v>
      </c>
      <c r="K236" s="130" t="s">
        <v>343</v>
      </c>
      <c r="L236" s="17"/>
      <c r="M236" s="135"/>
      <c r="N236" s="136" t="s">
        <v>45</v>
      </c>
      <c r="P236" s="137">
        <f t="shared" si="1"/>
        <v>0</v>
      </c>
      <c r="Q236" s="137">
        <v>0.30399999999999999</v>
      </c>
      <c r="R236" s="137">
        <f t="shared" si="2"/>
        <v>0.30399999999999999</v>
      </c>
      <c r="S236" s="137">
        <v>0</v>
      </c>
      <c r="T236" s="138">
        <f t="shared" si="3"/>
        <v>0</v>
      </c>
      <c r="AR236" s="139" t="s">
        <v>344</v>
      </c>
      <c r="AT236" s="139" t="s">
        <v>339</v>
      </c>
      <c r="AU236" s="139" t="s">
        <v>90</v>
      </c>
      <c r="AY236" s="2" t="s">
        <v>337</v>
      </c>
      <c r="BE236" s="140">
        <f t="shared" si="4"/>
        <v>0</v>
      </c>
      <c r="BF236" s="140">
        <f t="shared" si="5"/>
        <v>0</v>
      </c>
      <c r="BG236" s="140">
        <f t="shared" si="6"/>
        <v>0</v>
      </c>
      <c r="BH236" s="140">
        <f t="shared" si="7"/>
        <v>0</v>
      </c>
      <c r="BI236" s="140">
        <f t="shared" si="8"/>
        <v>0</v>
      </c>
      <c r="BJ236" s="2" t="s">
        <v>87</v>
      </c>
      <c r="BK236" s="140">
        <f t="shared" si="9"/>
        <v>0</v>
      </c>
      <c r="BL236" s="2" t="s">
        <v>344</v>
      </c>
      <c r="BM236" s="139" t="s">
        <v>6466</v>
      </c>
    </row>
    <row r="237" spans="2:65" s="141" customFormat="1" x14ac:dyDescent="0.2">
      <c r="B237" s="142"/>
      <c r="D237" s="143" t="s">
        <v>346</v>
      </c>
      <c r="E237" s="144"/>
      <c r="F237" s="145" t="s">
        <v>6467</v>
      </c>
      <c r="H237" s="144"/>
      <c r="L237" s="142"/>
      <c r="M237" s="146"/>
      <c r="T237" s="147"/>
      <c r="AT237" s="144" t="s">
        <v>346</v>
      </c>
      <c r="AU237" s="144" t="s">
        <v>90</v>
      </c>
      <c r="AV237" s="141" t="s">
        <v>87</v>
      </c>
      <c r="AW237" s="141" t="s">
        <v>33</v>
      </c>
      <c r="AX237" s="141" t="s">
        <v>80</v>
      </c>
      <c r="AY237" s="144" t="s">
        <v>337</v>
      </c>
    </row>
    <row r="238" spans="2:65" s="148" customFormat="1" x14ac:dyDescent="0.2">
      <c r="B238" s="149"/>
      <c r="D238" s="143" t="s">
        <v>346</v>
      </c>
      <c r="E238" s="150"/>
      <c r="F238" s="151" t="s">
        <v>87</v>
      </c>
      <c r="H238" s="152">
        <v>1</v>
      </c>
      <c r="L238" s="149"/>
      <c r="M238" s="153"/>
      <c r="T238" s="154"/>
      <c r="AT238" s="150" t="s">
        <v>346</v>
      </c>
      <c r="AU238" s="150" t="s">
        <v>90</v>
      </c>
      <c r="AV238" s="148" t="s">
        <v>90</v>
      </c>
      <c r="AW238" s="148" t="s">
        <v>33</v>
      </c>
      <c r="AX238" s="148" t="s">
        <v>87</v>
      </c>
      <c r="AY238" s="150" t="s">
        <v>337</v>
      </c>
    </row>
    <row r="239" spans="2:65" s="16" customFormat="1" ht="21.75" customHeight="1" x14ac:dyDescent="0.2">
      <c r="B239" s="17"/>
      <c r="C239" s="128">
        <v>36</v>
      </c>
      <c r="D239" s="128" t="s">
        <v>339</v>
      </c>
      <c r="E239" s="129" t="s">
        <v>6468</v>
      </c>
      <c r="F239" s="130" t="s">
        <v>6469</v>
      </c>
      <c r="G239" s="131" t="s">
        <v>449</v>
      </c>
      <c r="H239" s="132">
        <v>1</v>
      </c>
      <c r="I239" s="133"/>
      <c r="J239" s="134">
        <f>ROUND(I239*H239,2)</f>
        <v>0</v>
      </c>
      <c r="K239" s="130" t="s">
        <v>343</v>
      </c>
      <c r="L239" s="17"/>
      <c r="M239" s="135"/>
      <c r="N239" s="136" t="s">
        <v>45</v>
      </c>
      <c r="P239" s="137">
        <f>O239*H239</f>
        <v>0</v>
      </c>
      <c r="Q239" s="137">
        <v>0.42115999999999998</v>
      </c>
      <c r="R239" s="137">
        <f>Q239*H239</f>
        <v>0.42115999999999998</v>
      </c>
      <c r="S239" s="137">
        <v>0</v>
      </c>
      <c r="T239" s="138">
        <f>S239*H239</f>
        <v>0</v>
      </c>
      <c r="AR239" s="139" t="s">
        <v>344</v>
      </c>
      <c r="AT239" s="139" t="s">
        <v>339</v>
      </c>
      <c r="AU239" s="139" t="s">
        <v>90</v>
      </c>
      <c r="AY239" s="2" t="s">
        <v>337</v>
      </c>
      <c r="BE239" s="140">
        <f>IF(N239="základní",J239,0)</f>
        <v>0</v>
      </c>
      <c r="BF239" s="140">
        <f>IF(N239="snížená",J239,0)</f>
        <v>0</v>
      </c>
      <c r="BG239" s="140">
        <f>IF(N239="zákl. přenesená",J239,0)</f>
        <v>0</v>
      </c>
      <c r="BH239" s="140">
        <f>IF(N239="sníž. přenesená",J239,0)</f>
        <v>0</v>
      </c>
      <c r="BI239" s="140">
        <f>IF(N239="nulová",J239,0)</f>
        <v>0</v>
      </c>
      <c r="BJ239" s="2" t="s">
        <v>87</v>
      </c>
      <c r="BK239" s="140">
        <f>ROUND(I239*H239,2)</f>
        <v>0</v>
      </c>
      <c r="BL239" s="2" t="s">
        <v>344</v>
      </c>
      <c r="BM239" s="139" t="s">
        <v>6470</v>
      </c>
    </row>
    <row r="240" spans="2:65" s="141" customFormat="1" x14ac:dyDescent="0.2">
      <c r="B240" s="142"/>
      <c r="D240" s="143" t="s">
        <v>346</v>
      </c>
      <c r="E240" s="144"/>
      <c r="F240" s="145" t="s">
        <v>6471</v>
      </c>
      <c r="H240" s="144"/>
      <c r="L240" s="142"/>
      <c r="M240" s="146"/>
      <c r="T240" s="147"/>
      <c r="AT240" s="144" t="s">
        <v>346</v>
      </c>
      <c r="AU240" s="144" t="s">
        <v>90</v>
      </c>
      <c r="AV240" s="141" t="s">
        <v>87</v>
      </c>
      <c r="AW240" s="141" t="s">
        <v>33</v>
      </c>
      <c r="AX240" s="141" t="s">
        <v>80</v>
      </c>
      <c r="AY240" s="144" t="s">
        <v>337</v>
      </c>
    </row>
    <row r="241" spans="2:65" s="148" customFormat="1" x14ac:dyDescent="0.2">
      <c r="B241" s="149"/>
      <c r="D241" s="143" t="s">
        <v>346</v>
      </c>
      <c r="E241" s="150"/>
      <c r="F241" s="151" t="s">
        <v>87</v>
      </c>
      <c r="H241" s="152">
        <v>1</v>
      </c>
      <c r="L241" s="149"/>
      <c r="M241" s="153"/>
      <c r="T241" s="154"/>
      <c r="AT241" s="150" t="s">
        <v>346</v>
      </c>
      <c r="AU241" s="150" t="s">
        <v>90</v>
      </c>
      <c r="AV241" s="148" t="s">
        <v>90</v>
      </c>
      <c r="AW241" s="148" t="s">
        <v>33</v>
      </c>
      <c r="AX241" s="148" t="s">
        <v>87</v>
      </c>
      <c r="AY241" s="150" t="s">
        <v>337</v>
      </c>
    </row>
    <row r="242" spans="2:65" s="16" customFormat="1" ht="24.2" customHeight="1" x14ac:dyDescent="0.2">
      <c r="B242" s="17"/>
      <c r="C242" s="128">
        <v>37</v>
      </c>
      <c r="D242" s="128" t="s">
        <v>339</v>
      </c>
      <c r="E242" s="129" t="s">
        <v>6472</v>
      </c>
      <c r="F242" s="130" t="s">
        <v>6473</v>
      </c>
      <c r="G242" s="131" t="s">
        <v>342</v>
      </c>
      <c r="H242" s="132">
        <v>0.89600000000000002</v>
      </c>
      <c r="I242" s="133"/>
      <c r="J242" s="134">
        <f>ROUND(I242*H242,2)</f>
        <v>0</v>
      </c>
      <c r="K242" s="130" t="s">
        <v>343</v>
      </c>
      <c r="L242" s="17"/>
      <c r="M242" s="135"/>
      <c r="N242" s="136" t="s">
        <v>45</v>
      </c>
      <c r="P242" s="137">
        <f>O242*H242</f>
        <v>0</v>
      </c>
      <c r="Q242" s="137">
        <v>5.0889999999999998E-2</v>
      </c>
      <c r="R242" s="137">
        <f>Q242*H242</f>
        <v>4.5597439999999996E-2</v>
      </c>
      <c r="S242" s="137">
        <v>0</v>
      </c>
      <c r="T242" s="138">
        <f>S242*H242</f>
        <v>0</v>
      </c>
      <c r="AR242" s="139" t="s">
        <v>344</v>
      </c>
      <c r="AT242" s="139" t="s">
        <v>339</v>
      </c>
      <c r="AU242" s="139" t="s">
        <v>90</v>
      </c>
      <c r="AY242" s="2" t="s">
        <v>337</v>
      </c>
      <c r="BE242" s="140">
        <f>IF(N242="základní",J242,0)</f>
        <v>0</v>
      </c>
      <c r="BF242" s="140">
        <f>IF(N242="snížená",J242,0)</f>
        <v>0</v>
      </c>
      <c r="BG242" s="140">
        <f>IF(N242="zákl. přenesená",J242,0)</f>
        <v>0</v>
      </c>
      <c r="BH242" s="140">
        <f>IF(N242="sníž. přenesená",J242,0)</f>
        <v>0</v>
      </c>
      <c r="BI242" s="140">
        <f>IF(N242="nulová",J242,0)</f>
        <v>0</v>
      </c>
      <c r="BJ242" s="2" t="s">
        <v>87</v>
      </c>
      <c r="BK242" s="140">
        <f>ROUND(I242*H242,2)</f>
        <v>0</v>
      </c>
      <c r="BL242" s="2" t="s">
        <v>344</v>
      </c>
      <c r="BM242" s="139" t="s">
        <v>6474</v>
      </c>
    </row>
    <row r="243" spans="2:65" s="141" customFormat="1" x14ac:dyDescent="0.2">
      <c r="B243" s="142"/>
      <c r="D243" s="143" t="s">
        <v>346</v>
      </c>
      <c r="E243" s="144"/>
      <c r="F243" s="145" t="s">
        <v>6475</v>
      </c>
      <c r="H243" s="144"/>
      <c r="L243" s="142"/>
      <c r="M243" s="146"/>
      <c r="T243" s="147"/>
      <c r="AT243" s="144" t="s">
        <v>346</v>
      </c>
      <c r="AU243" s="144" t="s">
        <v>90</v>
      </c>
      <c r="AV243" s="141" t="s">
        <v>87</v>
      </c>
      <c r="AW243" s="141" t="s">
        <v>33</v>
      </c>
      <c r="AX243" s="141" t="s">
        <v>80</v>
      </c>
      <c r="AY243" s="144" t="s">
        <v>337</v>
      </c>
    </row>
    <row r="244" spans="2:65" s="148" customFormat="1" x14ac:dyDescent="0.2">
      <c r="B244" s="149"/>
      <c r="D244" s="143" t="s">
        <v>346</v>
      </c>
      <c r="E244" s="150"/>
      <c r="F244" s="151" t="s">
        <v>6476</v>
      </c>
      <c r="H244" s="152">
        <v>0.89600000000000002</v>
      </c>
      <c r="L244" s="149"/>
      <c r="M244" s="153"/>
      <c r="T244" s="154"/>
      <c r="AT244" s="150" t="s">
        <v>346</v>
      </c>
      <c r="AU244" s="150" t="s">
        <v>90</v>
      </c>
      <c r="AV244" s="148" t="s">
        <v>90</v>
      </c>
      <c r="AW244" s="148" t="s">
        <v>33</v>
      </c>
      <c r="AX244" s="148" t="s">
        <v>87</v>
      </c>
      <c r="AY244" s="150" t="s">
        <v>337</v>
      </c>
    </row>
    <row r="245" spans="2:65" s="141" customFormat="1" x14ac:dyDescent="0.2">
      <c r="B245" s="142"/>
      <c r="D245" s="143" t="s">
        <v>346</v>
      </c>
      <c r="E245" s="144"/>
      <c r="F245" s="145" t="s">
        <v>6477</v>
      </c>
      <c r="H245" s="144"/>
      <c r="L245" s="142"/>
      <c r="M245" s="146"/>
      <c r="T245" s="147"/>
      <c r="AT245" s="144" t="s">
        <v>346</v>
      </c>
      <c r="AU245" s="144" t="s">
        <v>90</v>
      </c>
      <c r="AV245" s="141" t="s">
        <v>87</v>
      </c>
      <c r="AW245" s="141" t="s">
        <v>33</v>
      </c>
      <c r="AX245" s="141" t="s">
        <v>80</v>
      </c>
      <c r="AY245" s="144" t="s">
        <v>337</v>
      </c>
    </row>
    <row r="246" spans="2:65" s="16" customFormat="1" ht="21.75" customHeight="1" x14ac:dyDescent="0.2">
      <c r="B246" s="17"/>
      <c r="C246" s="128">
        <v>38</v>
      </c>
      <c r="D246" s="128" t="s">
        <v>339</v>
      </c>
      <c r="E246" s="129" t="s">
        <v>6478</v>
      </c>
      <c r="F246" s="130" t="s">
        <v>6479</v>
      </c>
      <c r="G246" s="131" t="s">
        <v>449</v>
      </c>
      <c r="H246" s="132">
        <v>1</v>
      </c>
      <c r="I246" s="133"/>
      <c r="J246" s="134">
        <f>ROUND(I246*H246,2)</f>
        <v>0</v>
      </c>
      <c r="K246" s="130" t="s">
        <v>343</v>
      </c>
      <c r="L246" s="17"/>
      <c r="M246" s="135"/>
      <c r="N246" s="136" t="s">
        <v>45</v>
      </c>
      <c r="P246" s="137">
        <f>O246*H246</f>
        <v>0</v>
      </c>
      <c r="Q246" s="137">
        <v>0.09</v>
      </c>
      <c r="R246" s="137">
        <f>Q246*H246</f>
        <v>0.09</v>
      </c>
      <c r="S246" s="137">
        <v>0</v>
      </c>
      <c r="T246" s="138">
        <f>S246*H246</f>
        <v>0</v>
      </c>
      <c r="AR246" s="139" t="s">
        <v>344</v>
      </c>
      <c r="AT246" s="139" t="s">
        <v>339</v>
      </c>
      <c r="AU246" s="139" t="s">
        <v>90</v>
      </c>
      <c r="AY246" s="2" t="s">
        <v>337</v>
      </c>
      <c r="BE246" s="140">
        <f>IF(N246="základní",J246,0)</f>
        <v>0</v>
      </c>
      <c r="BF246" s="140">
        <f>IF(N246="snížená",J246,0)</f>
        <v>0</v>
      </c>
      <c r="BG246" s="140">
        <f>IF(N246="zákl. přenesená",J246,0)</f>
        <v>0</v>
      </c>
      <c r="BH246" s="140">
        <f>IF(N246="sníž. přenesená",J246,0)</f>
        <v>0</v>
      </c>
      <c r="BI246" s="140">
        <f>IF(N246="nulová",J246,0)</f>
        <v>0</v>
      </c>
      <c r="BJ246" s="2" t="s">
        <v>87</v>
      </c>
      <c r="BK246" s="140">
        <f>ROUND(I246*H246,2)</f>
        <v>0</v>
      </c>
      <c r="BL246" s="2" t="s">
        <v>344</v>
      </c>
      <c r="BM246" s="139" t="s">
        <v>6480</v>
      </c>
    </row>
    <row r="247" spans="2:65" s="16" customFormat="1" ht="16.5" customHeight="1" x14ac:dyDescent="0.2">
      <c r="B247" s="17"/>
      <c r="C247" s="162">
        <v>39</v>
      </c>
      <c r="D247" s="162" t="s">
        <v>519</v>
      </c>
      <c r="E247" s="163" t="s">
        <v>6481</v>
      </c>
      <c r="F247" s="164" t="s">
        <v>6482</v>
      </c>
      <c r="G247" s="165" t="s">
        <v>449</v>
      </c>
      <c r="H247" s="166">
        <v>1</v>
      </c>
      <c r="I247" s="167"/>
      <c r="J247" s="168">
        <f>ROUND(I247*H247,2)</f>
        <v>0</v>
      </c>
      <c r="K247" s="164" t="s">
        <v>343</v>
      </c>
      <c r="L247" s="169"/>
      <c r="M247" s="170"/>
      <c r="N247" s="171" t="s">
        <v>45</v>
      </c>
      <c r="P247" s="137">
        <f>O247*H247</f>
        <v>0</v>
      </c>
      <c r="Q247" s="137">
        <v>0.19600000000000001</v>
      </c>
      <c r="R247" s="137">
        <f>Q247*H247</f>
        <v>0.19600000000000001</v>
      </c>
      <c r="S247" s="137">
        <v>0</v>
      </c>
      <c r="T247" s="138">
        <f>S247*H247</f>
        <v>0</v>
      </c>
      <c r="AR247" s="139" t="s">
        <v>446</v>
      </c>
      <c r="AT247" s="139" t="s">
        <v>519</v>
      </c>
      <c r="AU247" s="139" t="s">
        <v>90</v>
      </c>
      <c r="AY247" s="2" t="s">
        <v>337</v>
      </c>
      <c r="BE247" s="140">
        <f>IF(N247="základní",J247,0)</f>
        <v>0</v>
      </c>
      <c r="BF247" s="140">
        <f>IF(N247="snížená",J247,0)</f>
        <v>0</v>
      </c>
      <c r="BG247" s="140">
        <f>IF(N247="zákl. přenesená",J247,0)</f>
        <v>0</v>
      </c>
      <c r="BH247" s="140">
        <f>IF(N247="sníž. přenesená",J247,0)</f>
        <v>0</v>
      </c>
      <c r="BI247" s="140">
        <f>IF(N247="nulová",J247,0)</f>
        <v>0</v>
      </c>
      <c r="BJ247" s="2" t="s">
        <v>87</v>
      </c>
      <c r="BK247" s="140">
        <f>ROUND(I247*H247,2)</f>
        <v>0</v>
      </c>
      <c r="BL247" s="2" t="s">
        <v>344</v>
      </c>
      <c r="BM247" s="139" t="s">
        <v>6483</v>
      </c>
    </row>
    <row r="248" spans="2:65" s="141" customFormat="1" x14ac:dyDescent="0.2">
      <c r="B248" s="142"/>
      <c r="D248" s="143" t="s">
        <v>346</v>
      </c>
      <c r="E248" s="144"/>
      <c r="F248" s="145" t="s">
        <v>6484</v>
      </c>
      <c r="H248" s="144"/>
      <c r="L248" s="142"/>
      <c r="M248" s="146"/>
      <c r="T248" s="147"/>
      <c r="AT248" s="144" t="s">
        <v>346</v>
      </c>
      <c r="AU248" s="144" t="s">
        <v>90</v>
      </c>
      <c r="AV248" s="141" t="s">
        <v>87</v>
      </c>
      <c r="AW248" s="141" t="s">
        <v>33</v>
      </c>
      <c r="AX248" s="141" t="s">
        <v>80</v>
      </c>
      <c r="AY248" s="144" t="s">
        <v>337</v>
      </c>
    </row>
    <row r="249" spans="2:65" s="148" customFormat="1" x14ac:dyDescent="0.2">
      <c r="B249" s="149"/>
      <c r="D249" s="143" t="s">
        <v>346</v>
      </c>
      <c r="E249" s="150"/>
      <c r="F249" s="151" t="s">
        <v>87</v>
      </c>
      <c r="H249" s="152">
        <v>1</v>
      </c>
      <c r="L249" s="149"/>
      <c r="M249" s="153"/>
      <c r="T249" s="154"/>
      <c r="AT249" s="150" t="s">
        <v>346</v>
      </c>
      <c r="AU249" s="150" t="s">
        <v>90</v>
      </c>
      <c r="AV249" s="148" t="s">
        <v>90</v>
      </c>
      <c r="AW249" s="148" t="s">
        <v>33</v>
      </c>
      <c r="AX249" s="148" t="s">
        <v>87</v>
      </c>
      <c r="AY249" s="150" t="s">
        <v>337</v>
      </c>
    </row>
    <row r="250" spans="2:65" s="116" customFormat="1" ht="22.9" customHeight="1" x14ac:dyDescent="0.2">
      <c r="B250" s="117"/>
      <c r="D250" s="118" t="s">
        <v>79</v>
      </c>
      <c r="E250" s="126" t="s">
        <v>452</v>
      </c>
      <c r="F250" s="126" t="s">
        <v>869</v>
      </c>
      <c r="J250" s="127">
        <f>BK250</f>
        <v>0</v>
      </c>
      <c r="L250" s="117"/>
      <c r="M250" s="121"/>
      <c r="P250" s="122">
        <f>SUM(P251:P252)</f>
        <v>0</v>
      </c>
      <c r="R250" s="122">
        <f>SUM(R251:R252)</f>
        <v>1.6239999999999999E-4</v>
      </c>
      <c r="T250" s="123">
        <f>SUM(T251:T252)</f>
        <v>0</v>
      </c>
      <c r="AR250" s="118" t="s">
        <v>87</v>
      </c>
      <c r="AT250" s="124" t="s">
        <v>79</v>
      </c>
      <c r="AU250" s="124" t="s">
        <v>87</v>
      </c>
      <c r="AY250" s="118" t="s">
        <v>337</v>
      </c>
      <c r="BK250" s="125">
        <f>SUM(BK251:BK252)</f>
        <v>0</v>
      </c>
    </row>
    <row r="251" spans="2:65" s="16" customFormat="1" ht="16.5" customHeight="1" x14ac:dyDescent="0.2">
      <c r="B251" s="17"/>
      <c r="C251" s="128">
        <v>40</v>
      </c>
      <c r="D251" s="128" t="s">
        <v>339</v>
      </c>
      <c r="E251" s="129" t="s">
        <v>6485</v>
      </c>
      <c r="F251" s="130" t="s">
        <v>6486</v>
      </c>
      <c r="G251" s="131" t="s">
        <v>425</v>
      </c>
      <c r="H251" s="132">
        <v>16.239999999999998</v>
      </c>
      <c r="I251" s="133"/>
      <c r="J251" s="134">
        <f>ROUND(I251*H251,2)</f>
        <v>0</v>
      </c>
      <c r="K251" s="130" t="s">
        <v>343</v>
      </c>
      <c r="L251" s="17"/>
      <c r="M251" s="135"/>
      <c r="N251" s="136" t="s">
        <v>45</v>
      </c>
      <c r="P251" s="137">
        <f>O251*H251</f>
        <v>0</v>
      </c>
      <c r="Q251" s="137">
        <v>1.0000000000000001E-5</v>
      </c>
      <c r="R251" s="137">
        <f>Q251*H251</f>
        <v>1.6239999999999999E-4</v>
      </c>
      <c r="S251" s="137">
        <v>0</v>
      </c>
      <c r="T251" s="138">
        <f>S251*H251</f>
        <v>0</v>
      </c>
      <c r="AR251" s="139" t="s">
        <v>344</v>
      </c>
      <c r="AT251" s="139" t="s">
        <v>339</v>
      </c>
      <c r="AU251" s="139" t="s">
        <v>90</v>
      </c>
      <c r="AY251" s="2" t="s">
        <v>337</v>
      </c>
      <c r="BE251" s="140">
        <f>IF(N251="základní",J251,0)</f>
        <v>0</v>
      </c>
      <c r="BF251" s="140">
        <f>IF(N251="snížená",J251,0)</f>
        <v>0</v>
      </c>
      <c r="BG251" s="140">
        <f>IF(N251="zákl. přenesená",J251,0)</f>
        <v>0</v>
      </c>
      <c r="BH251" s="140">
        <f>IF(N251="sníž. přenesená",J251,0)</f>
        <v>0</v>
      </c>
      <c r="BI251" s="140">
        <f>IF(N251="nulová",J251,0)</f>
        <v>0</v>
      </c>
      <c r="BJ251" s="2" t="s">
        <v>87</v>
      </c>
      <c r="BK251" s="140">
        <f>ROUND(I251*H251,2)</f>
        <v>0</v>
      </c>
      <c r="BL251" s="2" t="s">
        <v>344</v>
      </c>
      <c r="BM251" s="139" t="s">
        <v>6487</v>
      </c>
    </row>
    <row r="252" spans="2:65" s="148" customFormat="1" x14ac:dyDescent="0.2">
      <c r="B252" s="149"/>
      <c r="D252" s="143" t="s">
        <v>346</v>
      </c>
      <c r="E252" s="150"/>
      <c r="F252" s="151" t="s">
        <v>6488</v>
      </c>
      <c r="H252" s="152">
        <v>16.239999999999998</v>
      </c>
      <c r="L252" s="149"/>
      <c r="M252" s="153"/>
      <c r="T252" s="154"/>
      <c r="AT252" s="150" t="s">
        <v>346</v>
      </c>
      <c r="AU252" s="150" t="s">
        <v>90</v>
      </c>
      <c r="AV252" s="148" t="s">
        <v>90</v>
      </c>
      <c r="AW252" s="148" t="s">
        <v>33</v>
      </c>
      <c r="AX252" s="148" t="s">
        <v>87</v>
      </c>
      <c r="AY252" s="150" t="s">
        <v>337</v>
      </c>
    </row>
    <row r="253" spans="2:65" s="116" customFormat="1" ht="22.9" customHeight="1" x14ac:dyDescent="0.2">
      <c r="B253" s="117"/>
      <c r="D253" s="118" t="s">
        <v>79</v>
      </c>
      <c r="E253" s="126" t="s">
        <v>986</v>
      </c>
      <c r="F253" s="126" t="s">
        <v>987</v>
      </c>
      <c r="J253" s="127">
        <f>BK253</f>
        <v>0</v>
      </c>
      <c r="L253" s="117"/>
      <c r="M253" s="121"/>
      <c r="P253" s="122">
        <f>P254</f>
        <v>0</v>
      </c>
      <c r="R253" s="122">
        <f>R254</f>
        <v>0</v>
      </c>
      <c r="T253" s="123">
        <f>T254</f>
        <v>0</v>
      </c>
      <c r="AR253" s="118" t="s">
        <v>87</v>
      </c>
      <c r="AT253" s="124" t="s">
        <v>79</v>
      </c>
      <c r="AU253" s="124" t="s">
        <v>87</v>
      </c>
      <c r="AY253" s="118" t="s">
        <v>337</v>
      </c>
      <c r="BK253" s="125">
        <f>BK254</f>
        <v>0</v>
      </c>
    </row>
    <row r="254" spans="2:65" s="16" customFormat="1" ht="16.5" customHeight="1" x14ac:dyDescent="0.2">
      <c r="B254" s="17"/>
      <c r="C254" s="128">
        <v>41</v>
      </c>
      <c r="D254" s="128" t="s">
        <v>339</v>
      </c>
      <c r="E254" s="129" t="s">
        <v>6489</v>
      </c>
      <c r="F254" s="130" t="s">
        <v>6490</v>
      </c>
      <c r="G254" s="131" t="s">
        <v>990</v>
      </c>
      <c r="H254" s="132">
        <v>23.91</v>
      </c>
      <c r="I254" s="133"/>
      <c r="J254" s="134">
        <f>ROUND(I254*H254,2)</f>
        <v>0</v>
      </c>
      <c r="K254" s="130" t="s">
        <v>343</v>
      </c>
      <c r="L254" s="17"/>
      <c r="M254" s="135"/>
      <c r="N254" s="136" t="s">
        <v>45</v>
      </c>
      <c r="P254" s="137">
        <f>O254*H254</f>
        <v>0</v>
      </c>
      <c r="Q254" s="137">
        <v>0</v>
      </c>
      <c r="R254" s="137">
        <f>Q254*H254</f>
        <v>0</v>
      </c>
      <c r="S254" s="137">
        <v>0</v>
      </c>
      <c r="T254" s="138">
        <f>S254*H254</f>
        <v>0</v>
      </c>
      <c r="AR254" s="139" t="s">
        <v>344</v>
      </c>
      <c r="AT254" s="139" t="s">
        <v>339</v>
      </c>
      <c r="AU254" s="139" t="s">
        <v>90</v>
      </c>
      <c r="AY254" s="2" t="s">
        <v>337</v>
      </c>
      <c r="BE254" s="140">
        <f>IF(N254="základní",J254,0)</f>
        <v>0</v>
      </c>
      <c r="BF254" s="140">
        <f>IF(N254="snížená",J254,0)</f>
        <v>0</v>
      </c>
      <c r="BG254" s="140">
        <f>IF(N254="zákl. přenesená",J254,0)</f>
        <v>0</v>
      </c>
      <c r="BH254" s="140">
        <f>IF(N254="sníž. přenesená",J254,0)</f>
        <v>0</v>
      </c>
      <c r="BI254" s="140">
        <f>IF(N254="nulová",J254,0)</f>
        <v>0</v>
      </c>
      <c r="BJ254" s="2" t="s">
        <v>87</v>
      </c>
      <c r="BK254" s="140">
        <f>ROUND(I254*H254,2)</f>
        <v>0</v>
      </c>
      <c r="BL254" s="2" t="s">
        <v>344</v>
      </c>
      <c r="BM254" s="139" t="s">
        <v>6491</v>
      </c>
    </row>
    <row r="255" spans="2:65" s="116" customFormat="1" ht="25.9" customHeight="1" x14ac:dyDescent="0.2">
      <c r="B255" s="117"/>
      <c r="D255" s="118" t="s">
        <v>79</v>
      </c>
      <c r="E255" s="119" t="s">
        <v>5123</v>
      </c>
      <c r="F255" s="119" t="s">
        <v>5124</v>
      </c>
      <c r="J255" s="120">
        <f>BK255</f>
        <v>0</v>
      </c>
      <c r="L255" s="117"/>
      <c r="M255" s="121"/>
      <c r="P255" s="122">
        <f>SUM(P256:P258)</f>
        <v>0</v>
      </c>
      <c r="R255" s="122">
        <f>SUM(R256:R258)</f>
        <v>0</v>
      </c>
      <c r="T255" s="123">
        <f>SUM(T256:T258)</f>
        <v>0</v>
      </c>
      <c r="AR255" s="118" t="s">
        <v>344</v>
      </c>
      <c r="AT255" s="124" t="s">
        <v>79</v>
      </c>
      <c r="AU255" s="124" t="s">
        <v>80</v>
      </c>
      <c r="AY255" s="118" t="s">
        <v>337</v>
      </c>
      <c r="BK255" s="125">
        <f>SUM(BK256:BK258)</f>
        <v>0</v>
      </c>
    </row>
    <row r="256" spans="2:65" s="16" customFormat="1" ht="16.5" customHeight="1" x14ac:dyDescent="0.2">
      <c r="B256" s="17"/>
      <c r="C256" s="128">
        <v>42</v>
      </c>
      <c r="D256" s="128" t="s">
        <v>339</v>
      </c>
      <c r="E256" s="129" t="s">
        <v>6492</v>
      </c>
      <c r="F256" s="130" t="s">
        <v>6493</v>
      </c>
      <c r="G256" s="131" t="s">
        <v>3042</v>
      </c>
      <c r="H256" s="132">
        <v>20</v>
      </c>
      <c r="I256" s="133"/>
      <c r="J256" s="134">
        <f>ROUND(I256*H256,2)</f>
        <v>0</v>
      </c>
      <c r="K256" s="130" t="s">
        <v>343</v>
      </c>
      <c r="L256" s="17"/>
      <c r="M256" s="135"/>
      <c r="N256" s="136" t="s">
        <v>45</v>
      </c>
      <c r="P256" s="137">
        <f>O256*H256</f>
        <v>0</v>
      </c>
      <c r="Q256" s="137">
        <v>0</v>
      </c>
      <c r="R256" s="137">
        <f>Q256*H256</f>
        <v>0</v>
      </c>
      <c r="S256" s="137">
        <v>0</v>
      </c>
      <c r="T256" s="138">
        <f>S256*H256</f>
        <v>0</v>
      </c>
      <c r="AR256" s="139" t="s">
        <v>5127</v>
      </c>
      <c r="AT256" s="139" t="s">
        <v>339</v>
      </c>
      <c r="AU256" s="139" t="s">
        <v>87</v>
      </c>
      <c r="AY256" s="2" t="s">
        <v>337</v>
      </c>
      <c r="BE256" s="140">
        <f>IF(N256="základní",J256,0)</f>
        <v>0</v>
      </c>
      <c r="BF256" s="140">
        <f>IF(N256="snížená",J256,0)</f>
        <v>0</v>
      </c>
      <c r="BG256" s="140">
        <f>IF(N256="zákl. přenesená",J256,0)</f>
        <v>0</v>
      </c>
      <c r="BH256" s="140">
        <f>IF(N256="sníž. přenesená",J256,0)</f>
        <v>0</v>
      </c>
      <c r="BI256" s="140">
        <f>IF(N256="nulová",J256,0)</f>
        <v>0</v>
      </c>
      <c r="BJ256" s="2" t="s">
        <v>87</v>
      </c>
      <c r="BK256" s="140">
        <f>ROUND(I256*H256,2)</f>
        <v>0</v>
      </c>
      <c r="BL256" s="2" t="s">
        <v>5127</v>
      </c>
      <c r="BM256" s="139" t="s">
        <v>6494</v>
      </c>
    </row>
    <row r="257" spans="2:51" s="141" customFormat="1" x14ac:dyDescent="0.2">
      <c r="B257" s="142"/>
      <c r="D257" s="143" t="s">
        <v>346</v>
      </c>
      <c r="E257" s="144"/>
      <c r="F257" s="145" t="s">
        <v>6495</v>
      </c>
      <c r="H257" s="144"/>
      <c r="L257" s="142"/>
      <c r="M257" s="146"/>
      <c r="T257" s="147"/>
      <c r="AT257" s="144" t="s">
        <v>346</v>
      </c>
      <c r="AU257" s="144" t="s">
        <v>87</v>
      </c>
      <c r="AV257" s="141" t="s">
        <v>87</v>
      </c>
      <c r="AW257" s="141" t="s">
        <v>33</v>
      </c>
      <c r="AX257" s="141" t="s">
        <v>80</v>
      </c>
      <c r="AY257" s="144" t="s">
        <v>337</v>
      </c>
    </row>
    <row r="258" spans="2:51" s="148" customFormat="1" x14ac:dyDescent="0.2">
      <c r="B258" s="149"/>
      <c r="D258" s="143" t="s">
        <v>346</v>
      </c>
      <c r="E258" s="150"/>
      <c r="F258" s="151" t="s">
        <v>532</v>
      </c>
      <c r="H258" s="152">
        <v>20</v>
      </c>
      <c r="L258" s="149"/>
      <c r="M258" s="184"/>
      <c r="N258" s="185"/>
      <c r="O258" s="185"/>
      <c r="P258" s="185"/>
      <c r="Q258" s="185"/>
      <c r="R258" s="185"/>
      <c r="S258" s="185"/>
      <c r="T258" s="186"/>
      <c r="AT258" s="150" t="s">
        <v>346</v>
      </c>
      <c r="AU258" s="150" t="s">
        <v>87</v>
      </c>
      <c r="AV258" s="148" t="s">
        <v>90</v>
      </c>
      <c r="AW258" s="148" t="s">
        <v>33</v>
      </c>
      <c r="AX258" s="148" t="s">
        <v>87</v>
      </c>
      <c r="AY258" s="150" t="s">
        <v>337</v>
      </c>
    </row>
    <row r="259" spans="2:51" s="16" customFormat="1" ht="6.95" customHeight="1" x14ac:dyDescent="0.2">
      <c r="B259" s="30"/>
      <c r="C259" s="19"/>
      <c r="D259" s="19"/>
      <c r="E259" s="19"/>
      <c r="F259" s="19"/>
      <c r="G259" s="19"/>
      <c r="H259" s="19"/>
      <c r="I259" s="19"/>
      <c r="J259" s="19"/>
      <c r="K259" s="19"/>
      <c r="L259" s="17"/>
    </row>
  </sheetData>
  <sheetProtection algorithmName="SHA-512" hashValue="/jlC6xYzF5i89nBsWleR5G19qyLL+Syzlg0+S5UJ12+05qI717sAV9YLKTJtVr7h1mF4tpn+zdH1o+yLAV3Xpg==" saltValue="ZATqVAnCo/qrHQZj/3Ai4A==" spinCount="100000" sheet="1" objects="1" scenarios="1" formatCells="0" formatColumns="0" formatRows="0" autoFilter="0"/>
  <autoFilter ref="C137:K258" xr:uid="{00000000-0009-0000-0000-00000E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6"/>
  <dimension ref="B2:BN272"/>
  <sheetViews>
    <sheetView showGridLines="0" workbookViewId="0">
      <selection activeCell="J91" sqref="J91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5.33203125" customWidth="1"/>
    <col min="4" max="4" width="4" customWidth="1"/>
    <col min="5" max="5" width="16" customWidth="1"/>
    <col min="6" max="6" width="94.1640625" customWidth="1"/>
    <col min="7" max="7" width="9" customWidth="1"/>
    <col min="8" max="8" width="13" customWidth="1"/>
    <col min="9" max="9" width="14.83203125" customWidth="1"/>
    <col min="10" max="10" width="24.66406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2" width="8.6640625" hidden="1" customWidth="1"/>
    <col min="63" max="63" width="12.83203125" hidden="1" customWidth="1"/>
    <col min="64" max="65" width="8.6640625" hidden="1" customWidth="1"/>
    <col min="66" max="66" width="8.5" hidden="1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142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" hidden="1" customHeight="1" x14ac:dyDescent="0.2">
      <c r="B8" s="5"/>
      <c r="D8" s="12" t="s">
        <v>190</v>
      </c>
      <c r="L8" s="5"/>
    </row>
    <row r="9" spans="2:4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</row>
    <row r="10" spans="2:46" s="16" customFormat="1" ht="12" hidden="1" customHeight="1" x14ac:dyDescent="0.2">
      <c r="B10" s="17"/>
      <c r="D10" s="12" t="s">
        <v>196</v>
      </c>
      <c r="L10" s="17"/>
    </row>
    <row r="11" spans="2:46" s="16" customFormat="1" ht="16.5" hidden="1" customHeight="1" x14ac:dyDescent="0.2">
      <c r="B11" s="17"/>
      <c r="E11" s="309" t="s">
        <v>6496</v>
      </c>
      <c r="F11" s="309"/>
      <c r="G11" s="309"/>
      <c r="H11" s="309"/>
      <c r="L11" s="17"/>
    </row>
    <row r="12" spans="2:46" s="16" customFormat="1" hidden="1" x14ac:dyDescent="0.2">
      <c r="B12" s="17"/>
      <c r="L12" s="17"/>
    </row>
    <row r="13" spans="2:4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</row>
    <row r="14" spans="2:46" s="16" customFormat="1" ht="12" hidden="1" customHeight="1" x14ac:dyDescent="0.2">
      <c r="B14" s="17"/>
      <c r="D14" s="12" t="s">
        <v>19</v>
      </c>
      <c r="F14" s="10" t="s">
        <v>371</v>
      </c>
      <c r="I14" s="12" t="s">
        <v>21</v>
      </c>
      <c r="J14" s="38" t="str">
        <f>IF(Rekapitulace_stavby!AN8&lt;&gt;"",Rekapitulace_stavby!AN8,"")</f>
        <v/>
      </c>
      <c r="L14" s="17"/>
    </row>
    <row r="15" spans="2:46" s="16" customFormat="1" ht="10.9" hidden="1" customHeight="1" x14ac:dyDescent="0.2">
      <c r="B15" s="17"/>
      <c r="L15" s="17"/>
    </row>
    <row r="16" spans="2:46" s="16" customFormat="1" ht="12" hidden="1" customHeight="1" x14ac:dyDescent="0.2">
      <c r="B16" s="17"/>
      <c r="D16" s="12" t="s">
        <v>22</v>
      </c>
      <c r="I16" s="12" t="s">
        <v>23</v>
      </c>
      <c r="J16" s="10" t="str">
        <f>IF(Rekapitulace_stavby!AN10="","",Rekapitulace_stavby!AN10)</f>
        <v>00216208</v>
      </c>
      <c r="L16" s="17"/>
    </row>
    <row r="17" spans="2:12" s="16" customFormat="1" ht="18" hidden="1" customHeight="1" x14ac:dyDescent="0.2">
      <c r="B17" s="17"/>
      <c r="E17" s="10" t="str">
        <f>IF(Rekapitulace_stavby!E11="","",Rekapitulace_stavby!E11)</f>
        <v>Univerzita Karlova, Lékařská fakulta v Plzni</v>
      </c>
      <c r="I17" s="12" t="s">
        <v>26</v>
      </c>
      <c r="J17" s="10" t="str">
        <f>IF(Rekapitulace_stavby!AN11="","",Rekapitulace_stavby!AN11)</f>
        <v>CZ00216208</v>
      </c>
      <c r="L17" s="17"/>
    </row>
    <row r="18" spans="2:12" s="16" customFormat="1" ht="6.95" hidden="1" customHeight="1" x14ac:dyDescent="0.2">
      <c r="B18" s="17"/>
      <c r="L18" s="17"/>
    </row>
    <row r="19" spans="2:12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</row>
    <row r="20" spans="2:12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12" s="16" customFormat="1" ht="6.95" hidden="1" customHeight="1" x14ac:dyDescent="0.2">
      <c r="B21" s="17"/>
      <c r="L21" s="17"/>
    </row>
    <row r="22" spans="2:12" s="16" customFormat="1" ht="12" hidden="1" customHeight="1" x14ac:dyDescent="0.2">
      <c r="B22" s="17"/>
      <c r="D22" s="12" t="s">
        <v>29</v>
      </c>
      <c r="I22" s="12" t="s">
        <v>23</v>
      </c>
      <c r="J22" s="10" t="str">
        <f>IF(Rekapitulace_stavby!AN16="","",Rekapitulace_stavby!AN16)</f>
        <v>48025721</v>
      </c>
      <c r="L22" s="17"/>
    </row>
    <row r="23" spans="2:12" s="16" customFormat="1" ht="18" hidden="1" customHeight="1" x14ac:dyDescent="0.2">
      <c r="B23" s="17"/>
      <c r="E23" s="10" t="str">
        <f>IF(Rekapitulace_stavby!E17="","",Rekapitulace_stavby!E17)</f>
        <v>MEPRO s.r.o.</v>
      </c>
      <c r="I23" s="12" t="s">
        <v>26</v>
      </c>
      <c r="J23" s="10" t="str">
        <f>IF(Rekapitulace_stavby!AN17="","",Rekapitulace_stavby!AN17)</f>
        <v>CZ48025721</v>
      </c>
      <c r="L23" s="17"/>
    </row>
    <row r="24" spans="2:12" s="16" customFormat="1" ht="6.95" hidden="1" customHeight="1" x14ac:dyDescent="0.2">
      <c r="B24" s="17"/>
      <c r="L24" s="17"/>
    </row>
    <row r="25" spans="2:12" s="16" customFormat="1" ht="12" hidden="1" customHeight="1" x14ac:dyDescent="0.2">
      <c r="B25" s="17"/>
      <c r="D25" s="12" t="s">
        <v>34</v>
      </c>
      <c r="I25" s="12" t="s">
        <v>23</v>
      </c>
      <c r="J25" s="10" t="str">
        <f>IF(Rekapitulace_stavby!AN19="","",Rekapitulace_stavby!AN19)</f>
        <v>25415751</v>
      </c>
      <c r="L25" s="17"/>
    </row>
    <row r="26" spans="2:12" s="16" customFormat="1" ht="18" hidden="1" customHeight="1" x14ac:dyDescent="0.2">
      <c r="B26" s="17"/>
      <c r="E26" s="10" t="str">
        <f>IF(Rekapitulace_stavby!E20="","",Rekapitulace_stavby!E20)</f>
        <v>Propos Liberec s.r.o.</v>
      </c>
      <c r="I26" s="12" t="s">
        <v>26</v>
      </c>
      <c r="J26" s="10" t="str">
        <f>IF(Rekapitulace_stavby!AN20="","",Rekapitulace_stavby!AN20)</f>
        <v>CZ25415751</v>
      </c>
      <c r="L26" s="17"/>
    </row>
    <row r="27" spans="2:12" s="16" customFormat="1" ht="6.95" hidden="1" customHeight="1" x14ac:dyDescent="0.2">
      <c r="B27" s="17"/>
      <c r="L27" s="17"/>
    </row>
    <row r="28" spans="2:12" s="16" customFormat="1" ht="12" hidden="1" customHeight="1" x14ac:dyDescent="0.2">
      <c r="B28" s="17"/>
      <c r="D28" s="12" t="s">
        <v>38</v>
      </c>
      <c r="L28" s="17"/>
    </row>
    <row r="29" spans="2:12" s="81" customFormat="1" ht="131.25" hidden="1" customHeight="1" x14ac:dyDescent="0.2">
      <c r="B29" s="82"/>
      <c r="E29" s="304" t="s">
        <v>6497</v>
      </c>
      <c r="F29" s="304"/>
      <c r="G29" s="304"/>
      <c r="H29" s="304"/>
      <c r="L29" s="82"/>
    </row>
    <row r="30" spans="2:12" s="16" customFormat="1" ht="6.95" hidden="1" customHeight="1" x14ac:dyDescent="0.2">
      <c r="B30" s="17"/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ROUND((SUM(BE138:BE271)),  2)</f>
        <v>0</v>
      </c>
      <c r="I35" s="86">
        <v>0.21</v>
      </c>
      <c r="J35" s="73">
        <f>ROUND(((SUM(BE138:BE271))*I35),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ROUND((SUM(BF138:BF271)),  2)</f>
        <v>0</v>
      </c>
      <c r="I36" s="86">
        <v>0.12</v>
      </c>
      <c r="J36" s="73">
        <f>ROUND(((SUM(BF138:BF271))*I36),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ROUND((SUM(BG138:BG271)),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ROUND((SUM(BH138:BH271)),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ROUND((SUM(BI138:BI271)),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VYT - Vytápění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 xml:space="preserve"> 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310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312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70" customFormat="1" ht="19.899999999999999" customHeight="1" x14ac:dyDescent="0.2">
      <c r="B101" s="103"/>
      <c r="D101" s="104" t="s">
        <v>6498</v>
      </c>
      <c r="E101" s="105"/>
      <c r="F101" s="105"/>
      <c r="G101" s="105"/>
      <c r="H101" s="105"/>
      <c r="I101" s="105"/>
      <c r="J101" s="106">
        <f>J156</f>
        <v>0</v>
      </c>
      <c r="L101" s="103"/>
    </row>
    <row r="102" spans="2:47" s="70" customFormat="1" ht="19.899999999999999" customHeight="1" x14ac:dyDescent="0.2">
      <c r="B102" s="103"/>
      <c r="D102" s="104" t="s">
        <v>6499</v>
      </c>
      <c r="E102" s="105"/>
      <c r="F102" s="105"/>
      <c r="G102" s="105"/>
      <c r="H102" s="105"/>
      <c r="I102" s="105"/>
      <c r="J102" s="106">
        <f>J159</f>
        <v>0</v>
      </c>
      <c r="L102" s="103"/>
    </row>
    <row r="103" spans="2:47" s="70" customFormat="1" ht="19.899999999999999" customHeight="1" x14ac:dyDescent="0.2">
      <c r="B103" s="103"/>
      <c r="D103" s="104" t="s">
        <v>6500</v>
      </c>
      <c r="E103" s="105"/>
      <c r="F103" s="105"/>
      <c r="G103" s="105"/>
      <c r="H103" s="105"/>
      <c r="I103" s="105"/>
      <c r="J103" s="106">
        <f>J185</f>
        <v>0</v>
      </c>
      <c r="L103" s="103"/>
    </row>
    <row r="104" spans="2:47" s="70" customFormat="1" ht="19.899999999999999" customHeight="1" x14ac:dyDescent="0.2">
      <c r="B104" s="103"/>
      <c r="D104" s="104" t="s">
        <v>6501</v>
      </c>
      <c r="E104" s="105"/>
      <c r="F104" s="105"/>
      <c r="G104" s="105"/>
      <c r="H104" s="105"/>
      <c r="I104" s="105"/>
      <c r="J104" s="106">
        <f>J222</f>
        <v>0</v>
      </c>
      <c r="L104" s="103"/>
    </row>
    <row r="105" spans="2:47" s="70" customFormat="1" ht="19.899999999999999" customHeight="1" x14ac:dyDescent="0.2">
      <c r="B105" s="103"/>
      <c r="D105" s="104" t="s">
        <v>320</v>
      </c>
      <c r="E105" s="105"/>
      <c r="F105" s="105"/>
      <c r="G105" s="105"/>
      <c r="H105" s="105"/>
      <c r="I105" s="105"/>
      <c r="J105" s="106">
        <f>J261</f>
        <v>0</v>
      </c>
      <c r="L105" s="103"/>
    </row>
    <row r="106" spans="2:47" s="98" customFormat="1" ht="24.95" customHeight="1" x14ac:dyDescent="0.2">
      <c r="B106" s="99"/>
      <c r="D106" s="100" t="s">
        <v>4965</v>
      </c>
      <c r="E106" s="101"/>
      <c r="F106" s="101"/>
      <c r="G106" s="101"/>
      <c r="H106" s="101"/>
      <c r="I106" s="101"/>
      <c r="J106" s="102">
        <f>J265</f>
        <v>0</v>
      </c>
      <c r="L106" s="99"/>
    </row>
    <row r="107" spans="2:47" s="98" customFormat="1" ht="24.95" customHeight="1" x14ac:dyDescent="0.2">
      <c r="B107" s="99"/>
      <c r="D107" s="100" t="s">
        <v>6007</v>
      </c>
      <c r="E107" s="101"/>
      <c r="F107" s="101"/>
      <c r="G107" s="101"/>
      <c r="H107" s="101"/>
      <c r="I107" s="101"/>
      <c r="J107" s="102">
        <f>J269</f>
        <v>0</v>
      </c>
      <c r="L107" s="99"/>
    </row>
    <row r="108" spans="2:47" s="16" customFormat="1" ht="21.75" customHeight="1" x14ac:dyDescent="0.2">
      <c r="B108" s="17"/>
      <c r="L108" s="17"/>
    </row>
    <row r="109" spans="2:47" s="16" customFormat="1" ht="6.95" customHeight="1" x14ac:dyDescent="0.2">
      <c r="B109" s="30"/>
      <c r="C109" s="19"/>
      <c r="D109" s="19"/>
      <c r="E109" s="19"/>
      <c r="F109" s="19"/>
      <c r="G109" s="19"/>
      <c r="H109" s="19"/>
      <c r="I109" s="19"/>
      <c r="J109" s="19"/>
      <c r="K109" s="19"/>
      <c r="L109" s="17"/>
    </row>
    <row r="113" spans="2:12" ht="2.4500000000000002" customHeight="1" x14ac:dyDescent="0.2"/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ht="2.4500000000000002" customHeight="1" x14ac:dyDescent="0.2"/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VYT - Vytápění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">
        <v>20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20.25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12.75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P139+P265+P269</f>
        <v>0</v>
      </c>
      <c r="Q138" s="39"/>
      <c r="R138" s="113">
        <f>R139+R265+R269</f>
        <v>0</v>
      </c>
      <c r="S138" s="39"/>
      <c r="T138" s="114">
        <f>T139+T265+T269</f>
        <v>0</v>
      </c>
      <c r="AT138" s="2" t="s">
        <v>79</v>
      </c>
      <c r="AU138" s="2" t="s">
        <v>303</v>
      </c>
      <c r="BK138" s="115">
        <f>BK139+BK265+BK269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992</v>
      </c>
      <c r="F139" s="119" t="s">
        <v>993</v>
      </c>
      <c r="J139" s="120">
        <f>BK139</f>
        <v>0</v>
      </c>
      <c r="L139" s="117"/>
      <c r="M139" s="121"/>
      <c r="P139" s="122">
        <f>P140+P156+P159+P185+P222+P261</f>
        <v>0</v>
      </c>
      <c r="R139" s="122">
        <f>R140+R156+R159+R185+R222+R261</f>
        <v>0</v>
      </c>
      <c r="T139" s="123">
        <f>T140+T156+T159+T185+T222+T261</f>
        <v>0</v>
      </c>
      <c r="AR139" s="118" t="s">
        <v>90</v>
      </c>
      <c r="AT139" s="124" t="s">
        <v>79</v>
      </c>
      <c r="AU139" s="124" t="s">
        <v>80</v>
      </c>
      <c r="AY139" s="118" t="s">
        <v>337</v>
      </c>
      <c r="BK139" s="125">
        <f>BK140+BK156+BK159+BK185+BK222+BK261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1035</v>
      </c>
      <c r="F140" s="126" t="s">
        <v>1036</v>
      </c>
      <c r="J140" s="127">
        <f>BK140</f>
        <v>0</v>
      </c>
      <c r="L140" s="117"/>
      <c r="M140" s="121"/>
      <c r="P140" s="122">
        <f>SUM(P141:P155)</f>
        <v>0</v>
      </c>
      <c r="R140" s="122">
        <f>SUM(R141:R155)</f>
        <v>0</v>
      </c>
      <c r="T140" s="123">
        <f>SUM(T141:T155)</f>
        <v>0</v>
      </c>
      <c r="AR140" s="118" t="s">
        <v>90</v>
      </c>
      <c r="AT140" s="124" t="s">
        <v>79</v>
      </c>
      <c r="AU140" s="124" t="s">
        <v>87</v>
      </c>
      <c r="AY140" s="118" t="s">
        <v>337</v>
      </c>
      <c r="BK140" s="125">
        <f>SUM(BK141:BK155)</f>
        <v>0</v>
      </c>
    </row>
    <row r="141" spans="2:65" s="16" customFormat="1" ht="37.9" customHeight="1" x14ac:dyDescent="0.2">
      <c r="B141" s="17"/>
      <c r="C141" s="128">
        <v>1</v>
      </c>
      <c r="D141" s="128" t="s">
        <v>339</v>
      </c>
      <c r="E141" s="129" t="s">
        <v>6034</v>
      </c>
      <c r="F141" s="130" t="s">
        <v>6035</v>
      </c>
      <c r="G141" s="131" t="s">
        <v>724</v>
      </c>
      <c r="H141" s="132">
        <v>1895</v>
      </c>
      <c r="I141" s="133"/>
      <c r="J141" s="134">
        <f t="shared" ref="J141:J155" si="0">ROUND(I141*H141,2)</f>
        <v>0</v>
      </c>
      <c r="K141" s="130" t="s">
        <v>343</v>
      </c>
      <c r="L141" s="17"/>
      <c r="M141" s="135"/>
      <c r="N141" s="136" t="s">
        <v>45</v>
      </c>
      <c r="P141" s="137">
        <f t="shared" ref="P141:P155" si="1">O141*H141</f>
        <v>0</v>
      </c>
      <c r="Q141" s="137">
        <v>0</v>
      </c>
      <c r="R141" s="137">
        <f t="shared" ref="R141:R155" si="2">Q141*H141</f>
        <v>0</v>
      </c>
      <c r="S141" s="137">
        <v>0</v>
      </c>
      <c r="T141" s="138">
        <f t="shared" ref="T141:T155" si="3">S141*H141</f>
        <v>0</v>
      </c>
      <c r="AR141" s="139" t="s">
        <v>496</v>
      </c>
      <c r="AT141" s="139" t="s">
        <v>339</v>
      </c>
      <c r="AU141" s="139" t="s">
        <v>90</v>
      </c>
      <c r="AY141" s="2" t="s">
        <v>337</v>
      </c>
      <c r="BE141" s="140">
        <f t="shared" ref="BE141:BE155" si="4">IF(N141="základní",J141,0)</f>
        <v>0</v>
      </c>
      <c r="BF141" s="140">
        <f t="shared" ref="BF141:BF155" si="5">IF(N141="snížená",J141,0)</f>
        <v>0</v>
      </c>
      <c r="BG141" s="140">
        <f t="shared" ref="BG141:BG155" si="6">IF(N141="zákl. přenesená",J141,0)</f>
        <v>0</v>
      </c>
      <c r="BH141" s="140">
        <f t="shared" ref="BH141:BH155" si="7">IF(N141="sníž. přenesená",J141,0)</f>
        <v>0</v>
      </c>
      <c r="BI141" s="140">
        <f t="shared" ref="BI141:BI155" si="8">IF(N141="nulová",J141,0)</f>
        <v>0</v>
      </c>
      <c r="BJ141" s="2" t="s">
        <v>87</v>
      </c>
      <c r="BK141" s="140">
        <f t="shared" ref="BK141:BK155" si="9">ROUND(I141*H141,2)</f>
        <v>0</v>
      </c>
      <c r="BL141" s="2" t="s">
        <v>496</v>
      </c>
      <c r="BM141" s="139" t="s">
        <v>90</v>
      </c>
    </row>
    <row r="142" spans="2:65" s="16" customFormat="1" ht="16.5" customHeight="1" x14ac:dyDescent="0.2">
      <c r="B142" s="17"/>
      <c r="C142" s="162">
        <v>2</v>
      </c>
      <c r="D142" s="162" t="s">
        <v>519</v>
      </c>
      <c r="E142" s="163" t="s">
        <v>6502</v>
      </c>
      <c r="F142" s="164" t="s">
        <v>6503</v>
      </c>
      <c r="G142" s="165" t="s">
        <v>724</v>
      </c>
      <c r="H142" s="166">
        <v>1416</v>
      </c>
      <c r="I142" s="167"/>
      <c r="J142" s="168">
        <f t="shared" si="0"/>
        <v>0</v>
      </c>
      <c r="K142" s="164" t="s">
        <v>343</v>
      </c>
      <c r="L142" s="169"/>
      <c r="M142" s="170"/>
      <c r="N142" s="171" t="s">
        <v>45</v>
      </c>
      <c r="P142" s="137">
        <f t="shared" si="1"/>
        <v>0</v>
      </c>
      <c r="Q142" s="137">
        <v>0</v>
      </c>
      <c r="R142" s="137">
        <f t="shared" si="2"/>
        <v>0</v>
      </c>
      <c r="S142" s="137">
        <v>0</v>
      </c>
      <c r="T142" s="138">
        <f t="shared" si="3"/>
        <v>0</v>
      </c>
      <c r="AR142" s="139" t="s">
        <v>621</v>
      </c>
      <c r="AT142" s="139" t="s">
        <v>519</v>
      </c>
      <c r="AU142" s="139" t="s">
        <v>90</v>
      </c>
      <c r="AY142" s="2" t="s">
        <v>337</v>
      </c>
      <c r="BE142" s="140">
        <f t="shared" si="4"/>
        <v>0</v>
      </c>
      <c r="BF142" s="140">
        <f t="shared" si="5"/>
        <v>0</v>
      </c>
      <c r="BG142" s="140">
        <f t="shared" si="6"/>
        <v>0</v>
      </c>
      <c r="BH142" s="140">
        <f t="shared" si="7"/>
        <v>0</v>
      </c>
      <c r="BI142" s="140">
        <f t="shared" si="8"/>
        <v>0</v>
      </c>
      <c r="BJ142" s="2" t="s">
        <v>87</v>
      </c>
      <c r="BK142" s="140">
        <f t="shared" si="9"/>
        <v>0</v>
      </c>
      <c r="BL142" s="2" t="s">
        <v>496</v>
      </c>
      <c r="BM142" s="139" t="s">
        <v>344</v>
      </c>
    </row>
    <row r="143" spans="2:65" s="16" customFormat="1" ht="16.5" customHeight="1" x14ac:dyDescent="0.2">
      <c r="B143" s="17"/>
      <c r="C143" s="162">
        <v>3</v>
      </c>
      <c r="D143" s="162" t="s">
        <v>519</v>
      </c>
      <c r="E143" s="163" t="s">
        <v>6504</v>
      </c>
      <c r="F143" s="164" t="s">
        <v>6505</v>
      </c>
      <c r="G143" s="165" t="s">
        <v>724</v>
      </c>
      <c r="H143" s="166">
        <v>234</v>
      </c>
      <c r="I143" s="167"/>
      <c r="J143" s="168">
        <f t="shared" si="0"/>
        <v>0</v>
      </c>
      <c r="K143" s="164" t="s">
        <v>343</v>
      </c>
      <c r="L143" s="169"/>
      <c r="M143" s="170"/>
      <c r="N143" s="171" t="s">
        <v>45</v>
      </c>
      <c r="P143" s="137">
        <f t="shared" si="1"/>
        <v>0</v>
      </c>
      <c r="Q143" s="137">
        <v>0</v>
      </c>
      <c r="R143" s="137">
        <f t="shared" si="2"/>
        <v>0</v>
      </c>
      <c r="S143" s="137">
        <v>0</v>
      </c>
      <c r="T143" s="138">
        <f t="shared" si="3"/>
        <v>0</v>
      </c>
      <c r="AR143" s="139" t="s">
        <v>621</v>
      </c>
      <c r="AT143" s="139" t="s">
        <v>519</v>
      </c>
      <c r="AU143" s="139" t="s">
        <v>90</v>
      </c>
      <c r="AY143" s="2" t="s">
        <v>337</v>
      </c>
      <c r="BE143" s="140">
        <f t="shared" si="4"/>
        <v>0</v>
      </c>
      <c r="BF143" s="140">
        <f t="shared" si="5"/>
        <v>0</v>
      </c>
      <c r="BG143" s="140">
        <f t="shared" si="6"/>
        <v>0</v>
      </c>
      <c r="BH143" s="140">
        <f t="shared" si="7"/>
        <v>0</v>
      </c>
      <c r="BI143" s="140">
        <f t="shared" si="8"/>
        <v>0</v>
      </c>
      <c r="BJ143" s="2" t="s">
        <v>87</v>
      </c>
      <c r="BK143" s="140">
        <f t="shared" si="9"/>
        <v>0</v>
      </c>
      <c r="BL143" s="2" t="s">
        <v>496</v>
      </c>
      <c r="BM143" s="139" t="s">
        <v>430</v>
      </c>
    </row>
    <row r="144" spans="2:65" s="16" customFormat="1" ht="16.5" customHeight="1" x14ac:dyDescent="0.2">
      <c r="B144" s="17"/>
      <c r="C144" s="162">
        <v>4</v>
      </c>
      <c r="D144" s="162" t="s">
        <v>519</v>
      </c>
      <c r="E144" s="163" t="s">
        <v>6506</v>
      </c>
      <c r="F144" s="164" t="s">
        <v>6507</v>
      </c>
      <c r="G144" s="165" t="s">
        <v>724</v>
      </c>
      <c r="H144" s="166">
        <v>118</v>
      </c>
      <c r="I144" s="167"/>
      <c r="J144" s="168">
        <f t="shared" si="0"/>
        <v>0</v>
      </c>
      <c r="K144" s="164" t="s">
        <v>343</v>
      </c>
      <c r="L144" s="169"/>
      <c r="M144" s="170"/>
      <c r="N144" s="171" t="s">
        <v>45</v>
      </c>
      <c r="P144" s="137">
        <f t="shared" si="1"/>
        <v>0</v>
      </c>
      <c r="Q144" s="137">
        <v>0</v>
      </c>
      <c r="R144" s="137">
        <f t="shared" si="2"/>
        <v>0</v>
      </c>
      <c r="S144" s="137">
        <v>0</v>
      </c>
      <c r="T144" s="138">
        <f t="shared" si="3"/>
        <v>0</v>
      </c>
      <c r="AR144" s="139" t="s">
        <v>621</v>
      </c>
      <c r="AT144" s="139" t="s">
        <v>519</v>
      </c>
      <c r="AU144" s="139" t="s">
        <v>90</v>
      </c>
      <c r="AY144" s="2" t="s">
        <v>337</v>
      </c>
      <c r="BE144" s="140">
        <f t="shared" si="4"/>
        <v>0</v>
      </c>
      <c r="BF144" s="140">
        <f t="shared" si="5"/>
        <v>0</v>
      </c>
      <c r="BG144" s="140">
        <f t="shared" si="6"/>
        <v>0</v>
      </c>
      <c r="BH144" s="140">
        <f t="shared" si="7"/>
        <v>0</v>
      </c>
      <c r="BI144" s="140">
        <f t="shared" si="8"/>
        <v>0</v>
      </c>
      <c r="BJ144" s="2" t="s">
        <v>87</v>
      </c>
      <c r="BK144" s="140">
        <f t="shared" si="9"/>
        <v>0</v>
      </c>
      <c r="BL144" s="2" t="s">
        <v>496</v>
      </c>
      <c r="BM144" s="139" t="s">
        <v>446</v>
      </c>
    </row>
    <row r="145" spans="2:65" s="16" customFormat="1" ht="16.5" customHeight="1" x14ac:dyDescent="0.2">
      <c r="B145" s="17"/>
      <c r="C145" s="162">
        <v>5</v>
      </c>
      <c r="D145" s="162" t="s">
        <v>519</v>
      </c>
      <c r="E145" s="163" t="s">
        <v>6508</v>
      </c>
      <c r="F145" s="164" t="s">
        <v>6509</v>
      </c>
      <c r="G145" s="165" t="s">
        <v>724</v>
      </c>
      <c r="H145" s="166">
        <v>44</v>
      </c>
      <c r="I145" s="167"/>
      <c r="J145" s="168">
        <f t="shared" si="0"/>
        <v>0</v>
      </c>
      <c r="K145" s="164" t="s">
        <v>343</v>
      </c>
      <c r="L145" s="169"/>
      <c r="M145" s="170"/>
      <c r="N145" s="171" t="s">
        <v>45</v>
      </c>
      <c r="P145" s="137">
        <f t="shared" si="1"/>
        <v>0</v>
      </c>
      <c r="Q145" s="137">
        <v>0</v>
      </c>
      <c r="R145" s="137">
        <f t="shared" si="2"/>
        <v>0</v>
      </c>
      <c r="S145" s="137">
        <v>0</v>
      </c>
      <c r="T145" s="138">
        <f t="shared" si="3"/>
        <v>0</v>
      </c>
      <c r="AR145" s="139" t="s">
        <v>621</v>
      </c>
      <c r="AT145" s="139" t="s">
        <v>519</v>
      </c>
      <c r="AU145" s="139" t="s">
        <v>90</v>
      </c>
      <c r="AY145" s="2" t="s">
        <v>337</v>
      </c>
      <c r="BE145" s="140">
        <f t="shared" si="4"/>
        <v>0</v>
      </c>
      <c r="BF145" s="140">
        <f t="shared" si="5"/>
        <v>0</v>
      </c>
      <c r="BG145" s="140">
        <f t="shared" si="6"/>
        <v>0</v>
      </c>
      <c r="BH145" s="140">
        <f t="shared" si="7"/>
        <v>0</v>
      </c>
      <c r="BI145" s="140">
        <f t="shared" si="8"/>
        <v>0</v>
      </c>
      <c r="BJ145" s="2" t="s">
        <v>87</v>
      </c>
      <c r="BK145" s="140">
        <f t="shared" si="9"/>
        <v>0</v>
      </c>
      <c r="BL145" s="2" t="s">
        <v>496</v>
      </c>
      <c r="BM145" s="139" t="s">
        <v>457</v>
      </c>
    </row>
    <row r="146" spans="2:65" s="16" customFormat="1" ht="16.5" customHeight="1" x14ac:dyDescent="0.2">
      <c r="B146" s="17"/>
      <c r="C146" s="162">
        <v>6</v>
      </c>
      <c r="D146" s="162" t="s">
        <v>519</v>
      </c>
      <c r="E146" s="163" t="s">
        <v>6510</v>
      </c>
      <c r="F146" s="164" t="s">
        <v>6511</v>
      </c>
      <c r="G146" s="165" t="s">
        <v>724</v>
      </c>
      <c r="H146" s="166">
        <v>66</v>
      </c>
      <c r="I146" s="167"/>
      <c r="J146" s="168">
        <f t="shared" si="0"/>
        <v>0</v>
      </c>
      <c r="K146" s="164" t="s">
        <v>343</v>
      </c>
      <c r="L146" s="169"/>
      <c r="M146" s="170"/>
      <c r="N146" s="171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621</v>
      </c>
      <c r="AT146" s="139" t="s">
        <v>519</v>
      </c>
      <c r="AU146" s="139" t="s">
        <v>90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496</v>
      </c>
      <c r="BM146" s="139" t="s">
        <v>7</v>
      </c>
    </row>
    <row r="147" spans="2:65" s="16" customFormat="1" ht="16.5" customHeight="1" x14ac:dyDescent="0.2">
      <c r="B147" s="17"/>
      <c r="C147" s="162">
        <v>7</v>
      </c>
      <c r="D147" s="162" t="s">
        <v>519</v>
      </c>
      <c r="E147" s="163" t="s">
        <v>6512</v>
      </c>
      <c r="F147" s="164" t="s">
        <v>6513</v>
      </c>
      <c r="G147" s="165" t="s">
        <v>724</v>
      </c>
      <c r="H147" s="166">
        <v>17</v>
      </c>
      <c r="I147" s="167"/>
      <c r="J147" s="168">
        <f t="shared" si="0"/>
        <v>0</v>
      </c>
      <c r="K147" s="164" t="s">
        <v>343</v>
      </c>
      <c r="L147" s="169"/>
      <c r="M147" s="170"/>
      <c r="N147" s="171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AR147" s="139" t="s">
        <v>621</v>
      </c>
      <c r="AT147" s="139" t="s">
        <v>519</v>
      </c>
      <c r="AU147" s="139" t="s">
        <v>90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496</v>
      </c>
      <c r="BM147" s="139" t="s">
        <v>480</v>
      </c>
    </row>
    <row r="148" spans="2:65" s="16" customFormat="1" ht="37.9" customHeight="1" x14ac:dyDescent="0.2">
      <c r="B148" s="17"/>
      <c r="C148" s="128">
        <v>8</v>
      </c>
      <c r="D148" s="128" t="s">
        <v>339</v>
      </c>
      <c r="E148" s="129" t="s">
        <v>6040</v>
      </c>
      <c r="F148" s="130" t="s">
        <v>6041</v>
      </c>
      <c r="G148" s="131" t="s">
        <v>724</v>
      </c>
      <c r="H148" s="132">
        <v>158</v>
      </c>
      <c r="I148" s="133"/>
      <c r="J148" s="134">
        <f t="shared" si="0"/>
        <v>0</v>
      </c>
      <c r="K148" s="130" t="s">
        <v>343</v>
      </c>
      <c r="L148" s="17"/>
      <c r="M148" s="135"/>
      <c r="N148" s="136" t="s">
        <v>45</v>
      </c>
      <c r="P148" s="137">
        <f t="shared" si="1"/>
        <v>0</v>
      </c>
      <c r="Q148" s="137">
        <v>0</v>
      </c>
      <c r="R148" s="137">
        <f t="shared" si="2"/>
        <v>0</v>
      </c>
      <c r="S148" s="137">
        <v>0</v>
      </c>
      <c r="T148" s="138">
        <f t="shared" si="3"/>
        <v>0</v>
      </c>
      <c r="AR148" s="139" t="s">
        <v>496</v>
      </c>
      <c r="AT148" s="139" t="s">
        <v>339</v>
      </c>
      <c r="AU148" s="139" t="s">
        <v>90</v>
      </c>
      <c r="AY148" s="2" t="s">
        <v>337</v>
      </c>
      <c r="BE148" s="140">
        <f t="shared" si="4"/>
        <v>0</v>
      </c>
      <c r="BF148" s="140">
        <f t="shared" si="5"/>
        <v>0</v>
      </c>
      <c r="BG148" s="140">
        <f t="shared" si="6"/>
        <v>0</v>
      </c>
      <c r="BH148" s="140">
        <f t="shared" si="7"/>
        <v>0</v>
      </c>
      <c r="BI148" s="140">
        <f t="shared" si="8"/>
        <v>0</v>
      </c>
      <c r="BJ148" s="2" t="s">
        <v>87</v>
      </c>
      <c r="BK148" s="140">
        <f t="shared" si="9"/>
        <v>0</v>
      </c>
      <c r="BL148" s="2" t="s">
        <v>496</v>
      </c>
      <c r="BM148" s="139" t="s">
        <v>496</v>
      </c>
    </row>
    <row r="149" spans="2:65" s="16" customFormat="1" ht="16.5" customHeight="1" x14ac:dyDescent="0.2">
      <c r="B149" s="17"/>
      <c r="C149" s="162">
        <v>9</v>
      </c>
      <c r="D149" s="162" t="s">
        <v>519</v>
      </c>
      <c r="E149" s="163" t="s">
        <v>6514</v>
      </c>
      <c r="F149" s="164" t="s">
        <v>6515</v>
      </c>
      <c r="G149" s="165" t="s">
        <v>724</v>
      </c>
      <c r="H149" s="166">
        <v>28</v>
      </c>
      <c r="I149" s="167"/>
      <c r="J149" s="168">
        <f t="shared" si="0"/>
        <v>0</v>
      </c>
      <c r="K149" s="164" t="s">
        <v>343</v>
      </c>
      <c r="L149" s="169"/>
      <c r="M149" s="170"/>
      <c r="N149" s="171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621</v>
      </c>
      <c r="AT149" s="139" t="s">
        <v>519</v>
      </c>
      <c r="AU149" s="139" t="s">
        <v>90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496</v>
      </c>
      <c r="BM149" s="139" t="s">
        <v>2547</v>
      </c>
    </row>
    <row r="150" spans="2:65" s="16" customFormat="1" ht="16.5" customHeight="1" x14ac:dyDescent="0.2">
      <c r="B150" s="17"/>
      <c r="C150" s="162">
        <v>10</v>
      </c>
      <c r="D150" s="162" t="s">
        <v>519</v>
      </c>
      <c r="E150" s="163" t="s">
        <v>6516</v>
      </c>
      <c r="F150" s="164" t="s">
        <v>6517</v>
      </c>
      <c r="G150" s="165" t="s">
        <v>724</v>
      </c>
      <c r="H150" s="166">
        <v>52</v>
      </c>
      <c r="I150" s="167"/>
      <c r="J150" s="168">
        <f t="shared" si="0"/>
        <v>0</v>
      </c>
      <c r="K150" s="164" t="s">
        <v>343</v>
      </c>
      <c r="L150" s="169"/>
      <c r="M150" s="170"/>
      <c r="N150" s="171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621</v>
      </c>
      <c r="AT150" s="139" t="s">
        <v>519</v>
      </c>
      <c r="AU150" s="139" t="s">
        <v>90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496</v>
      </c>
      <c r="BM150" s="139" t="s">
        <v>532</v>
      </c>
    </row>
    <row r="151" spans="2:65" s="16" customFormat="1" ht="16.5" customHeight="1" x14ac:dyDescent="0.2">
      <c r="B151" s="17"/>
      <c r="C151" s="162">
        <v>11</v>
      </c>
      <c r="D151" s="162" t="s">
        <v>519</v>
      </c>
      <c r="E151" s="163" t="s">
        <v>6518</v>
      </c>
      <c r="F151" s="164" t="s">
        <v>6519</v>
      </c>
      <c r="G151" s="165" t="s">
        <v>724</v>
      </c>
      <c r="H151" s="166">
        <v>78</v>
      </c>
      <c r="I151" s="167"/>
      <c r="J151" s="168">
        <f t="shared" si="0"/>
        <v>0</v>
      </c>
      <c r="K151" s="164" t="s">
        <v>343</v>
      </c>
      <c r="L151" s="169"/>
      <c r="M151" s="170"/>
      <c r="N151" s="171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621</v>
      </c>
      <c r="AT151" s="139" t="s">
        <v>519</v>
      </c>
      <c r="AU151" s="139" t="s">
        <v>90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496</v>
      </c>
      <c r="BM151" s="139" t="s">
        <v>543</v>
      </c>
    </row>
    <row r="152" spans="2:65" s="16" customFormat="1" ht="37.9" customHeight="1" x14ac:dyDescent="0.2">
      <c r="B152" s="17"/>
      <c r="C152" s="128">
        <v>12</v>
      </c>
      <c r="D152" s="128" t="s">
        <v>339</v>
      </c>
      <c r="E152" s="129" t="s">
        <v>6520</v>
      </c>
      <c r="F152" s="130" t="s">
        <v>6521</v>
      </c>
      <c r="G152" s="131" t="s">
        <v>724</v>
      </c>
      <c r="H152" s="132">
        <v>57</v>
      </c>
      <c r="I152" s="133"/>
      <c r="J152" s="134">
        <f t="shared" si="0"/>
        <v>0</v>
      </c>
      <c r="K152" s="130" t="s">
        <v>343</v>
      </c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496</v>
      </c>
      <c r="AT152" s="139" t="s">
        <v>339</v>
      </c>
      <c r="AU152" s="139" t="s">
        <v>90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496</v>
      </c>
      <c r="BM152" s="139" t="s">
        <v>569</v>
      </c>
    </row>
    <row r="153" spans="2:65" s="16" customFormat="1" ht="16.5" customHeight="1" x14ac:dyDescent="0.2">
      <c r="B153" s="17"/>
      <c r="C153" s="162">
        <v>13</v>
      </c>
      <c r="D153" s="162" t="s">
        <v>519</v>
      </c>
      <c r="E153" s="163" t="s">
        <v>6522</v>
      </c>
      <c r="F153" s="164" t="s">
        <v>6523</v>
      </c>
      <c r="G153" s="165" t="s">
        <v>724</v>
      </c>
      <c r="H153" s="166">
        <v>37</v>
      </c>
      <c r="I153" s="167"/>
      <c r="J153" s="168">
        <f t="shared" si="0"/>
        <v>0</v>
      </c>
      <c r="K153" s="164" t="s">
        <v>343</v>
      </c>
      <c r="L153" s="169"/>
      <c r="M153" s="170"/>
      <c r="N153" s="171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</v>
      </c>
      <c r="T153" s="138">
        <f t="shared" si="3"/>
        <v>0</v>
      </c>
      <c r="AR153" s="139" t="s">
        <v>621</v>
      </c>
      <c r="AT153" s="139" t="s">
        <v>519</v>
      </c>
      <c r="AU153" s="139" t="s">
        <v>90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496</v>
      </c>
      <c r="BM153" s="139" t="s">
        <v>577</v>
      </c>
    </row>
    <row r="154" spans="2:65" s="16" customFormat="1" ht="16.5" customHeight="1" x14ac:dyDescent="0.2">
      <c r="B154" s="17"/>
      <c r="C154" s="162">
        <v>14</v>
      </c>
      <c r="D154" s="162" t="s">
        <v>519</v>
      </c>
      <c r="E154" s="163" t="s">
        <v>6524</v>
      </c>
      <c r="F154" s="164" t="s">
        <v>6525</v>
      </c>
      <c r="G154" s="165" t="s">
        <v>724</v>
      </c>
      <c r="H154" s="166">
        <v>20</v>
      </c>
      <c r="I154" s="167"/>
      <c r="J154" s="168">
        <f t="shared" si="0"/>
        <v>0</v>
      </c>
      <c r="K154" s="164" t="s">
        <v>343</v>
      </c>
      <c r="L154" s="169"/>
      <c r="M154" s="170"/>
      <c r="N154" s="171" t="s">
        <v>45</v>
      </c>
      <c r="P154" s="137">
        <f t="shared" si="1"/>
        <v>0</v>
      </c>
      <c r="Q154" s="137">
        <v>0</v>
      </c>
      <c r="R154" s="137">
        <f t="shared" si="2"/>
        <v>0</v>
      </c>
      <c r="S154" s="137">
        <v>0</v>
      </c>
      <c r="T154" s="138">
        <f t="shared" si="3"/>
        <v>0</v>
      </c>
      <c r="AR154" s="139" t="s">
        <v>621</v>
      </c>
      <c r="AT154" s="139" t="s">
        <v>519</v>
      </c>
      <c r="AU154" s="139" t="s">
        <v>90</v>
      </c>
      <c r="AY154" s="2" t="s">
        <v>337</v>
      </c>
      <c r="BE154" s="140">
        <f t="shared" si="4"/>
        <v>0</v>
      </c>
      <c r="BF154" s="140">
        <f t="shared" si="5"/>
        <v>0</v>
      </c>
      <c r="BG154" s="140">
        <f t="shared" si="6"/>
        <v>0</v>
      </c>
      <c r="BH154" s="140">
        <f t="shared" si="7"/>
        <v>0</v>
      </c>
      <c r="BI154" s="140">
        <f t="shared" si="8"/>
        <v>0</v>
      </c>
      <c r="BJ154" s="2" t="s">
        <v>87</v>
      </c>
      <c r="BK154" s="140">
        <f t="shared" si="9"/>
        <v>0</v>
      </c>
      <c r="BL154" s="2" t="s">
        <v>496</v>
      </c>
      <c r="BM154" s="139" t="s">
        <v>591</v>
      </c>
    </row>
    <row r="155" spans="2:65" s="16" customFormat="1" ht="24.2" customHeight="1" x14ac:dyDescent="0.2">
      <c r="B155" s="17"/>
      <c r="C155" s="128">
        <v>15</v>
      </c>
      <c r="D155" s="128" t="s">
        <v>339</v>
      </c>
      <c r="E155" s="129" t="s">
        <v>6046</v>
      </c>
      <c r="F155" s="130" t="s">
        <v>6047</v>
      </c>
      <c r="G155" s="131" t="s">
        <v>6048</v>
      </c>
      <c r="H155" s="192"/>
      <c r="I155" s="133"/>
      <c r="J155" s="134">
        <f t="shared" si="0"/>
        <v>0</v>
      </c>
      <c r="K155" s="130" t="s">
        <v>343</v>
      </c>
      <c r="L155" s="17"/>
      <c r="M155" s="135"/>
      <c r="N155" s="136" t="s">
        <v>45</v>
      </c>
      <c r="P155" s="137">
        <f t="shared" si="1"/>
        <v>0</v>
      </c>
      <c r="Q155" s="137">
        <v>0</v>
      </c>
      <c r="R155" s="137">
        <f t="shared" si="2"/>
        <v>0</v>
      </c>
      <c r="S155" s="137">
        <v>0</v>
      </c>
      <c r="T155" s="138">
        <f t="shared" si="3"/>
        <v>0</v>
      </c>
      <c r="AR155" s="139" t="s">
        <v>496</v>
      </c>
      <c r="AT155" s="139" t="s">
        <v>339</v>
      </c>
      <c r="AU155" s="139" t="s">
        <v>90</v>
      </c>
      <c r="AY155" s="2" t="s">
        <v>337</v>
      </c>
      <c r="BE155" s="140">
        <f t="shared" si="4"/>
        <v>0</v>
      </c>
      <c r="BF155" s="140">
        <f t="shared" si="5"/>
        <v>0</v>
      </c>
      <c r="BG155" s="140">
        <f t="shared" si="6"/>
        <v>0</v>
      </c>
      <c r="BH155" s="140">
        <f t="shared" si="7"/>
        <v>0</v>
      </c>
      <c r="BI155" s="140">
        <f t="shared" si="8"/>
        <v>0</v>
      </c>
      <c r="BJ155" s="2" t="s">
        <v>87</v>
      </c>
      <c r="BK155" s="140">
        <f t="shared" si="9"/>
        <v>0</v>
      </c>
      <c r="BL155" s="2" t="s">
        <v>496</v>
      </c>
      <c r="BM155" s="139" t="s">
        <v>6526</v>
      </c>
    </row>
    <row r="156" spans="2:65" s="116" customFormat="1" ht="22.9" customHeight="1" x14ac:dyDescent="0.2">
      <c r="B156" s="117"/>
      <c r="D156" s="118" t="s">
        <v>79</v>
      </c>
      <c r="E156" s="126" t="s">
        <v>6527</v>
      </c>
      <c r="F156" s="126" t="s">
        <v>6528</v>
      </c>
      <c r="J156" s="127">
        <f>BK156</f>
        <v>0</v>
      </c>
      <c r="L156" s="117"/>
      <c r="M156" s="121"/>
      <c r="P156" s="122">
        <f>SUM(P157:P158)</f>
        <v>0</v>
      </c>
      <c r="R156" s="122">
        <f>SUM(R157:R158)</f>
        <v>0</v>
      </c>
      <c r="T156" s="123">
        <f>SUM(T157:T158)</f>
        <v>0</v>
      </c>
      <c r="AR156" s="118" t="s">
        <v>90</v>
      </c>
      <c r="AT156" s="124" t="s">
        <v>79</v>
      </c>
      <c r="AU156" s="124" t="s">
        <v>87</v>
      </c>
      <c r="AY156" s="118" t="s">
        <v>337</v>
      </c>
      <c r="BK156" s="125">
        <f>SUM(BK157:BK158)</f>
        <v>0</v>
      </c>
    </row>
    <row r="157" spans="2:65" s="16" customFormat="1" ht="24.2" customHeight="1" x14ac:dyDescent="0.2">
      <c r="B157" s="17"/>
      <c r="C157" s="128">
        <v>16</v>
      </c>
      <c r="D157" s="128" t="s">
        <v>339</v>
      </c>
      <c r="E157" s="129" t="s">
        <v>6529</v>
      </c>
      <c r="F157" s="130" t="s">
        <v>6530</v>
      </c>
      <c r="G157" s="131" t="s">
        <v>449</v>
      </c>
      <c r="H157" s="132">
        <v>2</v>
      </c>
      <c r="I157" s="133"/>
      <c r="J157" s="134">
        <f>ROUND(I157*H157,2)</f>
        <v>0</v>
      </c>
      <c r="K157" s="130"/>
      <c r="L157" s="17"/>
      <c r="M157" s="135"/>
      <c r="N157" s="136" t="s">
        <v>45</v>
      </c>
      <c r="P157" s="137">
        <f>O157*H157</f>
        <v>0</v>
      </c>
      <c r="Q157" s="137">
        <v>0</v>
      </c>
      <c r="R157" s="137">
        <f>Q157*H157</f>
        <v>0</v>
      </c>
      <c r="S157" s="137">
        <v>0</v>
      </c>
      <c r="T157" s="138">
        <f>S157*H157</f>
        <v>0</v>
      </c>
      <c r="AR157" s="139" t="s">
        <v>496</v>
      </c>
      <c r="AT157" s="139" t="s">
        <v>339</v>
      </c>
      <c r="AU157" s="139" t="s">
        <v>90</v>
      </c>
      <c r="AY157" s="2" t="s">
        <v>337</v>
      </c>
      <c r="BE157" s="140">
        <f>IF(N157="základní",J157,0)</f>
        <v>0</v>
      </c>
      <c r="BF157" s="140">
        <f>IF(N157="snížená",J157,0)</f>
        <v>0</v>
      </c>
      <c r="BG157" s="140">
        <f>IF(N157="zákl. přenesená",J157,0)</f>
        <v>0</v>
      </c>
      <c r="BH157" s="140">
        <f>IF(N157="sníž. přenesená",J157,0)</f>
        <v>0</v>
      </c>
      <c r="BI157" s="140">
        <f>IF(N157="nulová",J157,0)</f>
        <v>0</v>
      </c>
      <c r="BJ157" s="2" t="s">
        <v>87</v>
      </c>
      <c r="BK157" s="140">
        <f>ROUND(I157*H157,2)</f>
        <v>0</v>
      </c>
      <c r="BL157" s="2" t="s">
        <v>496</v>
      </c>
      <c r="BM157" s="139" t="s">
        <v>621</v>
      </c>
    </row>
    <row r="158" spans="2:65" s="16" customFormat="1" ht="24.2" customHeight="1" x14ac:dyDescent="0.2">
      <c r="B158" s="17"/>
      <c r="C158" s="128">
        <v>17</v>
      </c>
      <c r="D158" s="128" t="s">
        <v>339</v>
      </c>
      <c r="E158" s="129" t="s">
        <v>6531</v>
      </c>
      <c r="F158" s="130" t="s">
        <v>6532</v>
      </c>
      <c r="G158" s="131" t="s">
        <v>6048</v>
      </c>
      <c r="H158" s="192"/>
      <c r="I158" s="133"/>
      <c r="J158" s="134">
        <f>ROUND(I158*H158,2)</f>
        <v>0</v>
      </c>
      <c r="K158" s="130" t="s">
        <v>343</v>
      </c>
      <c r="L158" s="17"/>
      <c r="M158" s="135"/>
      <c r="N158" s="136" t="s">
        <v>45</v>
      </c>
      <c r="P158" s="137">
        <f>O158*H158</f>
        <v>0</v>
      </c>
      <c r="Q158" s="137">
        <v>0</v>
      </c>
      <c r="R158" s="137">
        <f>Q158*H158</f>
        <v>0</v>
      </c>
      <c r="S158" s="137">
        <v>0</v>
      </c>
      <c r="T158" s="138">
        <f>S158*H158</f>
        <v>0</v>
      </c>
      <c r="AR158" s="139" t="s">
        <v>496</v>
      </c>
      <c r="AT158" s="139" t="s">
        <v>339</v>
      </c>
      <c r="AU158" s="139" t="s">
        <v>90</v>
      </c>
      <c r="AY158" s="2" t="s">
        <v>337</v>
      </c>
      <c r="BE158" s="140">
        <f>IF(N158="základní",J158,0)</f>
        <v>0</v>
      </c>
      <c r="BF158" s="140">
        <f>IF(N158="snížená",J158,0)</f>
        <v>0</v>
      </c>
      <c r="BG158" s="140">
        <f>IF(N158="zákl. přenesená",J158,0)</f>
        <v>0</v>
      </c>
      <c r="BH158" s="140">
        <f>IF(N158="sníž. přenesená",J158,0)</f>
        <v>0</v>
      </c>
      <c r="BI158" s="140">
        <f>IF(N158="nulová",J158,0)</f>
        <v>0</v>
      </c>
      <c r="BJ158" s="2" t="s">
        <v>87</v>
      </c>
      <c r="BK158" s="140">
        <f>ROUND(I158*H158,2)</f>
        <v>0</v>
      </c>
      <c r="BL158" s="2" t="s">
        <v>496</v>
      </c>
      <c r="BM158" s="139" t="s">
        <v>6533</v>
      </c>
    </row>
    <row r="159" spans="2:65" s="116" customFormat="1" ht="22.9" customHeight="1" x14ac:dyDescent="0.2">
      <c r="B159" s="117"/>
      <c r="D159" s="118" t="s">
        <v>79</v>
      </c>
      <c r="E159" s="126" t="s">
        <v>6534</v>
      </c>
      <c r="F159" s="126" t="s">
        <v>6535</v>
      </c>
      <c r="J159" s="127">
        <f>BK159</f>
        <v>0</v>
      </c>
      <c r="L159" s="117"/>
      <c r="M159" s="121"/>
      <c r="P159" s="122">
        <f>SUM(P160:P184)</f>
        <v>0</v>
      </c>
      <c r="R159" s="122">
        <f>SUM(R160:R184)</f>
        <v>0</v>
      </c>
      <c r="T159" s="123">
        <f>SUM(T160:T184)</f>
        <v>0</v>
      </c>
      <c r="AR159" s="118" t="s">
        <v>90</v>
      </c>
      <c r="AT159" s="124" t="s">
        <v>79</v>
      </c>
      <c r="AU159" s="124" t="s">
        <v>87</v>
      </c>
      <c r="AY159" s="118" t="s">
        <v>337</v>
      </c>
      <c r="BK159" s="125">
        <f>SUM(BK160:BK184)</f>
        <v>0</v>
      </c>
    </row>
    <row r="160" spans="2:65" s="16" customFormat="1" ht="16.5" customHeight="1" x14ac:dyDescent="0.2">
      <c r="B160" s="17"/>
      <c r="C160" s="128">
        <v>18</v>
      </c>
      <c r="D160" s="128" t="s">
        <v>339</v>
      </c>
      <c r="E160" s="129" t="s">
        <v>6536</v>
      </c>
      <c r="F160" s="130" t="s">
        <v>6537</v>
      </c>
      <c r="G160" s="131" t="s">
        <v>724</v>
      </c>
      <c r="H160" s="132">
        <v>1962</v>
      </c>
      <c r="I160" s="133"/>
      <c r="J160" s="134">
        <f t="shared" ref="J160:J174" si="10">ROUND(I160*H160,2)</f>
        <v>0</v>
      </c>
      <c r="K160" s="130" t="s">
        <v>343</v>
      </c>
      <c r="L160" s="17"/>
      <c r="M160" s="135"/>
      <c r="N160" s="136" t="s">
        <v>45</v>
      </c>
      <c r="P160" s="137">
        <f t="shared" ref="P160:P174" si="11">O160*H160</f>
        <v>0</v>
      </c>
      <c r="Q160" s="137">
        <v>0</v>
      </c>
      <c r="R160" s="137">
        <f t="shared" ref="R160:R174" si="12">Q160*H160</f>
        <v>0</v>
      </c>
      <c r="S160" s="137">
        <v>0</v>
      </c>
      <c r="T160" s="138">
        <f t="shared" ref="T160:T174" si="13">S160*H160</f>
        <v>0</v>
      </c>
      <c r="AR160" s="139" t="s">
        <v>496</v>
      </c>
      <c r="AT160" s="139" t="s">
        <v>339</v>
      </c>
      <c r="AU160" s="139" t="s">
        <v>90</v>
      </c>
      <c r="AY160" s="2" t="s">
        <v>337</v>
      </c>
      <c r="BE160" s="140">
        <f t="shared" ref="BE160:BE174" si="14">IF(N160="základní",J160,0)</f>
        <v>0</v>
      </c>
      <c r="BF160" s="140">
        <f t="shared" ref="BF160:BF174" si="15">IF(N160="snížená",J160,0)</f>
        <v>0</v>
      </c>
      <c r="BG160" s="140">
        <f t="shared" ref="BG160:BG174" si="16">IF(N160="zákl. přenesená",J160,0)</f>
        <v>0</v>
      </c>
      <c r="BH160" s="140">
        <f t="shared" ref="BH160:BH174" si="17">IF(N160="sníž. přenesená",J160,0)</f>
        <v>0</v>
      </c>
      <c r="BI160" s="140">
        <f t="shared" ref="BI160:BI174" si="18">IF(N160="nulová",J160,0)</f>
        <v>0</v>
      </c>
      <c r="BJ160" s="2" t="s">
        <v>87</v>
      </c>
      <c r="BK160" s="140">
        <f t="shared" ref="BK160:BK174" si="19">ROUND(I160*H160,2)</f>
        <v>0</v>
      </c>
      <c r="BL160" s="2" t="s">
        <v>496</v>
      </c>
      <c r="BM160" s="139" t="s">
        <v>646</v>
      </c>
    </row>
    <row r="161" spans="2:65" s="16" customFormat="1" ht="16.5" customHeight="1" x14ac:dyDescent="0.2">
      <c r="B161" s="17"/>
      <c r="C161" s="128">
        <v>19</v>
      </c>
      <c r="D161" s="128" t="s">
        <v>339</v>
      </c>
      <c r="E161" s="129" t="s">
        <v>6538</v>
      </c>
      <c r="F161" s="130" t="s">
        <v>6539</v>
      </c>
      <c r="G161" s="131" t="s">
        <v>724</v>
      </c>
      <c r="H161" s="132">
        <v>167</v>
      </c>
      <c r="I161" s="133"/>
      <c r="J161" s="134">
        <f t="shared" si="10"/>
        <v>0</v>
      </c>
      <c r="K161" s="130" t="s">
        <v>343</v>
      </c>
      <c r="L161" s="17"/>
      <c r="M161" s="135"/>
      <c r="N161" s="136" t="s">
        <v>45</v>
      </c>
      <c r="P161" s="137">
        <f t="shared" si="11"/>
        <v>0</v>
      </c>
      <c r="Q161" s="137">
        <v>0</v>
      </c>
      <c r="R161" s="137">
        <f t="shared" si="12"/>
        <v>0</v>
      </c>
      <c r="S161" s="137">
        <v>0</v>
      </c>
      <c r="T161" s="138">
        <f t="shared" si="13"/>
        <v>0</v>
      </c>
      <c r="AR161" s="139" t="s">
        <v>496</v>
      </c>
      <c r="AT161" s="139" t="s">
        <v>339</v>
      </c>
      <c r="AU161" s="139" t="s">
        <v>90</v>
      </c>
      <c r="AY161" s="2" t="s">
        <v>337</v>
      </c>
      <c r="BE161" s="140">
        <f t="shared" si="14"/>
        <v>0</v>
      </c>
      <c r="BF161" s="140">
        <f t="shared" si="15"/>
        <v>0</v>
      </c>
      <c r="BG161" s="140">
        <f t="shared" si="16"/>
        <v>0</v>
      </c>
      <c r="BH161" s="140">
        <f t="shared" si="17"/>
        <v>0</v>
      </c>
      <c r="BI161" s="140">
        <f t="shared" si="18"/>
        <v>0</v>
      </c>
      <c r="BJ161" s="2" t="s">
        <v>87</v>
      </c>
      <c r="BK161" s="140">
        <f t="shared" si="19"/>
        <v>0</v>
      </c>
      <c r="BL161" s="2" t="s">
        <v>496</v>
      </c>
      <c r="BM161" s="139" t="s">
        <v>658</v>
      </c>
    </row>
    <row r="162" spans="2:65" s="16" customFormat="1" ht="16.5" customHeight="1" x14ac:dyDescent="0.2">
      <c r="B162" s="17"/>
      <c r="C162" s="128">
        <v>20</v>
      </c>
      <c r="D162" s="128" t="s">
        <v>339</v>
      </c>
      <c r="E162" s="129" t="s">
        <v>6540</v>
      </c>
      <c r="F162" s="130" t="s">
        <v>6541</v>
      </c>
      <c r="G162" s="131" t="s">
        <v>724</v>
      </c>
      <c r="H162" s="132">
        <v>20</v>
      </c>
      <c r="I162" s="133"/>
      <c r="J162" s="134">
        <f t="shared" si="10"/>
        <v>0</v>
      </c>
      <c r="K162" s="130" t="s">
        <v>343</v>
      </c>
      <c r="L162" s="17"/>
      <c r="M162" s="135"/>
      <c r="N162" s="136" t="s">
        <v>45</v>
      </c>
      <c r="P162" s="137">
        <f t="shared" si="11"/>
        <v>0</v>
      </c>
      <c r="Q162" s="137">
        <v>0</v>
      </c>
      <c r="R162" s="137">
        <f t="shared" si="12"/>
        <v>0</v>
      </c>
      <c r="S162" s="137">
        <v>0</v>
      </c>
      <c r="T162" s="138">
        <f t="shared" si="13"/>
        <v>0</v>
      </c>
      <c r="AR162" s="139" t="s">
        <v>496</v>
      </c>
      <c r="AT162" s="139" t="s">
        <v>339</v>
      </c>
      <c r="AU162" s="139" t="s">
        <v>90</v>
      </c>
      <c r="AY162" s="2" t="s">
        <v>337</v>
      </c>
      <c r="BE162" s="140">
        <f t="shared" si="14"/>
        <v>0</v>
      </c>
      <c r="BF162" s="140">
        <f t="shared" si="15"/>
        <v>0</v>
      </c>
      <c r="BG162" s="140">
        <f t="shared" si="16"/>
        <v>0</v>
      </c>
      <c r="BH162" s="140">
        <f t="shared" si="17"/>
        <v>0</v>
      </c>
      <c r="BI162" s="140">
        <f t="shared" si="18"/>
        <v>0</v>
      </c>
      <c r="BJ162" s="2" t="s">
        <v>87</v>
      </c>
      <c r="BK162" s="140">
        <f t="shared" si="19"/>
        <v>0</v>
      </c>
      <c r="BL162" s="2" t="s">
        <v>496</v>
      </c>
      <c r="BM162" s="139" t="s">
        <v>685</v>
      </c>
    </row>
    <row r="163" spans="2:65" s="16" customFormat="1" ht="24.2" customHeight="1" x14ac:dyDescent="0.2">
      <c r="B163" s="17"/>
      <c r="C163" s="128">
        <v>21</v>
      </c>
      <c r="D163" s="128" t="s">
        <v>339</v>
      </c>
      <c r="E163" s="129" t="s">
        <v>6542</v>
      </c>
      <c r="F163" s="130" t="s">
        <v>6543</v>
      </c>
      <c r="G163" s="131" t="s">
        <v>724</v>
      </c>
      <c r="H163" s="132">
        <v>15</v>
      </c>
      <c r="I163" s="133"/>
      <c r="J163" s="134">
        <f t="shared" si="10"/>
        <v>0</v>
      </c>
      <c r="K163" s="130" t="s">
        <v>343</v>
      </c>
      <c r="L163" s="17"/>
      <c r="M163" s="135"/>
      <c r="N163" s="136" t="s">
        <v>45</v>
      </c>
      <c r="P163" s="137">
        <f t="shared" si="11"/>
        <v>0</v>
      </c>
      <c r="Q163" s="137">
        <v>0</v>
      </c>
      <c r="R163" s="137">
        <f t="shared" si="12"/>
        <v>0</v>
      </c>
      <c r="S163" s="137">
        <v>0</v>
      </c>
      <c r="T163" s="138">
        <f t="shared" si="13"/>
        <v>0</v>
      </c>
      <c r="AR163" s="139" t="s">
        <v>496</v>
      </c>
      <c r="AT163" s="139" t="s">
        <v>339</v>
      </c>
      <c r="AU163" s="139" t="s">
        <v>90</v>
      </c>
      <c r="AY163" s="2" t="s">
        <v>337</v>
      </c>
      <c r="BE163" s="140">
        <f t="shared" si="14"/>
        <v>0</v>
      </c>
      <c r="BF163" s="140">
        <f t="shared" si="15"/>
        <v>0</v>
      </c>
      <c r="BG163" s="140">
        <f t="shared" si="16"/>
        <v>0</v>
      </c>
      <c r="BH163" s="140">
        <f t="shared" si="17"/>
        <v>0</v>
      </c>
      <c r="BI163" s="140">
        <f t="shared" si="18"/>
        <v>0</v>
      </c>
      <c r="BJ163" s="2" t="s">
        <v>87</v>
      </c>
      <c r="BK163" s="140">
        <f t="shared" si="19"/>
        <v>0</v>
      </c>
      <c r="BL163" s="2" t="s">
        <v>496</v>
      </c>
      <c r="BM163" s="139" t="s">
        <v>699</v>
      </c>
    </row>
    <row r="164" spans="2:65" s="16" customFormat="1" ht="24.2" customHeight="1" x14ac:dyDescent="0.2">
      <c r="B164" s="17"/>
      <c r="C164" s="128">
        <v>22</v>
      </c>
      <c r="D164" s="128" t="s">
        <v>339</v>
      </c>
      <c r="E164" s="129" t="s">
        <v>6544</v>
      </c>
      <c r="F164" s="130" t="s">
        <v>6545</v>
      </c>
      <c r="G164" s="131" t="s">
        <v>724</v>
      </c>
      <c r="H164" s="132">
        <v>12</v>
      </c>
      <c r="I164" s="133"/>
      <c r="J164" s="134">
        <f t="shared" si="10"/>
        <v>0</v>
      </c>
      <c r="K164" s="130" t="s">
        <v>343</v>
      </c>
      <c r="L164" s="17"/>
      <c r="M164" s="135"/>
      <c r="N164" s="136" t="s">
        <v>45</v>
      </c>
      <c r="P164" s="137">
        <f t="shared" si="11"/>
        <v>0</v>
      </c>
      <c r="Q164" s="137">
        <v>0</v>
      </c>
      <c r="R164" s="137">
        <f t="shared" si="12"/>
        <v>0</v>
      </c>
      <c r="S164" s="137">
        <v>0</v>
      </c>
      <c r="T164" s="138">
        <f t="shared" si="13"/>
        <v>0</v>
      </c>
      <c r="AR164" s="139" t="s">
        <v>496</v>
      </c>
      <c r="AT164" s="139" t="s">
        <v>339</v>
      </c>
      <c r="AU164" s="139" t="s">
        <v>90</v>
      </c>
      <c r="AY164" s="2" t="s">
        <v>337</v>
      </c>
      <c r="BE164" s="140">
        <f t="shared" si="14"/>
        <v>0</v>
      </c>
      <c r="BF164" s="140">
        <f t="shared" si="15"/>
        <v>0</v>
      </c>
      <c r="BG164" s="140">
        <f t="shared" si="16"/>
        <v>0</v>
      </c>
      <c r="BH164" s="140">
        <f t="shared" si="17"/>
        <v>0</v>
      </c>
      <c r="BI164" s="140">
        <f t="shared" si="18"/>
        <v>0</v>
      </c>
      <c r="BJ164" s="2" t="s">
        <v>87</v>
      </c>
      <c r="BK164" s="140">
        <f t="shared" si="19"/>
        <v>0</v>
      </c>
      <c r="BL164" s="2" t="s">
        <v>496</v>
      </c>
      <c r="BM164" s="139" t="s">
        <v>708</v>
      </c>
    </row>
    <row r="165" spans="2:65" s="16" customFormat="1" ht="24.2" customHeight="1" x14ac:dyDescent="0.2">
      <c r="B165" s="17"/>
      <c r="C165" s="128">
        <v>23</v>
      </c>
      <c r="D165" s="128" t="s">
        <v>339</v>
      </c>
      <c r="E165" s="129" t="s">
        <v>6546</v>
      </c>
      <c r="F165" s="130" t="s">
        <v>6547</v>
      </c>
      <c r="G165" s="131" t="s">
        <v>724</v>
      </c>
      <c r="H165" s="132">
        <v>52</v>
      </c>
      <c r="I165" s="133"/>
      <c r="J165" s="134">
        <f t="shared" si="10"/>
        <v>0</v>
      </c>
      <c r="K165" s="130" t="s">
        <v>343</v>
      </c>
      <c r="L165" s="17"/>
      <c r="M165" s="135"/>
      <c r="N165" s="136" t="s">
        <v>45</v>
      </c>
      <c r="P165" s="137">
        <f t="shared" si="11"/>
        <v>0</v>
      </c>
      <c r="Q165" s="137">
        <v>0</v>
      </c>
      <c r="R165" s="137">
        <f t="shared" si="12"/>
        <v>0</v>
      </c>
      <c r="S165" s="137">
        <v>0</v>
      </c>
      <c r="T165" s="138">
        <f t="shared" si="13"/>
        <v>0</v>
      </c>
      <c r="AR165" s="139" t="s">
        <v>496</v>
      </c>
      <c r="AT165" s="139" t="s">
        <v>339</v>
      </c>
      <c r="AU165" s="139" t="s">
        <v>90</v>
      </c>
      <c r="AY165" s="2" t="s">
        <v>337</v>
      </c>
      <c r="BE165" s="140">
        <f t="shared" si="14"/>
        <v>0</v>
      </c>
      <c r="BF165" s="140">
        <f t="shared" si="15"/>
        <v>0</v>
      </c>
      <c r="BG165" s="140">
        <f t="shared" si="16"/>
        <v>0</v>
      </c>
      <c r="BH165" s="140">
        <f t="shared" si="17"/>
        <v>0</v>
      </c>
      <c r="BI165" s="140">
        <f t="shared" si="18"/>
        <v>0</v>
      </c>
      <c r="BJ165" s="2" t="s">
        <v>87</v>
      </c>
      <c r="BK165" s="140">
        <f t="shared" si="19"/>
        <v>0</v>
      </c>
      <c r="BL165" s="2" t="s">
        <v>496</v>
      </c>
      <c r="BM165" s="139" t="s">
        <v>733</v>
      </c>
    </row>
    <row r="166" spans="2:65" s="16" customFormat="1" ht="24.2" customHeight="1" x14ac:dyDescent="0.2">
      <c r="B166" s="17"/>
      <c r="C166" s="128">
        <v>24</v>
      </c>
      <c r="D166" s="128" t="s">
        <v>339</v>
      </c>
      <c r="E166" s="129" t="s">
        <v>6548</v>
      </c>
      <c r="F166" s="130" t="s">
        <v>6549</v>
      </c>
      <c r="G166" s="131" t="s">
        <v>724</v>
      </c>
      <c r="H166" s="132">
        <v>78</v>
      </c>
      <c r="I166" s="133"/>
      <c r="J166" s="134">
        <f t="shared" si="10"/>
        <v>0</v>
      </c>
      <c r="K166" s="130" t="s">
        <v>343</v>
      </c>
      <c r="L166" s="17"/>
      <c r="M166" s="135"/>
      <c r="N166" s="136" t="s">
        <v>45</v>
      </c>
      <c r="P166" s="137">
        <f t="shared" si="11"/>
        <v>0</v>
      </c>
      <c r="Q166" s="137">
        <v>0</v>
      </c>
      <c r="R166" s="137">
        <f t="shared" si="12"/>
        <v>0</v>
      </c>
      <c r="S166" s="137">
        <v>0</v>
      </c>
      <c r="T166" s="138">
        <f t="shared" si="13"/>
        <v>0</v>
      </c>
      <c r="AR166" s="139" t="s">
        <v>496</v>
      </c>
      <c r="AT166" s="139" t="s">
        <v>339</v>
      </c>
      <c r="AU166" s="139" t="s">
        <v>90</v>
      </c>
      <c r="AY166" s="2" t="s">
        <v>337</v>
      </c>
      <c r="BE166" s="140">
        <f t="shared" si="14"/>
        <v>0</v>
      </c>
      <c r="BF166" s="140">
        <f t="shared" si="15"/>
        <v>0</v>
      </c>
      <c r="BG166" s="140">
        <f t="shared" si="16"/>
        <v>0</v>
      </c>
      <c r="BH166" s="140">
        <f t="shared" si="17"/>
        <v>0</v>
      </c>
      <c r="BI166" s="140">
        <f t="shared" si="18"/>
        <v>0</v>
      </c>
      <c r="BJ166" s="2" t="s">
        <v>87</v>
      </c>
      <c r="BK166" s="140">
        <f t="shared" si="19"/>
        <v>0</v>
      </c>
      <c r="BL166" s="2" t="s">
        <v>496</v>
      </c>
      <c r="BM166" s="139" t="s">
        <v>748</v>
      </c>
    </row>
    <row r="167" spans="2:65" s="16" customFormat="1" ht="24.2" customHeight="1" x14ac:dyDescent="0.2">
      <c r="B167" s="17"/>
      <c r="C167" s="128">
        <v>25</v>
      </c>
      <c r="D167" s="128" t="s">
        <v>339</v>
      </c>
      <c r="E167" s="129" t="s">
        <v>6550</v>
      </c>
      <c r="F167" s="130" t="s">
        <v>6551</v>
      </c>
      <c r="G167" s="131" t="s">
        <v>724</v>
      </c>
      <c r="H167" s="132">
        <v>37</v>
      </c>
      <c r="I167" s="133"/>
      <c r="J167" s="134">
        <f t="shared" si="10"/>
        <v>0</v>
      </c>
      <c r="K167" s="130" t="s">
        <v>343</v>
      </c>
      <c r="L167" s="17"/>
      <c r="M167" s="135"/>
      <c r="N167" s="136" t="s">
        <v>45</v>
      </c>
      <c r="P167" s="137">
        <f t="shared" si="11"/>
        <v>0</v>
      </c>
      <c r="Q167" s="137">
        <v>0</v>
      </c>
      <c r="R167" s="137">
        <f t="shared" si="12"/>
        <v>0</v>
      </c>
      <c r="S167" s="137">
        <v>0</v>
      </c>
      <c r="T167" s="138">
        <f t="shared" si="13"/>
        <v>0</v>
      </c>
      <c r="AR167" s="139" t="s">
        <v>496</v>
      </c>
      <c r="AT167" s="139" t="s">
        <v>339</v>
      </c>
      <c r="AU167" s="139" t="s">
        <v>90</v>
      </c>
      <c r="AY167" s="2" t="s">
        <v>337</v>
      </c>
      <c r="BE167" s="140">
        <f t="shared" si="14"/>
        <v>0</v>
      </c>
      <c r="BF167" s="140">
        <f t="shared" si="15"/>
        <v>0</v>
      </c>
      <c r="BG167" s="140">
        <f t="shared" si="16"/>
        <v>0</v>
      </c>
      <c r="BH167" s="140">
        <f t="shared" si="17"/>
        <v>0</v>
      </c>
      <c r="BI167" s="140">
        <f t="shared" si="18"/>
        <v>0</v>
      </c>
      <c r="BJ167" s="2" t="s">
        <v>87</v>
      </c>
      <c r="BK167" s="140">
        <f t="shared" si="19"/>
        <v>0</v>
      </c>
      <c r="BL167" s="2" t="s">
        <v>496</v>
      </c>
      <c r="BM167" s="139" t="s">
        <v>762</v>
      </c>
    </row>
    <row r="168" spans="2:65" s="16" customFormat="1" ht="24.2" customHeight="1" x14ac:dyDescent="0.2">
      <c r="B168" s="17"/>
      <c r="C168" s="128">
        <v>26</v>
      </c>
      <c r="D168" s="128" t="s">
        <v>339</v>
      </c>
      <c r="E168" s="129" t="s">
        <v>6552</v>
      </c>
      <c r="F168" s="130" t="s">
        <v>6553</v>
      </c>
      <c r="G168" s="131" t="s">
        <v>724</v>
      </c>
      <c r="H168" s="132">
        <v>20</v>
      </c>
      <c r="I168" s="133"/>
      <c r="J168" s="134">
        <f t="shared" si="10"/>
        <v>0</v>
      </c>
      <c r="K168" s="130" t="s">
        <v>343</v>
      </c>
      <c r="L168" s="17"/>
      <c r="M168" s="135"/>
      <c r="N168" s="136" t="s">
        <v>45</v>
      </c>
      <c r="P168" s="137">
        <f t="shared" si="11"/>
        <v>0</v>
      </c>
      <c r="Q168" s="137">
        <v>0</v>
      </c>
      <c r="R168" s="137">
        <f t="shared" si="12"/>
        <v>0</v>
      </c>
      <c r="S168" s="137">
        <v>0</v>
      </c>
      <c r="T168" s="138">
        <f t="shared" si="13"/>
        <v>0</v>
      </c>
      <c r="AR168" s="139" t="s">
        <v>496</v>
      </c>
      <c r="AT168" s="139" t="s">
        <v>339</v>
      </c>
      <c r="AU168" s="139" t="s">
        <v>90</v>
      </c>
      <c r="AY168" s="2" t="s">
        <v>337</v>
      </c>
      <c r="BE168" s="140">
        <f t="shared" si="14"/>
        <v>0</v>
      </c>
      <c r="BF168" s="140">
        <f t="shared" si="15"/>
        <v>0</v>
      </c>
      <c r="BG168" s="140">
        <f t="shared" si="16"/>
        <v>0</v>
      </c>
      <c r="BH168" s="140">
        <f t="shared" si="17"/>
        <v>0</v>
      </c>
      <c r="BI168" s="140">
        <f t="shared" si="18"/>
        <v>0</v>
      </c>
      <c r="BJ168" s="2" t="s">
        <v>87</v>
      </c>
      <c r="BK168" s="140">
        <f t="shared" si="19"/>
        <v>0</v>
      </c>
      <c r="BL168" s="2" t="s">
        <v>496</v>
      </c>
      <c r="BM168" s="139" t="s">
        <v>774</v>
      </c>
    </row>
    <row r="169" spans="2:65" s="16" customFormat="1" ht="24.2" customHeight="1" x14ac:dyDescent="0.2">
      <c r="B169" s="17"/>
      <c r="C169" s="128">
        <v>27</v>
      </c>
      <c r="D169" s="128" t="s">
        <v>339</v>
      </c>
      <c r="E169" s="129" t="s">
        <v>6554</v>
      </c>
      <c r="F169" s="130" t="s">
        <v>6555</v>
      </c>
      <c r="G169" s="131" t="s">
        <v>724</v>
      </c>
      <c r="H169" s="132">
        <v>15</v>
      </c>
      <c r="I169" s="133"/>
      <c r="J169" s="134">
        <f t="shared" si="10"/>
        <v>0</v>
      </c>
      <c r="K169" s="130" t="s">
        <v>343</v>
      </c>
      <c r="L169" s="17"/>
      <c r="M169" s="135"/>
      <c r="N169" s="136" t="s">
        <v>45</v>
      </c>
      <c r="P169" s="137">
        <f t="shared" si="11"/>
        <v>0</v>
      </c>
      <c r="Q169" s="137">
        <v>0</v>
      </c>
      <c r="R169" s="137">
        <f t="shared" si="12"/>
        <v>0</v>
      </c>
      <c r="S169" s="137">
        <v>0</v>
      </c>
      <c r="T169" s="138">
        <f t="shared" si="13"/>
        <v>0</v>
      </c>
      <c r="AR169" s="139" t="s">
        <v>496</v>
      </c>
      <c r="AT169" s="139" t="s">
        <v>339</v>
      </c>
      <c r="AU169" s="139" t="s">
        <v>90</v>
      </c>
      <c r="AY169" s="2" t="s">
        <v>337</v>
      </c>
      <c r="BE169" s="140">
        <f t="shared" si="14"/>
        <v>0</v>
      </c>
      <c r="BF169" s="140">
        <f t="shared" si="15"/>
        <v>0</v>
      </c>
      <c r="BG169" s="140">
        <f t="shared" si="16"/>
        <v>0</v>
      </c>
      <c r="BH169" s="140">
        <f t="shared" si="17"/>
        <v>0</v>
      </c>
      <c r="BI169" s="140">
        <f t="shared" si="18"/>
        <v>0</v>
      </c>
      <c r="BJ169" s="2" t="s">
        <v>87</v>
      </c>
      <c r="BK169" s="140">
        <f t="shared" si="19"/>
        <v>0</v>
      </c>
      <c r="BL169" s="2" t="s">
        <v>496</v>
      </c>
      <c r="BM169" s="139" t="s">
        <v>788</v>
      </c>
    </row>
    <row r="170" spans="2:65" s="16" customFormat="1" ht="24.2" customHeight="1" x14ac:dyDescent="0.2">
      <c r="B170" s="17"/>
      <c r="C170" s="128">
        <v>28</v>
      </c>
      <c r="D170" s="128" t="s">
        <v>339</v>
      </c>
      <c r="E170" s="129" t="s">
        <v>6556</v>
      </c>
      <c r="F170" s="130" t="s">
        <v>6557</v>
      </c>
      <c r="G170" s="131" t="s">
        <v>724</v>
      </c>
      <c r="H170" s="132">
        <v>12</v>
      </c>
      <c r="I170" s="133"/>
      <c r="J170" s="134">
        <f t="shared" si="10"/>
        <v>0</v>
      </c>
      <c r="K170" s="130" t="s">
        <v>343</v>
      </c>
      <c r="L170" s="17"/>
      <c r="M170" s="135"/>
      <c r="N170" s="136" t="s">
        <v>45</v>
      </c>
      <c r="P170" s="137">
        <f t="shared" si="11"/>
        <v>0</v>
      </c>
      <c r="Q170" s="137">
        <v>0</v>
      </c>
      <c r="R170" s="137">
        <f t="shared" si="12"/>
        <v>0</v>
      </c>
      <c r="S170" s="137">
        <v>0</v>
      </c>
      <c r="T170" s="138">
        <f t="shared" si="13"/>
        <v>0</v>
      </c>
      <c r="AR170" s="139" t="s">
        <v>496</v>
      </c>
      <c r="AT170" s="139" t="s">
        <v>339</v>
      </c>
      <c r="AU170" s="139" t="s">
        <v>90</v>
      </c>
      <c r="AY170" s="2" t="s">
        <v>337</v>
      </c>
      <c r="BE170" s="140">
        <f t="shared" si="14"/>
        <v>0</v>
      </c>
      <c r="BF170" s="140">
        <f t="shared" si="15"/>
        <v>0</v>
      </c>
      <c r="BG170" s="140">
        <f t="shared" si="16"/>
        <v>0</v>
      </c>
      <c r="BH170" s="140">
        <f t="shared" si="17"/>
        <v>0</v>
      </c>
      <c r="BI170" s="140">
        <f t="shared" si="18"/>
        <v>0</v>
      </c>
      <c r="BJ170" s="2" t="s">
        <v>87</v>
      </c>
      <c r="BK170" s="140">
        <f t="shared" si="19"/>
        <v>0</v>
      </c>
      <c r="BL170" s="2" t="s">
        <v>496</v>
      </c>
      <c r="BM170" s="139" t="s">
        <v>797</v>
      </c>
    </row>
    <row r="171" spans="2:65" s="16" customFormat="1" ht="24.2" customHeight="1" x14ac:dyDescent="0.2">
      <c r="B171" s="17"/>
      <c r="C171" s="128">
        <v>29</v>
      </c>
      <c r="D171" s="128" t="s">
        <v>339</v>
      </c>
      <c r="E171" s="129" t="s">
        <v>6558</v>
      </c>
      <c r="F171" s="130" t="s">
        <v>6559</v>
      </c>
      <c r="G171" s="131" t="s">
        <v>724</v>
      </c>
      <c r="H171" s="132">
        <v>130</v>
      </c>
      <c r="I171" s="133"/>
      <c r="J171" s="134">
        <f t="shared" si="10"/>
        <v>0</v>
      </c>
      <c r="K171" s="130" t="s">
        <v>343</v>
      </c>
      <c r="L171" s="17"/>
      <c r="M171" s="135"/>
      <c r="N171" s="136" t="s">
        <v>45</v>
      </c>
      <c r="P171" s="137">
        <f t="shared" si="11"/>
        <v>0</v>
      </c>
      <c r="Q171" s="137">
        <v>0</v>
      </c>
      <c r="R171" s="137">
        <f t="shared" si="12"/>
        <v>0</v>
      </c>
      <c r="S171" s="137">
        <v>0</v>
      </c>
      <c r="T171" s="138">
        <f t="shared" si="13"/>
        <v>0</v>
      </c>
      <c r="AR171" s="139" t="s">
        <v>496</v>
      </c>
      <c r="AT171" s="139" t="s">
        <v>339</v>
      </c>
      <c r="AU171" s="139" t="s">
        <v>90</v>
      </c>
      <c r="AY171" s="2" t="s">
        <v>337</v>
      </c>
      <c r="BE171" s="140">
        <f t="shared" si="14"/>
        <v>0</v>
      </c>
      <c r="BF171" s="140">
        <f t="shared" si="15"/>
        <v>0</v>
      </c>
      <c r="BG171" s="140">
        <f t="shared" si="16"/>
        <v>0</v>
      </c>
      <c r="BH171" s="140">
        <f t="shared" si="17"/>
        <v>0</v>
      </c>
      <c r="BI171" s="140">
        <f t="shared" si="18"/>
        <v>0</v>
      </c>
      <c r="BJ171" s="2" t="s">
        <v>87</v>
      </c>
      <c r="BK171" s="140">
        <f t="shared" si="19"/>
        <v>0</v>
      </c>
      <c r="BL171" s="2" t="s">
        <v>496</v>
      </c>
      <c r="BM171" s="139" t="s">
        <v>807</v>
      </c>
    </row>
    <row r="172" spans="2:65" s="16" customFormat="1" ht="24.2" customHeight="1" x14ac:dyDescent="0.2">
      <c r="B172" s="17"/>
      <c r="C172" s="128">
        <v>30</v>
      </c>
      <c r="D172" s="128" t="s">
        <v>339</v>
      </c>
      <c r="E172" s="129" t="s">
        <v>6560</v>
      </c>
      <c r="F172" s="130" t="s">
        <v>6561</v>
      </c>
      <c r="G172" s="131" t="s">
        <v>724</v>
      </c>
      <c r="H172" s="132">
        <v>37</v>
      </c>
      <c r="I172" s="133"/>
      <c r="J172" s="134">
        <f t="shared" si="10"/>
        <v>0</v>
      </c>
      <c r="K172" s="130" t="s">
        <v>343</v>
      </c>
      <c r="L172" s="17"/>
      <c r="M172" s="135"/>
      <c r="N172" s="136" t="s">
        <v>45</v>
      </c>
      <c r="P172" s="137">
        <f t="shared" si="11"/>
        <v>0</v>
      </c>
      <c r="Q172" s="137">
        <v>0</v>
      </c>
      <c r="R172" s="137">
        <f t="shared" si="12"/>
        <v>0</v>
      </c>
      <c r="S172" s="137">
        <v>0</v>
      </c>
      <c r="T172" s="138">
        <f t="shared" si="13"/>
        <v>0</v>
      </c>
      <c r="AR172" s="139" t="s">
        <v>496</v>
      </c>
      <c r="AT172" s="139" t="s">
        <v>339</v>
      </c>
      <c r="AU172" s="139" t="s">
        <v>90</v>
      </c>
      <c r="AY172" s="2" t="s">
        <v>337</v>
      </c>
      <c r="BE172" s="140">
        <f t="shared" si="14"/>
        <v>0</v>
      </c>
      <c r="BF172" s="140">
        <f t="shared" si="15"/>
        <v>0</v>
      </c>
      <c r="BG172" s="140">
        <f t="shared" si="16"/>
        <v>0</v>
      </c>
      <c r="BH172" s="140">
        <f t="shared" si="17"/>
        <v>0</v>
      </c>
      <c r="BI172" s="140">
        <f t="shared" si="18"/>
        <v>0</v>
      </c>
      <c r="BJ172" s="2" t="s">
        <v>87</v>
      </c>
      <c r="BK172" s="140">
        <f t="shared" si="19"/>
        <v>0</v>
      </c>
      <c r="BL172" s="2" t="s">
        <v>496</v>
      </c>
      <c r="BM172" s="139" t="s">
        <v>818</v>
      </c>
    </row>
    <row r="173" spans="2:65" s="16" customFormat="1" ht="24.2" customHeight="1" x14ac:dyDescent="0.2">
      <c r="B173" s="17"/>
      <c r="C173" s="128">
        <v>31</v>
      </c>
      <c r="D173" s="128" t="s">
        <v>339</v>
      </c>
      <c r="E173" s="129" t="s">
        <v>6562</v>
      </c>
      <c r="F173" s="130" t="s">
        <v>6563</v>
      </c>
      <c r="G173" s="131" t="s">
        <v>724</v>
      </c>
      <c r="H173" s="132">
        <v>20</v>
      </c>
      <c r="I173" s="133"/>
      <c r="J173" s="134">
        <f t="shared" si="10"/>
        <v>0</v>
      </c>
      <c r="K173" s="130" t="s">
        <v>343</v>
      </c>
      <c r="L173" s="17"/>
      <c r="M173" s="135"/>
      <c r="N173" s="136" t="s">
        <v>45</v>
      </c>
      <c r="P173" s="137">
        <f t="shared" si="11"/>
        <v>0</v>
      </c>
      <c r="Q173" s="137">
        <v>0</v>
      </c>
      <c r="R173" s="137">
        <f t="shared" si="12"/>
        <v>0</v>
      </c>
      <c r="S173" s="137">
        <v>0</v>
      </c>
      <c r="T173" s="138">
        <f t="shared" si="13"/>
        <v>0</v>
      </c>
      <c r="AR173" s="139" t="s">
        <v>496</v>
      </c>
      <c r="AT173" s="139" t="s">
        <v>339</v>
      </c>
      <c r="AU173" s="139" t="s">
        <v>90</v>
      </c>
      <c r="AY173" s="2" t="s">
        <v>337</v>
      </c>
      <c r="BE173" s="140">
        <f t="shared" si="14"/>
        <v>0</v>
      </c>
      <c r="BF173" s="140">
        <f t="shared" si="15"/>
        <v>0</v>
      </c>
      <c r="BG173" s="140">
        <f t="shared" si="16"/>
        <v>0</v>
      </c>
      <c r="BH173" s="140">
        <f t="shared" si="17"/>
        <v>0</v>
      </c>
      <c r="BI173" s="140">
        <f t="shared" si="18"/>
        <v>0</v>
      </c>
      <c r="BJ173" s="2" t="s">
        <v>87</v>
      </c>
      <c r="BK173" s="140">
        <f t="shared" si="19"/>
        <v>0</v>
      </c>
      <c r="BL173" s="2" t="s">
        <v>496</v>
      </c>
      <c r="BM173" s="139" t="s">
        <v>829</v>
      </c>
    </row>
    <row r="174" spans="2:65" s="16" customFormat="1" ht="16.5" customHeight="1" x14ac:dyDescent="0.2">
      <c r="B174" s="17"/>
      <c r="C174" s="128">
        <v>32</v>
      </c>
      <c r="D174" s="128" t="s">
        <v>339</v>
      </c>
      <c r="E174" s="129" t="s">
        <v>6564</v>
      </c>
      <c r="F174" s="130" t="s">
        <v>6565</v>
      </c>
      <c r="G174" s="131" t="s">
        <v>724</v>
      </c>
      <c r="H174" s="132">
        <v>40</v>
      </c>
      <c r="I174" s="133"/>
      <c r="J174" s="134">
        <f t="shared" si="10"/>
        <v>0</v>
      </c>
      <c r="K174" s="130" t="s">
        <v>343</v>
      </c>
      <c r="L174" s="17"/>
      <c r="M174" s="135"/>
      <c r="N174" s="136" t="s">
        <v>45</v>
      </c>
      <c r="P174" s="137">
        <f t="shared" si="11"/>
        <v>0</v>
      </c>
      <c r="Q174" s="137">
        <v>0</v>
      </c>
      <c r="R174" s="137">
        <f t="shared" si="12"/>
        <v>0</v>
      </c>
      <c r="S174" s="137">
        <v>0</v>
      </c>
      <c r="T174" s="138">
        <f t="shared" si="13"/>
        <v>0</v>
      </c>
      <c r="AR174" s="139" t="s">
        <v>496</v>
      </c>
      <c r="AT174" s="139" t="s">
        <v>339</v>
      </c>
      <c r="AU174" s="139" t="s">
        <v>90</v>
      </c>
      <c r="AY174" s="2" t="s">
        <v>337</v>
      </c>
      <c r="BE174" s="140">
        <f t="shared" si="14"/>
        <v>0</v>
      </c>
      <c r="BF174" s="140">
        <f t="shared" si="15"/>
        <v>0</v>
      </c>
      <c r="BG174" s="140">
        <f t="shared" si="16"/>
        <v>0</v>
      </c>
      <c r="BH174" s="140">
        <f t="shared" si="17"/>
        <v>0</v>
      </c>
      <c r="BI174" s="140">
        <f t="shared" si="18"/>
        <v>0</v>
      </c>
      <c r="BJ174" s="2" t="s">
        <v>87</v>
      </c>
      <c r="BK174" s="140">
        <f t="shared" si="19"/>
        <v>0</v>
      </c>
      <c r="BL174" s="2" t="s">
        <v>496</v>
      </c>
      <c r="BM174" s="139" t="s">
        <v>850</v>
      </c>
    </row>
    <row r="175" spans="2:65" s="16" customFormat="1" ht="19.5" x14ac:dyDescent="0.2">
      <c r="B175" s="17"/>
      <c r="D175" s="143" t="s">
        <v>644</v>
      </c>
      <c r="F175" s="179" t="s">
        <v>6566</v>
      </c>
      <c r="L175" s="17"/>
      <c r="M175" s="180"/>
      <c r="T175" s="41"/>
      <c r="AT175" s="2" t="s">
        <v>644</v>
      </c>
      <c r="AU175" s="2" t="s">
        <v>90</v>
      </c>
    </row>
    <row r="176" spans="2:65" s="16" customFormat="1" ht="16.5" customHeight="1" x14ac:dyDescent="0.2">
      <c r="B176" s="17"/>
      <c r="C176" s="128">
        <v>33</v>
      </c>
      <c r="D176" s="128" t="s">
        <v>339</v>
      </c>
      <c r="E176" s="129" t="s">
        <v>6567</v>
      </c>
      <c r="F176" s="130" t="s">
        <v>6568</v>
      </c>
      <c r="G176" s="131" t="s">
        <v>724</v>
      </c>
      <c r="H176" s="132">
        <v>1416</v>
      </c>
      <c r="I176" s="133"/>
      <c r="J176" s="134">
        <f t="shared" ref="J176:J184" si="20">ROUND(I176*H176,2)</f>
        <v>0</v>
      </c>
      <c r="K176" s="130" t="s">
        <v>343</v>
      </c>
      <c r="L176" s="17"/>
      <c r="M176" s="135"/>
      <c r="N176" s="136" t="s">
        <v>45</v>
      </c>
      <c r="P176" s="137">
        <f t="shared" ref="P176:P184" si="21">O176*H176</f>
        <v>0</v>
      </c>
      <c r="Q176" s="137">
        <v>0</v>
      </c>
      <c r="R176" s="137">
        <f t="shared" ref="R176:R184" si="22">Q176*H176</f>
        <v>0</v>
      </c>
      <c r="S176" s="137">
        <v>0</v>
      </c>
      <c r="T176" s="138">
        <f t="shared" ref="T176:T184" si="23">S176*H176</f>
        <v>0</v>
      </c>
      <c r="AR176" s="139" t="s">
        <v>496</v>
      </c>
      <c r="AT176" s="139" t="s">
        <v>339</v>
      </c>
      <c r="AU176" s="139" t="s">
        <v>90</v>
      </c>
      <c r="AY176" s="2" t="s">
        <v>337</v>
      </c>
      <c r="BE176" s="140">
        <f t="shared" ref="BE176:BE184" si="24">IF(N176="základní",J176,0)</f>
        <v>0</v>
      </c>
      <c r="BF176" s="140">
        <f t="shared" ref="BF176:BF184" si="25">IF(N176="snížená",J176,0)</f>
        <v>0</v>
      </c>
      <c r="BG176" s="140">
        <f t="shared" ref="BG176:BG184" si="26">IF(N176="zákl. přenesená",J176,0)</f>
        <v>0</v>
      </c>
      <c r="BH176" s="140">
        <f t="shared" ref="BH176:BH184" si="27">IF(N176="sníž. přenesená",J176,0)</f>
        <v>0</v>
      </c>
      <c r="BI176" s="140">
        <f t="shared" ref="BI176:BI184" si="28">IF(N176="nulová",J176,0)</f>
        <v>0</v>
      </c>
      <c r="BJ176" s="2" t="s">
        <v>87</v>
      </c>
      <c r="BK176" s="140">
        <f t="shared" ref="BK176:BK184" si="29">ROUND(I176*H176,2)</f>
        <v>0</v>
      </c>
      <c r="BL176" s="2" t="s">
        <v>496</v>
      </c>
      <c r="BM176" s="139" t="s">
        <v>3442</v>
      </c>
    </row>
    <row r="177" spans="2:65" s="16" customFormat="1" ht="16.5" customHeight="1" x14ac:dyDescent="0.2">
      <c r="B177" s="17"/>
      <c r="C177" s="128">
        <v>34</v>
      </c>
      <c r="D177" s="128" t="s">
        <v>339</v>
      </c>
      <c r="E177" s="129" t="s">
        <v>6569</v>
      </c>
      <c r="F177" s="130" t="s">
        <v>6570</v>
      </c>
      <c r="G177" s="131" t="s">
        <v>724</v>
      </c>
      <c r="H177" s="132">
        <v>234</v>
      </c>
      <c r="I177" s="133"/>
      <c r="J177" s="134">
        <f t="shared" si="20"/>
        <v>0</v>
      </c>
      <c r="K177" s="130" t="s">
        <v>343</v>
      </c>
      <c r="L177" s="17"/>
      <c r="M177" s="135"/>
      <c r="N177" s="136" t="s">
        <v>45</v>
      </c>
      <c r="P177" s="137">
        <f t="shared" si="21"/>
        <v>0</v>
      </c>
      <c r="Q177" s="137">
        <v>0</v>
      </c>
      <c r="R177" s="137">
        <f t="shared" si="22"/>
        <v>0</v>
      </c>
      <c r="S177" s="137">
        <v>0</v>
      </c>
      <c r="T177" s="138">
        <f t="shared" si="23"/>
        <v>0</v>
      </c>
      <c r="AR177" s="139" t="s">
        <v>496</v>
      </c>
      <c r="AT177" s="139" t="s">
        <v>339</v>
      </c>
      <c r="AU177" s="139" t="s">
        <v>90</v>
      </c>
      <c r="AY177" s="2" t="s">
        <v>337</v>
      </c>
      <c r="BE177" s="140">
        <f t="shared" si="24"/>
        <v>0</v>
      </c>
      <c r="BF177" s="140">
        <f t="shared" si="25"/>
        <v>0</v>
      </c>
      <c r="BG177" s="140">
        <f t="shared" si="26"/>
        <v>0</v>
      </c>
      <c r="BH177" s="140">
        <f t="shared" si="27"/>
        <v>0</v>
      </c>
      <c r="BI177" s="140">
        <f t="shared" si="28"/>
        <v>0</v>
      </c>
      <c r="BJ177" s="2" t="s">
        <v>87</v>
      </c>
      <c r="BK177" s="140">
        <f t="shared" si="29"/>
        <v>0</v>
      </c>
      <c r="BL177" s="2" t="s">
        <v>496</v>
      </c>
      <c r="BM177" s="139" t="s">
        <v>870</v>
      </c>
    </row>
    <row r="178" spans="2:65" s="16" customFormat="1" ht="16.5" customHeight="1" x14ac:dyDescent="0.2">
      <c r="B178" s="17"/>
      <c r="C178" s="128">
        <v>35</v>
      </c>
      <c r="D178" s="128" t="s">
        <v>339</v>
      </c>
      <c r="E178" s="129" t="s">
        <v>6571</v>
      </c>
      <c r="F178" s="130" t="s">
        <v>6572</v>
      </c>
      <c r="G178" s="131" t="s">
        <v>724</v>
      </c>
      <c r="H178" s="132">
        <v>118</v>
      </c>
      <c r="I178" s="133"/>
      <c r="J178" s="134">
        <f t="shared" si="20"/>
        <v>0</v>
      </c>
      <c r="K178" s="130" t="s">
        <v>343</v>
      </c>
      <c r="L178" s="17"/>
      <c r="M178" s="135"/>
      <c r="N178" s="136" t="s">
        <v>45</v>
      </c>
      <c r="P178" s="137">
        <f t="shared" si="21"/>
        <v>0</v>
      </c>
      <c r="Q178" s="137">
        <v>0</v>
      </c>
      <c r="R178" s="137">
        <f t="shared" si="22"/>
        <v>0</v>
      </c>
      <c r="S178" s="137">
        <v>0</v>
      </c>
      <c r="T178" s="138">
        <f t="shared" si="23"/>
        <v>0</v>
      </c>
      <c r="AR178" s="139" t="s">
        <v>496</v>
      </c>
      <c r="AT178" s="139" t="s">
        <v>339</v>
      </c>
      <c r="AU178" s="139" t="s">
        <v>90</v>
      </c>
      <c r="AY178" s="2" t="s">
        <v>337</v>
      </c>
      <c r="BE178" s="140">
        <f t="shared" si="24"/>
        <v>0</v>
      </c>
      <c r="BF178" s="140">
        <f t="shared" si="25"/>
        <v>0</v>
      </c>
      <c r="BG178" s="140">
        <f t="shared" si="26"/>
        <v>0</v>
      </c>
      <c r="BH178" s="140">
        <f t="shared" si="27"/>
        <v>0</v>
      </c>
      <c r="BI178" s="140">
        <f t="shared" si="28"/>
        <v>0</v>
      </c>
      <c r="BJ178" s="2" t="s">
        <v>87</v>
      </c>
      <c r="BK178" s="140">
        <f t="shared" si="29"/>
        <v>0</v>
      </c>
      <c r="BL178" s="2" t="s">
        <v>496</v>
      </c>
      <c r="BM178" s="139" t="s">
        <v>943</v>
      </c>
    </row>
    <row r="179" spans="2:65" s="16" customFormat="1" ht="16.5" customHeight="1" x14ac:dyDescent="0.2">
      <c r="B179" s="17"/>
      <c r="C179" s="128">
        <v>36</v>
      </c>
      <c r="D179" s="128" t="s">
        <v>339</v>
      </c>
      <c r="E179" s="129" t="s">
        <v>6573</v>
      </c>
      <c r="F179" s="130" t="s">
        <v>6574</v>
      </c>
      <c r="G179" s="131" t="s">
        <v>724</v>
      </c>
      <c r="H179" s="132">
        <v>44</v>
      </c>
      <c r="I179" s="133"/>
      <c r="J179" s="134">
        <f t="shared" si="20"/>
        <v>0</v>
      </c>
      <c r="K179" s="130" t="s">
        <v>343</v>
      </c>
      <c r="L179" s="17"/>
      <c r="M179" s="135"/>
      <c r="N179" s="136" t="s">
        <v>45</v>
      </c>
      <c r="P179" s="137">
        <f t="shared" si="21"/>
        <v>0</v>
      </c>
      <c r="Q179" s="137">
        <v>0</v>
      </c>
      <c r="R179" s="137">
        <f t="shared" si="22"/>
        <v>0</v>
      </c>
      <c r="S179" s="137">
        <v>0</v>
      </c>
      <c r="T179" s="138">
        <f t="shared" si="23"/>
        <v>0</v>
      </c>
      <c r="AR179" s="139" t="s">
        <v>496</v>
      </c>
      <c r="AT179" s="139" t="s">
        <v>339</v>
      </c>
      <c r="AU179" s="139" t="s">
        <v>90</v>
      </c>
      <c r="AY179" s="2" t="s">
        <v>337</v>
      </c>
      <c r="BE179" s="140">
        <f t="shared" si="24"/>
        <v>0</v>
      </c>
      <c r="BF179" s="140">
        <f t="shared" si="25"/>
        <v>0</v>
      </c>
      <c r="BG179" s="140">
        <f t="shared" si="26"/>
        <v>0</v>
      </c>
      <c r="BH179" s="140">
        <f t="shared" si="27"/>
        <v>0</v>
      </c>
      <c r="BI179" s="140">
        <f t="shared" si="28"/>
        <v>0</v>
      </c>
      <c r="BJ179" s="2" t="s">
        <v>87</v>
      </c>
      <c r="BK179" s="140">
        <f t="shared" si="29"/>
        <v>0</v>
      </c>
      <c r="BL179" s="2" t="s">
        <v>496</v>
      </c>
      <c r="BM179" s="139" t="s">
        <v>950</v>
      </c>
    </row>
    <row r="180" spans="2:65" s="16" customFormat="1" ht="16.5" customHeight="1" x14ac:dyDescent="0.2">
      <c r="B180" s="17"/>
      <c r="C180" s="128">
        <v>37</v>
      </c>
      <c r="D180" s="128" t="s">
        <v>339</v>
      </c>
      <c r="E180" s="129" t="s">
        <v>6575</v>
      </c>
      <c r="F180" s="130" t="s">
        <v>6576</v>
      </c>
      <c r="G180" s="131" t="s">
        <v>724</v>
      </c>
      <c r="H180" s="132">
        <v>66</v>
      </c>
      <c r="I180" s="133"/>
      <c r="J180" s="134">
        <f t="shared" si="20"/>
        <v>0</v>
      </c>
      <c r="K180" s="130" t="s">
        <v>343</v>
      </c>
      <c r="L180" s="17"/>
      <c r="M180" s="135"/>
      <c r="N180" s="136" t="s">
        <v>45</v>
      </c>
      <c r="P180" s="137">
        <f t="shared" si="21"/>
        <v>0</v>
      </c>
      <c r="Q180" s="137">
        <v>0</v>
      </c>
      <c r="R180" s="137">
        <f t="shared" si="22"/>
        <v>0</v>
      </c>
      <c r="S180" s="137">
        <v>0</v>
      </c>
      <c r="T180" s="138">
        <f t="shared" si="23"/>
        <v>0</v>
      </c>
      <c r="AR180" s="139" t="s">
        <v>496</v>
      </c>
      <c r="AT180" s="139" t="s">
        <v>339</v>
      </c>
      <c r="AU180" s="139" t="s">
        <v>90</v>
      </c>
      <c r="AY180" s="2" t="s">
        <v>337</v>
      </c>
      <c r="BE180" s="140">
        <f t="shared" si="24"/>
        <v>0</v>
      </c>
      <c r="BF180" s="140">
        <f t="shared" si="25"/>
        <v>0</v>
      </c>
      <c r="BG180" s="140">
        <f t="shared" si="26"/>
        <v>0</v>
      </c>
      <c r="BH180" s="140">
        <f t="shared" si="27"/>
        <v>0</v>
      </c>
      <c r="BI180" s="140">
        <f t="shared" si="28"/>
        <v>0</v>
      </c>
      <c r="BJ180" s="2" t="s">
        <v>87</v>
      </c>
      <c r="BK180" s="140">
        <f t="shared" si="29"/>
        <v>0</v>
      </c>
      <c r="BL180" s="2" t="s">
        <v>496</v>
      </c>
      <c r="BM180" s="139" t="s">
        <v>958</v>
      </c>
    </row>
    <row r="181" spans="2:65" s="16" customFormat="1" ht="16.5" customHeight="1" x14ac:dyDescent="0.2">
      <c r="B181" s="17"/>
      <c r="C181" s="128">
        <v>38</v>
      </c>
      <c r="D181" s="128" t="s">
        <v>339</v>
      </c>
      <c r="E181" s="129" t="s">
        <v>6577</v>
      </c>
      <c r="F181" s="130" t="s">
        <v>6578</v>
      </c>
      <c r="G181" s="131" t="s">
        <v>724</v>
      </c>
      <c r="H181" s="132">
        <v>17</v>
      </c>
      <c r="I181" s="133"/>
      <c r="J181" s="134">
        <f t="shared" si="20"/>
        <v>0</v>
      </c>
      <c r="K181" s="130" t="s">
        <v>343</v>
      </c>
      <c r="L181" s="17"/>
      <c r="M181" s="135"/>
      <c r="N181" s="136" t="s">
        <v>45</v>
      </c>
      <c r="P181" s="137">
        <f t="shared" si="21"/>
        <v>0</v>
      </c>
      <c r="Q181" s="137">
        <v>0</v>
      </c>
      <c r="R181" s="137">
        <f t="shared" si="22"/>
        <v>0</v>
      </c>
      <c r="S181" s="137">
        <v>0</v>
      </c>
      <c r="T181" s="138">
        <f t="shared" si="23"/>
        <v>0</v>
      </c>
      <c r="AR181" s="139" t="s">
        <v>496</v>
      </c>
      <c r="AT181" s="139" t="s">
        <v>339</v>
      </c>
      <c r="AU181" s="139" t="s">
        <v>90</v>
      </c>
      <c r="AY181" s="2" t="s">
        <v>337</v>
      </c>
      <c r="BE181" s="140">
        <f t="shared" si="24"/>
        <v>0</v>
      </c>
      <c r="BF181" s="140">
        <f t="shared" si="25"/>
        <v>0</v>
      </c>
      <c r="BG181" s="140">
        <f t="shared" si="26"/>
        <v>0</v>
      </c>
      <c r="BH181" s="140">
        <f t="shared" si="27"/>
        <v>0</v>
      </c>
      <c r="BI181" s="140">
        <f t="shared" si="28"/>
        <v>0</v>
      </c>
      <c r="BJ181" s="2" t="s">
        <v>87</v>
      </c>
      <c r="BK181" s="140">
        <f t="shared" si="29"/>
        <v>0</v>
      </c>
      <c r="BL181" s="2" t="s">
        <v>496</v>
      </c>
      <c r="BM181" s="139" t="s">
        <v>970</v>
      </c>
    </row>
    <row r="182" spans="2:65" s="16" customFormat="1" ht="16.5" customHeight="1" x14ac:dyDescent="0.2">
      <c r="B182" s="17"/>
      <c r="C182" s="128">
        <v>39</v>
      </c>
      <c r="D182" s="128" t="s">
        <v>339</v>
      </c>
      <c r="E182" s="129" t="s">
        <v>6579</v>
      </c>
      <c r="F182" s="130" t="s">
        <v>6580</v>
      </c>
      <c r="G182" s="131" t="s">
        <v>724</v>
      </c>
      <c r="H182" s="132">
        <v>1918</v>
      </c>
      <c r="I182" s="133"/>
      <c r="J182" s="134">
        <f t="shared" si="20"/>
        <v>0</v>
      </c>
      <c r="K182" s="130" t="s">
        <v>343</v>
      </c>
      <c r="L182" s="17"/>
      <c r="M182" s="135"/>
      <c r="N182" s="136" t="s">
        <v>45</v>
      </c>
      <c r="P182" s="137">
        <f t="shared" si="21"/>
        <v>0</v>
      </c>
      <c r="Q182" s="137">
        <v>0</v>
      </c>
      <c r="R182" s="137">
        <f t="shared" si="22"/>
        <v>0</v>
      </c>
      <c r="S182" s="137">
        <v>0</v>
      </c>
      <c r="T182" s="138">
        <f t="shared" si="23"/>
        <v>0</v>
      </c>
      <c r="AR182" s="139" t="s">
        <v>496</v>
      </c>
      <c r="AT182" s="139" t="s">
        <v>339</v>
      </c>
      <c r="AU182" s="139" t="s">
        <v>90</v>
      </c>
      <c r="AY182" s="2" t="s">
        <v>337</v>
      </c>
      <c r="BE182" s="140">
        <f t="shared" si="24"/>
        <v>0</v>
      </c>
      <c r="BF182" s="140">
        <f t="shared" si="25"/>
        <v>0</v>
      </c>
      <c r="BG182" s="140">
        <f t="shared" si="26"/>
        <v>0</v>
      </c>
      <c r="BH182" s="140">
        <f t="shared" si="27"/>
        <v>0</v>
      </c>
      <c r="BI182" s="140">
        <f t="shared" si="28"/>
        <v>0</v>
      </c>
      <c r="BJ182" s="2" t="s">
        <v>87</v>
      </c>
      <c r="BK182" s="140">
        <f t="shared" si="29"/>
        <v>0</v>
      </c>
      <c r="BL182" s="2" t="s">
        <v>496</v>
      </c>
      <c r="BM182" s="139" t="s">
        <v>981</v>
      </c>
    </row>
    <row r="183" spans="2:65" s="16" customFormat="1" ht="16.5" customHeight="1" x14ac:dyDescent="0.2">
      <c r="B183" s="17"/>
      <c r="C183" s="128">
        <v>40</v>
      </c>
      <c r="D183" s="128" t="s">
        <v>339</v>
      </c>
      <c r="E183" s="129" t="s">
        <v>6581</v>
      </c>
      <c r="F183" s="130" t="s">
        <v>6582</v>
      </c>
      <c r="G183" s="131" t="s">
        <v>724</v>
      </c>
      <c r="H183" s="132">
        <v>17</v>
      </c>
      <c r="I183" s="133"/>
      <c r="J183" s="134">
        <f t="shared" si="20"/>
        <v>0</v>
      </c>
      <c r="K183" s="130" t="s">
        <v>343</v>
      </c>
      <c r="L183" s="17"/>
      <c r="M183" s="135"/>
      <c r="N183" s="136" t="s">
        <v>45</v>
      </c>
      <c r="P183" s="137">
        <f t="shared" si="21"/>
        <v>0</v>
      </c>
      <c r="Q183" s="137">
        <v>0</v>
      </c>
      <c r="R183" s="137">
        <f t="shared" si="22"/>
        <v>0</v>
      </c>
      <c r="S183" s="137">
        <v>0</v>
      </c>
      <c r="T183" s="138">
        <f t="shared" si="23"/>
        <v>0</v>
      </c>
      <c r="AR183" s="139" t="s">
        <v>496</v>
      </c>
      <c r="AT183" s="139" t="s">
        <v>339</v>
      </c>
      <c r="AU183" s="139" t="s">
        <v>90</v>
      </c>
      <c r="AY183" s="2" t="s">
        <v>337</v>
      </c>
      <c r="BE183" s="140">
        <f t="shared" si="24"/>
        <v>0</v>
      </c>
      <c r="BF183" s="140">
        <f t="shared" si="25"/>
        <v>0</v>
      </c>
      <c r="BG183" s="140">
        <f t="shared" si="26"/>
        <v>0</v>
      </c>
      <c r="BH183" s="140">
        <f t="shared" si="27"/>
        <v>0</v>
      </c>
      <c r="BI183" s="140">
        <f t="shared" si="28"/>
        <v>0</v>
      </c>
      <c r="BJ183" s="2" t="s">
        <v>87</v>
      </c>
      <c r="BK183" s="140">
        <f t="shared" si="29"/>
        <v>0</v>
      </c>
      <c r="BL183" s="2" t="s">
        <v>496</v>
      </c>
      <c r="BM183" s="139" t="s">
        <v>996</v>
      </c>
    </row>
    <row r="184" spans="2:65" s="16" customFormat="1" ht="24.2" customHeight="1" x14ac:dyDescent="0.2">
      <c r="B184" s="17"/>
      <c r="C184" s="128">
        <v>41</v>
      </c>
      <c r="D184" s="128" t="s">
        <v>339</v>
      </c>
      <c r="E184" s="129" t="s">
        <v>6583</v>
      </c>
      <c r="F184" s="130" t="s">
        <v>6584</v>
      </c>
      <c r="G184" s="131" t="s">
        <v>6048</v>
      </c>
      <c r="H184" s="192"/>
      <c r="I184" s="133"/>
      <c r="J184" s="134">
        <f t="shared" si="20"/>
        <v>0</v>
      </c>
      <c r="K184" s="130" t="s">
        <v>343</v>
      </c>
      <c r="L184" s="17"/>
      <c r="M184" s="135"/>
      <c r="N184" s="136" t="s">
        <v>45</v>
      </c>
      <c r="P184" s="137">
        <f t="shared" si="21"/>
        <v>0</v>
      </c>
      <c r="Q184" s="137">
        <v>0</v>
      </c>
      <c r="R184" s="137">
        <f t="shared" si="22"/>
        <v>0</v>
      </c>
      <c r="S184" s="137">
        <v>0</v>
      </c>
      <c r="T184" s="138">
        <f t="shared" si="23"/>
        <v>0</v>
      </c>
      <c r="AR184" s="139" t="s">
        <v>496</v>
      </c>
      <c r="AT184" s="139" t="s">
        <v>339</v>
      </c>
      <c r="AU184" s="139" t="s">
        <v>90</v>
      </c>
      <c r="AY184" s="2" t="s">
        <v>337</v>
      </c>
      <c r="BE184" s="140">
        <f t="shared" si="24"/>
        <v>0</v>
      </c>
      <c r="BF184" s="140">
        <f t="shared" si="25"/>
        <v>0</v>
      </c>
      <c r="BG184" s="140">
        <f t="shared" si="26"/>
        <v>0</v>
      </c>
      <c r="BH184" s="140">
        <f t="shared" si="27"/>
        <v>0</v>
      </c>
      <c r="BI184" s="140">
        <f t="shared" si="28"/>
        <v>0</v>
      </c>
      <c r="BJ184" s="2" t="s">
        <v>87</v>
      </c>
      <c r="BK184" s="140">
        <f t="shared" si="29"/>
        <v>0</v>
      </c>
      <c r="BL184" s="2" t="s">
        <v>496</v>
      </c>
      <c r="BM184" s="139" t="s">
        <v>6585</v>
      </c>
    </row>
    <row r="185" spans="2:65" s="116" customFormat="1" ht="22.9" customHeight="1" x14ac:dyDescent="0.2">
      <c r="B185" s="117"/>
      <c r="D185" s="118" t="s">
        <v>79</v>
      </c>
      <c r="E185" s="126" t="s">
        <v>6586</v>
      </c>
      <c r="F185" s="126" t="s">
        <v>6587</v>
      </c>
      <c r="J185" s="127">
        <f>BK185</f>
        <v>0</v>
      </c>
      <c r="L185" s="117"/>
      <c r="M185" s="121"/>
      <c r="P185" s="122">
        <f>SUM(P186:P221)</f>
        <v>0</v>
      </c>
      <c r="R185" s="122">
        <f>SUM(R186:R221)</f>
        <v>0</v>
      </c>
      <c r="T185" s="123">
        <f>SUM(T186:T221)</f>
        <v>0</v>
      </c>
      <c r="AR185" s="118" t="s">
        <v>90</v>
      </c>
      <c r="AT185" s="124" t="s">
        <v>79</v>
      </c>
      <c r="AU185" s="124" t="s">
        <v>87</v>
      </c>
      <c r="AY185" s="118" t="s">
        <v>337</v>
      </c>
      <c r="BK185" s="125">
        <f>SUM(BK186:BK221)</f>
        <v>0</v>
      </c>
    </row>
    <row r="186" spans="2:65" s="16" customFormat="1" ht="16.5" customHeight="1" x14ac:dyDescent="0.2">
      <c r="B186" s="17"/>
      <c r="C186" s="128">
        <v>42</v>
      </c>
      <c r="D186" s="128" t="s">
        <v>339</v>
      </c>
      <c r="E186" s="129" t="s">
        <v>6588</v>
      </c>
      <c r="F186" s="130" t="s">
        <v>6589</v>
      </c>
      <c r="G186" s="131" t="s">
        <v>6145</v>
      </c>
      <c r="H186" s="132">
        <v>2</v>
      </c>
      <c r="I186" s="133"/>
      <c r="J186" s="134">
        <f t="shared" ref="J186:J221" si="30">ROUND(I186*H186,2)</f>
        <v>0</v>
      </c>
      <c r="K186" s="130" t="s">
        <v>343</v>
      </c>
      <c r="L186" s="17"/>
      <c r="M186" s="135"/>
      <c r="N186" s="136" t="s">
        <v>45</v>
      </c>
      <c r="P186" s="137">
        <f t="shared" ref="P186:P221" si="31">O186*H186</f>
        <v>0</v>
      </c>
      <c r="Q186" s="137">
        <v>0</v>
      </c>
      <c r="R186" s="137">
        <f t="shared" ref="R186:R221" si="32">Q186*H186</f>
        <v>0</v>
      </c>
      <c r="S186" s="137">
        <v>0</v>
      </c>
      <c r="T186" s="138">
        <f t="shared" ref="T186:T221" si="33">S186*H186</f>
        <v>0</v>
      </c>
      <c r="AR186" s="139" t="s">
        <v>496</v>
      </c>
      <c r="AT186" s="139" t="s">
        <v>339</v>
      </c>
      <c r="AU186" s="139" t="s">
        <v>90</v>
      </c>
      <c r="AY186" s="2" t="s">
        <v>337</v>
      </c>
      <c r="BE186" s="140">
        <f t="shared" ref="BE186:BE221" si="34">IF(N186="základní",J186,0)</f>
        <v>0</v>
      </c>
      <c r="BF186" s="140">
        <f t="shared" ref="BF186:BF221" si="35">IF(N186="snížená",J186,0)</f>
        <v>0</v>
      </c>
      <c r="BG186" s="140">
        <f t="shared" ref="BG186:BG221" si="36">IF(N186="zákl. přenesená",J186,0)</f>
        <v>0</v>
      </c>
      <c r="BH186" s="140">
        <f t="shared" ref="BH186:BH221" si="37">IF(N186="sníž. přenesená",J186,0)</f>
        <v>0</v>
      </c>
      <c r="BI186" s="140">
        <f t="shared" ref="BI186:BI221" si="38">IF(N186="nulová",J186,0)</f>
        <v>0</v>
      </c>
      <c r="BJ186" s="2" t="s">
        <v>87</v>
      </c>
      <c r="BK186" s="140">
        <f t="shared" ref="BK186:BK221" si="39">ROUND(I186*H186,2)</f>
        <v>0</v>
      </c>
      <c r="BL186" s="2" t="s">
        <v>496</v>
      </c>
      <c r="BM186" s="139" t="s">
        <v>3778</v>
      </c>
    </row>
    <row r="187" spans="2:65" s="16" customFormat="1" ht="16.5" customHeight="1" x14ac:dyDescent="0.2">
      <c r="B187" s="17"/>
      <c r="C187" s="128">
        <v>43</v>
      </c>
      <c r="D187" s="128" t="s">
        <v>339</v>
      </c>
      <c r="E187" s="129" t="s">
        <v>6590</v>
      </c>
      <c r="F187" s="130" t="s">
        <v>6591</v>
      </c>
      <c r="G187" s="131" t="s">
        <v>6145</v>
      </c>
      <c r="H187" s="132">
        <v>2</v>
      </c>
      <c r="I187" s="133"/>
      <c r="J187" s="134">
        <f t="shared" si="30"/>
        <v>0</v>
      </c>
      <c r="K187" s="130" t="s">
        <v>343</v>
      </c>
      <c r="L187" s="17"/>
      <c r="M187" s="135"/>
      <c r="N187" s="136" t="s">
        <v>45</v>
      </c>
      <c r="P187" s="137">
        <f t="shared" si="31"/>
        <v>0</v>
      </c>
      <c r="Q187" s="137">
        <v>0</v>
      </c>
      <c r="R187" s="137">
        <f t="shared" si="32"/>
        <v>0</v>
      </c>
      <c r="S187" s="137">
        <v>0</v>
      </c>
      <c r="T187" s="138">
        <f t="shared" si="33"/>
        <v>0</v>
      </c>
      <c r="AR187" s="139" t="s">
        <v>496</v>
      </c>
      <c r="AT187" s="139" t="s">
        <v>339</v>
      </c>
      <c r="AU187" s="139" t="s">
        <v>90</v>
      </c>
      <c r="AY187" s="2" t="s">
        <v>337</v>
      </c>
      <c r="BE187" s="140">
        <f t="shared" si="34"/>
        <v>0</v>
      </c>
      <c r="BF187" s="140">
        <f t="shared" si="35"/>
        <v>0</v>
      </c>
      <c r="BG187" s="140">
        <f t="shared" si="36"/>
        <v>0</v>
      </c>
      <c r="BH187" s="140">
        <f t="shared" si="37"/>
        <v>0</v>
      </c>
      <c r="BI187" s="140">
        <f t="shared" si="38"/>
        <v>0</v>
      </c>
      <c r="BJ187" s="2" t="s">
        <v>87</v>
      </c>
      <c r="BK187" s="140">
        <f t="shared" si="39"/>
        <v>0</v>
      </c>
      <c r="BL187" s="2" t="s">
        <v>496</v>
      </c>
      <c r="BM187" s="139" t="s">
        <v>1037</v>
      </c>
    </row>
    <row r="188" spans="2:65" s="16" customFormat="1" ht="16.5" customHeight="1" x14ac:dyDescent="0.2">
      <c r="B188" s="17"/>
      <c r="C188" s="128">
        <v>44</v>
      </c>
      <c r="D188" s="128" t="s">
        <v>339</v>
      </c>
      <c r="E188" s="129" t="s">
        <v>6592</v>
      </c>
      <c r="F188" s="130" t="s">
        <v>6593</v>
      </c>
      <c r="G188" s="131" t="s">
        <v>6145</v>
      </c>
      <c r="H188" s="132">
        <v>1</v>
      </c>
      <c r="I188" s="133"/>
      <c r="J188" s="134">
        <f t="shared" si="30"/>
        <v>0</v>
      </c>
      <c r="K188" s="130" t="s">
        <v>343</v>
      </c>
      <c r="L188" s="17"/>
      <c r="M188" s="135"/>
      <c r="N188" s="136" t="s">
        <v>45</v>
      </c>
      <c r="P188" s="137">
        <f t="shared" si="31"/>
        <v>0</v>
      </c>
      <c r="Q188" s="137">
        <v>0</v>
      </c>
      <c r="R188" s="137">
        <f t="shared" si="32"/>
        <v>0</v>
      </c>
      <c r="S188" s="137">
        <v>0</v>
      </c>
      <c r="T188" s="138">
        <f t="shared" si="33"/>
        <v>0</v>
      </c>
      <c r="AR188" s="139" t="s">
        <v>496</v>
      </c>
      <c r="AT188" s="139" t="s">
        <v>339</v>
      </c>
      <c r="AU188" s="139" t="s">
        <v>90</v>
      </c>
      <c r="AY188" s="2" t="s">
        <v>337</v>
      </c>
      <c r="BE188" s="140">
        <f t="shared" si="34"/>
        <v>0</v>
      </c>
      <c r="BF188" s="140">
        <f t="shared" si="35"/>
        <v>0</v>
      </c>
      <c r="BG188" s="140">
        <f t="shared" si="36"/>
        <v>0</v>
      </c>
      <c r="BH188" s="140">
        <f t="shared" si="37"/>
        <v>0</v>
      </c>
      <c r="BI188" s="140">
        <f t="shared" si="38"/>
        <v>0</v>
      </c>
      <c r="BJ188" s="2" t="s">
        <v>87</v>
      </c>
      <c r="BK188" s="140">
        <f t="shared" si="39"/>
        <v>0</v>
      </c>
      <c r="BL188" s="2" t="s">
        <v>496</v>
      </c>
      <c r="BM188" s="139" t="s">
        <v>1049</v>
      </c>
    </row>
    <row r="189" spans="2:65" s="16" customFormat="1" ht="16.5" customHeight="1" x14ac:dyDescent="0.2">
      <c r="B189" s="17"/>
      <c r="C189" s="128">
        <v>45</v>
      </c>
      <c r="D189" s="128" t="s">
        <v>339</v>
      </c>
      <c r="E189" s="129" t="s">
        <v>6594</v>
      </c>
      <c r="F189" s="130" t="s">
        <v>6595</v>
      </c>
      <c r="G189" s="131" t="s">
        <v>6145</v>
      </c>
      <c r="H189" s="132">
        <v>1</v>
      </c>
      <c r="I189" s="133"/>
      <c r="J189" s="134">
        <f t="shared" si="30"/>
        <v>0</v>
      </c>
      <c r="K189" s="130" t="s">
        <v>343</v>
      </c>
      <c r="L189" s="17"/>
      <c r="M189" s="135"/>
      <c r="N189" s="136" t="s">
        <v>45</v>
      </c>
      <c r="P189" s="137">
        <f t="shared" si="31"/>
        <v>0</v>
      </c>
      <c r="Q189" s="137">
        <v>0</v>
      </c>
      <c r="R189" s="137">
        <f t="shared" si="32"/>
        <v>0</v>
      </c>
      <c r="S189" s="137">
        <v>0</v>
      </c>
      <c r="T189" s="138">
        <f t="shared" si="33"/>
        <v>0</v>
      </c>
      <c r="AR189" s="139" t="s">
        <v>496</v>
      </c>
      <c r="AT189" s="139" t="s">
        <v>339</v>
      </c>
      <c r="AU189" s="139" t="s">
        <v>90</v>
      </c>
      <c r="AY189" s="2" t="s">
        <v>337</v>
      </c>
      <c r="BE189" s="140">
        <f t="shared" si="34"/>
        <v>0</v>
      </c>
      <c r="BF189" s="140">
        <f t="shared" si="35"/>
        <v>0</v>
      </c>
      <c r="BG189" s="140">
        <f t="shared" si="36"/>
        <v>0</v>
      </c>
      <c r="BH189" s="140">
        <f t="shared" si="37"/>
        <v>0</v>
      </c>
      <c r="BI189" s="140">
        <f t="shared" si="38"/>
        <v>0</v>
      </c>
      <c r="BJ189" s="2" t="s">
        <v>87</v>
      </c>
      <c r="BK189" s="140">
        <f t="shared" si="39"/>
        <v>0</v>
      </c>
      <c r="BL189" s="2" t="s">
        <v>496</v>
      </c>
      <c r="BM189" s="139" t="s">
        <v>1738</v>
      </c>
    </row>
    <row r="190" spans="2:65" s="16" customFormat="1" ht="16.5" customHeight="1" x14ac:dyDescent="0.2">
      <c r="B190" s="17"/>
      <c r="C190" s="128">
        <v>46</v>
      </c>
      <c r="D190" s="128" t="s">
        <v>339</v>
      </c>
      <c r="E190" s="129" t="s">
        <v>6596</v>
      </c>
      <c r="F190" s="130" t="s">
        <v>6597</v>
      </c>
      <c r="G190" s="131" t="s">
        <v>6145</v>
      </c>
      <c r="H190" s="132">
        <v>2</v>
      </c>
      <c r="I190" s="133"/>
      <c r="J190" s="134">
        <f t="shared" si="30"/>
        <v>0</v>
      </c>
      <c r="K190" s="130" t="s">
        <v>343</v>
      </c>
      <c r="L190" s="17"/>
      <c r="M190" s="135"/>
      <c r="N190" s="136" t="s">
        <v>45</v>
      </c>
      <c r="P190" s="137">
        <f t="shared" si="31"/>
        <v>0</v>
      </c>
      <c r="Q190" s="137">
        <v>0</v>
      </c>
      <c r="R190" s="137">
        <f t="shared" si="32"/>
        <v>0</v>
      </c>
      <c r="S190" s="137">
        <v>0</v>
      </c>
      <c r="T190" s="138">
        <f t="shared" si="33"/>
        <v>0</v>
      </c>
      <c r="AR190" s="139" t="s">
        <v>496</v>
      </c>
      <c r="AT190" s="139" t="s">
        <v>339</v>
      </c>
      <c r="AU190" s="139" t="s">
        <v>90</v>
      </c>
      <c r="AY190" s="2" t="s">
        <v>337</v>
      </c>
      <c r="BE190" s="140">
        <f t="shared" si="34"/>
        <v>0</v>
      </c>
      <c r="BF190" s="140">
        <f t="shared" si="35"/>
        <v>0</v>
      </c>
      <c r="BG190" s="140">
        <f t="shared" si="36"/>
        <v>0</v>
      </c>
      <c r="BH190" s="140">
        <f t="shared" si="37"/>
        <v>0</v>
      </c>
      <c r="BI190" s="140">
        <f t="shared" si="38"/>
        <v>0</v>
      </c>
      <c r="BJ190" s="2" t="s">
        <v>87</v>
      </c>
      <c r="BK190" s="140">
        <f t="shared" si="39"/>
        <v>0</v>
      </c>
      <c r="BL190" s="2" t="s">
        <v>496</v>
      </c>
      <c r="BM190" s="139" t="s">
        <v>1080</v>
      </c>
    </row>
    <row r="191" spans="2:65" s="16" customFormat="1" ht="16.5" customHeight="1" x14ac:dyDescent="0.2">
      <c r="B191" s="17"/>
      <c r="C191" s="128">
        <v>47</v>
      </c>
      <c r="D191" s="128" t="s">
        <v>339</v>
      </c>
      <c r="E191" s="129" t="s">
        <v>6598</v>
      </c>
      <c r="F191" s="130" t="s">
        <v>6599</v>
      </c>
      <c r="G191" s="131" t="s">
        <v>6145</v>
      </c>
      <c r="H191" s="132">
        <v>2</v>
      </c>
      <c r="I191" s="133"/>
      <c r="J191" s="134">
        <f t="shared" si="30"/>
        <v>0</v>
      </c>
      <c r="K191" s="130" t="s">
        <v>343</v>
      </c>
      <c r="L191" s="17"/>
      <c r="M191" s="135"/>
      <c r="N191" s="136" t="s">
        <v>45</v>
      </c>
      <c r="P191" s="137">
        <f t="shared" si="31"/>
        <v>0</v>
      </c>
      <c r="Q191" s="137">
        <v>0</v>
      </c>
      <c r="R191" s="137">
        <f t="shared" si="32"/>
        <v>0</v>
      </c>
      <c r="S191" s="137">
        <v>0</v>
      </c>
      <c r="T191" s="138">
        <f t="shared" si="33"/>
        <v>0</v>
      </c>
      <c r="AR191" s="139" t="s">
        <v>496</v>
      </c>
      <c r="AT191" s="139" t="s">
        <v>339</v>
      </c>
      <c r="AU191" s="139" t="s">
        <v>90</v>
      </c>
      <c r="AY191" s="2" t="s">
        <v>337</v>
      </c>
      <c r="BE191" s="140">
        <f t="shared" si="34"/>
        <v>0</v>
      </c>
      <c r="BF191" s="140">
        <f t="shared" si="35"/>
        <v>0</v>
      </c>
      <c r="BG191" s="140">
        <f t="shared" si="36"/>
        <v>0</v>
      </c>
      <c r="BH191" s="140">
        <f t="shared" si="37"/>
        <v>0</v>
      </c>
      <c r="BI191" s="140">
        <f t="shared" si="38"/>
        <v>0</v>
      </c>
      <c r="BJ191" s="2" t="s">
        <v>87</v>
      </c>
      <c r="BK191" s="140">
        <f t="shared" si="39"/>
        <v>0</v>
      </c>
      <c r="BL191" s="2" t="s">
        <v>496</v>
      </c>
      <c r="BM191" s="139" t="s">
        <v>1093</v>
      </c>
    </row>
    <row r="192" spans="2:65" s="16" customFormat="1" ht="16.5" customHeight="1" x14ac:dyDescent="0.2">
      <c r="B192" s="17"/>
      <c r="C192" s="128">
        <v>48</v>
      </c>
      <c r="D192" s="128" t="s">
        <v>339</v>
      </c>
      <c r="E192" s="129" t="s">
        <v>6600</v>
      </c>
      <c r="F192" s="130" t="s">
        <v>6601</v>
      </c>
      <c r="G192" s="131" t="s">
        <v>6145</v>
      </c>
      <c r="H192" s="132">
        <v>1</v>
      </c>
      <c r="I192" s="133"/>
      <c r="J192" s="134">
        <f t="shared" si="30"/>
        <v>0</v>
      </c>
      <c r="K192" s="130" t="s">
        <v>343</v>
      </c>
      <c r="L192" s="17"/>
      <c r="M192" s="135"/>
      <c r="N192" s="136" t="s">
        <v>45</v>
      </c>
      <c r="P192" s="137">
        <f t="shared" si="31"/>
        <v>0</v>
      </c>
      <c r="Q192" s="137">
        <v>0</v>
      </c>
      <c r="R192" s="137">
        <f t="shared" si="32"/>
        <v>0</v>
      </c>
      <c r="S192" s="137">
        <v>0</v>
      </c>
      <c r="T192" s="138">
        <f t="shared" si="33"/>
        <v>0</v>
      </c>
      <c r="AR192" s="139" t="s">
        <v>496</v>
      </c>
      <c r="AT192" s="139" t="s">
        <v>339</v>
      </c>
      <c r="AU192" s="139" t="s">
        <v>90</v>
      </c>
      <c r="AY192" s="2" t="s">
        <v>337</v>
      </c>
      <c r="BE192" s="140">
        <f t="shared" si="34"/>
        <v>0</v>
      </c>
      <c r="BF192" s="140">
        <f t="shared" si="35"/>
        <v>0</v>
      </c>
      <c r="BG192" s="140">
        <f t="shared" si="36"/>
        <v>0</v>
      </c>
      <c r="BH192" s="140">
        <f t="shared" si="37"/>
        <v>0</v>
      </c>
      <c r="BI192" s="140">
        <f t="shared" si="38"/>
        <v>0</v>
      </c>
      <c r="BJ192" s="2" t="s">
        <v>87</v>
      </c>
      <c r="BK192" s="140">
        <f t="shared" si="39"/>
        <v>0</v>
      </c>
      <c r="BL192" s="2" t="s">
        <v>496</v>
      </c>
      <c r="BM192" s="139" t="s">
        <v>3852</v>
      </c>
    </row>
    <row r="193" spans="2:65" s="16" customFormat="1" ht="21.75" customHeight="1" x14ac:dyDescent="0.2">
      <c r="B193" s="17"/>
      <c r="C193" s="128">
        <v>49</v>
      </c>
      <c r="D193" s="128" t="s">
        <v>339</v>
      </c>
      <c r="E193" s="129" t="s">
        <v>6602</v>
      </c>
      <c r="F193" s="130" t="s">
        <v>6603</v>
      </c>
      <c r="G193" s="131" t="s">
        <v>6145</v>
      </c>
      <c r="H193" s="132">
        <v>10</v>
      </c>
      <c r="I193" s="133"/>
      <c r="J193" s="134">
        <f t="shared" si="30"/>
        <v>0</v>
      </c>
      <c r="K193" s="130" t="s">
        <v>343</v>
      </c>
      <c r="L193" s="17"/>
      <c r="M193" s="135"/>
      <c r="N193" s="136" t="s">
        <v>45</v>
      </c>
      <c r="P193" s="137">
        <f t="shared" si="31"/>
        <v>0</v>
      </c>
      <c r="Q193" s="137">
        <v>0</v>
      </c>
      <c r="R193" s="137">
        <f t="shared" si="32"/>
        <v>0</v>
      </c>
      <c r="S193" s="137">
        <v>0</v>
      </c>
      <c r="T193" s="138">
        <f t="shared" si="33"/>
        <v>0</v>
      </c>
      <c r="AR193" s="139" t="s">
        <v>496</v>
      </c>
      <c r="AT193" s="139" t="s">
        <v>339</v>
      </c>
      <c r="AU193" s="139" t="s">
        <v>90</v>
      </c>
      <c r="AY193" s="2" t="s">
        <v>337</v>
      </c>
      <c r="BE193" s="140">
        <f t="shared" si="34"/>
        <v>0</v>
      </c>
      <c r="BF193" s="140">
        <f t="shared" si="35"/>
        <v>0</v>
      </c>
      <c r="BG193" s="140">
        <f t="shared" si="36"/>
        <v>0</v>
      </c>
      <c r="BH193" s="140">
        <f t="shared" si="37"/>
        <v>0</v>
      </c>
      <c r="BI193" s="140">
        <f t="shared" si="38"/>
        <v>0</v>
      </c>
      <c r="BJ193" s="2" t="s">
        <v>87</v>
      </c>
      <c r="BK193" s="140">
        <f t="shared" si="39"/>
        <v>0</v>
      </c>
      <c r="BL193" s="2" t="s">
        <v>496</v>
      </c>
      <c r="BM193" s="139" t="s">
        <v>3864</v>
      </c>
    </row>
    <row r="194" spans="2:65" s="16" customFormat="1" ht="21.75" customHeight="1" x14ac:dyDescent="0.2">
      <c r="B194" s="17"/>
      <c r="C194" s="128">
        <v>50</v>
      </c>
      <c r="D194" s="128" t="s">
        <v>339</v>
      </c>
      <c r="E194" s="129" t="s">
        <v>6604</v>
      </c>
      <c r="F194" s="130" t="s">
        <v>6605</v>
      </c>
      <c r="G194" s="131" t="s">
        <v>6145</v>
      </c>
      <c r="H194" s="132">
        <v>8</v>
      </c>
      <c r="I194" s="133"/>
      <c r="J194" s="134">
        <f t="shared" si="30"/>
        <v>0</v>
      </c>
      <c r="K194" s="130" t="s">
        <v>343</v>
      </c>
      <c r="L194" s="17"/>
      <c r="M194" s="135"/>
      <c r="N194" s="136" t="s">
        <v>45</v>
      </c>
      <c r="P194" s="137">
        <f t="shared" si="31"/>
        <v>0</v>
      </c>
      <c r="Q194" s="137">
        <v>0</v>
      </c>
      <c r="R194" s="137">
        <f t="shared" si="32"/>
        <v>0</v>
      </c>
      <c r="S194" s="137">
        <v>0</v>
      </c>
      <c r="T194" s="138">
        <f t="shared" si="33"/>
        <v>0</v>
      </c>
      <c r="AR194" s="139" t="s">
        <v>496</v>
      </c>
      <c r="AT194" s="139" t="s">
        <v>339</v>
      </c>
      <c r="AU194" s="139" t="s">
        <v>90</v>
      </c>
      <c r="AY194" s="2" t="s">
        <v>337</v>
      </c>
      <c r="BE194" s="140">
        <f t="shared" si="34"/>
        <v>0</v>
      </c>
      <c r="BF194" s="140">
        <f t="shared" si="35"/>
        <v>0</v>
      </c>
      <c r="BG194" s="140">
        <f t="shared" si="36"/>
        <v>0</v>
      </c>
      <c r="BH194" s="140">
        <f t="shared" si="37"/>
        <v>0</v>
      </c>
      <c r="BI194" s="140">
        <f t="shared" si="38"/>
        <v>0</v>
      </c>
      <c r="BJ194" s="2" t="s">
        <v>87</v>
      </c>
      <c r="BK194" s="140">
        <f t="shared" si="39"/>
        <v>0</v>
      </c>
      <c r="BL194" s="2" t="s">
        <v>496</v>
      </c>
      <c r="BM194" s="139" t="s">
        <v>1737</v>
      </c>
    </row>
    <row r="195" spans="2:65" s="16" customFormat="1" ht="21.75" customHeight="1" x14ac:dyDescent="0.2">
      <c r="B195" s="17"/>
      <c r="C195" s="128">
        <v>51</v>
      </c>
      <c r="D195" s="128" t="s">
        <v>339</v>
      </c>
      <c r="E195" s="129" t="s">
        <v>6606</v>
      </c>
      <c r="F195" s="130" t="s">
        <v>6607</v>
      </c>
      <c r="G195" s="131" t="s">
        <v>6145</v>
      </c>
      <c r="H195" s="132">
        <v>4</v>
      </c>
      <c r="I195" s="133"/>
      <c r="J195" s="134">
        <f t="shared" si="30"/>
        <v>0</v>
      </c>
      <c r="K195" s="130" t="s">
        <v>343</v>
      </c>
      <c r="L195" s="17"/>
      <c r="M195" s="135"/>
      <c r="N195" s="136" t="s">
        <v>45</v>
      </c>
      <c r="P195" s="137">
        <f t="shared" si="31"/>
        <v>0</v>
      </c>
      <c r="Q195" s="137">
        <v>0</v>
      </c>
      <c r="R195" s="137">
        <f t="shared" si="32"/>
        <v>0</v>
      </c>
      <c r="S195" s="137">
        <v>0</v>
      </c>
      <c r="T195" s="138">
        <f t="shared" si="33"/>
        <v>0</v>
      </c>
      <c r="AR195" s="139" t="s">
        <v>496</v>
      </c>
      <c r="AT195" s="139" t="s">
        <v>339</v>
      </c>
      <c r="AU195" s="139" t="s">
        <v>90</v>
      </c>
      <c r="AY195" s="2" t="s">
        <v>337</v>
      </c>
      <c r="BE195" s="140">
        <f t="shared" si="34"/>
        <v>0</v>
      </c>
      <c r="BF195" s="140">
        <f t="shared" si="35"/>
        <v>0</v>
      </c>
      <c r="BG195" s="140">
        <f t="shared" si="36"/>
        <v>0</v>
      </c>
      <c r="BH195" s="140">
        <f t="shared" si="37"/>
        <v>0</v>
      </c>
      <c r="BI195" s="140">
        <f t="shared" si="38"/>
        <v>0</v>
      </c>
      <c r="BJ195" s="2" t="s">
        <v>87</v>
      </c>
      <c r="BK195" s="140">
        <f t="shared" si="39"/>
        <v>0</v>
      </c>
      <c r="BL195" s="2" t="s">
        <v>496</v>
      </c>
      <c r="BM195" s="139" t="s">
        <v>1146</v>
      </c>
    </row>
    <row r="196" spans="2:65" s="16" customFormat="1" ht="21.75" customHeight="1" x14ac:dyDescent="0.2">
      <c r="B196" s="17"/>
      <c r="C196" s="128">
        <v>52</v>
      </c>
      <c r="D196" s="128" t="s">
        <v>339</v>
      </c>
      <c r="E196" s="129" t="s">
        <v>6608</v>
      </c>
      <c r="F196" s="130" t="s">
        <v>6609</v>
      </c>
      <c r="G196" s="131" t="s">
        <v>6145</v>
      </c>
      <c r="H196" s="132">
        <v>3</v>
      </c>
      <c r="I196" s="133"/>
      <c r="J196" s="134">
        <f t="shared" si="30"/>
        <v>0</v>
      </c>
      <c r="K196" s="130" t="s">
        <v>343</v>
      </c>
      <c r="L196" s="17"/>
      <c r="M196" s="135"/>
      <c r="N196" s="136" t="s">
        <v>45</v>
      </c>
      <c r="P196" s="137">
        <f t="shared" si="31"/>
        <v>0</v>
      </c>
      <c r="Q196" s="137">
        <v>0</v>
      </c>
      <c r="R196" s="137">
        <f t="shared" si="32"/>
        <v>0</v>
      </c>
      <c r="S196" s="137">
        <v>0</v>
      </c>
      <c r="T196" s="138">
        <f t="shared" si="33"/>
        <v>0</v>
      </c>
      <c r="AR196" s="139" t="s">
        <v>496</v>
      </c>
      <c r="AT196" s="139" t="s">
        <v>339</v>
      </c>
      <c r="AU196" s="139" t="s">
        <v>90</v>
      </c>
      <c r="AY196" s="2" t="s">
        <v>337</v>
      </c>
      <c r="BE196" s="140">
        <f t="shared" si="34"/>
        <v>0</v>
      </c>
      <c r="BF196" s="140">
        <f t="shared" si="35"/>
        <v>0</v>
      </c>
      <c r="BG196" s="140">
        <f t="shared" si="36"/>
        <v>0</v>
      </c>
      <c r="BH196" s="140">
        <f t="shared" si="37"/>
        <v>0</v>
      </c>
      <c r="BI196" s="140">
        <f t="shared" si="38"/>
        <v>0</v>
      </c>
      <c r="BJ196" s="2" t="s">
        <v>87</v>
      </c>
      <c r="BK196" s="140">
        <f t="shared" si="39"/>
        <v>0</v>
      </c>
      <c r="BL196" s="2" t="s">
        <v>496</v>
      </c>
      <c r="BM196" s="139" t="s">
        <v>1156</v>
      </c>
    </row>
    <row r="197" spans="2:65" s="16" customFormat="1" ht="16.5" customHeight="1" x14ac:dyDescent="0.2">
      <c r="B197" s="17"/>
      <c r="C197" s="128">
        <v>53</v>
      </c>
      <c r="D197" s="128" t="s">
        <v>339</v>
      </c>
      <c r="E197" s="129" t="s">
        <v>6610</v>
      </c>
      <c r="F197" s="130" t="s">
        <v>6611</v>
      </c>
      <c r="G197" s="131" t="s">
        <v>449</v>
      </c>
      <c r="H197" s="132">
        <v>218</v>
      </c>
      <c r="I197" s="133"/>
      <c r="J197" s="134">
        <f t="shared" si="30"/>
        <v>0</v>
      </c>
      <c r="K197" s="130" t="s">
        <v>343</v>
      </c>
      <c r="L197" s="17"/>
      <c r="M197" s="135"/>
      <c r="N197" s="136" t="s">
        <v>45</v>
      </c>
      <c r="P197" s="137">
        <f t="shared" si="31"/>
        <v>0</v>
      </c>
      <c r="Q197" s="137">
        <v>0</v>
      </c>
      <c r="R197" s="137">
        <f t="shared" si="32"/>
        <v>0</v>
      </c>
      <c r="S197" s="137">
        <v>0</v>
      </c>
      <c r="T197" s="138">
        <f t="shared" si="33"/>
        <v>0</v>
      </c>
      <c r="AR197" s="139" t="s">
        <v>496</v>
      </c>
      <c r="AT197" s="139" t="s">
        <v>339</v>
      </c>
      <c r="AU197" s="139" t="s">
        <v>90</v>
      </c>
      <c r="AY197" s="2" t="s">
        <v>337</v>
      </c>
      <c r="BE197" s="140">
        <f t="shared" si="34"/>
        <v>0</v>
      </c>
      <c r="BF197" s="140">
        <f t="shared" si="35"/>
        <v>0</v>
      </c>
      <c r="BG197" s="140">
        <f t="shared" si="36"/>
        <v>0</v>
      </c>
      <c r="BH197" s="140">
        <f t="shared" si="37"/>
        <v>0</v>
      </c>
      <c r="BI197" s="140">
        <f t="shared" si="38"/>
        <v>0</v>
      </c>
      <c r="BJ197" s="2" t="s">
        <v>87</v>
      </c>
      <c r="BK197" s="140">
        <f t="shared" si="39"/>
        <v>0</v>
      </c>
      <c r="BL197" s="2" t="s">
        <v>496</v>
      </c>
      <c r="BM197" s="139" t="s">
        <v>1172</v>
      </c>
    </row>
    <row r="198" spans="2:65" s="16" customFormat="1" ht="24.2" customHeight="1" x14ac:dyDescent="0.2">
      <c r="B198" s="17"/>
      <c r="C198" s="128">
        <v>54</v>
      </c>
      <c r="D198" s="128" t="s">
        <v>339</v>
      </c>
      <c r="E198" s="129" t="s">
        <v>6612</v>
      </c>
      <c r="F198" s="130" t="s">
        <v>6613</v>
      </c>
      <c r="G198" s="131" t="s">
        <v>449</v>
      </c>
      <c r="H198" s="132">
        <v>5</v>
      </c>
      <c r="I198" s="133"/>
      <c r="J198" s="134">
        <f t="shared" si="30"/>
        <v>0</v>
      </c>
      <c r="K198" s="130"/>
      <c r="L198" s="17"/>
      <c r="M198" s="135"/>
      <c r="N198" s="136" t="s">
        <v>45</v>
      </c>
      <c r="P198" s="137">
        <f t="shared" si="31"/>
        <v>0</v>
      </c>
      <c r="Q198" s="137">
        <v>0</v>
      </c>
      <c r="R198" s="137">
        <f t="shared" si="32"/>
        <v>0</v>
      </c>
      <c r="S198" s="137">
        <v>0</v>
      </c>
      <c r="T198" s="138">
        <f t="shared" si="33"/>
        <v>0</v>
      </c>
      <c r="AR198" s="139" t="s">
        <v>496</v>
      </c>
      <c r="AT198" s="139" t="s">
        <v>339</v>
      </c>
      <c r="AU198" s="139" t="s">
        <v>90</v>
      </c>
      <c r="AY198" s="2" t="s">
        <v>337</v>
      </c>
      <c r="BE198" s="140">
        <f t="shared" si="34"/>
        <v>0</v>
      </c>
      <c r="BF198" s="140">
        <f t="shared" si="35"/>
        <v>0</v>
      </c>
      <c r="BG198" s="140">
        <f t="shared" si="36"/>
        <v>0</v>
      </c>
      <c r="BH198" s="140">
        <f t="shared" si="37"/>
        <v>0</v>
      </c>
      <c r="BI198" s="140">
        <f t="shared" si="38"/>
        <v>0</v>
      </c>
      <c r="BJ198" s="2" t="s">
        <v>87</v>
      </c>
      <c r="BK198" s="140">
        <f t="shared" si="39"/>
        <v>0</v>
      </c>
      <c r="BL198" s="2" t="s">
        <v>496</v>
      </c>
      <c r="BM198" s="139" t="s">
        <v>1220</v>
      </c>
    </row>
    <row r="199" spans="2:65" s="16" customFormat="1" ht="24.2" customHeight="1" x14ac:dyDescent="0.2">
      <c r="B199" s="17"/>
      <c r="C199" s="128">
        <v>55</v>
      </c>
      <c r="D199" s="128" t="s">
        <v>339</v>
      </c>
      <c r="E199" s="129" t="s">
        <v>6614</v>
      </c>
      <c r="F199" s="130" t="s">
        <v>6615</v>
      </c>
      <c r="G199" s="131" t="s">
        <v>449</v>
      </c>
      <c r="H199" s="132">
        <v>22</v>
      </c>
      <c r="I199" s="133"/>
      <c r="J199" s="134">
        <f t="shared" si="30"/>
        <v>0</v>
      </c>
      <c r="K199" s="130"/>
      <c r="L199" s="17"/>
      <c r="M199" s="135"/>
      <c r="N199" s="136" t="s">
        <v>45</v>
      </c>
      <c r="P199" s="137">
        <f t="shared" si="31"/>
        <v>0</v>
      </c>
      <c r="Q199" s="137">
        <v>0</v>
      </c>
      <c r="R199" s="137">
        <f t="shared" si="32"/>
        <v>0</v>
      </c>
      <c r="S199" s="137">
        <v>0</v>
      </c>
      <c r="T199" s="138">
        <f t="shared" si="33"/>
        <v>0</v>
      </c>
      <c r="AR199" s="139" t="s">
        <v>496</v>
      </c>
      <c r="AT199" s="139" t="s">
        <v>339</v>
      </c>
      <c r="AU199" s="139" t="s">
        <v>90</v>
      </c>
      <c r="AY199" s="2" t="s">
        <v>337</v>
      </c>
      <c r="BE199" s="140">
        <f t="shared" si="34"/>
        <v>0</v>
      </c>
      <c r="BF199" s="140">
        <f t="shared" si="35"/>
        <v>0</v>
      </c>
      <c r="BG199" s="140">
        <f t="shared" si="36"/>
        <v>0</v>
      </c>
      <c r="BH199" s="140">
        <f t="shared" si="37"/>
        <v>0</v>
      </c>
      <c r="BI199" s="140">
        <f t="shared" si="38"/>
        <v>0</v>
      </c>
      <c r="BJ199" s="2" t="s">
        <v>87</v>
      </c>
      <c r="BK199" s="140">
        <f t="shared" si="39"/>
        <v>0</v>
      </c>
      <c r="BL199" s="2" t="s">
        <v>496</v>
      </c>
      <c r="BM199" s="139" t="s">
        <v>1242</v>
      </c>
    </row>
    <row r="200" spans="2:65" s="16" customFormat="1" ht="24.2" customHeight="1" x14ac:dyDescent="0.2">
      <c r="B200" s="17"/>
      <c r="C200" s="128">
        <v>56</v>
      </c>
      <c r="D200" s="128" t="s">
        <v>339</v>
      </c>
      <c r="E200" s="129" t="s">
        <v>6616</v>
      </c>
      <c r="F200" s="130" t="s">
        <v>6617</v>
      </c>
      <c r="G200" s="131" t="s">
        <v>449</v>
      </c>
      <c r="H200" s="132">
        <v>1</v>
      </c>
      <c r="I200" s="133"/>
      <c r="J200" s="134">
        <f t="shared" si="30"/>
        <v>0</v>
      </c>
      <c r="K200" s="130"/>
      <c r="L200" s="17"/>
      <c r="M200" s="135"/>
      <c r="N200" s="136" t="s">
        <v>45</v>
      </c>
      <c r="P200" s="137">
        <f t="shared" si="31"/>
        <v>0</v>
      </c>
      <c r="Q200" s="137">
        <v>0</v>
      </c>
      <c r="R200" s="137">
        <f t="shared" si="32"/>
        <v>0</v>
      </c>
      <c r="S200" s="137">
        <v>0</v>
      </c>
      <c r="T200" s="138">
        <f t="shared" si="33"/>
        <v>0</v>
      </c>
      <c r="AR200" s="139" t="s">
        <v>496</v>
      </c>
      <c r="AT200" s="139" t="s">
        <v>339</v>
      </c>
      <c r="AU200" s="139" t="s">
        <v>90</v>
      </c>
      <c r="AY200" s="2" t="s">
        <v>337</v>
      </c>
      <c r="BE200" s="140">
        <f t="shared" si="34"/>
        <v>0</v>
      </c>
      <c r="BF200" s="140">
        <f t="shared" si="35"/>
        <v>0</v>
      </c>
      <c r="BG200" s="140">
        <f t="shared" si="36"/>
        <v>0</v>
      </c>
      <c r="BH200" s="140">
        <f t="shared" si="37"/>
        <v>0</v>
      </c>
      <c r="BI200" s="140">
        <f t="shared" si="38"/>
        <v>0</v>
      </c>
      <c r="BJ200" s="2" t="s">
        <v>87</v>
      </c>
      <c r="BK200" s="140">
        <f t="shared" si="39"/>
        <v>0</v>
      </c>
      <c r="BL200" s="2" t="s">
        <v>496</v>
      </c>
      <c r="BM200" s="139" t="s">
        <v>1272</v>
      </c>
    </row>
    <row r="201" spans="2:65" s="16" customFormat="1" ht="24.2" customHeight="1" x14ac:dyDescent="0.2">
      <c r="B201" s="17"/>
      <c r="C201" s="128">
        <v>57</v>
      </c>
      <c r="D201" s="128" t="s">
        <v>339</v>
      </c>
      <c r="E201" s="129" t="s">
        <v>6618</v>
      </c>
      <c r="F201" s="130" t="s">
        <v>6619</v>
      </c>
      <c r="G201" s="131" t="s">
        <v>449</v>
      </c>
      <c r="H201" s="132">
        <v>5</v>
      </c>
      <c r="I201" s="133"/>
      <c r="J201" s="134">
        <f t="shared" si="30"/>
        <v>0</v>
      </c>
      <c r="K201" s="130"/>
      <c r="L201" s="17"/>
      <c r="M201" s="135"/>
      <c r="N201" s="136" t="s">
        <v>45</v>
      </c>
      <c r="P201" s="137">
        <f t="shared" si="31"/>
        <v>0</v>
      </c>
      <c r="Q201" s="137">
        <v>0</v>
      </c>
      <c r="R201" s="137">
        <f t="shared" si="32"/>
        <v>0</v>
      </c>
      <c r="S201" s="137">
        <v>0</v>
      </c>
      <c r="T201" s="138">
        <f t="shared" si="33"/>
        <v>0</v>
      </c>
      <c r="AR201" s="139" t="s">
        <v>496</v>
      </c>
      <c r="AT201" s="139" t="s">
        <v>339</v>
      </c>
      <c r="AU201" s="139" t="s">
        <v>90</v>
      </c>
      <c r="AY201" s="2" t="s">
        <v>337</v>
      </c>
      <c r="BE201" s="140">
        <f t="shared" si="34"/>
        <v>0</v>
      </c>
      <c r="BF201" s="140">
        <f t="shared" si="35"/>
        <v>0</v>
      </c>
      <c r="BG201" s="140">
        <f t="shared" si="36"/>
        <v>0</v>
      </c>
      <c r="BH201" s="140">
        <f t="shared" si="37"/>
        <v>0</v>
      </c>
      <c r="BI201" s="140">
        <f t="shared" si="38"/>
        <v>0</v>
      </c>
      <c r="BJ201" s="2" t="s">
        <v>87</v>
      </c>
      <c r="BK201" s="140">
        <f t="shared" si="39"/>
        <v>0</v>
      </c>
      <c r="BL201" s="2" t="s">
        <v>496</v>
      </c>
      <c r="BM201" s="139" t="s">
        <v>1300</v>
      </c>
    </row>
    <row r="202" spans="2:65" s="16" customFormat="1" ht="24.2" customHeight="1" x14ac:dyDescent="0.2">
      <c r="B202" s="17"/>
      <c r="C202" s="128">
        <v>58</v>
      </c>
      <c r="D202" s="128" t="s">
        <v>339</v>
      </c>
      <c r="E202" s="129" t="s">
        <v>6620</v>
      </c>
      <c r="F202" s="130" t="s">
        <v>6621</v>
      </c>
      <c r="G202" s="131" t="s">
        <v>449</v>
      </c>
      <c r="H202" s="132">
        <v>72</v>
      </c>
      <c r="I202" s="133"/>
      <c r="J202" s="134">
        <f t="shared" si="30"/>
        <v>0</v>
      </c>
      <c r="K202" s="130" t="s">
        <v>343</v>
      </c>
      <c r="L202" s="17"/>
      <c r="M202" s="135"/>
      <c r="N202" s="136" t="s">
        <v>45</v>
      </c>
      <c r="P202" s="137">
        <f t="shared" si="31"/>
        <v>0</v>
      </c>
      <c r="Q202" s="137">
        <v>0</v>
      </c>
      <c r="R202" s="137">
        <f t="shared" si="32"/>
        <v>0</v>
      </c>
      <c r="S202" s="137">
        <v>0</v>
      </c>
      <c r="T202" s="138">
        <f t="shared" si="33"/>
        <v>0</v>
      </c>
      <c r="AR202" s="139" t="s">
        <v>496</v>
      </c>
      <c r="AT202" s="139" t="s">
        <v>339</v>
      </c>
      <c r="AU202" s="139" t="s">
        <v>90</v>
      </c>
      <c r="AY202" s="2" t="s">
        <v>337</v>
      </c>
      <c r="BE202" s="140">
        <f t="shared" si="34"/>
        <v>0</v>
      </c>
      <c r="BF202" s="140">
        <f t="shared" si="35"/>
        <v>0</v>
      </c>
      <c r="BG202" s="140">
        <f t="shared" si="36"/>
        <v>0</v>
      </c>
      <c r="BH202" s="140">
        <f t="shared" si="37"/>
        <v>0</v>
      </c>
      <c r="BI202" s="140">
        <f t="shared" si="38"/>
        <v>0</v>
      </c>
      <c r="BJ202" s="2" t="s">
        <v>87</v>
      </c>
      <c r="BK202" s="140">
        <f t="shared" si="39"/>
        <v>0</v>
      </c>
      <c r="BL202" s="2" t="s">
        <v>496</v>
      </c>
      <c r="BM202" s="139" t="s">
        <v>1324</v>
      </c>
    </row>
    <row r="203" spans="2:65" s="16" customFormat="1" ht="21.75" customHeight="1" x14ac:dyDescent="0.2">
      <c r="B203" s="17"/>
      <c r="C203" s="128">
        <v>59</v>
      </c>
      <c r="D203" s="128" t="s">
        <v>339</v>
      </c>
      <c r="E203" s="129" t="s">
        <v>6622</v>
      </c>
      <c r="F203" s="130" t="s">
        <v>6623</v>
      </c>
      <c r="G203" s="131" t="s">
        <v>449</v>
      </c>
      <c r="H203" s="132">
        <v>72</v>
      </c>
      <c r="I203" s="133"/>
      <c r="J203" s="134">
        <f t="shared" si="30"/>
        <v>0</v>
      </c>
      <c r="K203" s="130" t="s">
        <v>343</v>
      </c>
      <c r="L203" s="17"/>
      <c r="M203" s="135"/>
      <c r="N203" s="136" t="s">
        <v>45</v>
      </c>
      <c r="P203" s="137">
        <f t="shared" si="31"/>
        <v>0</v>
      </c>
      <c r="Q203" s="137">
        <v>0</v>
      </c>
      <c r="R203" s="137">
        <f t="shared" si="32"/>
        <v>0</v>
      </c>
      <c r="S203" s="137">
        <v>0</v>
      </c>
      <c r="T203" s="138">
        <f t="shared" si="33"/>
        <v>0</v>
      </c>
      <c r="AR203" s="139" t="s">
        <v>496</v>
      </c>
      <c r="AT203" s="139" t="s">
        <v>339</v>
      </c>
      <c r="AU203" s="139" t="s">
        <v>90</v>
      </c>
      <c r="AY203" s="2" t="s">
        <v>337</v>
      </c>
      <c r="BE203" s="140">
        <f t="shared" si="34"/>
        <v>0</v>
      </c>
      <c r="BF203" s="140">
        <f t="shared" si="35"/>
        <v>0</v>
      </c>
      <c r="BG203" s="140">
        <f t="shared" si="36"/>
        <v>0</v>
      </c>
      <c r="BH203" s="140">
        <f t="shared" si="37"/>
        <v>0</v>
      </c>
      <c r="BI203" s="140">
        <f t="shared" si="38"/>
        <v>0</v>
      </c>
      <c r="BJ203" s="2" t="s">
        <v>87</v>
      </c>
      <c r="BK203" s="140">
        <f t="shared" si="39"/>
        <v>0</v>
      </c>
      <c r="BL203" s="2" t="s">
        <v>496</v>
      </c>
      <c r="BM203" s="139" t="s">
        <v>1345</v>
      </c>
    </row>
    <row r="204" spans="2:65" s="16" customFormat="1" ht="24.2" customHeight="1" x14ac:dyDescent="0.2">
      <c r="B204" s="17"/>
      <c r="C204" s="128">
        <v>60</v>
      </c>
      <c r="D204" s="128" t="s">
        <v>339</v>
      </c>
      <c r="E204" s="129" t="s">
        <v>6624</v>
      </c>
      <c r="F204" s="130" t="s">
        <v>6625</v>
      </c>
      <c r="G204" s="131" t="s">
        <v>449</v>
      </c>
      <c r="H204" s="132">
        <v>146</v>
      </c>
      <c r="I204" s="133"/>
      <c r="J204" s="134">
        <f t="shared" si="30"/>
        <v>0</v>
      </c>
      <c r="K204" s="130"/>
      <c r="L204" s="17"/>
      <c r="M204" s="135"/>
      <c r="N204" s="136" t="s">
        <v>45</v>
      </c>
      <c r="P204" s="137">
        <f t="shared" si="31"/>
        <v>0</v>
      </c>
      <c r="Q204" s="137">
        <v>0</v>
      </c>
      <c r="R204" s="137">
        <f t="shared" si="32"/>
        <v>0</v>
      </c>
      <c r="S204" s="137">
        <v>0</v>
      </c>
      <c r="T204" s="138">
        <f t="shared" si="33"/>
        <v>0</v>
      </c>
      <c r="AR204" s="139" t="s">
        <v>496</v>
      </c>
      <c r="AT204" s="139" t="s">
        <v>339</v>
      </c>
      <c r="AU204" s="139" t="s">
        <v>90</v>
      </c>
      <c r="AY204" s="2" t="s">
        <v>337</v>
      </c>
      <c r="BE204" s="140">
        <f t="shared" si="34"/>
        <v>0</v>
      </c>
      <c r="BF204" s="140">
        <f t="shared" si="35"/>
        <v>0</v>
      </c>
      <c r="BG204" s="140">
        <f t="shared" si="36"/>
        <v>0</v>
      </c>
      <c r="BH204" s="140">
        <f t="shared" si="37"/>
        <v>0</v>
      </c>
      <c r="BI204" s="140">
        <f t="shared" si="38"/>
        <v>0</v>
      </c>
      <c r="BJ204" s="2" t="s">
        <v>87</v>
      </c>
      <c r="BK204" s="140">
        <f t="shared" si="39"/>
        <v>0</v>
      </c>
      <c r="BL204" s="2" t="s">
        <v>496</v>
      </c>
      <c r="BM204" s="139" t="s">
        <v>1362</v>
      </c>
    </row>
    <row r="205" spans="2:65" s="16" customFormat="1" ht="16.5" customHeight="1" x14ac:dyDescent="0.2">
      <c r="B205" s="17"/>
      <c r="C205" s="128">
        <v>61</v>
      </c>
      <c r="D205" s="128" t="s">
        <v>339</v>
      </c>
      <c r="E205" s="129" t="s">
        <v>6626</v>
      </c>
      <c r="F205" s="130" t="s">
        <v>6627</v>
      </c>
      <c r="G205" s="131" t="s">
        <v>449</v>
      </c>
      <c r="H205" s="132">
        <v>77</v>
      </c>
      <c r="I205" s="133"/>
      <c r="J205" s="134">
        <f t="shared" si="30"/>
        <v>0</v>
      </c>
      <c r="K205" s="130" t="s">
        <v>343</v>
      </c>
      <c r="L205" s="17"/>
      <c r="M205" s="135"/>
      <c r="N205" s="136" t="s">
        <v>45</v>
      </c>
      <c r="P205" s="137">
        <f t="shared" si="31"/>
        <v>0</v>
      </c>
      <c r="Q205" s="137">
        <v>0</v>
      </c>
      <c r="R205" s="137">
        <f t="shared" si="32"/>
        <v>0</v>
      </c>
      <c r="S205" s="137">
        <v>0</v>
      </c>
      <c r="T205" s="138">
        <f t="shared" si="33"/>
        <v>0</v>
      </c>
      <c r="AR205" s="139" t="s">
        <v>496</v>
      </c>
      <c r="AT205" s="139" t="s">
        <v>339</v>
      </c>
      <c r="AU205" s="139" t="s">
        <v>90</v>
      </c>
      <c r="AY205" s="2" t="s">
        <v>337</v>
      </c>
      <c r="BE205" s="140">
        <f t="shared" si="34"/>
        <v>0</v>
      </c>
      <c r="BF205" s="140">
        <f t="shared" si="35"/>
        <v>0</v>
      </c>
      <c r="BG205" s="140">
        <f t="shared" si="36"/>
        <v>0</v>
      </c>
      <c r="BH205" s="140">
        <f t="shared" si="37"/>
        <v>0</v>
      </c>
      <c r="BI205" s="140">
        <f t="shared" si="38"/>
        <v>0</v>
      </c>
      <c r="BJ205" s="2" t="s">
        <v>87</v>
      </c>
      <c r="BK205" s="140">
        <f t="shared" si="39"/>
        <v>0</v>
      </c>
      <c r="BL205" s="2" t="s">
        <v>496</v>
      </c>
      <c r="BM205" s="139" t="s">
        <v>1373</v>
      </c>
    </row>
    <row r="206" spans="2:65" s="16" customFormat="1" ht="16.5" customHeight="1" x14ac:dyDescent="0.2">
      <c r="B206" s="17"/>
      <c r="C206" s="128">
        <v>62</v>
      </c>
      <c r="D206" s="128" t="s">
        <v>339</v>
      </c>
      <c r="E206" s="129" t="s">
        <v>6628</v>
      </c>
      <c r="F206" s="130" t="s">
        <v>6629</v>
      </c>
      <c r="G206" s="131" t="s">
        <v>449</v>
      </c>
      <c r="H206" s="132">
        <v>10</v>
      </c>
      <c r="I206" s="133"/>
      <c r="J206" s="134">
        <f t="shared" si="30"/>
        <v>0</v>
      </c>
      <c r="K206" s="130" t="s">
        <v>343</v>
      </c>
      <c r="L206" s="17"/>
      <c r="M206" s="135"/>
      <c r="N206" s="136" t="s">
        <v>45</v>
      </c>
      <c r="P206" s="137">
        <f t="shared" si="31"/>
        <v>0</v>
      </c>
      <c r="Q206" s="137">
        <v>0</v>
      </c>
      <c r="R206" s="137">
        <f t="shared" si="32"/>
        <v>0</v>
      </c>
      <c r="S206" s="137">
        <v>0</v>
      </c>
      <c r="T206" s="138">
        <f t="shared" si="33"/>
        <v>0</v>
      </c>
      <c r="AR206" s="139" t="s">
        <v>496</v>
      </c>
      <c r="AT206" s="139" t="s">
        <v>339</v>
      </c>
      <c r="AU206" s="139" t="s">
        <v>90</v>
      </c>
      <c r="AY206" s="2" t="s">
        <v>337</v>
      </c>
      <c r="BE206" s="140">
        <f t="shared" si="34"/>
        <v>0</v>
      </c>
      <c r="BF206" s="140">
        <f t="shared" si="35"/>
        <v>0</v>
      </c>
      <c r="BG206" s="140">
        <f t="shared" si="36"/>
        <v>0</v>
      </c>
      <c r="BH206" s="140">
        <f t="shared" si="37"/>
        <v>0</v>
      </c>
      <c r="BI206" s="140">
        <f t="shared" si="38"/>
        <v>0</v>
      </c>
      <c r="BJ206" s="2" t="s">
        <v>87</v>
      </c>
      <c r="BK206" s="140">
        <f t="shared" si="39"/>
        <v>0</v>
      </c>
      <c r="BL206" s="2" t="s">
        <v>496</v>
      </c>
      <c r="BM206" s="139" t="s">
        <v>1389</v>
      </c>
    </row>
    <row r="207" spans="2:65" s="16" customFormat="1" ht="16.5" customHeight="1" x14ac:dyDescent="0.2">
      <c r="B207" s="17"/>
      <c r="C207" s="128">
        <v>63</v>
      </c>
      <c r="D207" s="128" t="s">
        <v>339</v>
      </c>
      <c r="E207" s="129" t="s">
        <v>6630</v>
      </c>
      <c r="F207" s="130" t="s">
        <v>6631</v>
      </c>
      <c r="G207" s="131" t="s">
        <v>449</v>
      </c>
      <c r="H207" s="132">
        <v>49</v>
      </c>
      <c r="I207" s="133"/>
      <c r="J207" s="134">
        <f t="shared" si="30"/>
        <v>0</v>
      </c>
      <c r="K207" s="130" t="s">
        <v>343</v>
      </c>
      <c r="L207" s="17"/>
      <c r="M207" s="135"/>
      <c r="N207" s="136" t="s">
        <v>45</v>
      </c>
      <c r="P207" s="137">
        <f t="shared" si="31"/>
        <v>0</v>
      </c>
      <c r="Q207" s="137">
        <v>0</v>
      </c>
      <c r="R207" s="137">
        <f t="shared" si="32"/>
        <v>0</v>
      </c>
      <c r="S207" s="137">
        <v>0</v>
      </c>
      <c r="T207" s="138">
        <f t="shared" si="33"/>
        <v>0</v>
      </c>
      <c r="AR207" s="139" t="s">
        <v>496</v>
      </c>
      <c r="AT207" s="139" t="s">
        <v>339</v>
      </c>
      <c r="AU207" s="139" t="s">
        <v>90</v>
      </c>
      <c r="AY207" s="2" t="s">
        <v>337</v>
      </c>
      <c r="BE207" s="140">
        <f t="shared" si="34"/>
        <v>0</v>
      </c>
      <c r="BF207" s="140">
        <f t="shared" si="35"/>
        <v>0</v>
      </c>
      <c r="BG207" s="140">
        <f t="shared" si="36"/>
        <v>0</v>
      </c>
      <c r="BH207" s="140">
        <f t="shared" si="37"/>
        <v>0</v>
      </c>
      <c r="BI207" s="140">
        <f t="shared" si="38"/>
        <v>0</v>
      </c>
      <c r="BJ207" s="2" t="s">
        <v>87</v>
      </c>
      <c r="BK207" s="140">
        <f t="shared" si="39"/>
        <v>0</v>
      </c>
      <c r="BL207" s="2" t="s">
        <v>496</v>
      </c>
      <c r="BM207" s="139" t="s">
        <v>1409</v>
      </c>
    </row>
    <row r="208" spans="2:65" s="16" customFormat="1" ht="16.5" customHeight="1" x14ac:dyDescent="0.2">
      <c r="B208" s="17"/>
      <c r="C208" s="128">
        <v>64</v>
      </c>
      <c r="D208" s="128" t="s">
        <v>339</v>
      </c>
      <c r="E208" s="129" t="s">
        <v>6632</v>
      </c>
      <c r="F208" s="130" t="s">
        <v>6633</v>
      </c>
      <c r="G208" s="131" t="s">
        <v>449</v>
      </c>
      <c r="H208" s="132">
        <v>12</v>
      </c>
      <c r="I208" s="133"/>
      <c r="J208" s="134">
        <f t="shared" si="30"/>
        <v>0</v>
      </c>
      <c r="K208" s="130" t="s">
        <v>343</v>
      </c>
      <c r="L208" s="17"/>
      <c r="M208" s="135"/>
      <c r="N208" s="136" t="s">
        <v>45</v>
      </c>
      <c r="P208" s="137">
        <f t="shared" si="31"/>
        <v>0</v>
      </c>
      <c r="Q208" s="137">
        <v>0</v>
      </c>
      <c r="R208" s="137">
        <f t="shared" si="32"/>
        <v>0</v>
      </c>
      <c r="S208" s="137">
        <v>0</v>
      </c>
      <c r="T208" s="138">
        <f t="shared" si="33"/>
        <v>0</v>
      </c>
      <c r="AR208" s="139" t="s">
        <v>496</v>
      </c>
      <c r="AT208" s="139" t="s">
        <v>339</v>
      </c>
      <c r="AU208" s="139" t="s">
        <v>90</v>
      </c>
      <c r="AY208" s="2" t="s">
        <v>337</v>
      </c>
      <c r="BE208" s="140">
        <f t="shared" si="34"/>
        <v>0</v>
      </c>
      <c r="BF208" s="140">
        <f t="shared" si="35"/>
        <v>0</v>
      </c>
      <c r="BG208" s="140">
        <f t="shared" si="36"/>
        <v>0</v>
      </c>
      <c r="BH208" s="140">
        <f t="shared" si="37"/>
        <v>0</v>
      </c>
      <c r="BI208" s="140">
        <f t="shared" si="38"/>
        <v>0</v>
      </c>
      <c r="BJ208" s="2" t="s">
        <v>87</v>
      </c>
      <c r="BK208" s="140">
        <f t="shared" si="39"/>
        <v>0</v>
      </c>
      <c r="BL208" s="2" t="s">
        <v>496</v>
      </c>
      <c r="BM208" s="139" t="s">
        <v>1439</v>
      </c>
    </row>
    <row r="209" spans="2:65" s="16" customFormat="1" ht="16.5" customHeight="1" x14ac:dyDescent="0.2">
      <c r="B209" s="17"/>
      <c r="C209" s="128">
        <v>65</v>
      </c>
      <c r="D209" s="128" t="s">
        <v>339</v>
      </c>
      <c r="E209" s="129" t="s">
        <v>6634</v>
      </c>
      <c r="F209" s="130" t="s">
        <v>6635</v>
      </c>
      <c r="G209" s="131" t="s">
        <v>449</v>
      </c>
      <c r="H209" s="132">
        <v>2</v>
      </c>
      <c r="I209" s="133"/>
      <c r="J209" s="134">
        <f t="shared" si="30"/>
        <v>0</v>
      </c>
      <c r="K209" s="130" t="s">
        <v>343</v>
      </c>
      <c r="L209" s="17"/>
      <c r="M209" s="135"/>
      <c r="N209" s="136" t="s">
        <v>45</v>
      </c>
      <c r="P209" s="137">
        <f t="shared" si="31"/>
        <v>0</v>
      </c>
      <c r="Q209" s="137">
        <v>0</v>
      </c>
      <c r="R209" s="137">
        <f t="shared" si="32"/>
        <v>0</v>
      </c>
      <c r="S209" s="137">
        <v>0</v>
      </c>
      <c r="T209" s="138">
        <f t="shared" si="33"/>
        <v>0</v>
      </c>
      <c r="AR209" s="139" t="s">
        <v>496</v>
      </c>
      <c r="AT209" s="139" t="s">
        <v>339</v>
      </c>
      <c r="AU209" s="139" t="s">
        <v>90</v>
      </c>
      <c r="AY209" s="2" t="s">
        <v>337</v>
      </c>
      <c r="BE209" s="140">
        <f t="shared" si="34"/>
        <v>0</v>
      </c>
      <c r="BF209" s="140">
        <f t="shared" si="35"/>
        <v>0</v>
      </c>
      <c r="BG209" s="140">
        <f t="shared" si="36"/>
        <v>0</v>
      </c>
      <c r="BH209" s="140">
        <f t="shared" si="37"/>
        <v>0</v>
      </c>
      <c r="BI209" s="140">
        <f t="shared" si="38"/>
        <v>0</v>
      </c>
      <c r="BJ209" s="2" t="s">
        <v>87</v>
      </c>
      <c r="BK209" s="140">
        <f t="shared" si="39"/>
        <v>0</v>
      </c>
      <c r="BL209" s="2" t="s">
        <v>496</v>
      </c>
      <c r="BM209" s="139" t="s">
        <v>1463</v>
      </c>
    </row>
    <row r="210" spans="2:65" s="16" customFormat="1" ht="16.5" customHeight="1" x14ac:dyDescent="0.2">
      <c r="B210" s="17"/>
      <c r="C210" s="128">
        <v>66</v>
      </c>
      <c r="D210" s="128" t="s">
        <v>339</v>
      </c>
      <c r="E210" s="129" t="s">
        <v>6636</v>
      </c>
      <c r="F210" s="130" t="s">
        <v>6637</v>
      </c>
      <c r="G210" s="131" t="s">
        <v>449</v>
      </c>
      <c r="H210" s="132">
        <v>4</v>
      </c>
      <c r="I210" s="133"/>
      <c r="J210" s="134">
        <f t="shared" si="30"/>
        <v>0</v>
      </c>
      <c r="K210" s="130" t="s">
        <v>343</v>
      </c>
      <c r="L210" s="17"/>
      <c r="M210" s="135"/>
      <c r="N210" s="136" t="s">
        <v>45</v>
      </c>
      <c r="P210" s="137">
        <f t="shared" si="31"/>
        <v>0</v>
      </c>
      <c r="Q210" s="137">
        <v>0</v>
      </c>
      <c r="R210" s="137">
        <f t="shared" si="32"/>
        <v>0</v>
      </c>
      <c r="S210" s="137">
        <v>0</v>
      </c>
      <c r="T210" s="138">
        <f t="shared" si="33"/>
        <v>0</v>
      </c>
      <c r="AR210" s="139" t="s">
        <v>496</v>
      </c>
      <c r="AT210" s="139" t="s">
        <v>339</v>
      </c>
      <c r="AU210" s="139" t="s">
        <v>90</v>
      </c>
      <c r="AY210" s="2" t="s">
        <v>337</v>
      </c>
      <c r="BE210" s="140">
        <f t="shared" si="34"/>
        <v>0</v>
      </c>
      <c r="BF210" s="140">
        <f t="shared" si="35"/>
        <v>0</v>
      </c>
      <c r="BG210" s="140">
        <f t="shared" si="36"/>
        <v>0</v>
      </c>
      <c r="BH210" s="140">
        <f t="shared" si="37"/>
        <v>0</v>
      </c>
      <c r="BI210" s="140">
        <f t="shared" si="38"/>
        <v>0</v>
      </c>
      <c r="BJ210" s="2" t="s">
        <v>87</v>
      </c>
      <c r="BK210" s="140">
        <f t="shared" si="39"/>
        <v>0</v>
      </c>
      <c r="BL210" s="2" t="s">
        <v>496</v>
      </c>
      <c r="BM210" s="139" t="s">
        <v>1492</v>
      </c>
    </row>
    <row r="211" spans="2:65" s="16" customFormat="1" ht="16.5" customHeight="1" x14ac:dyDescent="0.2">
      <c r="B211" s="17"/>
      <c r="C211" s="128">
        <v>67</v>
      </c>
      <c r="D211" s="128" t="s">
        <v>339</v>
      </c>
      <c r="E211" s="129" t="s">
        <v>6638</v>
      </c>
      <c r="F211" s="130" t="s">
        <v>6639</v>
      </c>
      <c r="G211" s="131" t="s">
        <v>449</v>
      </c>
      <c r="H211" s="132">
        <v>88</v>
      </c>
      <c r="I211" s="133"/>
      <c r="J211" s="134">
        <f t="shared" si="30"/>
        <v>0</v>
      </c>
      <c r="K211" s="130"/>
      <c r="L211" s="17"/>
      <c r="M211" s="135"/>
      <c r="N211" s="136" t="s">
        <v>45</v>
      </c>
      <c r="P211" s="137">
        <f t="shared" si="31"/>
        <v>0</v>
      </c>
      <c r="Q211" s="137">
        <v>0</v>
      </c>
      <c r="R211" s="137">
        <f t="shared" si="32"/>
        <v>0</v>
      </c>
      <c r="S211" s="137">
        <v>0</v>
      </c>
      <c r="T211" s="138">
        <f t="shared" si="33"/>
        <v>0</v>
      </c>
      <c r="AR211" s="139" t="s">
        <v>496</v>
      </c>
      <c r="AT211" s="139" t="s">
        <v>339</v>
      </c>
      <c r="AU211" s="139" t="s">
        <v>90</v>
      </c>
      <c r="AY211" s="2" t="s">
        <v>337</v>
      </c>
      <c r="BE211" s="140">
        <f t="shared" si="34"/>
        <v>0</v>
      </c>
      <c r="BF211" s="140">
        <f t="shared" si="35"/>
        <v>0</v>
      </c>
      <c r="BG211" s="140">
        <f t="shared" si="36"/>
        <v>0</v>
      </c>
      <c r="BH211" s="140">
        <f t="shared" si="37"/>
        <v>0</v>
      </c>
      <c r="BI211" s="140">
        <f t="shared" si="38"/>
        <v>0</v>
      </c>
      <c r="BJ211" s="2" t="s">
        <v>87</v>
      </c>
      <c r="BK211" s="140">
        <f t="shared" si="39"/>
        <v>0</v>
      </c>
      <c r="BL211" s="2" t="s">
        <v>496</v>
      </c>
      <c r="BM211" s="139" t="s">
        <v>1499</v>
      </c>
    </row>
    <row r="212" spans="2:65" s="16" customFormat="1" ht="16.5" customHeight="1" x14ac:dyDescent="0.2">
      <c r="B212" s="17"/>
      <c r="C212" s="128">
        <v>68</v>
      </c>
      <c r="D212" s="128" t="s">
        <v>339</v>
      </c>
      <c r="E212" s="129" t="s">
        <v>6640</v>
      </c>
      <c r="F212" s="130" t="s">
        <v>6641</v>
      </c>
      <c r="G212" s="131" t="s">
        <v>449</v>
      </c>
      <c r="H212" s="132">
        <v>8</v>
      </c>
      <c r="I212" s="133"/>
      <c r="J212" s="134">
        <f t="shared" si="30"/>
        <v>0</v>
      </c>
      <c r="K212" s="130"/>
      <c r="L212" s="17"/>
      <c r="M212" s="135"/>
      <c r="N212" s="136" t="s">
        <v>45</v>
      </c>
      <c r="P212" s="137">
        <f t="shared" si="31"/>
        <v>0</v>
      </c>
      <c r="Q212" s="137">
        <v>0</v>
      </c>
      <c r="R212" s="137">
        <f t="shared" si="32"/>
        <v>0</v>
      </c>
      <c r="S212" s="137">
        <v>0</v>
      </c>
      <c r="T212" s="138">
        <f t="shared" si="33"/>
        <v>0</v>
      </c>
      <c r="AR212" s="139" t="s">
        <v>496</v>
      </c>
      <c r="AT212" s="139" t="s">
        <v>339</v>
      </c>
      <c r="AU212" s="139" t="s">
        <v>90</v>
      </c>
      <c r="AY212" s="2" t="s">
        <v>337</v>
      </c>
      <c r="BE212" s="140">
        <f t="shared" si="34"/>
        <v>0</v>
      </c>
      <c r="BF212" s="140">
        <f t="shared" si="35"/>
        <v>0</v>
      </c>
      <c r="BG212" s="140">
        <f t="shared" si="36"/>
        <v>0</v>
      </c>
      <c r="BH212" s="140">
        <f t="shared" si="37"/>
        <v>0</v>
      </c>
      <c r="BI212" s="140">
        <f t="shared" si="38"/>
        <v>0</v>
      </c>
      <c r="BJ212" s="2" t="s">
        <v>87</v>
      </c>
      <c r="BK212" s="140">
        <f t="shared" si="39"/>
        <v>0</v>
      </c>
      <c r="BL212" s="2" t="s">
        <v>496</v>
      </c>
      <c r="BM212" s="139" t="s">
        <v>1535</v>
      </c>
    </row>
    <row r="213" spans="2:65" s="16" customFormat="1" ht="16.5" customHeight="1" x14ac:dyDescent="0.2">
      <c r="B213" s="17"/>
      <c r="C213" s="128">
        <v>69</v>
      </c>
      <c r="D213" s="128" t="s">
        <v>339</v>
      </c>
      <c r="E213" s="129" t="s">
        <v>6642</v>
      </c>
      <c r="F213" s="130" t="s">
        <v>6643</v>
      </c>
      <c r="G213" s="131" t="s">
        <v>449</v>
      </c>
      <c r="H213" s="132">
        <v>1</v>
      </c>
      <c r="I213" s="133"/>
      <c r="J213" s="134">
        <f t="shared" si="30"/>
        <v>0</v>
      </c>
      <c r="K213" s="130"/>
      <c r="L213" s="17"/>
      <c r="M213" s="135"/>
      <c r="N213" s="136" t="s">
        <v>45</v>
      </c>
      <c r="P213" s="137">
        <f t="shared" si="31"/>
        <v>0</v>
      </c>
      <c r="Q213" s="137">
        <v>0</v>
      </c>
      <c r="R213" s="137">
        <f t="shared" si="32"/>
        <v>0</v>
      </c>
      <c r="S213" s="137">
        <v>0</v>
      </c>
      <c r="T213" s="138">
        <f t="shared" si="33"/>
        <v>0</v>
      </c>
      <c r="AR213" s="139" t="s">
        <v>496</v>
      </c>
      <c r="AT213" s="139" t="s">
        <v>339</v>
      </c>
      <c r="AU213" s="139" t="s">
        <v>90</v>
      </c>
      <c r="AY213" s="2" t="s">
        <v>337</v>
      </c>
      <c r="BE213" s="140">
        <f t="shared" si="34"/>
        <v>0</v>
      </c>
      <c r="BF213" s="140">
        <f t="shared" si="35"/>
        <v>0</v>
      </c>
      <c r="BG213" s="140">
        <f t="shared" si="36"/>
        <v>0</v>
      </c>
      <c r="BH213" s="140">
        <f t="shared" si="37"/>
        <v>0</v>
      </c>
      <c r="BI213" s="140">
        <f t="shared" si="38"/>
        <v>0</v>
      </c>
      <c r="BJ213" s="2" t="s">
        <v>87</v>
      </c>
      <c r="BK213" s="140">
        <f t="shared" si="39"/>
        <v>0</v>
      </c>
      <c r="BL213" s="2" t="s">
        <v>496</v>
      </c>
      <c r="BM213" s="139" t="s">
        <v>6156</v>
      </c>
    </row>
    <row r="214" spans="2:65" s="16" customFormat="1" ht="16.5" customHeight="1" x14ac:dyDescent="0.2">
      <c r="B214" s="17"/>
      <c r="C214" s="128">
        <v>70</v>
      </c>
      <c r="D214" s="128" t="s">
        <v>339</v>
      </c>
      <c r="E214" s="129" t="s">
        <v>6644</v>
      </c>
      <c r="F214" s="130" t="s">
        <v>6645</v>
      </c>
      <c r="G214" s="131" t="s">
        <v>449</v>
      </c>
      <c r="H214" s="132">
        <v>4</v>
      </c>
      <c r="I214" s="133"/>
      <c r="J214" s="134">
        <f t="shared" si="30"/>
        <v>0</v>
      </c>
      <c r="K214" s="130"/>
      <c r="L214" s="17"/>
      <c r="M214" s="135"/>
      <c r="N214" s="136" t="s">
        <v>45</v>
      </c>
      <c r="P214" s="137">
        <f t="shared" si="31"/>
        <v>0</v>
      </c>
      <c r="Q214" s="137">
        <v>0</v>
      </c>
      <c r="R214" s="137">
        <f t="shared" si="32"/>
        <v>0</v>
      </c>
      <c r="S214" s="137">
        <v>0</v>
      </c>
      <c r="T214" s="138">
        <f t="shared" si="33"/>
        <v>0</v>
      </c>
      <c r="AR214" s="139" t="s">
        <v>496</v>
      </c>
      <c r="AT214" s="139" t="s">
        <v>339</v>
      </c>
      <c r="AU214" s="139" t="s">
        <v>90</v>
      </c>
      <c r="AY214" s="2" t="s">
        <v>337</v>
      </c>
      <c r="BE214" s="140">
        <f t="shared" si="34"/>
        <v>0</v>
      </c>
      <c r="BF214" s="140">
        <f t="shared" si="35"/>
        <v>0</v>
      </c>
      <c r="BG214" s="140">
        <f t="shared" si="36"/>
        <v>0</v>
      </c>
      <c r="BH214" s="140">
        <f t="shared" si="37"/>
        <v>0</v>
      </c>
      <c r="BI214" s="140">
        <f t="shared" si="38"/>
        <v>0</v>
      </c>
      <c r="BJ214" s="2" t="s">
        <v>87</v>
      </c>
      <c r="BK214" s="140">
        <f t="shared" si="39"/>
        <v>0</v>
      </c>
      <c r="BL214" s="2" t="s">
        <v>496</v>
      </c>
      <c r="BM214" s="139" t="s">
        <v>1541</v>
      </c>
    </row>
    <row r="215" spans="2:65" s="16" customFormat="1" ht="16.5" customHeight="1" x14ac:dyDescent="0.2">
      <c r="B215" s="17"/>
      <c r="C215" s="128">
        <v>71</v>
      </c>
      <c r="D215" s="128" t="s">
        <v>339</v>
      </c>
      <c r="E215" s="129" t="s">
        <v>6646</v>
      </c>
      <c r="F215" s="130" t="s">
        <v>6647</v>
      </c>
      <c r="G215" s="131" t="s">
        <v>449</v>
      </c>
      <c r="H215" s="132">
        <v>1</v>
      </c>
      <c r="I215" s="133"/>
      <c r="J215" s="134">
        <f t="shared" si="30"/>
        <v>0</v>
      </c>
      <c r="K215" s="130"/>
      <c r="L215" s="17"/>
      <c r="M215" s="135"/>
      <c r="N215" s="136" t="s">
        <v>45</v>
      </c>
      <c r="P215" s="137">
        <f t="shared" si="31"/>
        <v>0</v>
      </c>
      <c r="Q215" s="137">
        <v>0</v>
      </c>
      <c r="R215" s="137">
        <f t="shared" si="32"/>
        <v>0</v>
      </c>
      <c r="S215" s="137">
        <v>0</v>
      </c>
      <c r="T215" s="138">
        <f t="shared" si="33"/>
        <v>0</v>
      </c>
      <c r="AR215" s="139" t="s">
        <v>496</v>
      </c>
      <c r="AT215" s="139" t="s">
        <v>339</v>
      </c>
      <c r="AU215" s="139" t="s">
        <v>90</v>
      </c>
      <c r="AY215" s="2" t="s">
        <v>337</v>
      </c>
      <c r="BE215" s="140">
        <f t="shared" si="34"/>
        <v>0</v>
      </c>
      <c r="BF215" s="140">
        <f t="shared" si="35"/>
        <v>0</v>
      </c>
      <c r="BG215" s="140">
        <f t="shared" si="36"/>
        <v>0</v>
      </c>
      <c r="BH215" s="140">
        <f t="shared" si="37"/>
        <v>0</v>
      </c>
      <c r="BI215" s="140">
        <f t="shared" si="38"/>
        <v>0</v>
      </c>
      <c r="BJ215" s="2" t="s">
        <v>87</v>
      </c>
      <c r="BK215" s="140">
        <f t="shared" si="39"/>
        <v>0</v>
      </c>
      <c r="BL215" s="2" t="s">
        <v>496</v>
      </c>
      <c r="BM215" s="139" t="s">
        <v>6161</v>
      </c>
    </row>
    <row r="216" spans="2:65" s="16" customFormat="1" ht="21.75" customHeight="1" x14ac:dyDescent="0.2">
      <c r="B216" s="17"/>
      <c r="C216" s="128">
        <v>72</v>
      </c>
      <c r="D216" s="128" t="s">
        <v>339</v>
      </c>
      <c r="E216" s="129" t="s">
        <v>6648</v>
      </c>
      <c r="F216" s="130" t="s">
        <v>6649</v>
      </c>
      <c r="G216" s="131" t="s">
        <v>449</v>
      </c>
      <c r="H216" s="132">
        <v>1</v>
      </c>
      <c r="I216" s="133"/>
      <c r="J216" s="134">
        <f t="shared" si="30"/>
        <v>0</v>
      </c>
      <c r="K216" s="130"/>
      <c r="L216" s="17"/>
      <c r="M216" s="135"/>
      <c r="N216" s="136" t="s">
        <v>45</v>
      </c>
      <c r="P216" s="137">
        <f t="shared" si="31"/>
        <v>0</v>
      </c>
      <c r="Q216" s="137">
        <v>0</v>
      </c>
      <c r="R216" s="137">
        <f t="shared" si="32"/>
        <v>0</v>
      </c>
      <c r="S216" s="137">
        <v>0</v>
      </c>
      <c r="T216" s="138">
        <f t="shared" si="33"/>
        <v>0</v>
      </c>
      <c r="AR216" s="139" t="s">
        <v>496</v>
      </c>
      <c r="AT216" s="139" t="s">
        <v>339</v>
      </c>
      <c r="AU216" s="139" t="s">
        <v>90</v>
      </c>
      <c r="AY216" s="2" t="s">
        <v>337</v>
      </c>
      <c r="BE216" s="140">
        <f t="shared" si="34"/>
        <v>0</v>
      </c>
      <c r="BF216" s="140">
        <f t="shared" si="35"/>
        <v>0</v>
      </c>
      <c r="BG216" s="140">
        <f t="shared" si="36"/>
        <v>0</v>
      </c>
      <c r="BH216" s="140">
        <f t="shared" si="37"/>
        <v>0</v>
      </c>
      <c r="BI216" s="140">
        <f t="shared" si="38"/>
        <v>0</v>
      </c>
      <c r="BJ216" s="2" t="s">
        <v>87</v>
      </c>
      <c r="BK216" s="140">
        <f t="shared" si="39"/>
        <v>0</v>
      </c>
      <c r="BL216" s="2" t="s">
        <v>496</v>
      </c>
      <c r="BM216" s="139" t="s">
        <v>1576</v>
      </c>
    </row>
    <row r="217" spans="2:65" s="16" customFormat="1" ht="21.75" customHeight="1" x14ac:dyDescent="0.2">
      <c r="B217" s="17"/>
      <c r="C217" s="128">
        <v>73</v>
      </c>
      <c r="D217" s="128" t="s">
        <v>339</v>
      </c>
      <c r="E217" s="129" t="s">
        <v>6650</v>
      </c>
      <c r="F217" s="130" t="s">
        <v>6651</v>
      </c>
      <c r="G217" s="131" t="s">
        <v>449</v>
      </c>
      <c r="H217" s="132">
        <v>1</v>
      </c>
      <c r="I217" s="133"/>
      <c r="J217" s="134">
        <f t="shared" si="30"/>
        <v>0</v>
      </c>
      <c r="K217" s="130"/>
      <c r="L217" s="17"/>
      <c r="M217" s="135"/>
      <c r="N217" s="136" t="s">
        <v>45</v>
      </c>
      <c r="P217" s="137">
        <f t="shared" si="31"/>
        <v>0</v>
      </c>
      <c r="Q217" s="137">
        <v>0</v>
      </c>
      <c r="R217" s="137">
        <f t="shared" si="32"/>
        <v>0</v>
      </c>
      <c r="S217" s="137">
        <v>0</v>
      </c>
      <c r="T217" s="138">
        <f t="shared" si="33"/>
        <v>0</v>
      </c>
      <c r="AR217" s="139" t="s">
        <v>496</v>
      </c>
      <c r="AT217" s="139" t="s">
        <v>339</v>
      </c>
      <c r="AU217" s="139" t="s">
        <v>90</v>
      </c>
      <c r="AY217" s="2" t="s">
        <v>337</v>
      </c>
      <c r="BE217" s="140">
        <f t="shared" si="34"/>
        <v>0</v>
      </c>
      <c r="BF217" s="140">
        <f t="shared" si="35"/>
        <v>0</v>
      </c>
      <c r="BG217" s="140">
        <f t="shared" si="36"/>
        <v>0</v>
      </c>
      <c r="BH217" s="140">
        <f t="shared" si="37"/>
        <v>0</v>
      </c>
      <c r="BI217" s="140">
        <f t="shared" si="38"/>
        <v>0</v>
      </c>
      <c r="BJ217" s="2" t="s">
        <v>87</v>
      </c>
      <c r="BK217" s="140">
        <f t="shared" si="39"/>
        <v>0</v>
      </c>
      <c r="BL217" s="2" t="s">
        <v>496</v>
      </c>
      <c r="BM217" s="139" t="s">
        <v>1663</v>
      </c>
    </row>
    <row r="218" spans="2:65" s="16" customFormat="1" ht="24.2" customHeight="1" x14ac:dyDescent="0.2">
      <c r="B218" s="17"/>
      <c r="C218" s="128">
        <v>74</v>
      </c>
      <c r="D218" s="128" t="s">
        <v>339</v>
      </c>
      <c r="E218" s="129" t="s">
        <v>6652</v>
      </c>
      <c r="F218" s="130" t="s">
        <v>6653</v>
      </c>
      <c r="G218" s="131" t="s">
        <v>449</v>
      </c>
      <c r="H218" s="132">
        <v>10</v>
      </c>
      <c r="I218" s="133"/>
      <c r="J218" s="134">
        <f t="shared" si="30"/>
        <v>0</v>
      </c>
      <c r="K218" s="130" t="s">
        <v>343</v>
      </c>
      <c r="L218" s="17"/>
      <c r="M218" s="135"/>
      <c r="N218" s="136" t="s">
        <v>45</v>
      </c>
      <c r="P218" s="137">
        <f t="shared" si="31"/>
        <v>0</v>
      </c>
      <c r="Q218" s="137">
        <v>0</v>
      </c>
      <c r="R218" s="137">
        <f t="shared" si="32"/>
        <v>0</v>
      </c>
      <c r="S218" s="137">
        <v>0</v>
      </c>
      <c r="T218" s="138">
        <f t="shared" si="33"/>
        <v>0</v>
      </c>
      <c r="AR218" s="139" t="s">
        <v>496</v>
      </c>
      <c r="AT218" s="139" t="s">
        <v>339</v>
      </c>
      <c r="AU218" s="139" t="s">
        <v>90</v>
      </c>
      <c r="AY218" s="2" t="s">
        <v>337</v>
      </c>
      <c r="BE218" s="140">
        <f t="shared" si="34"/>
        <v>0</v>
      </c>
      <c r="BF218" s="140">
        <f t="shared" si="35"/>
        <v>0</v>
      </c>
      <c r="BG218" s="140">
        <f t="shared" si="36"/>
        <v>0</v>
      </c>
      <c r="BH218" s="140">
        <f t="shared" si="37"/>
        <v>0</v>
      </c>
      <c r="BI218" s="140">
        <f t="shared" si="38"/>
        <v>0</v>
      </c>
      <c r="BJ218" s="2" t="s">
        <v>87</v>
      </c>
      <c r="BK218" s="140">
        <f t="shared" si="39"/>
        <v>0</v>
      </c>
      <c r="BL218" s="2" t="s">
        <v>496</v>
      </c>
      <c r="BM218" s="139" t="s">
        <v>1672</v>
      </c>
    </row>
    <row r="219" spans="2:65" s="16" customFormat="1" ht="21.75" customHeight="1" x14ac:dyDescent="0.2">
      <c r="B219" s="17"/>
      <c r="C219" s="128">
        <v>75</v>
      </c>
      <c r="D219" s="128" t="s">
        <v>339</v>
      </c>
      <c r="E219" s="129" t="s">
        <v>6654</v>
      </c>
      <c r="F219" s="130" t="s">
        <v>6655</v>
      </c>
      <c r="G219" s="131" t="s">
        <v>449</v>
      </c>
      <c r="H219" s="132">
        <v>10</v>
      </c>
      <c r="I219" s="133"/>
      <c r="J219" s="134">
        <f t="shared" si="30"/>
        <v>0</v>
      </c>
      <c r="K219" s="130" t="s">
        <v>343</v>
      </c>
      <c r="L219" s="17"/>
      <c r="M219" s="135"/>
      <c r="N219" s="136" t="s">
        <v>45</v>
      </c>
      <c r="P219" s="137">
        <f t="shared" si="31"/>
        <v>0</v>
      </c>
      <c r="Q219" s="137">
        <v>0</v>
      </c>
      <c r="R219" s="137">
        <f t="shared" si="32"/>
        <v>0</v>
      </c>
      <c r="S219" s="137">
        <v>0</v>
      </c>
      <c r="T219" s="138">
        <f t="shared" si="33"/>
        <v>0</v>
      </c>
      <c r="AR219" s="139" t="s">
        <v>496</v>
      </c>
      <c r="AT219" s="139" t="s">
        <v>339</v>
      </c>
      <c r="AU219" s="139" t="s">
        <v>90</v>
      </c>
      <c r="AY219" s="2" t="s">
        <v>337</v>
      </c>
      <c r="BE219" s="140">
        <f t="shared" si="34"/>
        <v>0</v>
      </c>
      <c r="BF219" s="140">
        <f t="shared" si="35"/>
        <v>0</v>
      </c>
      <c r="BG219" s="140">
        <f t="shared" si="36"/>
        <v>0</v>
      </c>
      <c r="BH219" s="140">
        <f t="shared" si="37"/>
        <v>0</v>
      </c>
      <c r="BI219" s="140">
        <f t="shared" si="38"/>
        <v>0</v>
      </c>
      <c r="BJ219" s="2" t="s">
        <v>87</v>
      </c>
      <c r="BK219" s="140">
        <f t="shared" si="39"/>
        <v>0</v>
      </c>
      <c r="BL219" s="2" t="s">
        <v>496</v>
      </c>
      <c r="BM219" s="139" t="s">
        <v>1683</v>
      </c>
    </row>
    <row r="220" spans="2:65" s="16" customFormat="1" ht="16.5" customHeight="1" x14ac:dyDescent="0.2">
      <c r="B220" s="17"/>
      <c r="C220" s="128">
        <v>76</v>
      </c>
      <c r="D220" s="128" t="s">
        <v>339</v>
      </c>
      <c r="E220" s="129" t="s">
        <v>6656</v>
      </c>
      <c r="F220" s="130" t="s">
        <v>6657</v>
      </c>
      <c r="G220" s="131" t="s">
        <v>449</v>
      </c>
      <c r="H220" s="132">
        <v>10</v>
      </c>
      <c r="I220" s="133"/>
      <c r="J220" s="134">
        <f t="shared" si="30"/>
        <v>0</v>
      </c>
      <c r="K220" s="130" t="s">
        <v>343</v>
      </c>
      <c r="L220" s="17"/>
      <c r="M220" s="135"/>
      <c r="N220" s="136" t="s">
        <v>45</v>
      </c>
      <c r="P220" s="137">
        <f t="shared" si="31"/>
        <v>0</v>
      </c>
      <c r="Q220" s="137">
        <v>0</v>
      </c>
      <c r="R220" s="137">
        <f t="shared" si="32"/>
        <v>0</v>
      </c>
      <c r="S220" s="137">
        <v>0</v>
      </c>
      <c r="T220" s="138">
        <f t="shared" si="33"/>
        <v>0</v>
      </c>
      <c r="AR220" s="139" t="s">
        <v>496</v>
      </c>
      <c r="AT220" s="139" t="s">
        <v>339</v>
      </c>
      <c r="AU220" s="139" t="s">
        <v>90</v>
      </c>
      <c r="AY220" s="2" t="s">
        <v>337</v>
      </c>
      <c r="BE220" s="140">
        <f t="shared" si="34"/>
        <v>0</v>
      </c>
      <c r="BF220" s="140">
        <f t="shared" si="35"/>
        <v>0</v>
      </c>
      <c r="BG220" s="140">
        <f t="shared" si="36"/>
        <v>0</v>
      </c>
      <c r="BH220" s="140">
        <f t="shared" si="37"/>
        <v>0</v>
      </c>
      <c r="BI220" s="140">
        <f t="shared" si="38"/>
        <v>0</v>
      </c>
      <c r="BJ220" s="2" t="s">
        <v>87</v>
      </c>
      <c r="BK220" s="140">
        <f t="shared" si="39"/>
        <v>0</v>
      </c>
      <c r="BL220" s="2" t="s">
        <v>496</v>
      </c>
      <c r="BM220" s="139" t="s">
        <v>1701</v>
      </c>
    </row>
    <row r="221" spans="2:65" s="16" customFormat="1" ht="24.2" customHeight="1" x14ac:dyDescent="0.2">
      <c r="B221" s="17"/>
      <c r="C221" s="128">
        <v>77</v>
      </c>
      <c r="D221" s="128" t="s">
        <v>339</v>
      </c>
      <c r="E221" s="129" t="s">
        <v>6658</v>
      </c>
      <c r="F221" s="130" t="s">
        <v>6659</v>
      </c>
      <c r="G221" s="131" t="s">
        <v>6048</v>
      </c>
      <c r="H221" s="192"/>
      <c r="I221" s="133"/>
      <c r="J221" s="134">
        <f t="shared" si="30"/>
        <v>0</v>
      </c>
      <c r="K221" s="130" t="s">
        <v>343</v>
      </c>
      <c r="L221" s="17"/>
      <c r="M221" s="135"/>
      <c r="N221" s="136" t="s">
        <v>45</v>
      </c>
      <c r="P221" s="137">
        <f t="shared" si="31"/>
        <v>0</v>
      </c>
      <c r="Q221" s="137">
        <v>0</v>
      </c>
      <c r="R221" s="137">
        <f t="shared" si="32"/>
        <v>0</v>
      </c>
      <c r="S221" s="137">
        <v>0</v>
      </c>
      <c r="T221" s="138">
        <f t="shared" si="33"/>
        <v>0</v>
      </c>
      <c r="AR221" s="139" t="s">
        <v>496</v>
      </c>
      <c r="AT221" s="139" t="s">
        <v>339</v>
      </c>
      <c r="AU221" s="139" t="s">
        <v>90</v>
      </c>
      <c r="AY221" s="2" t="s">
        <v>337</v>
      </c>
      <c r="BE221" s="140">
        <f t="shared" si="34"/>
        <v>0</v>
      </c>
      <c r="BF221" s="140">
        <f t="shared" si="35"/>
        <v>0</v>
      </c>
      <c r="BG221" s="140">
        <f t="shared" si="36"/>
        <v>0</v>
      </c>
      <c r="BH221" s="140">
        <f t="shared" si="37"/>
        <v>0</v>
      </c>
      <c r="BI221" s="140">
        <f t="shared" si="38"/>
        <v>0</v>
      </c>
      <c r="BJ221" s="2" t="s">
        <v>87</v>
      </c>
      <c r="BK221" s="140">
        <f t="shared" si="39"/>
        <v>0</v>
      </c>
      <c r="BL221" s="2" t="s">
        <v>496</v>
      </c>
      <c r="BM221" s="139" t="s">
        <v>6660</v>
      </c>
    </row>
    <row r="222" spans="2:65" s="116" customFormat="1" ht="22.9" customHeight="1" x14ac:dyDescent="0.2">
      <c r="B222" s="117"/>
      <c r="D222" s="118" t="s">
        <v>79</v>
      </c>
      <c r="E222" s="126" t="s">
        <v>6661</v>
      </c>
      <c r="F222" s="126" t="s">
        <v>6662</v>
      </c>
      <c r="J222" s="127">
        <f>BK222</f>
        <v>0</v>
      </c>
      <c r="L222" s="117"/>
      <c r="M222" s="121"/>
      <c r="P222" s="122">
        <f>SUM(P223:P260)</f>
        <v>0</v>
      </c>
      <c r="R222" s="122">
        <f>SUM(R223:R260)</f>
        <v>0</v>
      </c>
      <c r="T222" s="123">
        <f>SUM(T223:T260)</f>
        <v>0</v>
      </c>
      <c r="AR222" s="118" t="s">
        <v>90</v>
      </c>
      <c r="AT222" s="124" t="s">
        <v>79</v>
      </c>
      <c r="AU222" s="124" t="s">
        <v>87</v>
      </c>
      <c r="AY222" s="118" t="s">
        <v>337</v>
      </c>
      <c r="BK222" s="125">
        <f>SUM(BK223:BK260)</f>
        <v>0</v>
      </c>
    </row>
    <row r="223" spans="2:65" s="16" customFormat="1" ht="16.5" customHeight="1" x14ac:dyDescent="0.2">
      <c r="B223" s="17"/>
      <c r="C223" s="128">
        <v>78</v>
      </c>
      <c r="D223" s="128" t="s">
        <v>339</v>
      </c>
      <c r="E223" s="129" t="s">
        <v>6663</v>
      </c>
      <c r="F223" s="130" t="s">
        <v>6664</v>
      </c>
      <c r="G223" s="131" t="s">
        <v>449</v>
      </c>
      <c r="H223" s="132">
        <v>173</v>
      </c>
      <c r="I223" s="133"/>
      <c r="J223" s="134">
        <f t="shared" ref="J223:J260" si="40">ROUND(I223*H223,2)</f>
        <v>0</v>
      </c>
      <c r="K223" s="130"/>
      <c r="L223" s="17"/>
      <c r="M223" s="135"/>
      <c r="N223" s="136" t="s">
        <v>45</v>
      </c>
      <c r="P223" s="137">
        <f t="shared" ref="P223:P260" si="41">O223*H223</f>
        <v>0</v>
      </c>
      <c r="Q223" s="137">
        <v>0</v>
      </c>
      <c r="R223" s="137">
        <f t="shared" ref="R223:R260" si="42">Q223*H223</f>
        <v>0</v>
      </c>
      <c r="S223" s="137">
        <v>0</v>
      </c>
      <c r="T223" s="138">
        <f t="shared" ref="T223:T260" si="43">S223*H223</f>
        <v>0</v>
      </c>
      <c r="AR223" s="139" t="s">
        <v>496</v>
      </c>
      <c r="AT223" s="139" t="s">
        <v>339</v>
      </c>
      <c r="AU223" s="139" t="s">
        <v>90</v>
      </c>
      <c r="AY223" s="2" t="s">
        <v>337</v>
      </c>
      <c r="BE223" s="140">
        <f t="shared" ref="BE223:BE260" si="44">IF(N223="základní",J223,0)</f>
        <v>0</v>
      </c>
      <c r="BF223" s="140">
        <f t="shared" ref="BF223:BF260" si="45">IF(N223="snížená",J223,0)</f>
        <v>0</v>
      </c>
      <c r="BG223" s="140">
        <f t="shared" ref="BG223:BG260" si="46">IF(N223="zákl. přenesená",J223,0)</f>
        <v>0</v>
      </c>
      <c r="BH223" s="140">
        <f t="shared" ref="BH223:BH260" si="47">IF(N223="sníž. přenesená",J223,0)</f>
        <v>0</v>
      </c>
      <c r="BI223" s="140">
        <f t="shared" ref="BI223:BI260" si="48">IF(N223="nulová",J223,0)</f>
        <v>0</v>
      </c>
      <c r="BJ223" s="2" t="s">
        <v>87</v>
      </c>
      <c r="BK223" s="140">
        <f t="shared" ref="BK223:BK260" si="49">ROUND(I223*H223,2)</f>
        <v>0</v>
      </c>
      <c r="BL223" s="2" t="s">
        <v>496</v>
      </c>
      <c r="BM223" s="139" t="s">
        <v>1726</v>
      </c>
    </row>
    <row r="224" spans="2:65" s="16" customFormat="1" ht="24.2" customHeight="1" x14ac:dyDescent="0.2">
      <c r="B224" s="17"/>
      <c r="C224" s="128">
        <v>79</v>
      </c>
      <c r="D224" s="128" t="s">
        <v>339</v>
      </c>
      <c r="E224" s="129" t="s">
        <v>6665</v>
      </c>
      <c r="F224" s="130" t="s">
        <v>6666</v>
      </c>
      <c r="G224" s="131" t="s">
        <v>449</v>
      </c>
      <c r="H224" s="132">
        <v>10</v>
      </c>
      <c r="I224" s="133"/>
      <c r="J224" s="134">
        <f t="shared" si="40"/>
        <v>0</v>
      </c>
      <c r="K224" s="130" t="s">
        <v>343</v>
      </c>
      <c r="L224" s="17"/>
      <c r="M224" s="135"/>
      <c r="N224" s="136" t="s">
        <v>45</v>
      </c>
      <c r="P224" s="137">
        <f t="shared" si="41"/>
        <v>0</v>
      </c>
      <c r="Q224" s="137">
        <v>0</v>
      </c>
      <c r="R224" s="137">
        <f t="shared" si="42"/>
        <v>0</v>
      </c>
      <c r="S224" s="137">
        <v>0</v>
      </c>
      <c r="T224" s="138">
        <f t="shared" si="43"/>
        <v>0</v>
      </c>
      <c r="AR224" s="139" t="s">
        <v>496</v>
      </c>
      <c r="AT224" s="139" t="s">
        <v>339</v>
      </c>
      <c r="AU224" s="139" t="s">
        <v>90</v>
      </c>
      <c r="AY224" s="2" t="s">
        <v>337</v>
      </c>
      <c r="BE224" s="140">
        <f t="shared" si="44"/>
        <v>0</v>
      </c>
      <c r="BF224" s="140">
        <f t="shared" si="45"/>
        <v>0</v>
      </c>
      <c r="BG224" s="140">
        <f t="shared" si="46"/>
        <v>0</v>
      </c>
      <c r="BH224" s="140">
        <f t="shared" si="47"/>
        <v>0</v>
      </c>
      <c r="BI224" s="140">
        <f t="shared" si="48"/>
        <v>0</v>
      </c>
      <c r="BJ224" s="2" t="s">
        <v>87</v>
      </c>
      <c r="BK224" s="140">
        <f t="shared" si="49"/>
        <v>0</v>
      </c>
      <c r="BL224" s="2" t="s">
        <v>496</v>
      </c>
      <c r="BM224" s="139" t="s">
        <v>1739</v>
      </c>
    </row>
    <row r="225" spans="2:65" s="16" customFormat="1" ht="24.2" customHeight="1" x14ac:dyDescent="0.2">
      <c r="B225" s="17"/>
      <c r="C225" s="128">
        <v>80</v>
      </c>
      <c r="D225" s="128" t="s">
        <v>339</v>
      </c>
      <c r="E225" s="129" t="s">
        <v>6667</v>
      </c>
      <c r="F225" s="130" t="s">
        <v>6668</v>
      </c>
      <c r="G225" s="131" t="s">
        <v>449</v>
      </c>
      <c r="H225" s="132">
        <v>9</v>
      </c>
      <c r="I225" s="133"/>
      <c r="J225" s="134">
        <f t="shared" si="40"/>
        <v>0</v>
      </c>
      <c r="K225" s="130" t="s">
        <v>343</v>
      </c>
      <c r="L225" s="17"/>
      <c r="M225" s="135"/>
      <c r="N225" s="136" t="s">
        <v>45</v>
      </c>
      <c r="P225" s="137">
        <f t="shared" si="41"/>
        <v>0</v>
      </c>
      <c r="Q225" s="137">
        <v>0</v>
      </c>
      <c r="R225" s="137">
        <f t="shared" si="42"/>
        <v>0</v>
      </c>
      <c r="S225" s="137">
        <v>0</v>
      </c>
      <c r="T225" s="138">
        <f t="shared" si="43"/>
        <v>0</v>
      </c>
      <c r="AR225" s="139" t="s">
        <v>496</v>
      </c>
      <c r="AT225" s="139" t="s">
        <v>339</v>
      </c>
      <c r="AU225" s="139" t="s">
        <v>90</v>
      </c>
      <c r="AY225" s="2" t="s">
        <v>337</v>
      </c>
      <c r="BE225" s="140">
        <f t="shared" si="44"/>
        <v>0</v>
      </c>
      <c r="BF225" s="140">
        <f t="shared" si="45"/>
        <v>0</v>
      </c>
      <c r="BG225" s="140">
        <f t="shared" si="46"/>
        <v>0</v>
      </c>
      <c r="BH225" s="140">
        <f t="shared" si="47"/>
        <v>0</v>
      </c>
      <c r="BI225" s="140">
        <f t="shared" si="48"/>
        <v>0</v>
      </c>
      <c r="BJ225" s="2" t="s">
        <v>87</v>
      </c>
      <c r="BK225" s="140">
        <f t="shared" si="49"/>
        <v>0</v>
      </c>
      <c r="BL225" s="2" t="s">
        <v>496</v>
      </c>
      <c r="BM225" s="139" t="s">
        <v>1746</v>
      </c>
    </row>
    <row r="226" spans="2:65" s="16" customFormat="1" ht="24.2" customHeight="1" x14ac:dyDescent="0.2">
      <c r="B226" s="17"/>
      <c r="C226" s="128">
        <v>81</v>
      </c>
      <c r="D226" s="128" t="s">
        <v>339</v>
      </c>
      <c r="E226" s="129" t="s">
        <v>6669</v>
      </c>
      <c r="F226" s="130" t="s">
        <v>6670</v>
      </c>
      <c r="G226" s="131" t="s">
        <v>449</v>
      </c>
      <c r="H226" s="132">
        <v>4</v>
      </c>
      <c r="I226" s="133"/>
      <c r="J226" s="134">
        <f t="shared" si="40"/>
        <v>0</v>
      </c>
      <c r="K226" s="130" t="s">
        <v>343</v>
      </c>
      <c r="L226" s="17"/>
      <c r="M226" s="135"/>
      <c r="N226" s="136" t="s">
        <v>45</v>
      </c>
      <c r="P226" s="137">
        <f t="shared" si="41"/>
        <v>0</v>
      </c>
      <c r="Q226" s="137">
        <v>0</v>
      </c>
      <c r="R226" s="137">
        <f t="shared" si="42"/>
        <v>0</v>
      </c>
      <c r="S226" s="137">
        <v>0</v>
      </c>
      <c r="T226" s="138">
        <f t="shared" si="43"/>
        <v>0</v>
      </c>
      <c r="AR226" s="139" t="s">
        <v>496</v>
      </c>
      <c r="AT226" s="139" t="s">
        <v>339</v>
      </c>
      <c r="AU226" s="139" t="s">
        <v>90</v>
      </c>
      <c r="AY226" s="2" t="s">
        <v>337</v>
      </c>
      <c r="BE226" s="140">
        <f t="shared" si="44"/>
        <v>0</v>
      </c>
      <c r="BF226" s="140">
        <f t="shared" si="45"/>
        <v>0</v>
      </c>
      <c r="BG226" s="140">
        <f t="shared" si="46"/>
        <v>0</v>
      </c>
      <c r="BH226" s="140">
        <f t="shared" si="47"/>
        <v>0</v>
      </c>
      <c r="BI226" s="140">
        <f t="shared" si="48"/>
        <v>0</v>
      </c>
      <c r="BJ226" s="2" t="s">
        <v>87</v>
      </c>
      <c r="BK226" s="140">
        <f t="shared" si="49"/>
        <v>0</v>
      </c>
      <c r="BL226" s="2" t="s">
        <v>496</v>
      </c>
      <c r="BM226" s="139" t="s">
        <v>1758</v>
      </c>
    </row>
    <row r="227" spans="2:65" s="16" customFormat="1" ht="24.2" customHeight="1" x14ac:dyDescent="0.2">
      <c r="B227" s="17"/>
      <c r="C227" s="128">
        <v>82</v>
      </c>
      <c r="D227" s="128" t="s">
        <v>339</v>
      </c>
      <c r="E227" s="129" t="s">
        <v>6671</v>
      </c>
      <c r="F227" s="130" t="s">
        <v>6672</v>
      </c>
      <c r="G227" s="131" t="s">
        <v>449</v>
      </c>
      <c r="H227" s="132">
        <v>7</v>
      </c>
      <c r="I227" s="133"/>
      <c r="J227" s="134">
        <f t="shared" si="40"/>
        <v>0</v>
      </c>
      <c r="K227" s="130" t="s">
        <v>343</v>
      </c>
      <c r="L227" s="17"/>
      <c r="M227" s="135"/>
      <c r="N227" s="136" t="s">
        <v>45</v>
      </c>
      <c r="P227" s="137">
        <f t="shared" si="41"/>
        <v>0</v>
      </c>
      <c r="Q227" s="137">
        <v>0</v>
      </c>
      <c r="R227" s="137">
        <f t="shared" si="42"/>
        <v>0</v>
      </c>
      <c r="S227" s="137">
        <v>0</v>
      </c>
      <c r="T227" s="138">
        <f t="shared" si="43"/>
        <v>0</v>
      </c>
      <c r="AR227" s="139" t="s">
        <v>496</v>
      </c>
      <c r="AT227" s="139" t="s">
        <v>339</v>
      </c>
      <c r="AU227" s="139" t="s">
        <v>90</v>
      </c>
      <c r="AY227" s="2" t="s">
        <v>337</v>
      </c>
      <c r="BE227" s="140">
        <f t="shared" si="44"/>
        <v>0</v>
      </c>
      <c r="BF227" s="140">
        <f t="shared" si="45"/>
        <v>0</v>
      </c>
      <c r="BG227" s="140">
        <f t="shared" si="46"/>
        <v>0</v>
      </c>
      <c r="BH227" s="140">
        <f t="shared" si="47"/>
        <v>0</v>
      </c>
      <c r="BI227" s="140">
        <f t="shared" si="48"/>
        <v>0</v>
      </c>
      <c r="BJ227" s="2" t="s">
        <v>87</v>
      </c>
      <c r="BK227" s="140">
        <f t="shared" si="49"/>
        <v>0</v>
      </c>
      <c r="BL227" s="2" t="s">
        <v>496</v>
      </c>
      <c r="BM227" s="139" t="s">
        <v>1767</v>
      </c>
    </row>
    <row r="228" spans="2:65" s="16" customFormat="1" ht="24.2" customHeight="1" x14ac:dyDescent="0.2">
      <c r="B228" s="17"/>
      <c r="C228" s="128">
        <v>83</v>
      </c>
      <c r="D228" s="128" t="s">
        <v>339</v>
      </c>
      <c r="E228" s="129" t="s">
        <v>6673</v>
      </c>
      <c r="F228" s="130" t="s">
        <v>6674</v>
      </c>
      <c r="G228" s="131" t="s">
        <v>449</v>
      </c>
      <c r="H228" s="132">
        <v>1</v>
      </c>
      <c r="I228" s="133"/>
      <c r="J228" s="134">
        <f t="shared" si="40"/>
        <v>0</v>
      </c>
      <c r="K228" s="130" t="s">
        <v>343</v>
      </c>
      <c r="L228" s="17"/>
      <c r="M228" s="135"/>
      <c r="N228" s="136" t="s">
        <v>45</v>
      </c>
      <c r="P228" s="137">
        <f t="shared" si="41"/>
        <v>0</v>
      </c>
      <c r="Q228" s="137">
        <v>0</v>
      </c>
      <c r="R228" s="137">
        <f t="shared" si="42"/>
        <v>0</v>
      </c>
      <c r="S228" s="137">
        <v>0</v>
      </c>
      <c r="T228" s="138">
        <f t="shared" si="43"/>
        <v>0</v>
      </c>
      <c r="AR228" s="139" t="s">
        <v>496</v>
      </c>
      <c r="AT228" s="139" t="s">
        <v>339</v>
      </c>
      <c r="AU228" s="139" t="s">
        <v>90</v>
      </c>
      <c r="AY228" s="2" t="s">
        <v>337</v>
      </c>
      <c r="BE228" s="140">
        <f t="shared" si="44"/>
        <v>0</v>
      </c>
      <c r="BF228" s="140">
        <f t="shared" si="45"/>
        <v>0</v>
      </c>
      <c r="BG228" s="140">
        <f t="shared" si="46"/>
        <v>0</v>
      </c>
      <c r="BH228" s="140">
        <f t="shared" si="47"/>
        <v>0</v>
      </c>
      <c r="BI228" s="140">
        <f t="shared" si="48"/>
        <v>0</v>
      </c>
      <c r="BJ228" s="2" t="s">
        <v>87</v>
      </c>
      <c r="BK228" s="140">
        <f t="shared" si="49"/>
        <v>0</v>
      </c>
      <c r="BL228" s="2" t="s">
        <v>496</v>
      </c>
      <c r="BM228" s="139" t="s">
        <v>1783</v>
      </c>
    </row>
    <row r="229" spans="2:65" s="16" customFormat="1" ht="24.2" customHeight="1" x14ac:dyDescent="0.2">
      <c r="B229" s="17"/>
      <c r="C229" s="128">
        <v>84</v>
      </c>
      <c r="D229" s="128" t="s">
        <v>339</v>
      </c>
      <c r="E229" s="129" t="s">
        <v>6675</v>
      </c>
      <c r="F229" s="130" t="s">
        <v>6676</v>
      </c>
      <c r="G229" s="131" t="s">
        <v>449</v>
      </c>
      <c r="H229" s="132">
        <v>5</v>
      </c>
      <c r="I229" s="133"/>
      <c r="J229" s="134">
        <f t="shared" si="40"/>
        <v>0</v>
      </c>
      <c r="K229" s="130" t="s">
        <v>343</v>
      </c>
      <c r="L229" s="17"/>
      <c r="M229" s="135"/>
      <c r="N229" s="136" t="s">
        <v>45</v>
      </c>
      <c r="P229" s="137">
        <f t="shared" si="41"/>
        <v>0</v>
      </c>
      <c r="Q229" s="137">
        <v>0</v>
      </c>
      <c r="R229" s="137">
        <f t="shared" si="42"/>
        <v>0</v>
      </c>
      <c r="S229" s="137">
        <v>0</v>
      </c>
      <c r="T229" s="138">
        <f t="shared" si="43"/>
        <v>0</v>
      </c>
      <c r="AR229" s="139" t="s">
        <v>496</v>
      </c>
      <c r="AT229" s="139" t="s">
        <v>339</v>
      </c>
      <c r="AU229" s="139" t="s">
        <v>90</v>
      </c>
      <c r="AY229" s="2" t="s">
        <v>337</v>
      </c>
      <c r="BE229" s="140">
        <f t="shared" si="44"/>
        <v>0</v>
      </c>
      <c r="BF229" s="140">
        <f t="shared" si="45"/>
        <v>0</v>
      </c>
      <c r="BG229" s="140">
        <f t="shared" si="46"/>
        <v>0</v>
      </c>
      <c r="BH229" s="140">
        <f t="shared" si="47"/>
        <v>0</v>
      </c>
      <c r="BI229" s="140">
        <f t="shared" si="48"/>
        <v>0</v>
      </c>
      <c r="BJ229" s="2" t="s">
        <v>87</v>
      </c>
      <c r="BK229" s="140">
        <f t="shared" si="49"/>
        <v>0</v>
      </c>
      <c r="BL229" s="2" t="s">
        <v>496</v>
      </c>
      <c r="BM229" s="139" t="s">
        <v>1790</v>
      </c>
    </row>
    <row r="230" spans="2:65" s="16" customFormat="1" ht="24.2" customHeight="1" x14ac:dyDescent="0.2">
      <c r="B230" s="17"/>
      <c r="C230" s="128">
        <v>85</v>
      </c>
      <c r="D230" s="128" t="s">
        <v>339</v>
      </c>
      <c r="E230" s="129" t="s">
        <v>6677</v>
      </c>
      <c r="F230" s="130" t="s">
        <v>6678</v>
      </c>
      <c r="G230" s="131" t="s">
        <v>449</v>
      </c>
      <c r="H230" s="132">
        <v>6</v>
      </c>
      <c r="I230" s="133"/>
      <c r="J230" s="134">
        <f t="shared" si="40"/>
        <v>0</v>
      </c>
      <c r="K230" s="130" t="s">
        <v>343</v>
      </c>
      <c r="L230" s="17"/>
      <c r="M230" s="135"/>
      <c r="N230" s="136" t="s">
        <v>45</v>
      </c>
      <c r="P230" s="137">
        <f t="shared" si="41"/>
        <v>0</v>
      </c>
      <c r="Q230" s="137">
        <v>0</v>
      </c>
      <c r="R230" s="137">
        <f t="shared" si="42"/>
        <v>0</v>
      </c>
      <c r="S230" s="137">
        <v>0</v>
      </c>
      <c r="T230" s="138">
        <f t="shared" si="43"/>
        <v>0</v>
      </c>
      <c r="AR230" s="139" t="s">
        <v>496</v>
      </c>
      <c r="AT230" s="139" t="s">
        <v>339</v>
      </c>
      <c r="AU230" s="139" t="s">
        <v>90</v>
      </c>
      <c r="AY230" s="2" t="s">
        <v>337</v>
      </c>
      <c r="BE230" s="140">
        <f t="shared" si="44"/>
        <v>0</v>
      </c>
      <c r="BF230" s="140">
        <f t="shared" si="45"/>
        <v>0</v>
      </c>
      <c r="BG230" s="140">
        <f t="shared" si="46"/>
        <v>0</v>
      </c>
      <c r="BH230" s="140">
        <f t="shared" si="47"/>
        <v>0</v>
      </c>
      <c r="BI230" s="140">
        <f t="shared" si="48"/>
        <v>0</v>
      </c>
      <c r="BJ230" s="2" t="s">
        <v>87</v>
      </c>
      <c r="BK230" s="140">
        <f t="shared" si="49"/>
        <v>0</v>
      </c>
      <c r="BL230" s="2" t="s">
        <v>496</v>
      </c>
      <c r="BM230" s="139" t="s">
        <v>1799</v>
      </c>
    </row>
    <row r="231" spans="2:65" s="16" customFormat="1" ht="24.2" customHeight="1" x14ac:dyDescent="0.2">
      <c r="B231" s="17"/>
      <c r="C231" s="128">
        <v>86</v>
      </c>
      <c r="D231" s="128" t="s">
        <v>339</v>
      </c>
      <c r="E231" s="129" t="s">
        <v>6679</v>
      </c>
      <c r="F231" s="130" t="s">
        <v>6680</v>
      </c>
      <c r="G231" s="131" t="s">
        <v>449</v>
      </c>
      <c r="H231" s="132">
        <v>23</v>
      </c>
      <c r="I231" s="133"/>
      <c r="J231" s="134">
        <f t="shared" si="40"/>
        <v>0</v>
      </c>
      <c r="K231" s="130" t="s">
        <v>343</v>
      </c>
      <c r="L231" s="17"/>
      <c r="M231" s="135"/>
      <c r="N231" s="136" t="s">
        <v>45</v>
      </c>
      <c r="P231" s="137">
        <f t="shared" si="41"/>
        <v>0</v>
      </c>
      <c r="Q231" s="137">
        <v>0</v>
      </c>
      <c r="R231" s="137">
        <f t="shared" si="42"/>
        <v>0</v>
      </c>
      <c r="S231" s="137">
        <v>0</v>
      </c>
      <c r="T231" s="138">
        <f t="shared" si="43"/>
        <v>0</v>
      </c>
      <c r="AR231" s="139" t="s">
        <v>496</v>
      </c>
      <c r="AT231" s="139" t="s">
        <v>339</v>
      </c>
      <c r="AU231" s="139" t="s">
        <v>90</v>
      </c>
      <c r="AY231" s="2" t="s">
        <v>337</v>
      </c>
      <c r="BE231" s="140">
        <f t="shared" si="44"/>
        <v>0</v>
      </c>
      <c r="BF231" s="140">
        <f t="shared" si="45"/>
        <v>0</v>
      </c>
      <c r="BG231" s="140">
        <f t="shared" si="46"/>
        <v>0</v>
      </c>
      <c r="BH231" s="140">
        <f t="shared" si="47"/>
        <v>0</v>
      </c>
      <c r="BI231" s="140">
        <f t="shared" si="48"/>
        <v>0</v>
      </c>
      <c r="BJ231" s="2" t="s">
        <v>87</v>
      </c>
      <c r="BK231" s="140">
        <f t="shared" si="49"/>
        <v>0</v>
      </c>
      <c r="BL231" s="2" t="s">
        <v>496</v>
      </c>
      <c r="BM231" s="139" t="s">
        <v>1808</v>
      </c>
    </row>
    <row r="232" spans="2:65" s="16" customFormat="1" ht="24.2" customHeight="1" x14ac:dyDescent="0.2">
      <c r="B232" s="17"/>
      <c r="C232" s="128">
        <v>87</v>
      </c>
      <c r="D232" s="128" t="s">
        <v>339</v>
      </c>
      <c r="E232" s="129" t="s">
        <v>6681</v>
      </c>
      <c r="F232" s="130" t="s">
        <v>6682</v>
      </c>
      <c r="G232" s="131" t="s">
        <v>449</v>
      </c>
      <c r="H232" s="132">
        <v>1</v>
      </c>
      <c r="I232" s="133"/>
      <c r="J232" s="134">
        <f t="shared" si="40"/>
        <v>0</v>
      </c>
      <c r="K232" s="130" t="s">
        <v>343</v>
      </c>
      <c r="L232" s="17"/>
      <c r="M232" s="135"/>
      <c r="N232" s="136" t="s">
        <v>45</v>
      </c>
      <c r="P232" s="137">
        <f t="shared" si="41"/>
        <v>0</v>
      </c>
      <c r="Q232" s="137">
        <v>0</v>
      </c>
      <c r="R232" s="137">
        <f t="shared" si="42"/>
        <v>0</v>
      </c>
      <c r="S232" s="137">
        <v>0</v>
      </c>
      <c r="T232" s="138">
        <f t="shared" si="43"/>
        <v>0</v>
      </c>
      <c r="AR232" s="139" t="s">
        <v>496</v>
      </c>
      <c r="AT232" s="139" t="s">
        <v>339</v>
      </c>
      <c r="AU232" s="139" t="s">
        <v>90</v>
      </c>
      <c r="AY232" s="2" t="s">
        <v>337</v>
      </c>
      <c r="BE232" s="140">
        <f t="shared" si="44"/>
        <v>0</v>
      </c>
      <c r="BF232" s="140">
        <f t="shared" si="45"/>
        <v>0</v>
      </c>
      <c r="BG232" s="140">
        <f t="shared" si="46"/>
        <v>0</v>
      </c>
      <c r="BH232" s="140">
        <f t="shared" si="47"/>
        <v>0</v>
      </c>
      <c r="BI232" s="140">
        <f t="shared" si="48"/>
        <v>0</v>
      </c>
      <c r="BJ232" s="2" t="s">
        <v>87</v>
      </c>
      <c r="BK232" s="140">
        <f t="shared" si="49"/>
        <v>0</v>
      </c>
      <c r="BL232" s="2" t="s">
        <v>496</v>
      </c>
      <c r="BM232" s="139" t="s">
        <v>1819</v>
      </c>
    </row>
    <row r="233" spans="2:65" s="16" customFormat="1" ht="24.2" customHeight="1" x14ac:dyDescent="0.2">
      <c r="B233" s="17"/>
      <c r="C233" s="128">
        <v>88</v>
      </c>
      <c r="D233" s="128" t="s">
        <v>339</v>
      </c>
      <c r="E233" s="129" t="s">
        <v>6683</v>
      </c>
      <c r="F233" s="130" t="s">
        <v>6684</v>
      </c>
      <c r="G233" s="131" t="s">
        <v>449</v>
      </c>
      <c r="H233" s="132">
        <v>1</v>
      </c>
      <c r="I233" s="133"/>
      <c r="J233" s="134">
        <f t="shared" si="40"/>
        <v>0</v>
      </c>
      <c r="K233" s="130" t="s">
        <v>343</v>
      </c>
      <c r="L233" s="17"/>
      <c r="M233" s="135"/>
      <c r="N233" s="136" t="s">
        <v>45</v>
      </c>
      <c r="P233" s="137">
        <f t="shared" si="41"/>
        <v>0</v>
      </c>
      <c r="Q233" s="137">
        <v>0</v>
      </c>
      <c r="R233" s="137">
        <f t="shared" si="42"/>
        <v>0</v>
      </c>
      <c r="S233" s="137">
        <v>0</v>
      </c>
      <c r="T233" s="138">
        <f t="shared" si="43"/>
        <v>0</v>
      </c>
      <c r="AR233" s="139" t="s">
        <v>496</v>
      </c>
      <c r="AT233" s="139" t="s">
        <v>339</v>
      </c>
      <c r="AU233" s="139" t="s">
        <v>90</v>
      </c>
      <c r="AY233" s="2" t="s">
        <v>337</v>
      </c>
      <c r="BE233" s="140">
        <f t="shared" si="44"/>
        <v>0</v>
      </c>
      <c r="BF233" s="140">
        <f t="shared" si="45"/>
        <v>0</v>
      </c>
      <c r="BG233" s="140">
        <f t="shared" si="46"/>
        <v>0</v>
      </c>
      <c r="BH233" s="140">
        <f t="shared" si="47"/>
        <v>0</v>
      </c>
      <c r="BI233" s="140">
        <f t="shared" si="48"/>
        <v>0</v>
      </c>
      <c r="BJ233" s="2" t="s">
        <v>87</v>
      </c>
      <c r="BK233" s="140">
        <f t="shared" si="49"/>
        <v>0</v>
      </c>
      <c r="BL233" s="2" t="s">
        <v>496</v>
      </c>
      <c r="BM233" s="139" t="s">
        <v>1974</v>
      </c>
    </row>
    <row r="234" spans="2:65" s="16" customFormat="1" ht="24.2" customHeight="1" x14ac:dyDescent="0.2">
      <c r="B234" s="17"/>
      <c r="C234" s="128">
        <v>89</v>
      </c>
      <c r="D234" s="128" t="s">
        <v>339</v>
      </c>
      <c r="E234" s="129" t="s">
        <v>6685</v>
      </c>
      <c r="F234" s="130" t="s">
        <v>6686</v>
      </c>
      <c r="G234" s="131" t="s">
        <v>449</v>
      </c>
      <c r="H234" s="132">
        <v>1</v>
      </c>
      <c r="I234" s="133"/>
      <c r="J234" s="134">
        <f t="shared" si="40"/>
        <v>0</v>
      </c>
      <c r="K234" s="130" t="s">
        <v>343</v>
      </c>
      <c r="L234" s="17"/>
      <c r="M234" s="135"/>
      <c r="N234" s="136" t="s">
        <v>45</v>
      </c>
      <c r="P234" s="137">
        <f t="shared" si="41"/>
        <v>0</v>
      </c>
      <c r="Q234" s="137">
        <v>0</v>
      </c>
      <c r="R234" s="137">
        <f t="shared" si="42"/>
        <v>0</v>
      </c>
      <c r="S234" s="137">
        <v>0</v>
      </c>
      <c r="T234" s="138">
        <f t="shared" si="43"/>
        <v>0</v>
      </c>
      <c r="AR234" s="139" t="s">
        <v>496</v>
      </c>
      <c r="AT234" s="139" t="s">
        <v>339</v>
      </c>
      <c r="AU234" s="139" t="s">
        <v>90</v>
      </c>
      <c r="AY234" s="2" t="s">
        <v>337</v>
      </c>
      <c r="BE234" s="140">
        <f t="shared" si="44"/>
        <v>0</v>
      </c>
      <c r="BF234" s="140">
        <f t="shared" si="45"/>
        <v>0</v>
      </c>
      <c r="BG234" s="140">
        <f t="shared" si="46"/>
        <v>0</v>
      </c>
      <c r="BH234" s="140">
        <f t="shared" si="47"/>
        <v>0</v>
      </c>
      <c r="BI234" s="140">
        <f t="shared" si="48"/>
        <v>0</v>
      </c>
      <c r="BJ234" s="2" t="s">
        <v>87</v>
      </c>
      <c r="BK234" s="140">
        <f t="shared" si="49"/>
        <v>0</v>
      </c>
      <c r="BL234" s="2" t="s">
        <v>496</v>
      </c>
      <c r="BM234" s="139" t="s">
        <v>1982</v>
      </c>
    </row>
    <row r="235" spans="2:65" s="16" customFormat="1" ht="24.2" customHeight="1" x14ac:dyDescent="0.2">
      <c r="B235" s="17"/>
      <c r="C235" s="128">
        <v>90</v>
      </c>
      <c r="D235" s="128" t="s">
        <v>339</v>
      </c>
      <c r="E235" s="129" t="s">
        <v>6687</v>
      </c>
      <c r="F235" s="130" t="s">
        <v>6688</v>
      </c>
      <c r="G235" s="131" t="s">
        <v>449</v>
      </c>
      <c r="H235" s="132">
        <v>1</v>
      </c>
      <c r="I235" s="133"/>
      <c r="J235" s="134">
        <f t="shared" si="40"/>
        <v>0</v>
      </c>
      <c r="K235" s="130" t="s">
        <v>343</v>
      </c>
      <c r="L235" s="17"/>
      <c r="M235" s="135"/>
      <c r="N235" s="136" t="s">
        <v>45</v>
      </c>
      <c r="P235" s="137">
        <f t="shared" si="41"/>
        <v>0</v>
      </c>
      <c r="Q235" s="137">
        <v>0</v>
      </c>
      <c r="R235" s="137">
        <f t="shared" si="42"/>
        <v>0</v>
      </c>
      <c r="S235" s="137">
        <v>0</v>
      </c>
      <c r="T235" s="138">
        <f t="shared" si="43"/>
        <v>0</v>
      </c>
      <c r="AR235" s="139" t="s">
        <v>496</v>
      </c>
      <c r="AT235" s="139" t="s">
        <v>339</v>
      </c>
      <c r="AU235" s="139" t="s">
        <v>90</v>
      </c>
      <c r="AY235" s="2" t="s">
        <v>337</v>
      </c>
      <c r="BE235" s="140">
        <f t="shared" si="44"/>
        <v>0</v>
      </c>
      <c r="BF235" s="140">
        <f t="shared" si="45"/>
        <v>0</v>
      </c>
      <c r="BG235" s="140">
        <f t="shared" si="46"/>
        <v>0</v>
      </c>
      <c r="BH235" s="140">
        <f t="shared" si="47"/>
        <v>0</v>
      </c>
      <c r="BI235" s="140">
        <f t="shared" si="48"/>
        <v>0</v>
      </c>
      <c r="BJ235" s="2" t="s">
        <v>87</v>
      </c>
      <c r="BK235" s="140">
        <f t="shared" si="49"/>
        <v>0</v>
      </c>
      <c r="BL235" s="2" t="s">
        <v>496</v>
      </c>
      <c r="BM235" s="139" t="s">
        <v>1991</v>
      </c>
    </row>
    <row r="236" spans="2:65" s="16" customFormat="1" ht="24.2" customHeight="1" x14ac:dyDescent="0.2">
      <c r="B236" s="17"/>
      <c r="C236" s="128">
        <v>91</v>
      </c>
      <c r="D236" s="128" t="s">
        <v>339</v>
      </c>
      <c r="E236" s="129" t="s">
        <v>6689</v>
      </c>
      <c r="F236" s="130" t="s">
        <v>6690</v>
      </c>
      <c r="G236" s="131" t="s">
        <v>449</v>
      </c>
      <c r="H236" s="132">
        <v>1</v>
      </c>
      <c r="I236" s="133"/>
      <c r="J236" s="134">
        <f t="shared" si="40"/>
        <v>0</v>
      </c>
      <c r="K236" s="130" t="s">
        <v>343</v>
      </c>
      <c r="L236" s="17"/>
      <c r="M236" s="135"/>
      <c r="N236" s="136" t="s">
        <v>45</v>
      </c>
      <c r="P236" s="137">
        <f t="shared" si="41"/>
        <v>0</v>
      </c>
      <c r="Q236" s="137">
        <v>0</v>
      </c>
      <c r="R236" s="137">
        <f t="shared" si="42"/>
        <v>0</v>
      </c>
      <c r="S236" s="137">
        <v>0</v>
      </c>
      <c r="T236" s="138">
        <f t="shared" si="43"/>
        <v>0</v>
      </c>
      <c r="AR236" s="139" t="s">
        <v>496</v>
      </c>
      <c r="AT236" s="139" t="s">
        <v>339</v>
      </c>
      <c r="AU236" s="139" t="s">
        <v>90</v>
      </c>
      <c r="AY236" s="2" t="s">
        <v>337</v>
      </c>
      <c r="BE236" s="140">
        <f t="shared" si="44"/>
        <v>0</v>
      </c>
      <c r="BF236" s="140">
        <f t="shared" si="45"/>
        <v>0</v>
      </c>
      <c r="BG236" s="140">
        <f t="shared" si="46"/>
        <v>0</v>
      </c>
      <c r="BH236" s="140">
        <f t="shared" si="47"/>
        <v>0</v>
      </c>
      <c r="BI236" s="140">
        <f t="shared" si="48"/>
        <v>0</v>
      </c>
      <c r="BJ236" s="2" t="s">
        <v>87</v>
      </c>
      <c r="BK236" s="140">
        <f t="shared" si="49"/>
        <v>0</v>
      </c>
      <c r="BL236" s="2" t="s">
        <v>496</v>
      </c>
      <c r="BM236" s="139" t="s">
        <v>2000</v>
      </c>
    </row>
    <row r="237" spans="2:65" s="16" customFormat="1" ht="24.2" customHeight="1" x14ac:dyDescent="0.2">
      <c r="B237" s="17"/>
      <c r="C237" s="128">
        <v>92</v>
      </c>
      <c r="D237" s="128" t="s">
        <v>339</v>
      </c>
      <c r="E237" s="129" t="s">
        <v>6691</v>
      </c>
      <c r="F237" s="130" t="s">
        <v>6692</v>
      </c>
      <c r="G237" s="131" t="s">
        <v>449</v>
      </c>
      <c r="H237" s="132">
        <v>2</v>
      </c>
      <c r="I237" s="133"/>
      <c r="J237" s="134">
        <f t="shared" si="40"/>
        <v>0</v>
      </c>
      <c r="K237" s="130"/>
      <c r="L237" s="17"/>
      <c r="M237" s="135"/>
      <c r="N237" s="136" t="s">
        <v>45</v>
      </c>
      <c r="P237" s="137">
        <f t="shared" si="41"/>
        <v>0</v>
      </c>
      <c r="Q237" s="137">
        <v>0</v>
      </c>
      <c r="R237" s="137">
        <f t="shared" si="42"/>
        <v>0</v>
      </c>
      <c r="S237" s="137">
        <v>0</v>
      </c>
      <c r="T237" s="138">
        <f t="shared" si="43"/>
        <v>0</v>
      </c>
      <c r="AR237" s="139" t="s">
        <v>496</v>
      </c>
      <c r="AT237" s="139" t="s">
        <v>339</v>
      </c>
      <c r="AU237" s="139" t="s">
        <v>90</v>
      </c>
      <c r="AY237" s="2" t="s">
        <v>337</v>
      </c>
      <c r="BE237" s="140">
        <f t="shared" si="44"/>
        <v>0</v>
      </c>
      <c r="BF237" s="140">
        <f t="shared" si="45"/>
        <v>0</v>
      </c>
      <c r="BG237" s="140">
        <f t="shared" si="46"/>
        <v>0</v>
      </c>
      <c r="BH237" s="140">
        <f t="shared" si="47"/>
        <v>0</v>
      </c>
      <c r="BI237" s="140">
        <f t="shared" si="48"/>
        <v>0</v>
      </c>
      <c r="BJ237" s="2" t="s">
        <v>87</v>
      </c>
      <c r="BK237" s="140">
        <f t="shared" si="49"/>
        <v>0</v>
      </c>
      <c r="BL237" s="2" t="s">
        <v>496</v>
      </c>
      <c r="BM237" s="139" t="s">
        <v>2038</v>
      </c>
    </row>
    <row r="238" spans="2:65" s="16" customFormat="1" ht="16.5" customHeight="1" x14ac:dyDescent="0.2">
      <c r="B238" s="17"/>
      <c r="C238" s="128">
        <v>93</v>
      </c>
      <c r="D238" s="128" t="s">
        <v>339</v>
      </c>
      <c r="E238" s="129" t="s">
        <v>6693</v>
      </c>
      <c r="F238" s="130" t="s">
        <v>6694</v>
      </c>
      <c r="G238" s="131" t="s">
        <v>449</v>
      </c>
      <c r="H238" s="132">
        <v>3</v>
      </c>
      <c r="I238" s="133"/>
      <c r="J238" s="134">
        <f t="shared" si="40"/>
        <v>0</v>
      </c>
      <c r="K238" s="130"/>
      <c r="L238" s="17"/>
      <c r="M238" s="135"/>
      <c r="N238" s="136" t="s">
        <v>45</v>
      </c>
      <c r="P238" s="137">
        <f t="shared" si="41"/>
        <v>0</v>
      </c>
      <c r="Q238" s="137">
        <v>0</v>
      </c>
      <c r="R238" s="137">
        <f t="shared" si="42"/>
        <v>0</v>
      </c>
      <c r="S238" s="137">
        <v>0</v>
      </c>
      <c r="T238" s="138">
        <f t="shared" si="43"/>
        <v>0</v>
      </c>
      <c r="AR238" s="139" t="s">
        <v>496</v>
      </c>
      <c r="AT238" s="139" t="s">
        <v>339</v>
      </c>
      <c r="AU238" s="139" t="s">
        <v>90</v>
      </c>
      <c r="AY238" s="2" t="s">
        <v>337</v>
      </c>
      <c r="BE238" s="140">
        <f t="shared" si="44"/>
        <v>0</v>
      </c>
      <c r="BF238" s="140">
        <f t="shared" si="45"/>
        <v>0</v>
      </c>
      <c r="BG238" s="140">
        <f t="shared" si="46"/>
        <v>0</v>
      </c>
      <c r="BH238" s="140">
        <f t="shared" si="47"/>
        <v>0</v>
      </c>
      <c r="BI238" s="140">
        <f t="shared" si="48"/>
        <v>0</v>
      </c>
      <c r="BJ238" s="2" t="s">
        <v>87</v>
      </c>
      <c r="BK238" s="140">
        <f t="shared" si="49"/>
        <v>0</v>
      </c>
      <c r="BL238" s="2" t="s">
        <v>496</v>
      </c>
      <c r="BM238" s="139" t="s">
        <v>2049</v>
      </c>
    </row>
    <row r="239" spans="2:65" s="16" customFormat="1" ht="16.5" customHeight="1" x14ac:dyDescent="0.2">
      <c r="B239" s="17"/>
      <c r="C239" s="128">
        <v>94</v>
      </c>
      <c r="D239" s="128" t="s">
        <v>339</v>
      </c>
      <c r="E239" s="129" t="s">
        <v>6695</v>
      </c>
      <c r="F239" s="130" t="s">
        <v>6696</v>
      </c>
      <c r="G239" s="131" t="s">
        <v>449</v>
      </c>
      <c r="H239" s="132">
        <v>3</v>
      </c>
      <c r="I239" s="133"/>
      <c r="J239" s="134">
        <f t="shared" si="40"/>
        <v>0</v>
      </c>
      <c r="K239" s="130"/>
      <c r="L239" s="17"/>
      <c r="M239" s="135"/>
      <c r="N239" s="136" t="s">
        <v>45</v>
      </c>
      <c r="P239" s="137">
        <f t="shared" si="41"/>
        <v>0</v>
      </c>
      <c r="Q239" s="137">
        <v>0</v>
      </c>
      <c r="R239" s="137">
        <f t="shared" si="42"/>
        <v>0</v>
      </c>
      <c r="S239" s="137">
        <v>0</v>
      </c>
      <c r="T239" s="138">
        <f t="shared" si="43"/>
        <v>0</v>
      </c>
      <c r="AR239" s="139" t="s">
        <v>496</v>
      </c>
      <c r="AT239" s="139" t="s">
        <v>339</v>
      </c>
      <c r="AU239" s="139" t="s">
        <v>90</v>
      </c>
      <c r="AY239" s="2" t="s">
        <v>337</v>
      </c>
      <c r="BE239" s="140">
        <f t="shared" si="44"/>
        <v>0</v>
      </c>
      <c r="BF239" s="140">
        <f t="shared" si="45"/>
        <v>0</v>
      </c>
      <c r="BG239" s="140">
        <f t="shared" si="46"/>
        <v>0</v>
      </c>
      <c r="BH239" s="140">
        <f t="shared" si="47"/>
        <v>0</v>
      </c>
      <c r="BI239" s="140">
        <f t="shared" si="48"/>
        <v>0</v>
      </c>
      <c r="BJ239" s="2" t="s">
        <v>87</v>
      </c>
      <c r="BK239" s="140">
        <f t="shared" si="49"/>
        <v>0</v>
      </c>
      <c r="BL239" s="2" t="s">
        <v>496</v>
      </c>
      <c r="BM239" s="139" t="s">
        <v>2059</v>
      </c>
    </row>
    <row r="240" spans="2:65" s="16" customFormat="1" ht="16.5" customHeight="1" x14ac:dyDescent="0.2">
      <c r="B240" s="17"/>
      <c r="C240" s="128">
        <v>95</v>
      </c>
      <c r="D240" s="128" t="s">
        <v>339</v>
      </c>
      <c r="E240" s="129" t="s">
        <v>6697</v>
      </c>
      <c r="F240" s="130" t="s">
        <v>6698</v>
      </c>
      <c r="G240" s="131" t="s">
        <v>449</v>
      </c>
      <c r="H240" s="132">
        <v>1</v>
      </c>
      <c r="I240" s="133"/>
      <c r="J240" s="134">
        <f t="shared" si="40"/>
        <v>0</v>
      </c>
      <c r="K240" s="130"/>
      <c r="L240" s="17"/>
      <c r="M240" s="135"/>
      <c r="N240" s="136" t="s">
        <v>45</v>
      </c>
      <c r="P240" s="137">
        <f t="shared" si="41"/>
        <v>0</v>
      </c>
      <c r="Q240" s="137">
        <v>0</v>
      </c>
      <c r="R240" s="137">
        <f t="shared" si="42"/>
        <v>0</v>
      </c>
      <c r="S240" s="137">
        <v>0</v>
      </c>
      <c r="T240" s="138">
        <f t="shared" si="43"/>
        <v>0</v>
      </c>
      <c r="AR240" s="139" t="s">
        <v>496</v>
      </c>
      <c r="AT240" s="139" t="s">
        <v>339</v>
      </c>
      <c r="AU240" s="139" t="s">
        <v>90</v>
      </c>
      <c r="AY240" s="2" t="s">
        <v>337</v>
      </c>
      <c r="BE240" s="140">
        <f t="shared" si="44"/>
        <v>0</v>
      </c>
      <c r="BF240" s="140">
        <f t="shared" si="45"/>
        <v>0</v>
      </c>
      <c r="BG240" s="140">
        <f t="shared" si="46"/>
        <v>0</v>
      </c>
      <c r="BH240" s="140">
        <f t="shared" si="47"/>
        <v>0</v>
      </c>
      <c r="BI240" s="140">
        <f t="shared" si="48"/>
        <v>0</v>
      </c>
      <c r="BJ240" s="2" t="s">
        <v>87</v>
      </c>
      <c r="BK240" s="140">
        <f t="shared" si="49"/>
        <v>0</v>
      </c>
      <c r="BL240" s="2" t="s">
        <v>496</v>
      </c>
      <c r="BM240" s="139" t="s">
        <v>2068</v>
      </c>
    </row>
    <row r="241" spans="2:65" s="16" customFormat="1" ht="16.5" customHeight="1" x14ac:dyDescent="0.2">
      <c r="B241" s="17"/>
      <c r="C241" s="128">
        <v>96</v>
      </c>
      <c r="D241" s="128" t="s">
        <v>339</v>
      </c>
      <c r="E241" s="129" t="s">
        <v>6699</v>
      </c>
      <c r="F241" s="130" t="s">
        <v>6700</v>
      </c>
      <c r="G241" s="131" t="s">
        <v>449</v>
      </c>
      <c r="H241" s="132">
        <v>2</v>
      </c>
      <c r="I241" s="133"/>
      <c r="J241" s="134">
        <f t="shared" si="40"/>
        <v>0</v>
      </c>
      <c r="K241" s="130"/>
      <c r="L241" s="17"/>
      <c r="M241" s="135"/>
      <c r="N241" s="136" t="s">
        <v>45</v>
      </c>
      <c r="P241" s="137">
        <f t="shared" si="41"/>
        <v>0</v>
      </c>
      <c r="Q241" s="137">
        <v>0</v>
      </c>
      <c r="R241" s="137">
        <f t="shared" si="42"/>
        <v>0</v>
      </c>
      <c r="S241" s="137">
        <v>0</v>
      </c>
      <c r="T241" s="138">
        <f t="shared" si="43"/>
        <v>0</v>
      </c>
      <c r="AR241" s="139" t="s">
        <v>496</v>
      </c>
      <c r="AT241" s="139" t="s">
        <v>339</v>
      </c>
      <c r="AU241" s="139" t="s">
        <v>90</v>
      </c>
      <c r="AY241" s="2" t="s">
        <v>337</v>
      </c>
      <c r="BE241" s="140">
        <f t="shared" si="44"/>
        <v>0</v>
      </c>
      <c r="BF241" s="140">
        <f t="shared" si="45"/>
        <v>0</v>
      </c>
      <c r="BG241" s="140">
        <f t="shared" si="46"/>
        <v>0</v>
      </c>
      <c r="BH241" s="140">
        <f t="shared" si="47"/>
        <v>0</v>
      </c>
      <c r="BI241" s="140">
        <f t="shared" si="48"/>
        <v>0</v>
      </c>
      <c r="BJ241" s="2" t="s">
        <v>87</v>
      </c>
      <c r="BK241" s="140">
        <f t="shared" si="49"/>
        <v>0</v>
      </c>
      <c r="BL241" s="2" t="s">
        <v>496</v>
      </c>
      <c r="BM241" s="139" t="s">
        <v>2200</v>
      </c>
    </row>
    <row r="242" spans="2:65" s="16" customFormat="1" ht="16.5" customHeight="1" x14ac:dyDescent="0.2">
      <c r="B242" s="17"/>
      <c r="C242" s="128">
        <v>97</v>
      </c>
      <c r="D242" s="128" t="s">
        <v>339</v>
      </c>
      <c r="E242" s="129" t="s">
        <v>6701</v>
      </c>
      <c r="F242" s="130" t="s">
        <v>6702</v>
      </c>
      <c r="G242" s="131" t="s">
        <v>449</v>
      </c>
      <c r="H242" s="132">
        <v>2</v>
      </c>
      <c r="I242" s="133"/>
      <c r="J242" s="134">
        <f t="shared" si="40"/>
        <v>0</v>
      </c>
      <c r="K242" s="130"/>
      <c r="L242" s="17"/>
      <c r="M242" s="135"/>
      <c r="N242" s="136" t="s">
        <v>45</v>
      </c>
      <c r="P242" s="137">
        <f t="shared" si="41"/>
        <v>0</v>
      </c>
      <c r="Q242" s="137">
        <v>0</v>
      </c>
      <c r="R242" s="137">
        <f t="shared" si="42"/>
        <v>0</v>
      </c>
      <c r="S242" s="137">
        <v>0</v>
      </c>
      <c r="T242" s="138">
        <f t="shared" si="43"/>
        <v>0</v>
      </c>
      <c r="AR242" s="139" t="s">
        <v>496</v>
      </c>
      <c r="AT242" s="139" t="s">
        <v>339</v>
      </c>
      <c r="AU242" s="139" t="s">
        <v>90</v>
      </c>
      <c r="AY242" s="2" t="s">
        <v>337</v>
      </c>
      <c r="BE242" s="140">
        <f t="shared" si="44"/>
        <v>0</v>
      </c>
      <c r="BF242" s="140">
        <f t="shared" si="45"/>
        <v>0</v>
      </c>
      <c r="BG242" s="140">
        <f t="shared" si="46"/>
        <v>0</v>
      </c>
      <c r="BH242" s="140">
        <f t="shared" si="47"/>
        <v>0</v>
      </c>
      <c r="BI242" s="140">
        <f t="shared" si="48"/>
        <v>0</v>
      </c>
      <c r="BJ242" s="2" t="s">
        <v>87</v>
      </c>
      <c r="BK242" s="140">
        <f t="shared" si="49"/>
        <v>0</v>
      </c>
      <c r="BL242" s="2" t="s">
        <v>496</v>
      </c>
      <c r="BM242" s="139" t="s">
        <v>2209</v>
      </c>
    </row>
    <row r="243" spans="2:65" s="16" customFormat="1" ht="16.5" customHeight="1" x14ac:dyDescent="0.2">
      <c r="B243" s="17"/>
      <c r="C243" s="128">
        <v>98</v>
      </c>
      <c r="D243" s="128" t="s">
        <v>339</v>
      </c>
      <c r="E243" s="129" t="s">
        <v>6703</v>
      </c>
      <c r="F243" s="130" t="s">
        <v>6704</v>
      </c>
      <c r="G243" s="131" t="s">
        <v>449</v>
      </c>
      <c r="H243" s="132">
        <v>22</v>
      </c>
      <c r="I243" s="133"/>
      <c r="J243" s="134">
        <f t="shared" si="40"/>
        <v>0</v>
      </c>
      <c r="K243" s="130"/>
      <c r="L243" s="17"/>
      <c r="M243" s="135"/>
      <c r="N243" s="136" t="s">
        <v>45</v>
      </c>
      <c r="P243" s="137">
        <f t="shared" si="41"/>
        <v>0</v>
      </c>
      <c r="Q243" s="137">
        <v>0</v>
      </c>
      <c r="R243" s="137">
        <f t="shared" si="42"/>
        <v>0</v>
      </c>
      <c r="S243" s="137">
        <v>0</v>
      </c>
      <c r="T243" s="138">
        <f t="shared" si="43"/>
        <v>0</v>
      </c>
      <c r="AR243" s="139" t="s">
        <v>496</v>
      </c>
      <c r="AT243" s="139" t="s">
        <v>339</v>
      </c>
      <c r="AU243" s="139" t="s">
        <v>90</v>
      </c>
      <c r="AY243" s="2" t="s">
        <v>337</v>
      </c>
      <c r="BE243" s="140">
        <f t="shared" si="44"/>
        <v>0</v>
      </c>
      <c r="BF243" s="140">
        <f t="shared" si="45"/>
        <v>0</v>
      </c>
      <c r="BG243" s="140">
        <f t="shared" si="46"/>
        <v>0</v>
      </c>
      <c r="BH243" s="140">
        <f t="shared" si="47"/>
        <v>0</v>
      </c>
      <c r="BI243" s="140">
        <f t="shared" si="48"/>
        <v>0</v>
      </c>
      <c r="BJ243" s="2" t="s">
        <v>87</v>
      </c>
      <c r="BK243" s="140">
        <f t="shared" si="49"/>
        <v>0</v>
      </c>
      <c r="BL243" s="2" t="s">
        <v>496</v>
      </c>
      <c r="BM243" s="139" t="s">
        <v>2218</v>
      </c>
    </row>
    <row r="244" spans="2:65" s="16" customFormat="1" ht="16.5" customHeight="1" x14ac:dyDescent="0.2">
      <c r="B244" s="17"/>
      <c r="C244" s="128">
        <v>99</v>
      </c>
      <c r="D244" s="128" t="s">
        <v>339</v>
      </c>
      <c r="E244" s="129" t="s">
        <v>6705</v>
      </c>
      <c r="F244" s="130" t="s">
        <v>6706</v>
      </c>
      <c r="G244" s="131" t="s">
        <v>449</v>
      </c>
      <c r="H244" s="132">
        <v>1</v>
      </c>
      <c r="I244" s="133"/>
      <c r="J244" s="134">
        <f t="shared" si="40"/>
        <v>0</v>
      </c>
      <c r="K244" s="130"/>
      <c r="L244" s="17"/>
      <c r="M244" s="135"/>
      <c r="N244" s="136" t="s">
        <v>45</v>
      </c>
      <c r="P244" s="137">
        <f t="shared" si="41"/>
        <v>0</v>
      </c>
      <c r="Q244" s="137">
        <v>0</v>
      </c>
      <c r="R244" s="137">
        <f t="shared" si="42"/>
        <v>0</v>
      </c>
      <c r="S244" s="137">
        <v>0</v>
      </c>
      <c r="T244" s="138">
        <f t="shared" si="43"/>
        <v>0</v>
      </c>
      <c r="AR244" s="139" t="s">
        <v>496</v>
      </c>
      <c r="AT244" s="139" t="s">
        <v>339</v>
      </c>
      <c r="AU244" s="139" t="s">
        <v>90</v>
      </c>
      <c r="AY244" s="2" t="s">
        <v>337</v>
      </c>
      <c r="BE244" s="140">
        <f t="shared" si="44"/>
        <v>0</v>
      </c>
      <c r="BF244" s="140">
        <f t="shared" si="45"/>
        <v>0</v>
      </c>
      <c r="BG244" s="140">
        <f t="shared" si="46"/>
        <v>0</v>
      </c>
      <c r="BH244" s="140">
        <f t="shared" si="47"/>
        <v>0</v>
      </c>
      <c r="BI244" s="140">
        <f t="shared" si="48"/>
        <v>0</v>
      </c>
      <c r="BJ244" s="2" t="s">
        <v>87</v>
      </c>
      <c r="BK244" s="140">
        <f t="shared" si="49"/>
        <v>0</v>
      </c>
      <c r="BL244" s="2" t="s">
        <v>496</v>
      </c>
      <c r="BM244" s="139" t="s">
        <v>2229</v>
      </c>
    </row>
    <row r="245" spans="2:65" s="16" customFormat="1" ht="16.5" customHeight="1" x14ac:dyDescent="0.2">
      <c r="B245" s="17"/>
      <c r="C245" s="128">
        <v>100</v>
      </c>
      <c r="D245" s="128" t="s">
        <v>339</v>
      </c>
      <c r="E245" s="129" t="s">
        <v>6707</v>
      </c>
      <c r="F245" s="130" t="s">
        <v>6708</v>
      </c>
      <c r="G245" s="131" t="s">
        <v>449</v>
      </c>
      <c r="H245" s="132">
        <v>11</v>
      </c>
      <c r="I245" s="133"/>
      <c r="J245" s="134">
        <f t="shared" si="40"/>
        <v>0</v>
      </c>
      <c r="K245" s="130"/>
      <c r="L245" s="17"/>
      <c r="M245" s="135"/>
      <c r="N245" s="136" t="s">
        <v>45</v>
      </c>
      <c r="P245" s="137">
        <f t="shared" si="41"/>
        <v>0</v>
      </c>
      <c r="Q245" s="137">
        <v>0</v>
      </c>
      <c r="R245" s="137">
        <f t="shared" si="42"/>
        <v>0</v>
      </c>
      <c r="S245" s="137">
        <v>0</v>
      </c>
      <c r="T245" s="138">
        <f t="shared" si="43"/>
        <v>0</v>
      </c>
      <c r="AR245" s="139" t="s">
        <v>496</v>
      </c>
      <c r="AT245" s="139" t="s">
        <v>339</v>
      </c>
      <c r="AU245" s="139" t="s">
        <v>90</v>
      </c>
      <c r="AY245" s="2" t="s">
        <v>337</v>
      </c>
      <c r="BE245" s="140">
        <f t="shared" si="44"/>
        <v>0</v>
      </c>
      <c r="BF245" s="140">
        <f t="shared" si="45"/>
        <v>0</v>
      </c>
      <c r="BG245" s="140">
        <f t="shared" si="46"/>
        <v>0</v>
      </c>
      <c r="BH245" s="140">
        <f t="shared" si="47"/>
        <v>0</v>
      </c>
      <c r="BI245" s="140">
        <f t="shared" si="48"/>
        <v>0</v>
      </c>
      <c r="BJ245" s="2" t="s">
        <v>87</v>
      </c>
      <c r="BK245" s="140">
        <f t="shared" si="49"/>
        <v>0</v>
      </c>
      <c r="BL245" s="2" t="s">
        <v>496</v>
      </c>
      <c r="BM245" s="139" t="s">
        <v>2263</v>
      </c>
    </row>
    <row r="246" spans="2:65" s="16" customFormat="1" ht="16.5" customHeight="1" x14ac:dyDescent="0.2">
      <c r="B246" s="17"/>
      <c r="C246" s="128">
        <v>101</v>
      </c>
      <c r="D246" s="128" t="s">
        <v>339</v>
      </c>
      <c r="E246" s="129" t="s">
        <v>6709</v>
      </c>
      <c r="F246" s="130" t="s">
        <v>6710</v>
      </c>
      <c r="G246" s="131" t="s">
        <v>449</v>
      </c>
      <c r="H246" s="132">
        <v>6</v>
      </c>
      <c r="I246" s="133"/>
      <c r="J246" s="134">
        <f t="shared" si="40"/>
        <v>0</v>
      </c>
      <c r="K246" s="130"/>
      <c r="L246" s="17"/>
      <c r="M246" s="135"/>
      <c r="N246" s="136" t="s">
        <v>45</v>
      </c>
      <c r="P246" s="137">
        <f t="shared" si="41"/>
        <v>0</v>
      </c>
      <c r="Q246" s="137">
        <v>0</v>
      </c>
      <c r="R246" s="137">
        <f t="shared" si="42"/>
        <v>0</v>
      </c>
      <c r="S246" s="137">
        <v>0</v>
      </c>
      <c r="T246" s="138">
        <f t="shared" si="43"/>
        <v>0</v>
      </c>
      <c r="AR246" s="139" t="s">
        <v>496</v>
      </c>
      <c r="AT246" s="139" t="s">
        <v>339</v>
      </c>
      <c r="AU246" s="139" t="s">
        <v>90</v>
      </c>
      <c r="AY246" s="2" t="s">
        <v>337</v>
      </c>
      <c r="BE246" s="140">
        <f t="shared" si="44"/>
        <v>0</v>
      </c>
      <c r="BF246" s="140">
        <f t="shared" si="45"/>
        <v>0</v>
      </c>
      <c r="BG246" s="140">
        <f t="shared" si="46"/>
        <v>0</v>
      </c>
      <c r="BH246" s="140">
        <f t="shared" si="47"/>
        <v>0</v>
      </c>
      <c r="BI246" s="140">
        <f t="shared" si="48"/>
        <v>0</v>
      </c>
      <c r="BJ246" s="2" t="s">
        <v>87</v>
      </c>
      <c r="BK246" s="140">
        <f t="shared" si="49"/>
        <v>0</v>
      </c>
      <c r="BL246" s="2" t="s">
        <v>496</v>
      </c>
      <c r="BM246" s="139" t="s">
        <v>2278</v>
      </c>
    </row>
    <row r="247" spans="2:65" s="16" customFormat="1" ht="16.5" customHeight="1" x14ac:dyDescent="0.2">
      <c r="B247" s="17"/>
      <c r="C247" s="128">
        <v>102</v>
      </c>
      <c r="D247" s="128" t="s">
        <v>339</v>
      </c>
      <c r="E247" s="129" t="s">
        <v>6711</v>
      </c>
      <c r="F247" s="130" t="s">
        <v>6712</v>
      </c>
      <c r="G247" s="131" t="s">
        <v>449</v>
      </c>
      <c r="H247" s="132">
        <v>4</v>
      </c>
      <c r="I247" s="133"/>
      <c r="J247" s="134">
        <f t="shared" si="40"/>
        <v>0</v>
      </c>
      <c r="K247" s="130"/>
      <c r="L247" s="17"/>
      <c r="M247" s="135"/>
      <c r="N247" s="136" t="s">
        <v>45</v>
      </c>
      <c r="P247" s="137">
        <f t="shared" si="41"/>
        <v>0</v>
      </c>
      <c r="Q247" s="137">
        <v>0</v>
      </c>
      <c r="R247" s="137">
        <f t="shared" si="42"/>
        <v>0</v>
      </c>
      <c r="S247" s="137">
        <v>0</v>
      </c>
      <c r="T247" s="138">
        <f t="shared" si="43"/>
        <v>0</v>
      </c>
      <c r="AR247" s="139" t="s">
        <v>496</v>
      </c>
      <c r="AT247" s="139" t="s">
        <v>339</v>
      </c>
      <c r="AU247" s="139" t="s">
        <v>90</v>
      </c>
      <c r="AY247" s="2" t="s">
        <v>337</v>
      </c>
      <c r="BE247" s="140">
        <f t="shared" si="44"/>
        <v>0</v>
      </c>
      <c r="BF247" s="140">
        <f t="shared" si="45"/>
        <v>0</v>
      </c>
      <c r="BG247" s="140">
        <f t="shared" si="46"/>
        <v>0</v>
      </c>
      <c r="BH247" s="140">
        <f t="shared" si="47"/>
        <v>0</v>
      </c>
      <c r="BI247" s="140">
        <f t="shared" si="48"/>
        <v>0</v>
      </c>
      <c r="BJ247" s="2" t="s">
        <v>87</v>
      </c>
      <c r="BK247" s="140">
        <f t="shared" si="49"/>
        <v>0</v>
      </c>
      <c r="BL247" s="2" t="s">
        <v>496</v>
      </c>
      <c r="BM247" s="139" t="s">
        <v>6713</v>
      </c>
    </row>
    <row r="248" spans="2:65" s="16" customFormat="1" ht="16.5" customHeight="1" x14ac:dyDescent="0.2">
      <c r="B248" s="17"/>
      <c r="C248" s="128">
        <v>103</v>
      </c>
      <c r="D248" s="128" t="s">
        <v>339</v>
      </c>
      <c r="E248" s="129" t="s">
        <v>6714</v>
      </c>
      <c r="F248" s="130" t="s">
        <v>6715</v>
      </c>
      <c r="G248" s="131" t="s">
        <v>449</v>
      </c>
      <c r="H248" s="132">
        <v>2</v>
      </c>
      <c r="I248" s="133"/>
      <c r="J248" s="134">
        <f t="shared" si="40"/>
        <v>0</v>
      </c>
      <c r="K248" s="130"/>
      <c r="L248" s="17"/>
      <c r="M248" s="135"/>
      <c r="N248" s="136" t="s">
        <v>45</v>
      </c>
      <c r="P248" s="137">
        <f t="shared" si="41"/>
        <v>0</v>
      </c>
      <c r="Q248" s="137">
        <v>0</v>
      </c>
      <c r="R248" s="137">
        <f t="shared" si="42"/>
        <v>0</v>
      </c>
      <c r="S248" s="137">
        <v>0</v>
      </c>
      <c r="T248" s="138">
        <f t="shared" si="43"/>
        <v>0</v>
      </c>
      <c r="AR248" s="139" t="s">
        <v>496</v>
      </c>
      <c r="AT248" s="139" t="s">
        <v>339</v>
      </c>
      <c r="AU248" s="139" t="s">
        <v>90</v>
      </c>
      <c r="AY248" s="2" t="s">
        <v>337</v>
      </c>
      <c r="BE248" s="140">
        <f t="shared" si="44"/>
        <v>0</v>
      </c>
      <c r="BF248" s="140">
        <f t="shared" si="45"/>
        <v>0</v>
      </c>
      <c r="BG248" s="140">
        <f t="shared" si="46"/>
        <v>0</v>
      </c>
      <c r="BH248" s="140">
        <f t="shared" si="47"/>
        <v>0</v>
      </c>
      <c r="BI248" s="140">
        <f t="shared" si="48"/>
        <v>0</v>
      </c>
      <c r="BJ248" s="2" t="s">
        <v>87</v>
      </c>
      <c r="BK248" s="140">
        <f t="shared" si="49"/>
        <v>0</v>
      </c>
      <c r="BL248" s="2" t="s">
        <v>496</v>
      </c>
      <c r="BM248" s="139" t="s">
        <v>6716</v>
      </c>
    </row>
    <row r="249" spans="2:65" s="16" customFormat="1" ht="16.5" customHeight="1" x14ac:dyDescent="0.2">
      <c r="B249" s="17"/>
      <c r="C249" s="128">
        <v>104</v>
      </c>
      <c r="D249" s="128" t="s">
        <v>339</v>
      </c>
      <c r="E249" s="129" t="s">
        <v>6717</v>
      </c>
      <c r="F249" s="130" t="s">
        <v>6718</v>
      </c>
      <c r="G249" s="131" t="s">
        <v>449</v>
      </c>
      <c r="H249" s="132">
        <v>1</v>
      </c>
      <c r="I249" s="133"/>
      <c r="J249" s="134">
        <f t="shared" si="40"/>
        <v>0</v>
      </c>
      <c r="K249" s="130"/>
      <c r="L249" s="17"/>
      <c r="M249" s="135"/>
      <c r="N249" s="136" t="s">
        <v>45</v>
      </c>
      <c r="P249" s="137">
        <f t="shared" si="41"/>
        <v>0</v>
      </c>
      <c r="Q249" s="137">
        <v>0</v>
      </c>
      <c r="R249" s="137">
        <f t="shared" si="42"/>
        <v>0</v>
      </c>
      <c r="S249" s="137">
        <v>0</v>
      </c>
      <c r="T249" s="138">
        <f t="shared" si="43"/>
        <v>0</v>
      </c>
      <c r="AR249" s="139" t="s">
        <v>496</v>
      </c>
      <c r="AT249" s="139" t="s">
        <v>339</v>
      </c>
      <c r="AU249" s="139" t="s">
        <v>90</v>
      </c>
      <c r="AY249" s="2" t="s">
        <v>337</v>
      </c>
      <c r="BE249" s="140">
        <f t="shared" si="44"/>
        <v>0</v>
      </c>
      <c r="BF249" s="140">
        <f t="shared" si="45"/>
        <v>0</v>
      </c>
      <c r="BG249" s="140">
        <f t="shared" si="46"/>
        <v>0</v>
      </c>
      <c r="BH249" s="140">
        <f t="shared" si="47"/>
        <v>0</v>
      </c>
      <c r="BI249" s="140">
        <f t="shared" si="48"/>
        <v>0</v>
      </c>
      <c r="BJ249" s="2" t="s">
        <v>87</v>
      </c>
      <c r="BK249" s="140">
        <f t="shared" si="49"/>
        <v>0</v>
      </c>
      <c r="BL249" s="2" t="s">
        <v>496</v>
      </c>
      <c r="BM249" s="139" t="s">
        <v>2284</v>
      </c>
    </row>
    <row r="250" spans="2:65" s="16" customFormat="1" ht="16.5" customHeight="1" x14ac:dyDescent="0.2">
      <c r="B250" s="17"/>
      <c r="C250" s="128">
        <v>105</v>
      </c>
      <c r="D250" s="128" t="s">
        <v>339</v>
      </c>
      <c r="E250" s="129" t="s">
        <v>6719</v>
      </c>
      <c r="F250" s="130" t="s">
        <v>6720</v>
      </c>
      <c r="G250" s="131" t="s">
        <v>449</v>
      </c>
      <c r="H250" s="132">
        <v>1</v>
      </c>
      <c r="I250" s="133"/>
      <c r="J250" s="134">
        <f t="shared" si="40"/>
        <v>0</v>
      </c>
      <c r="K250" s="130"/>
      <c r="L250" s="17"/>
      <c r="M250" s="135"/>
      <c r="N250" s="136" t="s">
        <v>45</v>
      </c>
      <c r="P250" s="137">
        <f t="shared" si="41"/>
        <v>0</v>
      </c>
      <c r="Q250" s="137">
        <v>0</v>
      </c>
      <c r="R250" s="137">
        <f t="shared" si="42"/>
        <v>0</v>
      </c>
      <c r="S250" s="137">
        <v>0</v>
      </c>
      <c r="T250" s="138">
        <f t="shared" si="43"/>
        <v>0</v>
      </c>
      <c r="AR250" s="139" t="s">
        <v>496</v>
      </c>
      <c r="AT250" s="139" t="s">
        <v>339</v>
      </c>
      <c r="AU250" s="139" t="s">
        <v>90</v>
      </c>
      <c r="AY250" s="2" t="s">
        <v>337</v>
      </c>
      <c r="BE250" s="140">
        <f t="shared" si="44"/>
        <v>0</v>
      </c>
      <c r="BF250" s="140">
        <f t="shared" si="45"/>
        <v>0</v>
      </c>
      <c r="BG250" s="140">
        <f t="shared" si="46"/>
        <v>0</v>
      </c>
      <c r="BH250" s="140">
        <f t="shared" si="47"/>
        <v>0</v>
      </c>
      <c r="BI250" s="140">
        <f t="shared" si="48"/>
        <v>0</v>
      </c>
      <c r="BJ250" s="2" t="s">
        <v>87</v>
      </c>
      <c r="BK250" s="140">
        <f t="shared" si="49"/>
        <v>0</v>
      </c>
      <c r="BL250" s="2" t="s">
        <v>496</v>
      </c>
      <c r="BM250" s="139" t="s">
        <v>2297</v>
      </c>
    </row>
    <row r="251" spans="2:65" s="16" customFormat="1" ht="16.5" customHeight="1" x14ac:dyDescent="0.2">
      <c r="B251" s="17"/>
      <c r="C251" s="128">
        <v>106</v>
      </c>
      <c r="D251" s="128" t="s">
        <v>339</v>
      </c>
      <c r="E251" s="129" t="s">
        <v>6721</v>
      </c>
      <c r="F251" s="130" t="s">
        <v>6722</v>
      </c>
      <c r="G251" s="131" t="s">
        <v>449</v>
      </c>
      <c r="H251" s="132">
        <v>1</v>
      </c>
      <c r="I251" s="133"/>
      <c r="J251" s="134">
        <f t="shared" si="40"/>
        <v>0</v>
      </c>
      <c r="K251" s="130"/>
      <c r="L251" s="17"/>
      <c r="M251" s="135"/>
      <c r="N251" s="136" t="s">
        <v>45</v>
      </c>
      <c r="P251" s="137">
        <f t="shared" si="41"/>
        <v>0</v>
      </c>
      <c r="Q251" s="137">
        <v>0</v>
      </c>
      <c r="R251" s="137">
        <f t="shared" si="42"/>
        <v>0</v>
      </c>
      <c r="S251" s="137">
        <v>0</v>
      </c>
      <c r="T251" s="138">
        <f t="shared" si="43"/>
        <v>0</v>
      </c>
      <c r="AR251" s="139" t="s">
        <v>496</v>
      </c>
      <c r="AT251" s="139" t="s">
        <v>339</v>
      </c>
      <c r="AU251" s="139" t="s">
        <v>90</v>
      </c>
      <c r="AY251" s="2" t="s">
        <v>337</v>
      </c>
      <c r="BE251" s="140">
        <f t="shared" si="44"/>
        <v>0</v>
      </c>
      <c r="BF251" s="140">
        <f t="shared" si="45"/>
        <v>0</v>
      </c>
      <c r="BG251" s="140">
        <f t="shared" si="46"/>
        <v>0</v>
      </c>
      <c r="BH251" s="140">
        <f t="shared" si="47"/>
        <v>0</v>
      </c>
      <c r="BI251" s="140">
        <f t="shared" si="48"/>
        <v>0</v>
      </c>
      <c r="BJ251" s="2" t="s">
        <v>87</v>
      </c>
      <c r="BK251" s="140">
        <f t="shared" si="49"/>
        <v>0</v>
      </c>
      <c r="BL251" s="2" t="s">
        <v>496</v>
      </c>
      <c r="BM251" s="139" t="s">
        <v>6723</v>
      </c>
    </row>
    <row r="252" spans="2:65" s="16" customFormat="1" ht="16.5" customHeight="1" x14ac:dyDescent="0.2">
      <c r="B252" s="17"/>
      <c r="C252" s="128">
        <v>107</v>
      </c>
      <c r="D252" s="128" t="s">
        <v>339</v>
      </c>
      <c r="E252" s="129" t="s">
        <v>6724</v>
      </c>
      <c r="F252" s="130" t="s">
        <v>6725</v>
      </c>
      <c r="G252" s="131" t="s">
        <v>449</v>
      </c>
      <c r="H252" s="132">
        <v>50</v>
      </c>
      <c r="I252" s="133"/>
      <c r="J252" s="134">
        <f t="shared" si="40"/>
        <v>0</v>
      </c>
      <c r="K252" s="130"/>
      <c r="L252" s="17"/>
      <c r="M252" s="135"/>
      <c r="N252" s="136" t="s">
        <v>45</v>
      </c>
      <c r="P252" s="137">
        <f t="shared" si="41"/>
        <v>0</v>
      </c>
      <c r="Q252" s="137">
        <v>0</v>
      </c>
      <c r="R252" s="137">
        <f t="shared" si="42"/>
        <v>0</v>
      </c>
      <c r="S252" s="137">
        <v>0</v>
      </c>
      <c r="T252" s="138">
        <f t="shared" si="43"/>
        <v>0</v>
      </c>
      <c r="AR252" s="139" t="s">
        <v>496</v>
      </c>
      <c r="AT252" s="139" t="s">
        <v>339</v>
      </c>
      <c r="AU252" s="139" t="s">
        <v>90</v>
      </c>
      <c r="AY252" s="2" t="s">
        <v>337</v>
      </c>
      <c r="BE252" s="140">
        <f t="shared" si="44"/>
        <v>0</v>
      </c>
      <c r="BF252" s="140">
        <f t="shared" si="45"/>
        <v>0</v>
      </c>
      <c r="BG252" s="140">
        <f t="shared" si="46"/>
        <v>0</v>
      </c>
      <c r="BH252" s="140">
        <f t="shared" si="47"/>
        <v>0</v>
      </c>
      <c r="BI252" s="140">
        <f t="shared" si="48"/>
        <v>0</v>
      </c>
      <c r="BJ252" s="2" t="s">
        <v>87</v>
      </c>
      <c r="BK252" s="140">
        <f t="shared" si="49"/>
        <v>0</v>
      </c>
      <c r="BL252" s="2" t="s">
        <v>496</v>
      </c>
      <c r="BM252" s="139" t="s">
        <v>2324</v>
      </c>
    </row>
    <row r="253" spans="2:65" s="16" customFormat="1" ht="16.5" customHeight="1" x14ac:dyDescent="0.2">
      <c r="B253" s="17"/>
      <c r="C253" s="128">
        <v>108</v>
      </c>
      <c r="D253" s="128" t="s">
        <v>339</v>
      </c>
      <c r="E253" s="129" t="s">
        <v>6726</v>
      </c>
      <c r="F253" s="130" t="s">
        <v>6727</v>
      </c>
      <c r="G253" s="131" t="s">
        <v>449</v>
      </c>
      <c r="H253" s="132">
        <v>1</v>
      </c>
      <c r="I253" s="133"/>
      <c r="J253" s="134">
        <f t="shared" si="40"/>
        <v>0</v>
      </c>
      <c r="K253" s="130"/>
      <c r="L253" s="17"/>
      <c r="M253" s="135"/>
      <c r="N253" s="136" t="s">
        <v>45</v>
      </c>
      <c r="P253" s="137">
        <f t="shared" si="41"/>
        <v>0</v>
      </c>
      <c r="Q253" s="137">
        <v>0</v>
      </c>
      <c r="R253" s="137">
        <f t="shared" si="42"/>
        <v>0</v>
      </c>
      <c r="S253" s="137">
        <v>0</v>
      </c>
      <c r="T253" s="138">
        <f t="shared" si="43"/>
        <v>0</v>
      </c>
      <c r="AR253" s="139" t="s">
        <v>496</v>
      </c>
      <c r="AT253" s="139" t="s">
        <v>339</v>
      </c>
      <c r="AU253" s="139" t="s">
        <v>90</v>
      </c>
      <c r="AY253" s="2" t="s">
        <v>337</v>
      </c>
      <c r="BE253" s="140">
        <f t="shared" si="44"/>
        <v>0</v>
      </c>
      <c r="BF253" s="140">
        <f t="shared" si="45"/>
        <v>0</v>
      </c>
      <c r="BG253" s="140">
        <f t="shared" si="46"/>
        <v>0</v>
      </c>
      <c r="BH253" s="140">
        <f t="shared" si="47"/>
        <v>0</v>
      </c>
      <c r="BI253" s="140">
        <f t="shared" si="48"/>
        <v>0</v>
      </c>
      <c r="BJ253" s="2" t="s">
        <v>87</v>
      </c>
      <c r="BK253" s="140">
        <f t="shared" si="49"/>
        <v>0</v>
      </c>
      <c r="BL253" s="2" t="s">
        <v>496</v>
      </c>
      <c r="BM253" s="139" t="s">
        <v>2333</v>
      </c>
    </row>
    <row r="254" spans="2:65" s="16" customFormat="1" ht="16.5" customHeight="1" x14ac:dyDescent="0.2">
      <c r="B254" s="17"/>
      <c r="C254" s="128">
        <v>109</v>
      </c>
      <c r="D254" s="128" t="s">
        <v>339</v>
      </c>
      <c r="E254" s="129" t="s">
        <v>6728</v>
      </c>
      <c r="F254" s="130" t="s">
        <v>6729</v>
      </c>
      <c r="G254" s="131" t="s">
        <v>449</v>
      </c>
      <c r="H254" s="132">
        <v>1</v>
      </c>
      <c r="I254" s="133"/>
      <c r="J254" s="134">
        <f t="shared" si="40"/>
        <v>0</v>
      </c>
      <c r="K254" s="130"/>
      <c r="L254" s="17"/>
      <c r="M254" s="135"/>
      <c r="N254" s="136" t="s">
        <v>45</v>
      </c>
      <c r="P254" s="137">
        <f t="shared" si="41"/>
        <v>0</v>
      </c>
      <c r="Q254" s="137">
        <v>0</v>
      </c>
      <c r="R254" s="137">
        <f t="shared" si="42"/>
        <v>0</v>
      </c>
      <c r="S254" s="137">
        <v>0</v>
      </c>
      <c r="T254" s="138">
        <f t="shared" si="43"/>
        <v>0</v>
      </c>
      <c r="AR254" s="139" t="s">
        <v>496</v>
      </c>
      <c r="AT254" s="139" t="s">
        <v>339</v>
      </c>
      <c r="AU254" s="139" t="s">
        <v>90</v>
      </c>
      <c r="AY254" s="2" t="s">
        <v>337</v>
      </c>
      <c r="BE254" s="140">
        <f t="shared" si="44"/>
        <v>0</v>
      </c>
      <c r="BF254" s="140">
        <f t="shared" si="45"/>
        <v>0</v>
      </c>
      <c r="BG254" s="140">
        <f t="shared" si="46"/>
        <v>0</v>
      </c>
      <c r="BH254" s="140">
        <f t="shared" si="47"/>
        <v>0</v>
      </c>
      <c r="BI254" s="140">
        <f t="shared" si="48"/>
        <v>0</v>
      </c>
      <c r="BJ254" s="2" t="s">
        <v>87</v>
      </c>
      <c r="BK254" s="140">
        <f t="shared" si="49"/>
        <v>0</v>
      </c>
      <c r="BL254" s="2" t="s">
        <v>496</v>
      </c>
      <c r="BM254" s="139" t="s">
        <v>2434</v>
      </c>
    </row>
    <row r="255" spans="2:65" s="16" customFormat="1" ht="16.5" customHeight="1" x14ac:dyDescent="0.2">
      <c r="B255" s="17"/>
      <c r="C255" s="128">
        <v>110</v>
      </c>
      <c r="D255" s="128" t="s">
        <v>339</v>
      </c>
      <c r="E255" s="129" t="s">
        <v>6730</v>
      </c>
      <c r="F255" s="130" t="s">
        <v>6731</v>
      </c>
      <c r="G255" s="131" t="s">
        <v>449</v>
      </c>
      <c r="H255" s="132">
        <v>8</v>
      </c>
      <c r="I255" s="133"/>
      <c r="J255" s="134">
        <f t="shared" si="40"/>
        <v>0</v>
      </c>
      <c r="K255" s="130"/>
      <c r="L255" s="17"/>
      <c r="M255" s="135"/>
      <c r="N255" s="136" t="s">
        <v>45</v>
      </c>
      <c r="P255" s="137">
        <f t="shared" si="41"/>
        <v>0</v>
      </c>
      <c r="Q255" s="137">
        <v>0</v>
      </c>
      <c r="R255" s="137">
        <f t="shared" si="42"/>
        <v>0</v>
      </c>
      <c r="S255" s="137">
        <v>0</v>
      </c>
      <c r="T255" s="138">
        <f t="shared" si="43"/>
        <v>0</v>
      </c>
      <c r="AR255" s="139" t="s">
        <v>496</v>
      </c>
      <c r="AT255" s="139" t="s">
        <v>339</v>
      </c>
      <c r="AU255" s="139" t="s">
        <v>90</v>
      </c>
      <c r="AY255" s="2" t="s">
        <v>337</v>
      </c>
      <c r="BE255" s="140">
        <f t="shared" si="44"/>
        <v>0</v>
      </c>
      <c r="BF255" s="140">
        <f t="shared" si="45"/>
        <v>0</v>
      </c>
      <c r="BG255" s="140">
        <f t="shared" si="46"/>
        <v>0</v>
      </c>
      <c r="BH255" s="140">
        <f t="shared" si="47"/>
        <v>0</v>
      </c>
      <c r="BI255" s="140">
        <f t="shared" si="48"/>
        <v>0</v>
      </c>
      <c r="BJ255" s="2" t="s">
        <v>87</v>
      </c>
      <c r="BK255" s="140">
        <f t="shared" si="49"/>
        <v>0</v>
      </c>
      <c r="BL255" s="2" t="s">
        <v>496</v>
      </c>
      <c r="BM255" s="139" t="s">
        <v>1557</v>
      </c>
    </row>
    <row r="256" spans="2:65" s="16" customFormat="1" ht="16.5" customHeight="1" x14ac:dyDescent="0.2">
      <c r="B256" s="17"/>
      <c r="C256" s="128">
        <v>111</v>
      </c>
      <c r="D256" s="128" t="s">
        <v>339</v>
      </c>
      <c r="E256" s="129" t="s">
        <v>6732</v>
      </c>
      <c r="F256" s="130" t="s">
        <v>6733</v>
      </c>
      <c r="G256" s="131" t="s">
        <v>449</v>
      </c>
      <c r="H256" s="132">
        <v>1</v>
      </c>
      <c r="I256" s="133"/>
      <c r="J256" s="134">
        <f t="shared" si="40"/>
        <v>0</v>
      </c>
      <c r="K256" s="130"/>
      <c r="L256" s="17"/>
      <c r="M256" s="135"/>
      <c r="N256" s="136" t="s">
        <v>45</v>
      </c>
      <c r="P256" s="137">
        <f t="shared" si="41"/>
        <v>0</v>
      </c>
      <c r="Q256" s="137">
        <v>0</v>
      </c>
      <c r="R256" s="137">
        <f t="shared" si="42"/>
        <v>0</v>
      </c>
      <c r="S256" s="137">
        <v>0</v>
      </c>
      <c r="T256" s="138">
        <f t="shared" si="43"/>
        <v>0</v>
      </c>
      <c r="AR256" s="139" t="s">
        <v>496</v>
      </c>
      <c r="AT256" s="139" t="s">
        <v>339</v>
      </c>
      <c r="AU256" s="139" t="s">
        <v>90</v>
      </c>
      <c r="AY256" s="2" t="s">
        <v>337</v>
      </c>
      <c r="BE256" s="140">
        <f t="shared" si="44"/>
        <v>0</v>
      </c>
      <c r="BF256" s="140">
        <f t="shared" si="45"/>
        <v>0</v>
      </c>
      <c r="BG256" s="140">
        <f t="shared" si="46"/>
        <v>0</v>
      </c>
      <c r="BH256" s="140">
        <f t="shared" si="47"/>
        <v>0</v>
      </c>
      <c r="BI256" s="140">
        <f t="shared" si="48"/>
        <v>0</v>
      </c>
      <c r="BJ256" s="2" t="s">
        <v>87</v>
      </c>
      <c r="BK256" s="140">
        <f t="shared" si="49"/>
        <v>0</v>
      </c>
      <c r="BL256" s="2" t="s">
        <v>496</v>
      </c>
      <c r="BM256" s="139" t="s">
        <v>1562</v>
      </c>
    </row>
    <row r="257" spans="2:65" s="16" customFormat="1" ht="16.5" customHeight="1" x14ac:dyDescent="0.2">
      <c r="B257" s="17"/>
      <c r="C257" s="128">
        <v>112</v>
      </c>
      <c r="D257" s="128" t="s">
        <v>339</v>
      </c>
      <c r="E257" s="129" t="s">
        <v>6734</v>
      </c>
      <c r="F257" s="130" t="s">
        <v>6735</v>
      </c>
      <c r="G257" s="131" t="s">
        <v>449</v>
      </c>
      <c r="H257" s="132">
        <v>16</v>
      </c>
      <c r="I257" s="133"/>
      <c r="J257" s="134">
        <f t="shared" si="40"/>
        <v>0</v>
      </c>
      <c r="K257" s="130"/>
      <c r="L257" s="17"/>
      <c r="M257" s="135"/>
      <c r="N257" s="136" t="s">
        <v>45</v>
      </c>
      <c r="P257" s="137">
        <f t="shared" si="41"/>
        <v>0</v>
      </c>
      <c r="Q257" s="137">
        <v>0</v>
      </c>
      <c r="R257" s="137">
        <f t="shared" si="42"/>
        <v>0</v>
      </c>
      <c r="S257" s="137">
        <v>0</v>
      </c>
      <c r="T257" s="138">
        <f t="shared" si="43"/>
        <v>0</v>
      </c>
      <c r="AR257" s="139" t="s">
        <v>496</v>
      </c>
      <c r="AT257" s="139" t="s">
        <v>339</v>
      </c>
      <c r="AU257" s="139" t="s">
        <v>90</v>
      </c>
      <c r="AY257" s="2" t="s">
        <v>337</v>
      </c>
      <c r="BE257" s="140">
        <f t="shared" si="44"/>
        <v>0</v>
      </c>
      <c r="BF257" s="140">
        <f t="shared" si="45"/>
        <v>0</v>
      </c>
      <c r="BG257" s="140">
        <f t="shared" si="46"/>
        <v>0</v>
      </c>
      <c r="BH257" s="140">
        <f t="shared" si="47"/>
        <v>0</v>
      </c>
      <c r="BI257" s="140">
        <f t="shared" si="48"/>
        <v>0</v>
      </c>
      <c r="BJ257" s="2" t="s">
        <v>87</v>
      </c>
      <c r="BK257" s="140">
        <f t="shared" si="49"/>
        <v>0</v>
      </c>
      <c r="BL257" s="2" t="s">
        <v>496</v>
      </c>
      <c r="BM257" s="139" t="s">
        <v>721</v>
      </c>
    </row>
    <row r="258" spans="2:65" s="16" customFormat="1" ht="16.5" customHeight="1" x14ac:dyDescent="0.2">
      <c r="B258" s="17"/>
      <c r="C258" s="128">
        <v>113</v>
      </c>
      <c r="D258" s="128" t="s">
        <v>339</v>
      </c>
      <c r="E258" s="129" t="s">
        <v>6736</v>
      </c>
      <c r="F258" s="130" t="s">
        <v>6737</v>
      </c>
      <c r="G258" s="131" t="s">
        <v>449</v>
      </c>
      <c r="H258" s="132">
        <v>8</v>
      </c>
      <c r="I258" s="133"/>
      <c r="J258" s="134">
        <f t="shared" si="40"/>
        <v>0</v>
      </c>
      <c r="K258" s="130"/>
      <c r="L258" s="17"/>
      <c r="M258" s="135"/>
      <c r="N258" s="136" t="s">
        <v>45</v>
      </c>
      <c r="P258" s="137">
        <f t="shared" si="41"/>
        <v>0</v>
      </c>
      <c r="Q258" s="137">
        <v>0</v>
      </c>
      <c r="R258" s="137">
        <f t="shared" si="42"/>
        <v>0</v>
      </c>
      <c r="S258" s="137">
        <v>0</v>
      </c>
      <c r="T258" s="138">
        <f t="shared" si="43"/>
        <v>0</v>
      </c>
      <c r="AR258" s="139" t="s">
        <v>496</v>
      </c>
      <c r="AT258" s="139" t="s">
        <v>339</v>
      </c>
      <c r="AU258" s="139" t="s">
        <v>90</v>
      </c>
      <c r="AY258" s="2" t="s">
        <v>337</v>
      </c>
      <c r="BE258" s="140">
        <f t="shared" si="44"/>
        <v>0</v>
      </c>
      <c r="BF258" s="140">
        <f t="shared" si="45"/>
        <v>0</v>
      </c>
      <c r="BG258" s="140">
        <f t="shared" si="46"/>
        <v>0</v>
      </c>
      <c r="BH258" s="140">
        <f t="shared" si="47"/>
        <v>0</v>
      </c>
      <c r="BI258" s="140">
        <f t="shared" si="48"/>
        <v>0</v>
      </c>
      <c r="BJ258" s="2" t="s">
        <v>87</v>
      </c>
      <c r="BK258" s="140">
        <f t="shared" si="49"/>
        <v>0</v>
      </c>
      <c r="BL258" s="2" t="s">
        <v>496</v>
      </c>
      <c r="BM258" s="139" t="s">
        <v>1024</v>
      </c>
    </row>
    <row r="259" spans="2:65" s="16" customFormat="1" ht="16.5" customHeight="1" x14ac:dyDescent="0.2">
      <c r="B259" s="17"/>
      <c r="C259" s="128">
        <v>114</v>
      </c>
      <c r="D259" s="128" t="s">
        <v>339</v>
      </c>
      <c r="E259" s="129" t="s">
        <v>6738</v>
      </c>
      <c r="F259" s="130" t="s">
        <v>6739</v>
      </c>
      <c r="G259" s="131" t="s">
        <v>449</v>
      </c>
      <c r="H259" s="132">
        <v>1</v>
      </c>
      <c r="I259" s="133"/>
      <c r="J259" s="134">
        <f t="shared" si="40"/>
        <v>0</v>
      </c>
      <c r="K259" s="130"/>
      <c r="L259" s="17"/>
      <c r="M259" s="135"/>
      <c r="N259" s="136" t="s">
        <v>45</v>
      </c>
      <c r="P259" s="137">
        <f t="shared" si="41"/>
        <v>0</v>
      </c>
      <c r="Q259" s="137">
        <v>0</v>
      </c>
      <c r="R259" s="137">
        <f t="shared" si="42"/>
        <v>0</v>
      </c>
      <c r="S259" s="137">
        <v>0</v>
      </c>
      <c r="T259" s="138">
        <f t="shared" si="43"/>
        <v>0</v>
      </c>
      <c r="AR259" s="139" t="s">
        <v>496</v>
      </c>
      <c r="AT259" s="139" t="s">
        <v>339</v>
      </c>
      <c r="AU259" s="139" t="s">
        <v>90</v>
      </c>
      <c r="AY259" s="2" t="s">
        <v>337</v>
      </c>
      <c r="BE259" s="140">
        <f t="shared" si="44"/>
        <v>0</v>
      </c>
      <c r="BF259" s="140">
        <f t="shared" si="45"/>
        <v>0</v>
      </c>
      <c r="BG259" s="140">
        <f t="shared" si="46"/>
        <v>0</v>
      </c>
      <c r="BH259" s="140">
        <f t="shared" si="47"/>
        <v>0</v>
      </c>
      <c r="BI259" s="140">
        <f t="shared" si="48"/>
        <v>0</v>
      </c>
      <c r="BJ259" s="2" t="s">
        <v>87</v>
      </c>
      <c r="BK259" s="140">
        <f t="shared" si="49"/>
        <v>0</v>
      </c>
      <c r="BL259" s="2" t="s">
        <v>496</v>
      </c>
      <c r="BM259" s="139" t="s">
        <v>1058</v>
      </c>
    </row>
    <row r="260" spans="2:65" s="16" customFormat="1" ht="24.2" customHeight="1" x14ac:dyDescent="0.2">
      <c r="B260" s="17"/>
      <c r="C260" s="128">
        <v>115</v>
      </c>
      <c r="D260" s="128" t="s">
        <v>339</v>
      </c>
      <c r="E260" s="129" t="s">
        <v>6740</v>
      </c>
      <c r="F260" s="130" t="s">
        <v>6741</v>
      </c>
      <c r="G260" s="131" t="s">
        <v>6048</v>
      </c>
      <c r="H260" s="192"/>
      <c r="I260" s="133"/>
      <c r="J260" s="134">
        <f t="shared" si="40"/>
        <v>0</v>
      </c>
      <c r="K260" s="130" t="s">
        <v>343</v>
      </c>
      <c r="L260" s="17"/>
      <c r="M260" s="135"/>
      <c r="N260" s="136" t="s">
        <v>45</v>
      </c>
      <c r="P260" s="137">
        <f t="shared" si="41"/>
        <v>0</v>
      </c>
      <c r="Q260" s="137">
        <v>0</v>
      </c>
      <c r="R260" s="137">
        <f t="shared" si="42"/>
        <v>0</v>
      </c>
      <c r="S260" s="137">
        <v>0</v>
      </c>
      <c r="T260" s="138">
        <f t="shared" si="43"/>
        <v>0</v>
      </c>
      <c r="AR260" s="139" t="s">
        <v>496</v>
      </c>
      <c r="AT260" s="139" t="s">
        <v>339</v>
      </c>
      <c r="AU260" s="139" t="s">
        <v>90</v>
      </c>
      <c r="AY260" s="2" t="s">
        <v>337</v>
      </c>
      <c r="BE260" s="140">
        <f t="shared" si="44"/>
        <v>0</v>
      </c>
      <c r="BF260" s="140">
        <f t="shared" si="45"/>
        <v>0</v>
      </c>
      <c r="BG260" s="140">
        <f t="shared" si="46"/>
        <v>0</v>
      </c>
      <c r="BH260" s="140">
        <f t="shared" si="47"/>
        <v>0</v>
      </c>
      <c r="BI260" s="140">
        <f t="shared" si="48"/>
        <v>0</v>
      </c>
      <c r="BJ260" s="2" t="s">
        <v>87</v>
      </c>
      <c r="BK260" s="140">
        <f t="shared" si="49"/>
        <v>0</v>
      </c>
      <c r="BL260" s="2" t="s">
        <v>496</v>
      </c>
      <c r="BM260" s="139" t="s">
        <v>6742</v>
      </c>
    </row>
    <row r="261" spans="2:65" s="116" customFormat="1" ht="22.9" customHeight="1" x14ac:dyDescent="0.2">
      <c r="B261" s="117"/>
      <c r="D261" s="118" t="s">
        <v>79</v>
      </c>
      <c r="E261" s="126" t="s">
        <v>2282</v>
      </c>
      <c r="F261" s="126" t="s">
        <v>2283</v>
      </c>
      <c r="J261" s="127">
        <f>BK261</f>
        <v>0</v>
      </c>
      <c r="L261" s="117"/>
      <c r="M261" s="121"/>
      <c r="P261" s="122">
        <f>SUM(P262:P264)</f>
        <v>0</v>
      </c>
      <c r="R261" s="122">
        <f>SUM(R262:R264)</f>
        <v>0</v>
      </c>
      <c r="T261" s="123">
        <f>SUM(T262:T264)</f>
        <v>0</v>
      </c>
      <c r="AR261" s="118" t="s">
        <v>90</v>
      </c>
      <c r="AT261" s="124" t="s">
        <v>79</v>
      </c>
      <c r="AU261" s="124" t="s">
        <v>87</v>
      </c>
      <c r="AY261" s="118" t="s">
        <v>337</v>
      </c>
      <c r="BK261" s="125">
        <f>SUM(BK262:BK264)</f>
        <v>0</v>
      </c>
    </row>
    <row r="262" spans="2:65" s="16" customFormat="1" ht="16.5" customHeight="1" x14ac:dyDescent="0.2">
      <c r="B262" s="17"/>
      <c r="C262" s="128">
        <v>116</v>
      </c>
      <c r="D262" s="128" t="s">
        <v>339</v>
      </c>
      <c r="E262" s="129" t="s">
        <v>6743</v>
      </c>
      <c r="F262" s="130" t="s">
        <v>6744</v>
      </c>
      <c r="G262" s="131" t="s">
        <v>724</v>
      </c>
      <c r="H262" s="132">
        <v>27</v>
      </c>
      <c r="I262" s="133"/>
      <c r="J262" s="134">
        <f>ROUND(I262*H262,2)</f>
        <v>0</v>
      </c>
      <c r="K262" s="130" t="s">
        <v>343</v>
      </c>
      <c r="L262" s="17"/>
      <c r="M262" s="135"/>
      <c r="N262" s="136" t="s">
        <v>45</v>
      </c>
      <c r="P262" s="137">
        <f>O262*H262</f>
        <v>0</v>
      </c>
      <c r="Q262" s="137">
        <v>0</v>
      </c>
      <c r="R262" s="137">
        <f>Q262*H262</f>
        <v>0</v>
      </c>
      <c r="S262" s="137">
        <v>0</v>
      </c>
      <c r="T262" s="138">
        <f>S262*H262</f>
        <v>0</v>
      </c>
      <c r="AR262" s="139" t="s">
        <v>496</v>
      </c>
      <c r="AT262" s="139" t="s">
        <v>339</v>
      </c>
      <c r="AU262" s="139" t="s">
        <v>90</v>
      </c>
      <c r="AY262" s="2" t="s">
        <v>337</v>
      </c>
      <c r="BE262" s="140">
        <f>IF(N262="základní",J262,0)</f>
        <v>0</v>
      </c>
      <c r="BF262" s="140">
        <f>IF(N262="snížená",J262,0)</f>
        <v>0</v>
      </c>
      <c r="BG262" s="140">
        <f>IF(N262="zákl. přenesená",J262,0)</f>
        <v>0</v>
      </c>
      <c r="BH262" s="140">
        <f>IF(N262="sníž. přenesená",J262,0)</f>
        <v>0</v>
      </c>
      <c r="BI262" s="140">
        <f>IF(N262="nulová",J262,0)</f>
        <v>0</v>
      </c>
      <c r="BJ262" s="2" t="s">
        <v>87</v>
      </c>
      <c r="BK262" s="140">
        <f>ROUND(I262*H262,2)</f>
        <v>0</v>
      </c>
      <c r="BL262" s="2" t="s">
        <v>496</v>
      </c>
      <c r="BM262" s="139" t="s">
        <v>1136</v>
      </c>
    </row>
    <row r="263" spans="2:65" s="16" customFormat="1" ht="21.75" customHeight="1" x14ac:dyDescent="0.2">
      <c r="B263" s="17"/>
      <c r="C263" s="128">
        <v>117</v>
      </c>
      <c r="D263" s="128" t="s">
        <v>339</v>
      </c>
      <c r="E263" s="129" t="s">
        <v>6745</v>
      </c>
      <c r="F263" s="130" t="s">
        <v>6746</v>
      </c>
      <c r="G263" s="131" t="s">
        <v>724</v>
      </c>
      <c r="H263" s="132">
        <v>167</v>
      </c>
      <c r="I263" s="133"/>
      <c r="J263" s="134">
        <f>ROUND(I263*H263,2)</f>
        <v>0</v>
      </c>
      <c r="K263" s="130" t="s">
        <v>343</v>
      </c>
      <c r="L263" s="17"/>
      <c r="M263" s="135"/>
      <c r="N263" s="136" t="s">
        <v>45</v>
      </c>
      <c r="P263" s="137">
        <f>O263*H263</f>
        <v>0</v>
      </c>
      <c r="Q263" s="137">
        <v>0</v>
      </c>
      <c r="R263" s="137">
        <f>Q263*H263</f>
        <v>0</v>
      </c>
      <c r="S263" s="137">
        <v>0</v>
      </c>
      <c r="T263" s="138">
        <f>S263*H263</f>
        <v>0</v>
      </c>
      <c r="AR263" s="139" t="s">
        <v>496</v>
      </c>
      <c r="AT263" s="139" t="s">
        <v>339</v>
      </c>
      <c r="AU263" s="139" t="s">
        <v>90</v>
      </c>
      <c r="AY263" s="2" t="s">
        <v>337</v>
      </c>
      <c r="BE263" s="140">
        <f>IF(N263="základní",J263,0)</f>
        <v>0</v>
      </c>
      <c r="BF263" s="140">
        <f>IF(N263="snížená",J263,0)</f>
        <v>0</v>
      </c>
      <c r="BG263" s="140">
        <f>IF(N263="zákl. přenesená",J263,0)</f>
        <v>0</v>
      </c>
      <c r="BH263" s="140">
        <f>IF(N263="sníž. přenesená",J263,0)</f>
        <v>0</v>
      </c>
      <c r="BI263" s="140">
        <f>IF(N263="nulová",J263,0)</f>
        <v>0</v>
      </c>
      <c r="BJ263" s="2" t="s">
        <v>87</v>
      </c>
      <c r="BK263" s="140">
        <f>ROUND(I263*H263,2)</f>
        <v>0</v>
      </c>
      <c r="BL263" s="2" t="s">
        <v>496</v>
      </c>
      <c r="BM263" s="139" t="s">
        <v>2308</v>
      </c>
    </row>
    <row r="264" spans="2:65" s="16" customFormat="1" ht="21.75" customHeight="1" x14ac:dyDescent="0.2">
      <c r="B264" s="17"/>
      <c r="C264" s="128">
        <v>118</v>
      </c>
      <c r="D264" s="128" t="s">
        <v>339</v>
      </c>
      <c r="E264" s="129" t="s">
        <v>6747</v>
      </c>
      <c r="F264" s="130" t="s">
        <v>6748</v>
      </c>
      <c r="G264" s="131" t="s">
        <v>724</v>
      </c>
      <c r="H264" s="132">
        <v>20</v>
      </c>
      <c r="I264" s="133"/>
      <c r="J264" s="134">
        <f>ROUND(I264*H264,2)</f>
        <v>0</v>
      </c>
      <c r="K264" s="130" t="s">
        <v>343</v>
      </c>
      <c r="L264" s="17"/>
      <c r="M264" s="135"/>
      <c r="N264" s="136" t="s">
        <v>45</v>
      </c>
      <c r="P264" s="137">
        <f>O264*H264</f>
        <v>0</v>
      </c>
      <c r="Q264" s="137">
        <v>0</v>
      </c>
      <c r="R264" s="137">
        <f>Q264*H264</f>
        <v>0</v>
      </c>
      <c r="S264" s="137">
        <v>0</v>
      </c>
      <c r="T264" s="138">
        <f>S264*H264</f>
        <v>0</v>
      </c>
      <c r="AR264" s="139" t="s">
        <v>496</v>
      </c>
      <c r="AT264" s="139" t="s">
        <v>339</v>
      </c>
      <c r="AU264" s="139" t="s">
        <v>90</v>
      </c>
      <c r="AY264" s="2" t="s">
        <v>337</v>
      </c>
      <c r="BE264" s="140">
        <f>IF(N264="základní",J264,0)</f>
        <v>0</v>
      </c>
      <c r="BF264" s="140">
        <f>IF(N264="snížená",J264,0)</f>
        <v>0</v>
      </c>
      <c r="BG264" s="140">
        <f>IF(N264="zákl. přenesená",J264,0)</f>
        <v>0</v>
      </c>
      <c r="BH264" s="140">
        <f>IF(N264="sníž. přenesená",J264,0)</f>
        <v>0</v>
      </c>
      <c r="BI264" s="140">
        <f>IF(N264="nulová",J264,0)</f>
        <v>0</v>
      </c>
      <c r="BJ264" s="2" t="s">
        <v>87</v>
      </c>
      <c r="BK264" s="140">
        <f>ROUND(I264*H264,2)</f>
        <v>0</v>
      </c>
      <c r="BL264" s="2" t="s">
        <v>496</v>
      </c>
      <c r="BM264" s="139" t="s">
        <v>2329</v>
      </c>
    </row>
    <row r="265" spans="2:65" s="116" customFormat="1" ht="25.9" customHeight="1" x14ac:dyDescent="0.2">
      <c r="B265" s="117"/>
      <c r="D265" s="118" t="s">
        <v>79</v>
      </c>
      <c r="E265" s="119" t="s">
        <v>5123</v>
      </c>
      <c r="F265" s="119" t="s">
        <v>5124</v>
      </c>
      <c r="J265" s="120">
        <f>BK265</f>
        <v>0</v>
      </c>
      <c r="L265" s="117"/>
      <c r="M265" s="121"/>
      <c r="P265" s="122">
        <f>P266</f>
        <v>0</v>
      </c>
      <c r="R265" s="122">
        <f>R266</f>
        <v>0</v>
      </c>
      <c r="T265" s="123">
        <f>T266</f>
        <v>0</v>
      </c>
      <c r="AR265" s="118" t="s">
        <v>344</v>
      </c>
      <c r="AT265" s="124" t="s">
        <v>79</v>
      </c>
      <c r="AU265" s="124" t="s">
        <v>80</v>
      </c>
      <c r="AY265" s="118" t="s">
        <v>337</v>
      </c>
      <c r="BK265" s="125">
        <f>BK266</f>
        <v>0</v>
      </c>
    </row>
    <row r="266" spans="2:65" s="16" customFormat="1" ht="21.75" customHeight="1" x14ac:dyDescent="0.2">
      <c r="B266" s="17"/>
      <c r="C266" s="128">
        <v>119</v>
      </c>
      <c r="D266" s="128" t="s">
        <v>339</v>
      </c>
      <c r="E266" s="129" t="s">
        <v>6318</v>
      </c>
      <c r="F266" s="130" t="s">
        <v>6319</v>
      </c>
      <c r="G266" s="131" t="s">
        <v>3042</v>
      </c>
      <c r="H266" s="132">
        <v>400</v>
      </c>
      <c r="I266" s="133"/>
      <c r="J266" s="134">
        <f>ROUND(I266*H266,2)</f>
        <v>0</v>
      </c>
      <c r="K266" s="130" t="s">
        <v>343</v>
      </c>
      <c r="L266" s="17"/>
      <c r="M266" s="135"/>
      <c r="N266" s="136" t="s">
        <v>45</v>
      </c>
      <c r="P266" s="137">
        <f>O266*H266</f>
        <v>0</v>
      </c>
      <c r="Q266" s="137">
        <v>0</v>
      </c>
      <c r="R266" s="137">
        <f>Q266*H266</f>
        <v>0</v>
      </c>
      <c r="S266" s="137">
        <v>0</v>
      </c>
      <c r="T266" s="138">
        <f>S266*H266</f>
        <v>0</v>
      </c>
      <c r="AR266" s="139" t="s">
        <v>6320</v>
      </c>
      <c r="AT266" s="139" t="s">
        <v>339</v>
      </c>
      <c r="AU266" s="139" t="s">
        <v>87</v>
      </c>
      <c r="AY266" s="2" t="s">
        <v>337</v>
      </c>
      <c r="BE266" s="140">
        <f>IF(N266="základní",J266,0)</f>
        <v>0</v>
      </c>
      <c r="BF266" s="140">
        <f>IF(N266="snížená",J266,0)</f>
        <v>0</v>
      </c>
      <c r="BG266" s="140">
        <f>IF(N266="zákl. přenesená",J266,0)</f>
        <v>0</v>
      </c>
      <c r="BH266" s="140">
        <f>IF(N266="sníž. přenesená",J266,0)</f>
        <v>0</v>
      </c>
      <c r="BI266" s="140">
        <f>IF(N266="nulová",J266,0)</f>
        <v>0</v>
      </c>
      <c r="BJ266" s="2" t="s">
        <v>87</v>
      </c>
      <c r="BK266" s="140">
        <f>ROUND(I266*H266,2)</f>
        <v>0</v>
      </c>
      <c r="BL266" s="2" t="s">
        <v>6320</v>
      </c>
      <c r="BM266" s="139" t="s">
        <v>6749</v>
      </c>
    </row>
    <row r="267" spans="2:65" s="16" customFormat="1" ht="21.75" customHeight="1" x14ac:dyDescent="0.2">
      <c r="B267" s="17"/>
      <c r="C267" s="280"/>
      <c r="D267" s="280"/>
      <c r="E267" s="281"/>
      <c r="F267" s="151" t="s">
        <v>9242</v>
      </c>
      <c r="G267" s="283"/>
      <c r="H267" s="284"/>
      <c r="I267" s="116"/>
      <c r="J267" s="285"/>
      <c r="K267" s="282"/>
      <c r="M267" s="135"/>
      <c r="N267" s="136"/>
      <c r="P267" s="137"/>
      <c r="Q267" s="137"/>
      <c r="R267" s="137"/>
      <c r="S267" s="137"/>
      <c r="T267" s="138"/>
      <c r="AR267" s="139"/>
      <c r="AT267" s="139"/>
      <c r="AU267" s="139"/>
      <c r="AY267" s="2"/>
      <c r="BE267" s="140"/>
      <c r="BF267" s="140"/>
      <c r="BG267" s="140"/>
      <c r="BH267" s="140"/>
      <c r="BI267" s="140"/>
      <c r="BJ267" s="2"/>
      <c r="BK267" s="140"/>
      <c r="BL267" s="2"/>
      <c r="BM267" s="139"/>
    </row>
    <row r="268" spans="2:65" s="16" customFormat="1" ht="21.75" customHeight="1" x14ac:dyDescent="0.2">
      <c r="B268" s="17"/>
      <c r="C268" s="280"/>
      <c r="D268" s="280"/>
      <c r="E268" s="281"/>
      <c r="F268" s="151" t="s">
        <v>9244</v>
      </c>
      <c r="G268" s="283"/>
      <c r="H268" s="284"/>
      <c r="I268" s="116"/>
      <c r="J268" s="285"/>
      <c r="K268" s="282"/>
      <c r="M268" s="135"/>
      <c r="N268" s="136"/>
      <c r="P268" s="137"/>
      <c r="Q268" s="137"/>
      <c r="R268" s="137"/>
      <c r="S268" s="137"/>
      <c r="T268" s="138"/>
      <c r="AR268" s="139"/>
      <c r="AT268" s="139"/>
      <c r="AU268" s="139"/>
      <c r="AY268" s="2"/>
      <c r="BE268" s="140"/>
      <c r="BF268" s="140"/>
      <c r="BG268" s="140"/>
      <c r="BH268" s="140"/>
      <c r="BI268" s="140"/>
      <c r="BJ268" s="2"/>
      <c r="BK268" s="140"/>
      <c r="BL268" s="2"/>
      <c r="BM268" s="139"/>
    </row>
    <row r="269" spans="2:65" s="116" customFormat="1" ht="25.9" customHeight="1" x14ac:dyDescent="0.2">
      <c r="B269" s="117"/>
      <c r="D269" s="118" t="s">
        <v>79</v>
      </c>
      <c r="E269" s="119" t="s">
        <v>6321</v>
      </c>
      <c r="F269" s="119" t="s">
        <v>6322</v>
      </c>
      <c r="J269" s="120">
        <f>BK269</f>
        <v>0</v>
      </c>
      <c r="L269" s="117"/>
      <c r="M269" s="121"/>
      <c r="P269" s="122">
        <f>SUM(P270:P271)</f>
        <v>0</v>
      </c>
      <c r="R269" s="122">
        <f>SUM(R270:R271)</f>
        <v>0</v>
      </c>
      <c r="T269" s="123">
        <f>SUM(T270:T271)</f>
        <v>0</v>
      </c>
      <c r="AR269" s="118" t="s">
        <v>422</v>
      </c>
      <c r="AT269" s="124" t="s">
        <v>79</v>
      </c>
      <c r="AU269" s="124" t="s">
        <v>80</v>
      </c>
      <c r="AY269" s="118" t="s">
        <v>337</v>
      </c>
      <c r="BK269" s="125">
        <f>SUM(BK270:BK271)</f>
        <v>0</v>
      </c>
    </row>
    <row r="270" spans="2:65" s="16" customFormat="1" ht="16.5" customHeight="1" x14ac:dyDescent="0.2">
      <c r="B270" s="17"/>
      <c r="C270" s="128">
        <v>120</v>
      </c>
      <c r="D270" s="128" t="s">
        <v>339</v>
      </c>
      <c r="E270" s="129" t="s">
        <v>6323</v>
      </c>
      <c r="F270" s="130" t="s">
        <v>6324</v>
      </c>
      <c r="G270" s="131" t="s">
        <v>6145</v>
      </c>
      <c r="H270" s="132">
        <v>1</v>
      </c>
      <c r="I270" s="133"/>
      <c r="J270" s="134">
        <f>ROUND(I270*H270,2)</f>
        <v>0</v>
      </c>
      <c r="K270" s="130"/>
      <c r="L270" s="17"/>
      <c r="M270" s="135"/>
      <c r="N270" s="136" t="s">
        <v>45</v>
      </c>
      <c r="P270" s="137">
        <f>O270*H270</f>
        <v>0</v>
      </c>
      <c r="Q270" s="137">
        <v>0</v>
      </c>
      <c r="R270" s="137">
        <f>Q270*H270</f>
        <v>0</v>
      </c>
      <c r="S270" s="137">
        <v>0</v>
      </c>
      <c r="T270" s="138">
        <f>S270*H270</f>
        <v>0</v>
      </c>
      <c r="AR270" s="139" t="s">
        <v>344</v>
      </c>
      <c r="AT270" s="139" t="s">
        <v>339</v>
      </c>
      <c r="AU270" s="139" t="s">
        <v>87</v>
      </c>
      <c r="AY270" s="2" t="s">
        <v>337</v>
      </c>
      <c r="BE270" s="140">
        <f>IF(N270="základní",J270,0)</f>
        <v>0</v>
      </c>
      <c r="BF270" s="140">
        <f>IF(N270="snížená",J270,0)</f>
        <v>0</v>
      </c>
      <c r="BG270" s="140">
        <f>IF(N270="zákl. přenesená",J270,0)</f>
        <v>0</v>
      </c>
      <c r="BH270" s="140">
        <f>IF(N270="sníž. přenesená",J270,0)</f>
        <v>0</v>
      </c>
      <c r="BI270" s="140">
        <f>IF(N270="nulová",J270,0)</f>
        <v>0</v>
      </c>
      <c r="BJ270" s="2" t="s">
        <v>87</v>
      </c>
      <c r="BK270" s="140">
        <f>ROUND(I270*H270,2)</f>
        <v>0</v>
      </c>
      <c r="BL270" s="2" t="s">
        <v>344</v>
      </c>
      <c r="BM270" s="139" t="s">
        <v>6750</v>
      </c>
    </row>
    <row r="271" spans="2:65" s="16" customFormat="1" ht="24.2" customHeight="1" x14ac:dyDescent="0.2">
      <c r="B271" s="17"/>
      <c r="C271" s="128">
        <v>121</v>
      </c>
      <c r="D271" s="128" t="s">
        <v>339</v>
      </c>
      <c r="E271" s="129" t="s">
        <v>6751</v>
      </c>
      <c r="F271" s="130" t="s">
        <v>6752</v>
      </c>
      <c r="G271" s="131" t="s">
        <v>449</v>
      </c>
      <c r="H271" s="132">
        <v>200</v>
      </c>
      <c r="I271" s="133"/>
      <c r="J271" s="134">
        <f>ROUND(I271*H271,2)</f>
        <v>0</v>
      </c>
      <c r="K271" s="130"/>
      <c r="L271" s="17"/>
      <c r="M271" s="187"/>
      <c r="N271" s="188" t="s">
        <v>45</v>
      </c>
      <c r="O271" s="189"/>
      <c r="P271" s="190">
        <f>O271*H271</f>
        <v>0</v>
      </c>
      <c r="Q271" s="190">
        <v>0</v>
      </c>
      <c r="R271" s="190">
        <f>Q271*H271</f>
        <v>0</v>
      </c>
      <c r="S271" s="190">
        <v>0</v>
      </c>
      <c r="T271" s="191">
        <f>S271*H271</f>
        <v>0</v>
      </c>
      <c r="AR271" s="139" t="s">
        <v>344</v>
      </c>
      <c r="AT271" s="139" t="s">
        <v>339</v>
      </c>
      <c r="AU271" s="139" t="s">
        <v>87</v>
      </c>
      <c r="AY271" s="2" t="s">
        <v>337</v>
      </c>
      <c r="BE271" s="140">
        <f>IF(N271="základní",J271,0)</f>
        <v>0</v>
      </c>
      <c r="BF271" s="140">
        <f>IF(N271="snížená",J271,0)</f>
        <v>0</v>
      </c>
      <c r="BG271" s="140">
        <f>IF(N271="zákl. přenesená",J271,0)</f>
        <v>0</v>
      </c>
      <c r="BH271" s="140">
        <f>IF(N271="sníž. přenesená",J271,0)</f>
        <v>0</v>
      </c>
      <c r="BI271" s="140">
        <f>IF(N271="nulová",J271,0)</f>
        <v>0</v>
      </c>
      <c r="BJ271" s="2" t="s">
        <v>87</v>
      </c>
      <c r="BK271" s="140">
        <f>ROUND(I271*H271,2)</f>
        <v>0</v>
      </c>
      <c r="BL271" s="2" t="s">
        <v>344</v>
      </c>
      <c r="BM271" s="139" t="s">
        <v>6753</v>
      </c>
    </row>
    <row r="272" spans="2:65" s="16" customFormat="1" ht="6.95" customHeight="1" x14ac:dyDescent="0.2">
      <c r="B272" s="30"/>
      <c r="C272" s="19"/>
      <c r="D272" s="19"/>
      <c r="E272" s="19"/>
      <c r="F272" s="19"/>
      <c r="G272" s="19"/>
      <c r="H272" s="19"/>
      <c r="I272" s="19"/>
      <c r="J272" s="19"/>
      <c r="K272" s="19"/>
      <c r="L272" s="17"/>
    </row>
  </sheetData>
  <sheetProtection algorithmName="SHA-512" hashValue="hcli+lX7tRCSJUqPqjjDx6RbpkwY/KepYOt1O/ZoMYz7xGuTpaaAHtcwY9lJpBDm8WqsteUCUyr3PxPISgSJTQ==" saltValue="TDlau0zr+FBp8msMIbXaFw==" spinCount="100000" sheet="1" objects="1" scenarios="1" formatCells="0" formatColumns="0" formatRows="0" autoFilter="0"/>
  <autoFilter ref="C137:K271" xr:uid="{00000000-0009-0000-0000-00000F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phoneticPr fontId="58" type="noConversion"/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7"/>
  <dimension ref="B2:BM188"/>
  <sheetViews>
    <sheetView showGridLines="0" workbookViewId="0">
      <selection activeCell="F96" sqref="F96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4.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145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" hidden="1" customHeight="1" x14ac:dyDescent="0.2">
      <c r="B8" s="5"/>
      <c r="D8" s="12" t="s">
        <v>190</v>
      </c>
      <c r="L8" s="5"/>
    </row>
    <row r="9" spans="2:4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</row>
    <row r="10" spans="2:46" s="16" customFormat="1" ht="12" hidden="1" customHeight="1" x14ac:dyDescent="0.2">
      <c r="B10" s="17"/>
      <c r="D10" s="12" t="s">
        <v>196</v>
      </c>
      <c r="L10" s="17"/>
    </row>
    <row r="11" spans="2:46" s="16" customFormat="1" ht="16.5" hidden="1" customHeight="1" x14ac:dyDescent="0.2">
      <c r="B11" s="17"/>
      <c r="E11" s="309" t="s">
        <v>6754</v>
      </c>
      <c r="F11" s="309"/>
      <c r="G11" s="309"/>
      <c r="H11" s="309"/>
      <c r="L11" s="17"/>
    </row>
    <row r="12" spans="2:46" s="16" customFormat="1" hidden="1" x14ac:dyDescent="0.2">
      <c r="B12" s="17"/>
      <c r="L12" s="17"/>
    </row>
    <row r="13" spans="2:4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</row>
    <row r="14" spans="2:46" s="16" customFormat="1" ht="12" hidden="1" customHeight="1" x14ac:dyDescent="0.2">
      <c r="B14" s="17"/>
      <c r="D14" s="12" t="s">
        <v>19</v>
      </c>
      <c r="F14" s="10" t="s">
        <v>371</v>
      </c>
      <c r="I14" s="12" t="s">
        <v>21</v>
      </c>
      <c r="J14" s="38" t="str">
        <f>IF(Rekapitulace_stavby!AN8&lt;&gt;"",Rekapitulace_stavby!AN8,"")</f>
        <v/>
      </c>
      <c r="L14" s="17"/>
    </row>
    <row r="15" spans="2:46" s="16" customFormat="1" ht="10.9" hidden="1" customHeight="1" x14ac:dyDescent="0.2">
      <c r="B15" s="17"/>
      <c r="L15" s="17"/>
    </row>
    <row r="16" spans="2:46" s="16" customFormat="1" ht="12" hidden="1" customHeight="1" x14ac:dyDescent="0.2">
      <c r="B16" s="17"/>
      <c r="D16" s="12" t="s">
        <v>22</v>
      </c>
      <c r="I16" s="12" t="s">
        <v>23</v>
      </c>
      <c r="J16" s="10" t="str">
        <f>IF(Rekapitulace_stavby!AN10="","",Rekapitulace_stavby!AN10)</f>
        <v>00216208</v>
      </c>
      <c r="L16" s="17"/>
    </row>
    <row r="17" spans="2:12" s="16" customFormat="1" ht="18" hidden="1" customHeight="1" x14ac:dyDescent="0.2">
      <c r="B17" s="17"/>
      <c r="E17" s="10" t="str">
        <f>IF(Rekapitulace_stavby!E11="","",Rekapitulace_stavby!E11)</f>
        <v>Univerzita Karlova, Lékařská fakulta v Plzni</v>
      </c>
      <c r="I17" s="12" t="s">
        <v>26</v>
      </c>
      <c r="J17" s="10" t="str">
        <f>IF(Rekapitulace_stavby!AN11="","",Rekapitulace_stavby!AN11)</f>
        <v>CZ00216208</v>
      </c>
      <c r="L17" s="17"/>
    </row>
    <row r="18" spans="2:12" s="16" customFormat="1" ht="6.95" hidden="1" customHeight="1" x14ac:dyDescent="0.2">
      <c r="B18" s="17"/>
      <c r="L18" s="17"/>
    </row>
    <row r="19" spans="2:12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</row>
    <row r="20" spans="2:12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12" s="16" customFormat="1" ht="6.95" hidden="1" customHeight="1" x14ac:dyDescent="0.2">
      <c r="B21" s="17"/>
      <c r="L21" s="17"/>
    </row>
    <row r="22" spans="2:12" s="16" customFormat="1" ht="12" hidden="1" customHeight="1" x14ac:dyDescent="0.2">
      <c r="B22" s="17"/>
      <c r="D22" s="12" t="s">
        <v>29</v>
      </c>
      <c r="I22" s="12" t="s">
        <v>23</v>
      </c>
      <c r="J22" s="10" t="str">
        <f>IF(Rekapitulace_stavby!AN16="","",Rekapitulace_stavby!AN16)</f>
        <v>48025721</v>
      </c>
      <c r="L22" s="17"/>
    </row>
    <row r="23" spans="2:12" s="16" customFormat="1" ht="18" hidden="1" customHeight="1" x14ac:dyDescent="0.2">
      <c r="B23" s="17"/>
      <c r="E23" s="10" t="str">
        <f>IF(Rekapitulace_stavby!E17="","",Rekapitulace_stavby!E17)</f>
        <v>MEPRO s.r.o.</v>
      </c>
      <c r="I23" s="12" t="s">
        <v>26</v>
      </c>
      <c r="J23" s="10" t="str">
        <f>IF(Rekapitulace_stavby!AN17="","",Rekapitulace_stavby!AN17)</f>
        <v>CZ48025721</v>
      </c>
      <c r="L23" s="17"/>
    </row>
    <row r="24" spans="2:12" s="16" customFormat="1" ht="6.95" hidden="1" customHeight="1" x14ac:dyDescent="0.2">
      <c r="B24" s="17"/>
      <c r="L24" s="17"/>
    </row>
    <row r="25" spans="2:12" s="16" customFormat="1" ht="12" hidden="1" customHeight="1" x14ac:dyDescent="0.2">
      <c r="B25" s="17"/>
      <c r="D25" s="12" t="s">
        <v>34</v>
      </c>
      <c r="I25" s="12" t="s">
        <v>23</v>
      </c>
      <c r="J25" s="10" t="str">
        <f>IF(Rekapitulace_stavby!AN19="","",Rekapitulace_stavby!AN19)</f>
        <v>25415751</v>
      </c>
      <c r="L25" s="17"/>
    </row>
    <row r="26" spans="2:12" s="16" customFormat="1" ht="18" hidden="1" customHeight="1" x14ac:dyDescent="0.2">
      <c r="B26" s="17"/>
      <c r="E26" s="10" t="str">
        <f>IF(Rekapitulace_stavby!E20="","",Rekapitulace_stavby!E20)</f>
        <v>Propos Liberec s.r.o.</v>
      </c>
      <c r="I26" s="12" t="s">
        <v>26</v>
      </c>
      <c r="J26" s="10" t="str">
        <f>IF(Rekapitulace_stavby!AN20="","",Rekapitulace_stavby!AN20)</f>
        <v>CZ25415751</v>
      </c>
      <c r="L26" s="17"/>
    </row>
    <row r="27" spans="2:12" s="16" customFormat="1" ht="6.95" hidden="1" customHeight="1" x14ac:dyDescent="0.2">
      <c r="B27" s="17"/>
      <c r="L27" s="17"/>
    </row>
    <row r="28" spans="2:12" s="16" customFormat="1" ht="12" hidden="1" customHeight="1" x14ac:dyDescent="0.2">
      <c r="B28" s="17"/>
      <c r="D28" s="12" t="s">
        <v>38</v>
      </c>
      <c r="L28" s="17"/>
    </row>
    <row r="29" spans="2:12" s="81" customFormat="1" ht="131.25" hidden="1" customHeight="1" x14ac:dyDescent="0.2">
      <c r="B29" s="82"/>
      <c r="E29" s="304" t="s">
        <v>6497</v>
      </c>
      <c r="F29" s="304"/>
      <c r="G29" s="304"/>
      <c r="H29" s="304"/>
      <c r="L29" s="82"/>
    </row>
    <row r="30" spans="2:12" s="16" customFormat="1" ht="6.95" hidden="1" customHeight="1" x14ac:dyDescent="0.2">
      <c r="B30" s="17"/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ROUND((SUM(BE138:BE187)),  2)</f>
        <v>0</v>
      </c>
      <c r="I35" s="86">
        <v>0.21</v>
      </c>
      <c r="J35" s="73">
        <f>ROUND(((SUM(BE138:BE187))*I35),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ROUND((SUM(BF138:BF187)),  2)</f>
        <v>0</v>
      </c>
      <c r="I36" s="86">
        <v>0.12</v>
      </c>
      <c r="J36" s="73">
        <f>ROUND(((SUM(BF138:BF187))*I36),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ROUND((SUM(BG138:BG187)),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ROUND((SUM(BH138:BH187)),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ROUND((SUM(BI138:BI187)),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CHL - Chlazení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 xml:space="preserve"> 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310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312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70" customFormat="1" ht="19.899999999999999" customHeight="1" x14ac:dyDescent="0.2">
      <c r="B101" s="103"/>
      <c r="D101" s="104" t="s">
        <v>6755</v>
      </c>
      <c r="E101" s="105"/>
      <c r="F101" s="105"/>
      <c r="G101" s="105"/>
      <c r="H101" s="105"/>
      <c r="I101" s="105"/>
      <c r="J101" s="106">
        <f>J152</f>
        <v>0</v>
      </c>
      <c r="L101" s="103"/>
    </row>
    <row r="102" spans="2:47" s="98" customFormat="1" ht="24.95" customHeight="1" x14ac:dyDescent="0.2">
      <c r="B102" s="99"/>
      <c r="D102" s="100" t="s">
        <v>4965</v>
      </c>
      <c r="E102" s="101"/>
      <c r="F102" s="101"/>
      <c r="G102" s="101"/>
      <c r="H102" s="101"/>
      <c r="I102" s="101"/>
      <c r="J102" s="102">
        <f>J180</f>
        <v>0</v>
      </c>
      <c r="L102" s="99"/>
    </row>
    <row r="103" spans="2:47" s="98" customFormat="1" ht="24.95" customHeight="1" x14ac:dyDescent="0.2">
      <c r="B103" s="99"/>
      <c r="D103" s="100" t="s">
        <v>6756</v>
      </c>
      <c r="E103" s="101"/>
      <c r="F103" s="101"/>
      <c r="G103" s="101"/>
      <c r="H103" s="101"/>
      <c r="I103" s="101"/>
      <c r="J103" s="102">
        <f>J182</f>
        <v>0</v>
      </c>
      <c r="L103" s="99"/>
    </row>
    <row r="104" spans="2:47" s="70" customFormat="1" ht="19.899999999999999" customHeight="1" x14ac:dyDescent="0.2">
      <c r="B104" s="103"/>
      <c r="D104" s="104" t="s">
        <v>6757</v>
      </c>
      <c r="E104" s="105"/>
      <c r="F104" s="105"/>
      <c r="G104" s="105"/>
      <c r="H104" s="105"/>
      <c r="I104" s="105"/>
      <c r="J104" s="106">
        <f>J183</f>
        <v>0</v>
      </c>
      <c r="L104" s="103"/>
    </row>
    <row r="105" spans="2:47" s="70" customFormat="1" ht="19.899999999999999" customHeight="1" x14ac:dyDescent="0.2">
      <c r="B105" s="103"/>
      <c r="D105" s="104" t="s">
        <v>6758</v>
      </c>
      <c r="E105" s="105"/>
      <c r="F105" s="105"/>
      <c r="G105" s="105"/>
      <c r="H105" s="105"/>
      <c r="I105" s="105"/>
      <c r="J105" s="106">
        <f>J185</f>
        <v>0</v>
      </c>
      <c r="L105" s="103"/>
    </row>
    <row r="106" spans="2:47" s="16" customFormat="1" ht="21.75" customHeight="1" x14ac:dyDescent="0.2">
      <c r="B106" s="17"/>
      <c r="L106" s="17"/>
    </row>
    <row r="107" spans="2:47" s="16" customFormat="1" ht="6.95" customHeight="1" x14ac:dyDescent="0.2">
      <c r="B107" s="30"/>
      <c r="C107" s="19"/>
      <c r="D107" s="19"/>
      <c r="E107" s="19"/>
      <c r="F107" s="19"/>
      <c r="G107" s="19"/>
      <c r="H107" s="19"/>
      <c r="I107" s="19"/>
      <c r="J107" s="19"/>
      <c r="K107" s="19"/>
      <c r="L107" s="17"/>
    </row>
    <row r="111" spans="2:47" ht="3" customHeight="1" x14ac:dyDescent="0.2"/>
    <row r="112" spans="2:47" ht="3" customHeight="1" x14ac:dyDescent="0.2"/>
    <row r="113" spans="2:12" ht="3" customHeight="1" x14ac:dyDescent="0.2"/>
    <row r="114" spans="2:12" ht="3" customHeight="1" x14ac:dyDescent="0.2"/>
    <row r="115" spans="2:12" ht="3" customHeight="1" x14ac:dyDescent="0.2"/>
    <row r="116" spans="2:12" ht="3" customHeight="1" x14ac:dyDescent="0.2"/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ht="3" customHeight="1" x14ac:dyDescent="0.2"/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CHL - Chlazení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">
        <v>20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15.2" customHeight="1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P139+P180+P182</f>
        <v>0</v>
      </c>
      <c r="Q138" s="39"/>
      <c r="R138" s="113">
        <f>R139+R180+R182</f>
        <v>0</v>
      </c>
      <c r="S138" s="39"/>
      <c r="T138" s="114">
        <f>T139+T180+T182</f>
        <v>0</v>
      </c>
      <c r="AT138" s="2" t="s">
        <v>79</v>
      </c>
      <c r="AU138" s="2" t="s">
        <v>303</v>
      </c>
      <c r="BK138" s="115">
        <f>BK139+BK180+BK182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992</v>
      </c>
      <c r="F139" s="119" t="s">
        <v>993</v>
      </c>
      <c r="J139" s="120">
        <f>BK139</f>
        <v>0</v>
      </c>
      <c r="L139" s="117"/>
      <c r="M139" s="121"/>
      <c r="P139" s="122">
        <f>P140+P152</f>
        <v>0</v>
      </c>
      <c r="R139" s="122">
        <f>R140+R152</f>
        <v>0</v>
      </c>
      <c r="T139" s="123">
        <f>T140+T152</f>
        <v>0</v>
      </c>
      <c r="AR139" s="118" t="s">
        <v>90</v>
      </c>
      <c r="AT139" s="124" t="s">
        <v>79</v>
      </c>
      <c r="AU139" s="124" t="s">
        <v>80</v>
      </c>
      <c r="AY139" s="118" t="s">
        <v>337</v>
      </c>
      <c r="BK139" s="125">
        <f>BK140+BK152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1035</v>
      </c>
      <c r="F140" s="126" t="s">
        <v>1036</v>
      </c>
      <c r="J140" s="127">
        <f>BK140</f>
        <v>0</v>
      </c>
      <c r="L140" s="117"/>
      <c r="M140" s="121"/>
      <c r="P140" s="122">
        <f>SUM(P141:P151)</f>
        <v>0</v>
      </c>
      <c r="R140" s="122">
        <f>SUM(R141:R151)</f>
        <v>0</v>
      </c>
      <c r="T140" s="123">
        <f>SUM(T141:T151)</f>
        <v>0</v>
      </c>
      <c r="AR140" s="118" t="s">
        <v>90</v>
      </c>
      <c r="AT140" s="124" t="s">
        <v>79</v>
      </c>
      <c r="AU140" s="124" t="s">
        <v>87</v>
      </c>
      <c r="AY140" s="118" t="s">
        <v>337</v>
      </c>
      <c r="BK140" s="125">
        <f>SUM(BK141:BK151)</f>
        <v>0</v>
      </c>
    </row>
    <row r="141" spans="2:65" s="16" customFormat="1" ht="37.9" customHeight="1" x14ac:dyDescent="0.2">
      <c r="B141" s="17"/>
      <c r="C141" s="128">
        <v>1</v>
      </c>
      <c r="D141" s="128" t="s">
        <v>339</v>
      </c>
      <c r="E141" s="129" t="s">
        <v>6012</v>
      </c>
      <c r="F141" s="130" t="s">
        <v>6013</v>
      </c>
      <c r="G141" s="131" t="s">
        <v>724</v>
      </c>
      <c r="H141" s="132">
        <v>231</v>
      </c>
      <c r="I141" s="133"/>
      <c r="J141" s="134">
        <f t="shared" ref="J141:J151" si="0">ROUND(I141*H141,2)</f>
        <v>0</v>
      </c>
      <c r="K141" s="130" t="s">
        <v>343</v>
      </c>
      <c r="L141" s="17"/>
      <c r="M141" s="135"/>
      <c r="N141" s="136" t="s">
        <v>45</v>
      </c>
      <c r="P141" s="137">
        <f t="shared" ref="P141:P151" si="1">O141*H141</f>
        <v>0</v>
      </c>
      <c r="Q141" s="137">
        <v>0</v>
      </c>
      <c r="R141" s="137">
        <f t="shared" ref="R141:R151" si="2">Q141*H141</f>
        <v>0</v>
      </c>
      <c r="S141" s="137">
        <v>0</v>
      </c>
      <c r="T141" s="138">
        <f t="shared" ref="T141:T151" si="3">S141*H141</f>
        <v>0</v>
      </c>
      <c r="AR141" s="139" t="s">
        <v>496</v>
      </c>
      <c r="AT141" s="139" t="s">
        <v>339</v>
      </c>
      <c r="AU141" s="139" t="s">
        <v>90</v>
      </c>
      <c r="AY141" s="2" t="s">
        <v>337</v>
      </c>
      <c r="BE141" s="140">
        <f t="shared" ref="BE141:BE151" si="4">IF(N141="základní",J141,0)</f>
        <v>0</v>
      </c>
      <c r="BF141" s="140">
        <f t="shared" ref="BF141:BF151" si="5">IF(N141="snížená",J141,0)</f>
        <v>0</v>
      </c>
      <c r="BG141" s="140">
        <f t="shared" ref="BG141:BG151" si="6">IF(N141="zákl. přenesená",J141,0)</f>
        <v>0</v>
      </c>
      <c r="BH141" s="140">
        <f t="shared" ref="BH141:BH151" si="7">IF(N141="sníž. přenesená",J141,0)</f>
        <v>0</v>
      </c>
      <c r="BI141" s="140">
        <f t="shared" ref="BI141:BI151" si="8">IF(N141="nulová",J141,0)</f>
        <v>0</v>
      </c>
      <c r="BJ141" s="2" t="s">
        <v>87</v>
      </c>
      <c r="BK141" s="140">
        <f t="shared" ref="BK141:BK151" si="9">ROUND(I141*H141,2)</f>
        <v>0</v>
      </c>
      <c r="BL141" s="2" t="s">
        <v>496</v>
      </c>
      <c r="BM141" s="139" t="s">
        <v>90</v>
      </c>
    </row>
    <row r="142" spans="2:65" s="16" customFormat="1" ht="24.2" customHeight="1" x14ac:dyDescent="0.2">
      <c r="B142" s="17"/>
      <c r="C142" s="162">
        <v>2</v>
      </c>
      <c r="D142" s="162" t="s">
        <v>519</v>
      </c>
      <c r="E142" s="163" t="s">
        <v>6759</v>
      </c>
      <c r="F142" s="164" t="s">
        <v>6760</v>
      </c>
      <c r="G142" s="165" t="s">
        <v>724</v>
      </c>
      <c r="H142" s="166">
        <v>5</v>
      </c>
      <c r="I142" s="167"/>
      <c r="J142" s="168">
        <f t="shared" si="0"/>
        <v>0</v>
      </c>
      <c r="K142" s="164"/>
      <c r="L142" s="169"/>
      <c r="M142" s="170"/>
      <c r="N142" s="171" t="s">
        <v>45</v>
      </c>
      <c r="P142" s="137">
        <f t="shared" si="1"/>
        <v>0</v>
      </c>
      <c r="Q142" s="137">
        <v>0</v>
      </c>
      <c r="R142" s="137">
        <f t="shared" si="2"/>
        <v>0</v>
      </c>
      <c r="S142" s="137">
        <v>0</v>
      </c>
      <c r="T142" s="138">
        <f t="shared" si="3"/>
        <v>0</v>
      </c>
      <c r="AR142" s="139" t="s">
        <v>621</v>
      </c>
      <c r="AT142" s="139" t="s">
        <v>519</v>
      </c>
      <c r="AU142" s="139" t="s">
        <v>90</v>
      </c>
      <c r="AY142" s="2" t="s">
        <v>337</v>
      </c>
      <c r="BE142" s="140">
        <f t="shared" si="4"/>
        <v>0</v>
      </c>
      <c r="BF142" s="140">
        <f t="shared" si="5"/>
        <v>0</v>
      </c>
      <c r="BG142" s="140">
        <f t="shared" si="6"/>
        <v>0</v>
      </c>
      <c r="BH142" s="140">
        <f t="shared" si="7"/>
        <v>0</v>
      </c>
      <c r="BI142" s="140">
        <f t="shared" si="8"/>
        <v>0</v>
      </c>
      <c r="BJ142" s="2" t="s">
        <v>87</v>
      </c>
      <c r="BK142" s="140">
        <f t="shared" si="9"/>
        <v>0</v>
      </c>
      <c r="BL142" s="2" t="s">
        <v>496</v>
      </c>
      <c r="BM142" s="139" t="s">
        <v>344</v>
      </c>
    </row>
    <row r="143" spans="2:65" s="16" customFormat="1" ht="24.2" customHeight="1" x14ac:dyDescent="0.2">
      <c r="B143" s="17"/>
      <c r="C143" s="162">
        <v>3</v>
      </c>
      <c r="D143" s="162" t="s">
        <v>519</v>
      </c>
      <c r="E143" s="163" t="s">
        <v>6761</v>
      </c>
      <c r="F143" s="164" t="s">
        <v>6762</v>
      </c>
      <c r="G143" s="165" t="s">
        <v>724</v>
      </c>
      <c r="H143" s="166">
        <v>2</v>
      </c>
      <c r="I143" s="167"/>
      <c r="J143" s="168">
        <f t="shared" si="0"/>
        <v>0</v>
      </c>
      <c r="K143" s="164"/>
      <c r="L143" s="169"/>
      <c r="M143" s="170"/>
      <c r="N143" s="171" t="s">
        <v>45</v>
      </c>
      <c r="P143" s="137">
        <f t="shared" si="1"/>
        <v>0</v>
      </c>
      <c r="Q143" s="137">
        <v>0</v>
      </c>
      <c r="R143" s="137">
        <f t="shared" si="2"/>
        <v>0</v>
      </c>
      <c r="S143" s="137">
        <v>0</v>
      </c>
      <c r="T143" s="138">
        <f t="shared" si="3"/>
        <v>0</v>
      </c>
      <c r="AR143" s="139" t="s">
        <v>621</v>
      </c>
      <c r="AT143" s="139" t="s">
        <v>519</v>
      </c>
      <c r="AU143" s="139" t="s">
        <v>90</v>
      </c>
      <c r="AY143" s="2" t="s">
        <v>337</v>
      </c>
      <c r="BE143" s="140">
        <f t="shared" si="4"/>
        <v>0</v>
      </c>
      <c r="BF143" s="140">
        <f t="shared" si="5"/>
        <v>0</v>
      </c>
      <c r="BG143" s="140">
        <f t="shared" si="6"/>
        <v>0</v>
      </c>
      <c r="BH143" s="140">
        <f t="shared" si="7"/>
        <v>0</v>
      </c>
      <c r="BI143" s="140">
        <f t="shared" si="8"/>
        <v>0</v>
      </c>
      <c r="BJ143" s="2" t="s">
        <v>87</v>
      </c>
      <c r="BK143" s="140">
        <f t="shared" si="9"/>
        <v>0</v>
      </c>
      <c r="BL143" s="2" t="s">
        <v>496</v>
      </c>
      <c r="BM143" s="139" t="s">
        <v>430</v>
      </c>
    </row>
    <row r="144" spans="2:65" s="16" customFormat="1" ht="24.2" customHeight="1" x14ac:dyDescent="0.2">
      <c r="B144" s="17"/>
      <c r="C144" s="162">
        <v>4</v>
      </c>
      <c r="D144" s="162" t="s">
        <v>519</v>
      </c>
      <c r="E144" s="163" t="s">
        <v>6763</v>
      </c>
      <c r="F144" s="164" t="s">
        <v>6764</v>
      </c>
      <c r="G144" s="165" t="s">
        <v>724</v>
      </c>
      <c r="H144" s="166">
        <v>72</v>
      </c>
      <c r="I144" s="167"/>
      <c r="J144" s="168">
        <f t="shared" si="0"/>
        <v>0</v>
      </c>
      <c r="K144" s="164"/>
      <c r="L144" s="169"/>
      <c r="M144" s="170"/>
      <c r="N144" s="171" t="s">
        <v>45</v>
      </c>
      <c r="P144" s="137">
        <f t="shared" si="1"/>
        <v>0</v>
      </c>
      <c r="Q144" s="137">
        <v>0</v>
      </c>
      <c r="R144" s="137">
        <f t="shared" si="2"/>
        <v>0</v>
      </c>
      <c r="S144" s="137">
        <v>0</v>
      </c>
      <c r="T144" s="138">
        <f t="shared" si="3"/>
        <v>0</v>
      </c>
      <c r="AR144" s="139" t="s">
        <v>621</v>
      </c>
      <c r="AT144" s="139" t="s">
        <v>519</v>
      </c>
      <c r="AU144" s="139" t="s">
        <v>90</v>
      </c>
      <c r="AY144" s="2" t="s">
        <v>337</v>
      </c>
      <c r="BE144" s="140">
        <f t="shared" si="4"/>
        <v>0</v>
      </c>
      <c r="BF144" s="140">
        <f t="shared" si="5"/>
        <v>0</v>
      </c>
      <c r="BG144" s="140">
        <f t="shared" si="6"/>
        <v>0</v>
      </c>
      <c r="BH144" s="140">
        <f t="shared" si="7"/>
        <v>0</v>
      </c>
      <c r="BI144" s="140">
        <f t="shared" si="8"/>
        <v>0</v>
      </c>
      <c r="BJ144" s="2" t="s">
        <v>87</v>
      </c>
      <c r="BK144" s="140">
        <f t="shared" si="9"/>
        <v>0</v>
      </c>
      <c r="BL144" s="2" t="s">
        <v>496</v>
      </c>
      <c r="BM144" s="139" t="s">
        <v>446</v>
      </c>
    </row>
    <row r="145" spans="2:65" s="16" customFormat="1" ht="24.2" customHeight="1" x14ac:dyDescent="0.2">
      <c r="B145" s="17"/>
      <c r="C145" s="162">
        <v>5</v>
      </c>
      <c r="D145" s="162" t="s">
        <v>519</v>
      </c>
      <c r="E145" s="163" t="s">
        <v>6765</v>
      </c>
      <c r="F145" s="164" t="s">
        <v>6766</v>
      </c>
      <c r="G145" s="165" t="s">
        <v>724</v>
      </c>
      <c r="H145" s="166">
        <v>48</v>
      </c>
      <c r="I145" s="167"/>
      <c r="J145" s="168">
        <f t="shared" si="0"/>
        <v>0</v>
      </c>
      <c r="K145" s="164"/>
      <c r="L145" s="169"/>
      <c r="M145" s="170"/>
      <c r="N145" s="171" t="s">
        <v>45</v>
      </c>
      <c r="P145" s="137">
        <f t="shared" si="1"/>
        <v>0</v>
      </c>
      <c r="Q145" s="137">
        <v>0</v>
      </c>
      <c r="R145" s="137">
        <f t="shared" si="2"/>
        <v>0</v>
      </c>
      <c r="S145" s="137">
        <v>0</v>
      </c>
      <c r="T145" s="138">
        <f t="shared" si="3"/>
        <v>0</v>
      </c>
      <c r="AR145" s="139" t="s">
        <v>621</v>
      </c>
      <c r="AT145" s="139" t="s">
        <v>519</v>
      </c>
      <c r="AU145" s="139" t="s">
        <v>90</v>
      </c>
      <c r="AY145" s="2" t="s">
        <v>337</v>
      </c>
      <c r="BE145" s="140">
        <f t="shared" si="4"/>
        <v>0</v>
      </c>
      <c r="BF145" s="140">
        <f t="shared" si="5"/>
        <v>0</v>
      </c>
      <c r="BG145" s="140">
        <f t="shared" si="6"/>
        <v>0</v>
      </c>
      <c r="BH145" s="140">
        <f t="shared" si="7"/>
        <v>0</v>
      </c>
      <c r="BI145" s="140">
        <f t="shared" si="8"/>
        <v>0</v>
      </c>
      <c r="BJ145" s="2" t="s">
        <v>87</v>
      </c>
      <c r="BK145" s="140">
        <f t="shared" si="9"/>
        <v>0</v>
      </c>
      <c r="BL145" s="2" t="s">
        <v>496</v>
      </c>
      <c r="BM145" s="139" t="s">
        <v>457</v>
      </c>
    </row>
    <row r="146" spans="2:65" s="16" customFormat="1" ht="24.2" customHeight="1" x14ac:dyDescent="0.2">
      <c r="B146" s="17"/>
      <c r="C146" s="162">
        <v>6</v>
      </c>
      <c r="D146" s="162" t="s">
        <v>519</v>
      </c>
      <c r="E146" s="163" t="s">
        <v>6767</v>
      </c>
      <c r="F146" s="164" t="s">
        <v>6768</v>
      </c>
      <c r="G146" s="165" t="s">
        <v>724</v>
      </c>
      <c r="H146" s="166">
        <v>28</v>
      </c>
      <c r="I146" s="167"/>
      <c r="J146" s="168">
        <f t="shared" si="0"/>
        <v>0</v>
      </c>
      <c r="K146" s="164"/>
      <c r="L146" s="169"/>
      <c r="M146" s="170"/>
      <c r="N146" s="171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621</v>
      </c>
      <c r="AT146" s="139" t="s">
        <v>519</v>
      </c>
      <c r="AU146" s="139" t="s">
        <v>90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496</v>
      </c>
      <c r="BM146" s="139" t="s">
        <v>7</v>
      </c>
    </row>
    <row r="147" spans="2:65" s="16" customFormat="1" ht="24.2" customHeight="1" x14ac:dyDescent="0.2">
      <c r="B147" s="17"/>
      <c r="C147" s="162">
        <v>7</v>
      </c>
      <c r="D147" s="162" t="s">
        <v>519</v>
      </c>
      <c r="E147" s="163" t="s">
        <v>6769</v>
      </c>
      <c r="F147" s="164" t="s">
        <v>6770</v>
      </c>
      <c r="G147" s="165" t="s">
        <v>724</v>
      </c>
      <c r="H147" s="166">
        <v>32</v>
      </c>
      <c r="I147" s="167"/>
      <c r="J147" s="168">
        <f t="shared" si="0"/>
        <v>0</v>
      </c>
      <c r="K147" s="164"/>
      <c r="L147" s="169"/>
      <c r="M147" s="170"/>
      <c r="N147" s="171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AR147" s="139" t="s">
        <v>621</v>
      </c>
      <c r="AT147" s="139" t="s">
        <v>519</v>
      </c>
      <c r="AU147" s="139" t="s">
        <v>90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496</v>
      </c>
      <c r="BM147" s="139" t="s">
        <v>480</v>
      </c>
    </row>
    <row r="148" spans="2:65" s="16" customFormat="1" ht="24.2" customHeight="1" x14ac:dyDescent="0.2">
      <c r="B148" s="17"/>
      <c r="C148" s="162">
        <v>8</v>
      </c>
      <c r="D148" s="162" t="s">
        <v>519</v>
      </c>
      <c r="E148" s="163" t="s">
        <v>6771</v>
      </c>
      <c r="F148" s="164" t="s">
        <v>6772</v>
      </c>
      <c r="G148" s="165" t="s">
        <v>724</v>
      </c>
      <c r="H148" s="166">
        <v>6</v>
      </c>
      <c r="I148" s="167"/>
      <c r="J148" s="168">
        <f t="shared" si="0"/>
        <v>0</v>
      </c>
      <c r="K148" s="164"/>
      <c r="L148" s="169"/>
      <c r="M148" s="170"/>
      <c r="N148" s="171" t="s">
        <v>45</v>
      </c>
      <c r="P148" s="137">
        <f t="shared" si="1"/>
        <v>0</v>
      </c>
      <c r="Q148" s="137">
        <v>0</v>
      </c>
      <c r="R148" s="137">
        <f t="shared" si="2"/>
        <v>0</v>
      </c>
      <c r="S148" s="137">
        <v>0</v>
      </c>
      <c r="T148" s="138">
        <f t="shared" si="3"/>
        <v>0</v>
      </c>
      <c r="AR148" s="139" t="s">
        <v>621</v>
      </c>
      <c r="AT148" s="139" t="s">
        <v>519</v>
      </c>
      <c r="AU148" s="139" t="s">
        <v>90</v>
      </c>
      <c r="AY148" s="2" t="s">
        <v>337</v>
      </c>
      <c r="BE148" s="140">
        <f t="shared" si="4"/>
        <v>0</v>
      </c>
      <c r="BF148" s="140">
        <f t="shared" si="5"/>
        <v>0</v>
      </c>
      <c r="BG148" s="140">
        <f t="shared" si="6"/>
        <v>0</v>
      </c>
      <c r="BH148" s="140">
        <f t="shared" si="7"/>
        <v>0</v>
      </c>
      <c r="BI148" s="140">
        <f t="shared" si="8"/>
        <v>0</v>
      </c>
      <c r="BJ148" s="2" t="s">
        <v>87</v>
      </c>
      <c r="BK148" s="140">
        <f t="shared" si="9"/>
        <v>0</v>
      </c>
      <c r="BL148" s="2" t="s">
        <v>496</v>
      </c>
      <c r="BM148" s="139" t="s">
        <v>496</v>
      </c>
    </row>
    <row r="149" spans="2:65" s="16" customFormat="1" ht="24.2" customHeight="1" x14ac:dyDescent="0.2">
      <c r="B149" s="17"/>
      <c r="C149" s="162">
        <v>9</v>
      </c>
      <c r="D149" s="162" t="s">
        <v>519</v>
      </c>
      <c r="E149" s="163" t="s">
        <v>6773</v>
      </c>
      <c r="F149" s="164" t="s">
        <v>6768</v>
      </c>
      <c r="G149" s="165" t="s">
        <v>724</v>
      </c>
      <c r="H149" s="166">
        <v>32</v>
      </c>
      <c r="I149" s="167"/>
      <c r="J149" s="168">
        <f t="shared" si="0"/>
        <v>0</v>
      </c>
      <c r="K149" s="164"/>
      <c r="L149" s="169"/>
      <c r="M149" s="170"/>
      <c r="N149" s="171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621</v>
      </c>
      <c r="AT149" s="139" t="s">
        <v>519</v>
      </c>
      <c r="AU149" s="139" t="s">
        <v>90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496</v>
      </c>
      <c r="BM149" s="139" t="s">
        <v>2547</v>
      </c>
    </row>
    <row r="150" spans="2:65" s="16" customFormat="1" ht="24.2" customHeight="1" x14ac:dyDescent="0.2">
      <c r="B150" s="17"/>
      <c r="C150" s="162">
        <v>10</v>
      </c>
      <c r="D150" s="162" t="s">
        <v>519</v>
      </c>
      <c r="E150" s="163" t="s">
        <v>6774</v>
      </c>
      <c r="F150" s="164" t="s">
        <v>6775</v>
      </c>
      <c r="G150" s="165" t="s">
        <v>724</v>
      </c>
      <c r="H150" s="166">
        <v>6</v>
      </c>
      <c r="I150" s="167"/>
      <c r="J150" s="168">
        <f t="shared" si="0"/>
        <v>0</v>
      </c>
      <c r="K150" s="164"/>
      <c r="L150" s="169"/>
      <c r="M150" s="170"/>
      <c r="N150" s="171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621</v>
      </c>
      <c r="AT150" s="139" t="s">
        <v>519</v>
      </c>
      <c r="AU150" s="139" t="s">
        <v>90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496</v>
      </c>
      <c r="BM150" s="139" t="s">
        <v>532</v>
      </c>
    </row>
    <row r="151" spans="2:65" s="16" customFormat="1" ht="24.2" customHeight="1" x14ac:dyDescent="0.2">
      <c r="B151" s="17"/>
      <c r="C151" s="128">
        <v>11</v>
      </c>
      <c r="D151" s="128" t="s">
        <v>339</v>
      </c>
      <c r="E151" s="129" t="s">
        <v>6046</v>
      </c>
      <c r="F151" s="130" t="s">
        <v>6047</v>
      </c>
      <c r="G151" s="131" t="s">
        <v>6048</v>
      </c>
      <c r="H151" s="192"/>
      <c r="I151" s="133"/>
      <c r="J151" s="134">
        <f t="shared" si="0"/>
        <v>0</v>
      </c>
      <c r="K151" s="130" t="s">
        <v>343</v>
      </c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496</v>
      </c>
      <c r="AT151" s="139" t="s">
        <v>339</v>
      </c>
      <c r="AU151" s="139" t="s">
        <v>90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496</v>
      </c>
      <c r="BM151" s="139" t="s">
        <v>6776</v>
      </c>
    </row>
    <row r="152" spans="2:65" s="116" customFormat="1" ht="22.9" customHeight="1" x14ac:dyDescent="0.2">
      <c r="B152" s="117"/>
      <c r="D152" s="118" t="s">
        <v>79</v>
      </c>
      <c r="E152" s="126" t="s">
        <v>6777</v>
      </c>
      <c r="F152" s="126" t="s">
        <v>165</v>
      </c>
      <c r="J152" s="127">
        <f>BK152</f>
        <v>0</v>
      </c>
      <c r="L152" s="117"/>
      <c r="M152" s="121"/>
      <c r="P152" s="122">
        <f>SUM(P153:P179)</f>
        <v>0</v>
      </c>
      <c r="R152" s="122">
        <f>SUM(R153:R179)</f>
        <v>0</v>
      </c>
      <c r="T152" s="123">
        <f>SUM(T153:T179)</f>
        <v>0</v>
      </c>
      <c r="AR152" s="118" t="s">
        <v>90</v>
      </c>
      <c r="AT152" s="124" t="s">
        <v>79</v>
      </c>
      <c r="AU152" s="124" t="s">
        <v>87</v>
      </c>
      <c r="AY152" s="118" t="s">
        <v>337</v>
      </c>
      <c r="BK152" s="125">
        <f>SUM(BK153:BK179)</f>
        <v>0</v>
      </c>
    </row>
    <row r="153" spans="2:65" s="16" customFormat="1" ht="37.9" customHeight="1" x14ac:dyDescent="0.2">
      <c r="B153" s="17"/>
      <c r="C153" s="128">
        <v>12</v>
      </c>
      <c r="D153" s="128" t="s">
        <v>339</v>
      </c>
      <c r="E153" s="129" t="s">
        <v>6778</v>
      </c>
      <c r="F153" s="130" t="s">
        <v>6779</v>
      </c>
      <c r="G153" s="131" t="s">
        <v>449</v>
      </c>
      <c r="H153" s="132">
        <v>1</v>
      </c>
      <c r="I153" s="133"/>
      <c r="J153" s="134">
        <f>ROUND(I153*H153,2)</f>
        <v>0</v>
      </c>
      <c r="K153" s="130"/>
      <c r="L153" s="17"/>
      <c r="M153" s="135"/>
      <c r="N153" s="136" t="s">
        <v>45</v>
      </c>
      <c r="P153" s="137">
        <f>O153*H153</f>
        <v>0</v>
      </c>
      <c r="Q153" s="137">
        <v>0</v>
      </c>
      <c r="R153" s="137">
        <f>Q153*H153</f>
        <v>0</v>
      </c>
      <c r="S153" s="137">
        <v>0</v>
      </c>
      <c r="T153" s="138">
        <f>S153*H153</f>
        <v>0</v>
      </c>
      <c r="AR153" s="139" t="s">
        <v>496</v>
      </c>
      <c r="AT153" s="139" t="s">
        <v>339</v>
      </c>
      <c r="AU153" s="139" t="s">
        <v>90</v>
      </c>
      <c r="AY153" s="2" t="s">
        <v>337</v>
      </c>
      <c r="BE153" s="140">
        <f>IF(N153="základní",J153,0)</f>
        <v>0</v>
      </c>
      <c r="BF153" s="140">
        <f>IF(N153="snížená",J153,0)</f>
        <v>0</v>
      </c>
      <c r="BG153" s="140">
        <f>IF(N153="zákl. přenesená",J153,0)</f>
        <v>0</v>
      </c>
      <c r="BH153" s="140">
        <f>IF(N153="sníž. přenesená",J153,0)</f>
        <v>0</v>
      </c>
      <c r="BI153" s="140">
        <f>IF(N153="nulová",J153,0)</f>
        <v>0</v>
      </c>
      <c r="BJ153" s="2" t="s">
        <v>87</v>
      </c>
      <c r="BK153" s="140">
        <f>ROUND(I153*H153,2)</f>
        <v>0</v>
      </c>
      <c r="BL153" s="2" t="s">
        <v>496</v>
      </c>
      <c r="BM153" s="139" t="s">
        <v>569</v>
      </c>
    </row>
    <row r="154" spans="2:65" s="16" customFormat="1" ht="19.5" x14ac:dyDescent="0.2">
      <c r="B154" s="17"/>
      <c r="D154" s="143" t="s">
        <v>644</v>
      </c>
      <c r="F154" s="179" t="s">
        <v>6780</v>
      </c>
      <c r="L154" s="17"/>
      <c r="M154" s="180"/>
      <c r="T154" s="41"/>
      <c r="AT154" s="2" t="s">
        <v>644</v>
      </c>
      <c r="AU154" s="2" t="s">
        <v>90</v>
      </c>
    </row>
    <row r="155" spans="2:65" s="16" customFormat="1" ht="33" customHeight="1" x14ac:dyDescent="0.2">
      <c r="B155" s="17"/>
      <c r="C155" s="128">
        <v>13</v>
      </c>
      <c r="D155" s="128" t="s">
        <v>339</v>
      </c>
      <c r="E155" s="129" t="s">
        <v>6781</v>
      </c>
      <c r="F155" s="130" t="s">
        <v>6782</v>
      </c>
      <c r="G155" s="131" t="s">
        <v>449</v>
      </c>
      <c r="H155" s="132">
        <v>1</v>
      </c>
      <c r="I155" s="133"/>
      <c r="J155" s="134">
        <f>ROUND(I155*H155,2)</f>
        <v>0</v>
      </c>
      <c r="K155" s="130"/>
      <c r="L155" s="17"/>
      <c r="M155" s="135"/>
      <c r="N155" s="136" t="s">
        <v>45</v>
      </c>
      <c r="P155" s="137">
        <f>O155*H155</f>
        <v>0</v>
      </c>
      <c r="Q155" s="137">
        <v>0</v>
      </c>
      <c r="R155" s="137">
        <f>Q155*H155</f>
        <v>0</v>
      </c>
      <c r="S155" s="137">
        <v>0</v>
      </c>
      <c r="T155" s="138">
        <f>S155*H155</f>
        <v>0</v>
      </c>
      <c r="AR155" s="139" t="s">
        <v>496</v>
      </c>
      <c r="AT155" s="139" t="s">
        <v>339</v>
      </c>
      <c r="AU155" s="139" t="s">
        <v>90</v>
      </c>
      <c r="AY155" s="2" t="s">
        <v>337</v>
      </c>
      <c r="BE155" s="140">
        <f>IF(N155="základní",J155,0)</f>
        <v>0</v>
      </c>
      <c r="BF155" s="140">
        <f>IF(N155="snížená",J155,0)</f>
        <v>0</v>
      </c>
      <c r="BG155" s="140">
        <f>IF(N155="zákl. přenesená",J155,0)</f>
        <v>0</v>
      </c>
      <c r="BH155" s="140">
        <f>IF(N155="sníž. přenesená",J155,0)</f>
        <v>0</v>
      </c>
      <c r="BI155" s="140">
        <f>IF(N155="nulová",J155,0)</f>
        <v>0</v>
      </c>
      <c r="BJ155" s="2" t="s">
        <v>87</v>
      </c>
      <c r="BK155" s="140">
        <f>ROUND(I155*H155,2)</f>
        <v>0</v>
      </c>
      <c r="BL155" s="2" t="s">
        <v>496</v>
      </c>
      <c r="BM155" s="139" t="s">
        <v>577</v>
      </c>
    </row>
    <row r="156" spans="2:65" s="16" customFormat="1" ht="19.5" x14ac:dyDescent="0.2">
      <c r="B156" s="17"/>
      <c r="D156" s="143" t="s">
        <v>644</v>
      </c>
      <c r="F156" s="179" t="s">
        <v>6783</v>
      </c>
      <c r="L156" s="17"/>
      <c r="M156" s="180"/>
      <c r="T156" s="41"/>
      <c r="AT156" s="2" t="s">
        <v>644</v>
      </c>
      <c r="AU156" s="2" t="s">
        <v>90</v>
      </c>
    </row>
    <row r="157" spans="2:65" s="16" customFormat="1" ht="33" customHeight="1" x14ac:dyDescent="0.2">
      <c r="B157" s="17"/>
      <c r="C157" s="128">
        <v>14</v>
      </c>
      <c r="D157" s="128" t="s">
        <v>339</v>
      </c>
      <c r="E157" s="129" t="s">
        <v>6784</v>
      </c>
      <c r="F157" s="130" t="s">
        <v>6785</v>
      </c>
      <c r="G157" s="131" t="s">
        <v>449</v>
      </c>
      <c r="H157" s="132">
        <v>2</v>
      </c>
      <c r="I157" s="133"/>
      <c r="J157" s="134">
        <f>ROUND(I157*H157,2)</f>
        <v>0</v>
      </c>
      <c r="K157" s="130"/>
      <c r="L157" s="17"/>
      <c r="M157" s="135"/>
      <c r="N157" s="136" t="s">
        <v>45</v>
      </c>
      <c r="P157" s="137">
        <f>O157*H157</f>
        <v>0</v>
      </c>
      <c r="Q157" s="137">
        <v>0</v>
      </c>
      <c r="R157" s="137">
        <f>Q157*H157</f>
        <v>0</v>
      </c>
      <c r="S157" s="137">
        <v>0</v>
      </c>
      <c r="T157" s="138">
        <f>S157*H157</f>
        <v>0</v>
      </c>
      <c r="AR157" s="139" t="s">
        <v>496</v>
      </c>
      <c r="AT157" s="139" t="s">
        <v>339</v>
      </c>
      <c r="AU157" s="139" t="s">
        <v>90</v>
      </c>
      <c r="AY157" s="2" t="s">
        <v>337</v>
      </c>
      <c r="BE157" s="140">
        <f>IF(N157="základní",J157,0)</f>
        <v>0</v>
      </c>
      <c r="BF157" s="140">
        <f>IF(N157="snížená",J157,0)</f>
        <v>0</v>
      </c>
      <c r="BG157" s="140">
        <f>IF(N157="zákl. přenesená",J157,0)</f>
        <v>0</v>
      </c>
      <c r="BH157" s="140">
        <f>IF(N157="sníž. přenesená",J157,0)</f>
        <v>0</v>
      </c>
      <c r="BI157" s="140">
        <f>IF(N157="nulová",J157,0)</f>
        <v>0</v>
      </c>
      <c r="BJ157" s="2" t="s">
        <v>87</v>
      </c>
      <c r="BK157" s="140">
        <f>ROUND(I157*H157,2)</f>
        <v>0</v>
      </c>
      <c r="BL157" s="2" t="s">
        <v>496</v>
      </c>
      <c r="BM157" s="139" t="s">
        <v>591</v>
      </c>
    </row>
    <row r="158" spans="2:65" s="16" customFormat="1" ht="19.5" x14ac:dyDescent="0.2">
      <c r="B158" s="17"/>
      <c r="D158" s="143" t="s">
        <v>644</v>
      </c>
      <c r="F158" s="179" t="s">
        <v>6786</v>
      </c>
      <c r="L158" s="17"/>
      <c r="M158" s="180"/>
      <c r="T158" s="41"/>
      <c r="AT158" s="2" t="s">
        <v>644</v>
      </c>
      <c r="AU158" s="2" t="s">
        <v>90</v>
      </c>
    </row>
    <row r="159" spans="2:65" s="16" customFormat="1" ht="33" customHeight="1" x14ac:dyDescent="0.2">
      <c r="B159" s="17"/>
      <c r="C159" s="128">
        <v>15</v>
      </c>
      <c r="D159" s="128" t="s">
        <v>339</v>
      </c>
      <c r="E159" s="129" t="s">
        <v>6787</v>
      </c>
      <c r="F159" s="130" t="s">
        <v>6788</v>
      </c>
      <c r="G159" s="131" t="s">
        <v>449</v>
      </c>
      <c r="H159" s="132">
        <v>1</v>
      </c>
      <c r="I159" s="133"/>
      <c r="J159" s="134">
        <f>ROUND(I159*H159,2)</f>
        <v>0</v>
      </c>
      <c r="K159" s="130"/>
      <c r="L159" s="17"/>
      <c r="M159" s="135"/>
      <c r="N159" s="136" t="s">
        <v>45</v>
      </c>
      <c r="P159" s="137">
        <f>O159*H159</f>
        <v>0</v>
      </c>
      <c r="Q159" s="137">
        <v>0</v>
      </c>
      <c r="R159" s="137">
        <f>Q159*H159</f>
        <v>0</v>
      </c>
      <c r="S159" s="137">
        <v>0</v>
      </c>
      <c r="T159" s="138">
        <f>S159*H159</f>
        <v>0</v>
      </c>
      <c r="AR159" s="139" t="s">
        <v>496</v>
      </c>
      <c r="AT159" s="139" t="s">
        <v>339</v>
      </c>
      <c r="AU159" s="139" t="s">
        <v>90</v>
      </c>
      <c r="AY159" s="2" t="s">
        <v>337</v>
      </c>
      <c r="BE159" s="140">
        <f>IF(N159="základní",J159,0)</f>
        <v>0</v>
      </c>
      <c r="BF159" s="140">
        <f>IF(N159="snížená",J159,0)</f>
        <v>0</v>
      </c>
      <c r="BG159" s="140">
        <f>IF(N159="zákl. přenesená",J159,0)</f>
        <v>0</v>
      </c>
      <c r="BH159" s="140">
        <f>IF(N159="sníž. přenesená",J159,0)</f>
        <v>0</v>
      </c>
      <c r="BI159" s="140">
        <f>IF(N159="nulová",J159,0)</f>
        <v>0</v>
      </c>
      <c r="BJ159" s="2" t="s">
        <v>87</v>
      </c>
      <c r="BK159" s="140">
        <f>ROUND(I159*H159,2)</f>
        <v>0</v>
      </c>
      <c r="BL159" s="2" t="s">
        <v>496</v>
      </c>
      <c r="BM159" s="139" t="s">
        <v>614</v>
      </c>
    </row>
    <row r="160" spans="2:65" s="16" customFormat="1" ht="19.5" x14ac:dyDescent="0.2">
      <c r="B160" s="17"/>
      <c r="D160" s="143" t="s">
        <v>644</v>
      </c>
      <c r="F160" s="179" t="s">
        <v>6783</v>
      </c>
      <c r="L160" s="17"/>
      <c r="M160" s="180"/>
      <c r="T160" s="41"/>
      <c r="AT160" s="2" t="s">
        <v>644</v>
      </c>
      <c r="AU160" s="2" t="s">
        <v>90</v>
      </c>
    </row>
    <row r="161" spans="2:65" s="16" customFormat="1" ht="16.5" customHeight="1" x14ac:dyDescent="0.2">
      <c r="B161" s="17"/>
      <c r="C161" s="128">
        <v>16</v>
      </c>
      <c r="D161" s="128" t="s">
        <v>339</v>
      </c>
      <c r="E161" s="129" t="s">
        <v>6789</v>
      </c>
      <c r="F161" s="130" t="s">
        <v>6790</v>
      </c>
      <c r="G161" s="131" t="s">
        <v>535</v>
      </c>
      <c r="H161" s="132">
        <v>6.2</v>
      </c>
      <c r="I161" s="133"/>
      <c r="J161" s="134">
        <f>ROUND(I161*H161,2)</f>
        <v>0</v>
      </c>
      <c r="K161" s="130"/>
      <c r="L161" s="17"/>
      <c r="M161" s="135"/>
      <c r="N161" s="136" t="s">
        <v>45</v>
      </c>
      <c r="P161" s="137">
        <f>O161*H161</f>
        <v>0</v>
      </c>
      <c r="Q161" s="137">
        <v>0</v>
      </c>
      <c r="R161" s="137">
        <f>Q161*H161</f>
        <v>0</v>
      </c>
      <c r="S161" s="137">
        <v>0</v>
      </c>
      <c r="T161" s="138">
        <f>S161*H161</f>
        <v>0</v>
      </c>
      <c r="AR161" s="139" t="s">
        <v>496</v>
      </c>
      <c r="AT161" s="139" t="s">
        <v>339</v>
      </c>
      <c r="AU161" s="139" t="s">
        <v>90</v>
      </c>
      <c r="AY161" s="2" t="s">
        <v>337</v>
      </c>
      <c r="BE161" s="140">
        <f>IF(N161="základní",J161,0)</f>
        <v>0</v>
      </c>
      <c r="BF161" s="140">
        <f>IF(N161="snížená",J161,0)</f>
        <v>0</v>
      </c>
      <c r="BG161" s="140">
        <f>IF(N161="zákl. přenesená",J161,0)</f>
        <v>0</v>
      </c>
      <c r="BH161" s="140">
        <f>IF(N161="sníž. přenesená",J161,0)</f>
        <v>0</v>
      </c>
      <c r="BI161" s="140">
        <f>IF(N161="nulová",J161,0)</f>
        <v>0</v>
      </c>
      <c r="BJ161" s="2" t="s">
        <v>87</v>
      </c>
      <c r="BK161" s="140">
        <f>ROUND(I161*H161,2)</f>
        <v>0</v>
      </c>
      <c r="BL161" s="2" t="s">
        <v>496</v>
      </c>
      <c r="BM161" s="139" t="s">
        <v>621</v>
      </c>
    </row>
    <row r="162" spans="2:65" s="16" customFormat="1" ht="16.5" customHeight="1" x14ac:dyDescent="0.2">
      <c r="B162" s="17"/>
      <c r="C162" s="128">
        <v>17</v>
      </c>
      <c r="D162" s="128" t="s">
        <v>339</v>
      </c>
      <c r="E162" s="129" t="s">
        <v>6791</v>
      </c>
      <c r="F162" s="130" t="s">
        <v>6792</v>
      </c>
      <c r="G162" s="131" t="s">
        <v>449</v>
      </c>
      <c r="H162" s="132">
        <v>3</v>
      </c>
      <c r="I162" s="133"/>
      <c r="J162" s="134">
        <f>ROUND(I162*H162,2)</f>
        <v>0</v>
      </c>
      <c r="K162" s="130"/>
      <c r="L162" s="17"/>
      <c r="M162" s="135"/>
      <c r="N162" s="136" t="s">
        <v>45</v>
      </c>
      <c r="P162" s="137">
        <f>O162*H162</f>
        <v>0</v>
      </c>
      <c r="Q162" s="137">
        <v>0</v>
      </c>
      <c r="R162" s="137">
        <f>Q162*H162</f>
        <v>0</v>
      </c>
      <c r="S162" s="137">
        <v>0</v>
      </c>
      <c r="T162" s="138">
        <f>S162*H162</f>
        <v>0</v>
      </c>
      <c r="AR162" s="139" t="s">
        <v>496</v>
      </c>
      <c r="AT162" s="139" t="s">
        <v>339</v>
      </c>
      <c r="AU162" s="139" t="s">
        <v>90</v>
      </c>
      <c r="AY162" s="2" t="s">
        <v>337</v>
      </c>
      <c r="BE162" s="140">
        <f>IF(N162="základní",J162,0)</f>
        <v>0</v>
      </c>
      <c r="BF162" s="140">
        <f>IF(N162="snížená",J162,0)</f>
        <v>0</v>
      </c>
      <c r="BG162" s="140">
        <f>IF(N162="zákl. přenesená",J162,0)</f>
        <v>0</v>
      </c>
      <c r="BH162" s="140">
        <f>IF(N162="sníž. přenesená",J162,0)</f>
        <v>0</v>
      </c>
      <c r="BI162" s="140">
        <f>IF(N162="nulová",J162,0)</f>
        <v>0</v>
      </c>
      <c r="BJ162" s="2" t="s">
        <v>87</v>
      </c>
      <c r="BK162" s="140">
        <f>ROUND(I162*H162,2)</f>
        <v>0</v>
      </c>
      <c r="BL162" s="2" t="s">
        <v>496</v>
      </c>
      <c r="BM162" s="139" t="s">
        <v>637</v>
      </c>
    </row>
    <row r="163" spans="2:65" s="16" customFormat="1" ht="24.2" customHeight="1" x14ac:dyDescent="0.2">
      <c r="B163" s="17"/>
      <c r="C163" s="128">
        <v>18</v>
      </c>
      <c r="D163" s="128" t="s">
        <v>339</v>
      </c>
      <c r="E163" s="129" t="s">
        <v>6793</v>
      </c>
      <c r="F163" s="130" t="s">
        <v>6794</v>
      </c>
      <c r="G163" s="131" t="s">
        <v>449</v>
      </c>
      <c r="H163" s="132">
        <v>4</v>
      </c>
      <c r="I163" s="133"/>
      <c r="J163" s="134">
        <f>ROUND(I163*H163,2)</f>
        <v>0</v>
      </c>
      <c r="K163" s="130"/>
      <c r="L163" s="17"/>
      <c r="M163" s="135"/>
      <c r="N163" s="136" t="s">
        <v>45</v>
      </c>
      <c r="P163" s="137">
        <f>O163*H163</f>
        <v>0</v>
      </c>
      <c r="Q163" s="137">
        <v>0</v>
      </c>
      <c r="R163" s="137">
        <f>Q163*H163</f>
        <v>0</v>
      </c>
      <c r="S163" s="137">
        <v>0</v>
      </c>
      <c r="T163" s="138">
        <f>S163*H163</f>
        <v>0</v>
      </c>
      <c r="AR163" s="139" t="s">
        <v>496</v>
      </c>
      <c r="AT163" s="139" t="s">
        <v>339</v>
      </c>
      <c r="AU163" s="139" t="s">
        <v>90</v>
      </c>
      <c r="AY163" s="2" t="s">
        <v>337</v>
      </c>
      <c r="BE163" s="140">
        <f>IF(N163="základní",J163,0)</f>
        <v>0</v>
      </c>
      <c r="BF163" s="140">
        <f>IF(N163="snížená",J163,0)</f>
        <v>0</v>
      </c>
      <c r="BG163" s="140">
        <f>IF(N163="zákl. přenesená",J163,0)</f>
        <v>0</v>
      </c>
      <c r="BH163" s="140">
        <f>IF(N163="sníž. přenesená",J163,0)</f>
        <v>0</v>
      </c>
      <c r="BI163" s="140">
        <f>IF(N163="nulová",J163,0)</f>
        <v>0</v>
      </c>
      <c r="BJ163" s="2" t="s">
        <v>87</v>
      </c>
      <c r="BK163" s="140">
        <f>ROUND(I163*H163,2)</f>
        <v>0</v>
      </c>
      <c r="BL163" s="2" t="s">
        <v>496</v>
      </c>
      <c r="BM163" s="139" t="s">
        <v>646</v>
      </c>
    </row>
    <row r="164" spans="2:65" s="16" customFormat="1" ht="39" x14ac:dyDescent="0.2">
      <c r="B164" s="17"/>
      <c r="D164" s="143" t="s">
        <v>644</v>
      </c>
      <c r="F164" s="179" t="s">
        <v>6795</v>
      </c>
      <c r="L164" s="17"/>
      <c r="M164" s="180"/>
      <c r="T164" s="41"/>
      <c r="AT164" s="2" t="s">
        <v>644</v>
      </c>
      <c r="AU164" s="2" t="s">
        <v>90</v>
      </c>
    </row>
    <row r="165" spans="2:65" s="16" customFormat="1" ht="33" customHeight="1" x14ac:dyDescent="0.2">
      <c r="B165" s="17"/>
      <c r="C165" s="128">
        <v>19</v>
      </c>
      <c r="D165" s="128" t="s">
        <v>339</v>
      </c>
      <c r="E165" s="129" t="s">
        <v>6796</v>
      </c>
      <c r="F165" s="130" t="s">
        <v>6797</v>
      </c>
      <c r="G165" s="131" t="s">
        <v>449</v>
      </c>
      <c r="H165" s="132">
        <v>4</v>
      </c>
      <c r="I165" s="133"/>
      <c r="J165" s="134">
        <f t="shared" ref="J165:J179" si="10">ROUND(I165*H165,2)</f>
        <v>0</v>
      </c>
      <c r="K165" s="130"/>
      <c r="L165" s="17"/>
      <c r="M165" s="135"/>
      <c r="N165" s="136" t="s">
        <v>45</v>
      </c>
      <c r="P165" s="137">
        <f t="shared" ref="P165:P179" si="11">O165*H165</f>
        <v>0</v>
      </c>
      <c r="Q165" s="137">
        <v>0</v>
      </c>
      <c r="R165" s="137">
        <f t="shared" ref="R165:R179" si="12">Q165*H165</f>
        <v>0</v>
      </c>
      <c r="S165" s="137">
        <v>0</v>
      </c>
      <c r="T165" s="138">
        <f t="shared" ref="T165:T179" si="13">S165*H165</f>
        <v>0</v>
      </c>
      <c r="AR165" s="139" t="s">
        <v>496</v>
      </c>
      <c r="AT165" s="139" t="s">
        <v>339</v>
      </c>
      <c r="AU165" s="139" t="s">
        <v>90</v>
      </c>
      <c r="AY165" s="2" t="s">
        <v>337</v>
      </c>
      <c r="BE165" s="140">
        <f t="shared" ref="BE165:BE179" si="14">IF(N165="základní",J165,0)</f>
        <v>0</v>
      </c>
      <c r="BF165" s="140">
        <f t="shared" ref="BF165:BF179" si="15">IF(N165="snížená",J165,0)</f>
        <v>0</v>
      </c>
      <c r="BG165" s="140">
        <f t="shared" ref="BG165:BG179" si="16">IF(N165="zákl. přenesená",J165,0)</f>
        <v>0</v>
      </c>
      <c r="BH165" s="140">
        <f t="shared" ref="BH165:BH179" si="17">IF(N165="sníž. přenesená",J165,0)</f>
        <v>0</v>
      </c>
      <c r="BI165" s="140">
        <f t="shared" ref="BI165:BI179" si="18">IF(N165="nulová",J165,0)</f>
        <v>0</v>
      </c>
      <c r="BJ165" s="2" t="s">
        <v>87</v>
      </c>
      <c r="BK165" s="140">
        <f t="shared" ref="BK165:BK179" si="19">ROUND(I165*H165,2)</f>
        <v>0</v>
      </c>
      <c r="BL165" s="2" t="s">
        <v>496</v>
      </c>
      <c r="BM165" s="139" t="s">
        <v>658</v>
      </c>
    </row>
    <row r="166" spans="2:65" s="16" customFormat="1" ht="16.5" customHeight="1" x14ac:dyDescent="0.2">
      <c r="B166" s="17"/>
      <c r="C166" s="128">
        <v>20</v>
      </c>
      <c r="D166" s="128" t="s">
        <v>339</v>
      </c>
      <c r="E166" s="129" t="s">
        <v>6798</v>
      </c>
      <c r="F166" s="130" t="s">
        <v>6792</v>
      </c>
      <c r="G166" s="131" t="s">
        <v>449</v>
      </c>
      <c r="H166" s="132">
        <v>4</v>
      </c>
      <c r="I166" s="133"/>
      <c r="J166" s="134">
        <f t="shared" si="10"/>
        <v>0</v>
      </c>
      <c r="K166" s="130"/>
      <c r="L166" s="17"/>
      <c r="M166" s="135"/>
      <c r="N166" s="136" t="s">
        <v>45</v>
      </c>
      <c r="P166" s="137">
        <f t="shared" si="11"/>
        <v>0</v>
      </c>
      <c r="Q166" s="137">
        <v>0</v>
      </c>
      <c r="R166" s="137">
        <f t="shared" si="12"/>
        <v>0</v>
      </c>
      <c r="S166" s="137">
        <v>0</v>
      </c>
      <c r="T166" s="138">
        <f t="shared" si="13"/>
        <v>0</v>
      </c>
      <c r="AR166" s="139" t="s">
        <v>496</v>
      </c>
      <c r="AT166" s="139" t="s">
        <v>339</v>
      </c>
      <c r="AU166" s="139" t="s">
        <v>90</v>
      </c>
      <c r="AY166" s="2" t="s">
        <v>337</v>
      </c>
      <c r="BE166" s="140">
        <f t="shared" si="14"/>
        <v>0</v>
      </c>
      <c r="BF166" s="140">
        <f t="shared" si="15"/>
        <v>0</v>
      </c>
      <c r="BG166" s="140">
        <f t="shared" si="16"/>
        <v>0</v>
      </c>
      <c r="BH166" s="140">
        <f t="shared" si="17"/>
        <v>0</v>
      </c>
      <c r="BI166" s="140">
        <f t="shared" si="18"/>
        <v>0</v>
      </c>
      <c r="BJ166" s="2" t="s">
        <v>87</v>
      </c>
      <c r="BK166" s="140">
        <f t="shared" si="19"/>
        <v>0</v>
      </c>
      <c r="BL166" s="2" t="s">
        <v>496</v>
      </c>
      <c r="BM166" s="139" t="s">
        <v>685</v>
      </c>
    </row>
    <row r="167" spans="2:65" s="16" customFormat="1" ht="16.5" customHeight="1" x14ac:dyDescent="0.2">
      <c r="B167" s="17"/>
      <c r="C167" s="128">
        <v>21</v>
      </c>
      <c r="D167" s="128" t="s">
        <v>339</v>
      </c>
      <c r="E167" s="129" t="s">
        <v>6799</v>
      </c>
      <c r="F167" s="130" t="s">
        <v>6800</v>
      </c>
      <c r="G167" s="131" t="s">
        <v>535</v>
      </c>
      <c r="H167" s="132">
        <v>0.19</v>
      </c>
      <c r="I167" s="133"/>
      <c r="J167" s="134">
        <f t="shared" si="10"/>
        <v>0</v>
      </c>
      <c r="K167" s="130"/>
      <c r="L167" s="17"/>
      <c r="M167" s="135"/>
      <c r="N167" s="136" t="s">
        <v>45</v>
      </c>
      <c r="P167" s="137">
        <f t="shared" si="11"/>
        <v>0</v>
      </c>
      <c r="Q167" s="137">
        <v>0</v>
      </c>
      <c r="R167" s="137">
        <f t="shared" si="12"/>
        <v>0</v>
      </c>
      <c r="S167" s="137">
        <v>0</v>
      </c>
      <c r="T167" s="138">
        <f t="shared" si="13"/>
        <v>0</v>
      </c>
      <c r="AR167" s="139" t="s">
        <v>496</v>
      </c>
      <c r="AT167" s="139" t="s">
        <v>339</v>
      </c>
      <c r="AU167" s="139" t="s">
        <v>90</v>
      </c>
      <c r="AY167" s="2" t="s">
        <v>337</v>
      </c>
      <c r="BE167" s="140">
        <f t="shared" si="14"/>
        <v>0</v>
      </c>
      <c r="BF167" s="140">
        <f t="shared" si="15"/>
        <v>0</v>
      </c>
      <c r="BG167" s="140">
        <f t="shared" si="16"/>
        <v>0</v>
      </c>
      <c r="BH167" s="140">
        <f t="shared" si="17"/>
        <v>0</v>
      </c>
      <c r="BI167" s="140">
        <f t="shared" si="18"/>
        <v>0</v>
      </c>
      <c r="BJ167" s="2" t="s">
        <v>87</v>
      </c>
      <c r="BK167" s="140">
        <f t="shared" si="19"/>
        <v>0</v>
      </c>
      <c r="BL167" s="2" t="s">
        <v>496</v>
      </c>
      <c r="BM167" s="139" t="s">
        <v>699</v>
      </c>
    </row>
    <row r="168" spans="2:65" s="16" customFormat="1" ht="24.2" customHeight="1" x14ac:dyDescent="0.2">
      <c r="B168" s="17"/>
      <c r="C168" s="128">
        <v>22</v>
      </c>
      <c r="D168" s="128" t="s">
        <v>339</v>
      </c>
      <c r="E168" s="129" t="s">
        <v>6801</v>
      </c>
      <c r="F168" s="130" t="s">
        <v>6802</v>
      </c>
      <c r="G168" s="131" t="s">
        <v>449</v>
      </c>
      <c r="H168" s="132">
        <v>2</v>
      </c>
      <c r="I168" s="133"/>
      <c r="J168" s="134">
        <f t="shared" si="10"/>
        <v>0</v>
      </c>
      <c r="K168" s="130"/>
      <c r="L168" s="17"/>
      <c r="M168" s="135"/>
      <c r="N168" s="136" t="s">
        <v>45</v>
      </c>
      <c r="P168" s="137">
        <f t="shared" si="11"/>
        <v>0</v>
      </c>
      <c r="Q168" s="137">
        <v>0</v>
      </c>
      <c r="R168" s="137">
        <f t="shared" si="12"/>
        <v>0</v>
      </c>
      <c r="S168" s="137">
        <v>0</v>
      </c>
      <c r="T168" s="138">
        <f t="shared" si="13"/>
        <v>0</v>
      </c>
      <c r="AR168" s="139" t="s">
        <v>496</v>
      </c>
      <c r="AT168" s="139" t="s">
        <v>339</v>
      </c>
      <c r="AU168" s="139" t="s">
        <v>90</v>
      </c>
      <c r="AY168" s="2" t="s">
        <v>337</v>
      </c>
      <c r="BE168" s="140">
        <f t="shared" si="14"/>
        <v>0</v>
      </c>
      <c r="BF168" s="140">
        <f t="shared" si="15"/>
        <v>0</v>
      </c>
      <c r="BG168" s="140">
        <f t="shared" si="16"/>
        <v>0</v>
      </c>
      <c r="BH168" s="140">
        <f t="shared" si="17"/>
        <v>0</v>
      </c>
      <c r="BI168" s="140">
        <f t="shared" si="18"/>
        <v>0</v>
      </c>
      <c r="BJ168" s="2" t="s">
        <v>87</v>
      </c>
      <c r="BK168" s="140">
        <f t="shared" si="19"/>
        <v>0</v>
      </c>
      <c r="BL168" s="2" t="s">
        <v>496</v>
      </c>
      <c r="BM168" s="139" t="s">
        <v>708</v>
      </c>
    </row>
    <row r="169" spans="2:65" s="16" customFormat="1" ht="16.5" customHeight="1" x14ac:dyDescent="0.2">
      <c r="B169" s="17"/>
      <c r="C169" s="128">
        <v>23</v>
      </c>
      <c r="D169" s="128" t="s">
        <v>339</v>
      </c>
      <c r="E169" s="129" t="s">
        <v>6803</v>
      </c>
      <c r="F169" s="130" t="s">
        <v>6804</v>
      </c>
      <c r="G169" s="131" t="s">
        <v>449</v>
      </c>
      <c r="H169" s="132">
        <v>2</v>
      </c>
      <c r="I169" s="133"/>
      <c r="J169" s="134">
        <f t="shared" si="10"/>
        <v>0</v>
      </c>
      <c r="K169" s="130"/>
      <c r="L169" s="17"/>
      <c r="M169" s="135"/>
      <c r="N169" s="136" t="s">
        <v>45</v>
      </c>
      <c r="P169" s="137">
        <f t="shared" si="11"/>
        <v>0</v>
      </c>
      <c r="Q169" s="137">
        <v>0</v>
      </c>
      <c r="R169" s="137">
        <f t="shared" si="12"/>
        <v>0</v>
      </c>
      <c r="S169" s="137">
        <v>0</v>
      </c>
      <c r="T169" s="138">
        <f t="shared" si="13"/>
        <v>0</v>
      </c>
      <c r="AR169" s="139" t="s">
        <v>496</v>
      </c>
      <c r="AT169" s="139" t="s">
        <v>339</v>
      </c>
      <c r="AU169" s="139" t="s">
        <v>90</v>
      </c>
      <c r="AY169" s="2" t="s">
        <v>337</v>
      </c>
      <c r="BE169" s="140">
        <f t="shared" si="14"/>
        <v>0</v>
      </c>
      <c r="BF169" s="140">
        <f t="shared" si="15"/>
        <v>0</v>
      </c>
      <c r="BG169" s="140">
        <f t="shared" si="16"/>
        <v>0</v>
      </c>
      <c r="BH169" s="140">
        <f t="shared" si="17"/>
        <v>0</v>
      </c>
      <c r="BI169" s="140">
        <f t="shared" si="18"/>
        <v>0</v>
      </c>
      <c r="BJ169" s="2" t="s">
        <v>87</v>
      </c>
      <c r="BK169" s="140">
        <f t="shared" si="19"/>
        <v>0</v>
      </c>
      <c r="BL169" s="2" t="s">
        <v>496</v>
      </c>
      <c r="BM169" s="139" t="s">
        <v>733</v>
      </c>
    </row>
    <row r="170" spans="2:65" s="16" customFormat="1" ht="16.5" customHeight="1" x14ac:dyDescent="0.2">
      <c r="B170" s="17"/>
      <c r="C170" s="128">
        <v>24</v>
      </c>
      <c r="D170" s="128" t="s">
        <v>339</v>
      </c>
      <c r="E170" s="129" t="s">
        <v>6805</v>
      </c>
      <c r="F170" s="130" t="s">
        <v>6806</v>
      </c>
      <c r="G170" s="131" t="s">
        <v>449</v>
      </c>
      <c r="H170" s="132">
        <v>1</v>
      </c>
      <c r="I170" s="133"/>
      <c r="J170" s="134">
        <f t="shared" si="10"/>
        <v>0</v>
      </c>
      <c r="K170" s="130"/>
      <c r="L170" s="17"/>
      <c r="M170" s="135"/>
      <c r="N170" s="136" t="s">
        <v>45</v>
      </c>
      <c r="P170" s="137">
        <f t="shared" si="11"/>
        <v>0</v>
      </c>
      <c r="Q170" s="137">
        <v>0</v>
      </c>
      <c r="R170" s="137">
        <f t="shared" si="12"/>
        <v>0</v>
      </c>
      <c r="S170" s="137">
        <v>0</v>
      </c>
      <c r="T170" s="138">
        <f t="shared" si="13"/>
        <v>0</v>
      </c>
      <c r="AR170" s="139" t="s">
        <v>496</v>
      </c>
      <c r="AT170" s="139" t="s">
        <v>339</v>
      </c>
      <c r="AU170" s="139" t="s">
        <v>90</v>
      </c>
      <c r="AY170" s="2" t="s">
        <v>337</v>
      </c>
      <c r="BE170" s="140">
        <f t="shared" si="14"/>
        <v>0</v>
      </c>
      <c r="BF170" s="140">
        <f t="shared" si="15"/>
        <v>0</v>
      </c>
      <c r="BG170" s="140">
        <f t="shared" si="16"/>
        <v>0</v>
      </c>
      <c r="BH170" s="140">
        <f t="shared" si="17"/>
        <v>0</v>
      </c>
      <c r="BI170" s="140">
        <f t="shared" si="18"/>
        <v>0</v>
      </c>
      <c r="BJ170" s="2" t="s">
        <v>87</v>
      </c>
      <c r="BK170" s="140">
        <f t="shared" si="19"/>
        <v>0</v>
      </c>
      <c r="BL170" s="2" t="s">
        <v>496</v>
      </c>
      <c r="BM170" s="139" t="s">
        <v>748</v>
      </c>
    </row>
    <row r="171" spans="2:65" s="16" customFormat="1" ht="16.5" customHeight="1" x14ac:dyDescent="0.2">
      <c r="B171" s="17"/>
      <c r="C171" s="128">
        <v>25</v>
      </c>
      <c r="D171" s="128" t="s">
        <v>339</v>
      </c>
      <c r="E171" s="129" t="s">
        <v>6807</v>
      </c>
      <c r="F171" s="130" t="s">
        <v>6808</v>
      </c>
      <c r="G171" s="131" t="s">
        <v>449</v>
      </c>
      <c r="H171" s="132">
        <v>5</v>
      </c>
      <c r="I171" s="133"/>
      <c r="J171" s="134">
        <f t="shared" si="10"/>
        <v>0</v>
      </c>
      <c r="K171" s="130"/>
      <c r="L171" s="17"/>
      <c r="M171" s="135"/>
      <c r="N171" s="136" t="s">
        <v>45</v>
      </c>
      <c r="P171" s="137">
        <f t="shared" si="11"/>
        <v>0</v>
      </c>
      <c r="Q171" s="137">
        <v>0</v>
      </c>
      <c r="R171" s="137">
        <f t="shared" si="12"/>
        <v>0</v>
      </c>
      <c r="S171" s="137">
        <v>0</v>
      </c>
      <c r="T171" s="138">
        <f t="shared" si="13"/>
        <v>0</v>
      </c>
      <c r="AR171" s="139" t="s">
        <v>496</v>
      </c>
      <c r="AT171" s="139" t="s">
        <v>339</v>
      </c>
      <c r="AU171" s="139" t="s">
        <v>90</v>
      </c>
      <c r="AY171" s="2" t="s">
        <v>337</v>
      </c>
      <c r="BE171" s="140">
        <f t="shared" si="14"/>
        <v>0</v>
      </c>
      <c r="BF171" s="140">
        <f t="shared" si="15"/>
        <v>0</v>
      </c>
      <c r="BG171" s="140">
        <f t="shared" si="16"/>
        <v>0</v>
      </c>
      <c r="BH171" s="140">
        <f t="shared" si="17"/>
        <v>0</v>
      </c>
      <c r="BI171" s="140">
        <f t="shared" si="18"/>
        <v>0</v>
      </c>
      <c r="BJ171" s="2" t="s">
        <v>87</v>
      </c>
      <c r="BK171" s="140">
        <f t="shared" si="19"/>
        <v>0</v>
      </c>
      <c r="BL171" s="2" t="s">
        <v>496</v>
      </c>
      <c r="BM171" s="139" t="s">
        <v>762</v>
      </c>
    </row>
    <row r="172" spans="2:65" s="16" customFormat="1" ht="24.2" customHeight="1" x14ac:dyDescent="0.2">
      <c r="B172" s="17"/>
      <c r="C172" s="128">
        <v>26</v>
      </c>
      <c r="D172" s="128" t="s">
        <v>339</v>
      </c>
      <c r="E172" s="129" t="s">
        <v>6809</v>
      </c>
      <c r="F172" s="130" t="s">
        <v>6810</v>
      </c>
      <c r="G172" s="131" t="s">
        <v>724</v>
      </c>
      <c r="H172" s="132">
        <v>5</v>
      </c>
      <c r="I172" s="133"/>
      <c r="J172" s="134">
        <f t="shared" si="10"/>
        <v>0</v>
      </c>
      <c r="K172" s="130"/>
      <c r="L172" s="17"/>
      <c r="M172" s="135"/>
      <c r="N172" s="136" t="s">
        <v>45</v>
      </c>
      <c r="P172" s="137">
        <f t="shared" si="11"/>
        <v>0</v>
      </c>
      <c r="Q172" s="137">
        <v>0</v>
      </c>
      <c r="R172" s="137">
        <f t="shared" si="12"/>
        <v>0</v>
      </c>
      <c r="S172" s="137">
        <v>0</v>
      </c>
      <c r="T172" s="138">
        <f t="shared" si="13"/>
        <v>0</v>
      </c>
      <c r="AR172" s="139" t="s">
        <v>496</v>
      </c>
      <c r="AT172" s="139" t="s">
        <v>339</v>
      </c>
      <c r="AU172" s="139" t="s">
        <v>90</v>
      </c>
      <c r="AY172" s="2" t="s">
        <v>337</v>
      </c>
      <c r="BE172" s="140">
        <f t="shared" si="14"/>
        <v>0</v>
      </c>
      <c r="BF172" s="140">
        <f t="shared" si="15"/>
        <v>0</v>
      </c>
      <c r="BG172" s="140">
        <f t="shared" si="16"/>
        <v>0</v>
      </c>
      <c r="BH172" s="140">
        <f t="shared" si="17"/>
        <v>0</v>
      </c>
      <c r="BI172" s="140">
        <f t="shared" si="18"/>
        <v>0</v>
      </c>
      <c r="BJ172" s="2" t="s">
        <v>87</v>
      </c>
      <c r="BK172" s="140">
        <f t="shared" si="19"/>
        <v>0</v>
      </c>
      <c r="BL172" s="2" t="s">
        <v>496</v>
      </c>
      <c r="BM172" s="139" t="s">
        <v>774</v>
      </c>
    </row>
    <row r="173" spans="2:65" s="16" customFormat="1" ht="24.2" customHeight="1" x14ac:dyDescent="0.2">
      <c r="B173" s="17"/>
      <c r="C173" s="128">
        <v>27</v>
      </c>
      <c r="D173" s="128" t="s">
        <v>339</v>
      </c>
      <c r="E173" s="129" t="s">
        <v>6811</v>
      </c>
      <c r="F173" s="130" t="s">
        <v>6812</v>
      </c>
      <c r="G173" s="131" t="s">
        <v>724</v>
      </c>
      <c r="H173" s="132">
        <v>72</v>
      </c>
      <c r="I173" s="133"/>
      <c r="J173" s="134">
        <f t="shared" si="10"/>
        <v>0</v>
      </c>
      <c r="K173" s="130"/>
      <c r="L173" s="17"/>
      <c r="M173" s="135"/>
      <c r="N173" s="136" t="s">
        <v>45</v>
      </c>
      <c r="P173" s="137">
        <f t="shared" si="11"/>
        <v>0</v>
      </c>
      <c r="Q173" s="137">
        <v>0</v>
      </c>
      <c r="R173" s="137">
        <f t="shared" si="12"/>
        <v>0</v>
      </c>
      <c r="S173" s="137">
        <v>0</v>
      </c>
      <c r="T173" s="138">
        <f t="shared" si="13"/>
        <v>0</v>
      </c>
      <c r="AR173" s="139" t="s">
        <v>496</v>
      </c>
      <c r="AT173" s="139" t="s">
        <v>339</v>
      </c>
      <c r="AU173" s="139" t="s">
        <v>90</v>
      </c>
      <c r="AY173" s="2" t="s">
        <v>337</v>
      </c>
      <c r="BE173" s="140">
        <f t="shared" si="14"/>
        <v>0</v>
      </c>
      <c r="BF173" s="140">
        <f t="shared" si="15"/>
        <v>0</v>
      </c>
      <c r="BG173" s="140">
        <f t="shared" si="16"/>
        <v>0</v>
      </c>
      <c r="BH173" s="140">
        <f t="shared" si="17"/>
        <v>0</v>
      </c>
      <c r="BI173" s="140">
        <f t="shared" si="18"/>
        <v>0</v>
      </c>
      <c r="BJ173" s="2" t="s">
        <v>87</v>
      </c>
      <c r="BK173" s="140">
        <f t="shared" si="19"/>
        <v>0</v>
      </c>
      <c r="BL173" s="2" t="s">
        <v>496</v>
      </c>
      <c r="BM173" s="139" t="s">
        <v>788</v>
      </c>
    </row>
    <row r="174" spans="2:65" s="16" customFormat="1" ht="24.2" customHeight="1" x14ac:dyDescent="0.2">
      <c r="B174" s="17"/>
      <c r="C174" s="128">
        <v>28</v>
      </c>
      <c r="D174" s="128" t="s">
        <v>339</v>
      </c>
      <c r="E174" s="129" t="s">
        <v>6813</v>
      </c>
      <c r="F174" s="130" t="s">
        <v>6814</v>
      </c>
      <c r="G174" s="131" t="s">
        <v>724</v>
      </c>
      <c r="H174" s="132">
        <v>48</v>
      </c>
      <c r="I174" s="133"/>
      <c r="J174" s="134">
        <f t="shared" si="10"/>
        <v>0</v>
      </c>
      <c r="K174" s="130"/>
      <c r="L174" s="17"/>
      <c r="M174" s="135"/>
      <c r="N174" s="136" t="s">
        <v>45</v>
      </c>
      <c r="P174" s="137">
        <f t="shared" si="11"/>
        <v>0</v>
      </c>
      <c r="Q174" s="137">
        <v>0</v>
      </c>
      <c r="R174" s="137">
        <f t="shared" si="12"/>
        <v>0</v>
      </c>
      <c r="S174" s="137">
        <v>0</v>
      </c>
      <c r="T174" s="138">
        <f t="shared" si="13"/>
        <v>0</v>
      </c>
      <c r="AR174" s="139" t="s">
        <v>496</v>
      </c>
      <c r="AT174" s="139" t="s">
        <v>339</v>
      </c>
      <c r="AU174" s="139" t="s">
        <v>90</v>
      </c>
      <c r="AY174" s="2" t="s">
        <v>337</v>
      </c>
      <c r="BE174" s="140">
        <f t="shared" si="14"/>
        <v>0</v>
      </c>
      <c r="BF174" s="140">
        <f t="shared" si="15"/>
        <v>0</v>
      </c>
      <c r="BG174" s="140">
        <f t="shared" si="16"/>
        <v>0</v>
      </c>
      <c r="BH174" s="140">
        <f t="shared" si="17"/>
        <v>0</v>
      </c>
      <c r="BI174" s="140">
        <f t="shared" si="18"/>
        <v>0</v>
      </c>
      <c r="BJ174" s="2" t="s">
        <v>87</v>
      </c>
      <c r="BK174" s="140">
        <f t="shared" si="19"/>
        <v>0</v>
      </c>
      <c r="BL174" s="2" t="s">
        <v>496</v>
      </c>
      <c r="BM174" s="139" t="s">
        <v>797</v>
      </c>
    </row>
    <row r="175" spans="2:65" s="16" customFormat="1" ht="24.2" customHeight="1" x14ac:dyDescent="0.2">
      <c r="B175" s="17"/>
      <c r="C175" s="128">
        <v>29</v>
      </c>
      <c r="D175" s="128" t="s">
        <v>339</v>
      </c>
      <c r="E175" s="129" t="s">
        <v>6815</v>
      </c>
      <c r="F175" s="130" t="s">
        <v>6816</v>
      </c>
      <c r="G175" s="131" t="s">
        <v>724</v>
      </c>
      <c r="H175" s="132">
        <v>28</v>
      </c>
      <c r="I175" s="133"/>
      <c r="J175" s="134">
        <f t="shared" si="10"/>
        <v>0</v>
      </c>
      <c r="K175" s="130"/>
      <c r="L175" s="17"/>
      <c r="M175" s="135"/>
      <c r="N175" s="136" t="s">
        <v>45</v>
      </c>
      <c r="P175" s="137">
        <f t="shared" si="11"/>
        <v>0</v>
      </c>
      <c r="Q175" s="137">
        <v>0</v>
      </c>
      <c r="R175" s="137">
        <f t="shared" si="12"/>
        <v>0</v>
      </c>
      <c r="S175" s="137">
        <v>0</v>
      </c>
      <c r="T175" s="138">
        <f t="shared" si="13"/>
        <v>0</v>
      </c>
      <c r="AR175" s="139" t="s">
        <v>496</v>
      </c>
      <c r="AT175" s="139" t="s">
        <v>339</v>
      </c>
      <c r="AU175" s="139" t="s">
        <v>90</v>
      </c>
      <c r="AY175" s="2" t="s">
        <v>337</v>
      </c>
      <c r="BE175" s="140">
        <f t="shared" si="14"/>
        <v>0</v>
      </c>
      <c r="BF175" s="140">
        <f t="shared" si="15"/>
        <v>0</v>
      </c>
      <c r="BG175" s="140">
        <f t="shared" si="16"/>
        <v>0</v>
      </c>
      <c r="BH175" s="140">
        <f t="shared" si="17"/>
        <v>0</v>
      </c>
      <c r="BI175" s="140">
        <f t="shared" si="18"/>
        <v>0</v>
      </c>
      <c r="BJ175" s="2" t="s">
        <v>87</v>
      </c>
      <c r="BK175" s="140">
        <f t="shared" si="19"/>
        <v>0</v>
      </c>
      <c r="BL175" s="2" t="s">
        <v>496</v>
      </c>
      <c r="BM175" s="139" t="s">
        <v>807</v>
      </c>
    </row>
    <row r="176" spans="2:65" s="16" customFormat="1" ht="24.2" customHeight="1" x14ac:dyDescent="0.2">
      <c r="B176" s="17"/>
      <c r="C176" s="128">
        <v>30</v>
      </c>
      <c r="D176" s="128" t="s">
        <v>339</v>
      </c>
      <c r="E176" s="129" t="s">
        <v>6817</v>
      </c>
      <c r="F176" s="130" t="s">
        <v>6818</v>
      </c>
      <c r="G176" s="131" t="s">
        <v>724</v>
      </c>
      <c r="H176" s="132">
        <v>38</v>
      </c>
      <c r="I176" s="133"/>
      <c r="J176" s="134">
        <f t="shared" si="10"/>
        <v>0</v>
      </c>
      <c r="K176" s="130"/>
      <c r="L176" s="17"/>
      <c r="M176" s="135"/>
      <c r="N176" s="136" t="s">
        <v>45</v>
      </c>
      <c r="P176" s="137">
        <f t="shared" si="11"/>
        <v>0</v>
      </c>
      <c r="Q176" s="137">
        <v>0</v>
      </c>
      <c r="R176" s="137">
        <f t="shared" si="12"/>
        <v>0</v>
      </c>
      <c r="S176" s="137">
        <v>0</v>
      </c>
      <c r="T176" s="138">
        <f t="shared" si="13"/>
        <v>0</v>
      </c>
      <c r="AR176" s="139" t="s">
        <v>496</v>
      </c>
      <c r="AT176" s="139" t="s">
        <v>339</v>
      </c>
      <c r="AU176" s="139" t="s">
        <v>90</v>
      </c>
      <c r="AY176" s="2" t="s">
        <v>337</v>
      </c>
      <c r="BE176" s="140">
        <f t="shared" si="14"/>
        <v>0</v>
      </c>
      <c r="BF176" s="140">
        <f t="shared" si="15"/>
        <v>0</v>
      </c>
      <c r="BG176" s="140">
        <f t="shared" si="16"/>
        <v>0</v>
      </c>
      <c r="BH176" s="140">
        <f t="shared" si="17"/>
        <v>0</v>
      </c>
      <c r="BI176" s="140">
        <f t="shared" si="18"/>
        <v>0</v>
      </c>
      <c r="BJ176" s="2" t="s">
        <v>87</v>
      </c>
      <c r="BK176" s="140">
        <f t="shared" si="19"/>
        <v>0</v>
      </c>
      <c r="BL176" s="2" t="s">
        <v>496</v>
      </c>
      <c r="BM176" s="139" t="s">
        <v>818</v>
      </c>
    </row>
    <row r="177" spans="2:65" s="16" customFormat="1" ht="24.2" customHeight="1" x14ac:dyDescent="0.2">
      <c r="B177" s="17"/>
      <c r="C177" s="128">
        <v>31</v>
      </c>
      <c r="D177" s="128" t="s">
        <v>339</v>
      </c>
      <c r="E177" s="129" t="s">
        <v>6819</v>
      </c>
      <c r="F177" s="130" t="s">
        <v>6820</v>
      </c>
      <c r="G177" s="131" t="s">
        <v>724</v>
      </c>
      <c r="H177" s="132">
        <v>38</v>
      </c>
      <c r="I177" s="133"/>
      <c r="J177" s="134">
        <f t="shared" si="10"/>
        <v>0</v>
      </c>
      <c r="K177" s="130"/>
      <c r="L177" s="17"/>
      <c r="M177" s="135"/>
      <c r="N177" s="136" t="s">
        <v>45</v>
      </c>
      <c r="P177" s="137">
        <f t="shared" si="11"/>
        <v>0</v>
      </c>
      <c r="Q177" s="137">
        <v>0</v>
      </c>
      <c r="R177" s="137">
        <f t="shared" si="12"/>
        <v>0</v>
      </c>
      <c r="S177" s="137">
        <v>0</v>
      </c>
      <c r="T177" s="138">
        <f t="shared" si="13"/>
        <v>0</v>
      </c>
      <c r="AR177" s="139" t="s">
        <v>496</v>
      </c>
      <c r="AT177" s="139" t="s">
        <v>339</v>
      </c>
      <c r="AU177" s="139" t="s">
        <v>90</v>
      </c>
      <c r="AY177" s="2" t="s">
        <v>337</v>
      </c>
      <c r="BE177" s="140">
        <f t="shared" si="14"/>
        <v>0</v>
      </c>
      <c r="BF177" s="140">
        <f t="shared" si="15"/>
        <v>0</v>
      </c>
      <c r="BG177" s="140">
        <f t="shared" si="16"/>
        <v>0</v>
      </c>
      <c r="BH177" s="140">
        <f t="shared" si="17"/>
        <v>0</v>
      </c>
      <c r="BI177" s="140">
        <f t="shared" si="18"/>
        <v>0</v>
      </c>
      <c r="BJ177" s="2" t="s">
        <v>87</v>
      </c>
      <c r="BK177" s="140">
        <f t="shared" si="19"/>
        <v>0</v>
      </c>
      <c r="BL177" s="2" t="s">
        <v>496</v>
      </c>
      <c r="BM177" s="139" t="s">
        <v>829</v>
      </c>
    </row>
    <row r="178" spans="2:65" s="16" customFormat="1" ht="16.5" customHeight="1" x14ac:dyDescent="0.2">
      <c r="B178" s="17"/>
      <c r="C178" s="162">
        <v>32</v>
      </c>
      <c r="D178" s="162" t="s">
        <v>519</v>
      </c>
      <c r="E178" s="163" t="s">
        <v>6821</v>
      </c>
      <c r="F178" s="164" t="s">
        <v>6822</v>
      </c>
      <c r="G178" s="165" t="s">
        <v>724</v>
      </c>
      <c r="H178" s="166">
        <v>14</v>
      </c>
      <c r="I178" s="167"/>
      <c r="J178" s="168">
        <f t="shared" si="10"/>
        <v>0</v>
      </c>
      <c r="K178" s="164" t="s">
        <v>343</v>
      </c>
      <c r="L178" s="169"/>
      <c r="M178" s="170"/>
      <c r="N178" s="171" t="s">
        <v>45</v>
      </c>
      <c r="P178" s="137">
        <f t="shared" si="11"/>
        <v>0</v>
      </c>
      <c r="Q178" s="137">
        <v>0</v>
      </c>
      <c r="R178" s="137">
        <f t="shared" si="12"/>
        <v>0</v>
      </c>
      <c r="S178" s="137">
        <v>0</v>
      </c>
      <c r="T178" s="138">
        <f t="shared" si="13"/>
        <v>0</v>
      </c>
      <c r="AR178" s="139" t="s">
        <v>621</v>
      </c>
      <c r="AT178" s="139" t="s">
        <v>519</v>
      </c>
      <c r="AU178" s="139" t="s">
        <v>90</v>
      </c>
      <c r="AY178" s="2" t="s">
        <v>337</v>
      </c>
      <c r="BE178" s="140">
        <f t="shared" si="14"/>
        <v>0</v>
      </c>
      <c r="BF178" s="140">
        <f t="shared" si="15"/>
        <v>0</v>
      </c>
      <c r="BG178" s="140">
        <f t="shared" si="16"/>
        <v>0</v>
      </c>
      <c r="BH178" s="140">
        <f t="shared" si="17"/>
        <v>0</v>
      </c>
      <c r="BI178" s="140">
        <f t="shared" si="18"/>
        <v>0</v>
      </c>
      <c r="BJ178" s="2" t="s">
        <v>87</v>
      </c>
      <c r="BK178" s="140">
        <f t="shared" si="19"/>
        <v>0</v>
      </c>
      <c r="BL178" s="2" t="s">
        <v>496</v>
      </c>
      <c r="BM178" s="139" t="s">
        <v>850</v>
      </c>
    </row>
    <row r="179" spans="2:65" s="16" customFormat="1" ht="24.2" customHeight="1" x14ac:dyDescent="0.2">
      <c r="B179" s="17"/>
      <c r="C179" s="128">
        <v>33</v>
      </c>
      <c r="D179" s="128" t="s">
        <v>339</v>
      </c>
      <c r="E179" s="129" t="s">
        <v>6823</v>
      </c>
      <c r="F179" s="130" t="s">
        <v>6824</v>
      </c>
      <c r="G179" s="131" t="s">
        <v>6048</v>
      </c>
      <c r="H179" s="192"/>
      <c r="I179" s="133"/>
      <c r="J179" s="134">
        <f t="shared" si="10"/>
        <v>0</v>
      </c>
      <c r="K179" s="130" t="s">
        <v>343</v>
      </c>
      <c r="L179" s="17"/>
      <c r="M179" s="135"/>
      <c r="N179" s="136" t="s">
        <v>45</v>
      </c>
      <c r="P179" s="137">
        <f t="shared" si="11"/>
        <v>0</v>
      </c>
      <c r="Q179" s="137">
        <v>0</v>
      </c>
      <c r="R179" s="137">
        <f t="shared" si="12"/>
        <v>0</v>
      </c>
      <c r="S179" s="137">
        <v>0</v>
      </c>
      <c r="T179" s="138">
        <f t="shared" si="13"/>
        <v>0</v>
      </c>
      <c r="AR179" s="139" t="s">
        <v>496</v>
      </c>
      <c r="AT179" s="139" t="s">
        <v>339</v>
      </c>
      <c r="AU179" s="139" t="s">
        <v>90</v>
      </c>
      <c r="AY179" s="2" t="s">
        <v>337</v>
      </c>
      <c r="BE179" s="140">
        <f t="shared" si="14"/>
        <v>0</v>
      </c>
      <c r="BF179" s="140">
        <f t="shared" si="15"/>
        <v>0</v>
      </c>
      <c r="BG179" s="140">
        <f t="shared" si="16"/>
        <v>0</v>
      </c>
      <c r="BH179" s="140">
        <f t="shared" si="17"/>
        <v>0</v>
      </c>
      <c r="BI179" s="140">
        <f t="shared" si="18"/>
        <v>0</v>
      </c>
      <c r="BJ179" s="2" t="s">
        <v>87</v>
      </c>
      <c r="BK179" s="140">
        <f t="shared" si="19"/>
        <v>0</v>
      </c>
      <c r="BL179" s="2" t="s">
        <v>496</v>
      </c>
      <c r="BM179" s="139" t="s">
        <v>6825</v>
      </c>
    </row>
    <row r="180" spans="2:65" s="116" customFormat="1" ht="25.9" customHeight="1" x14ac:dyDescent="0.2">
      <c r="B180" s="117"/>
      <c r="D180" s="118" t="s">
        <v>79</v>
      </c>
      <c r="E180" s="119" t="s">
        <v>5123</v>
      </c>
      <c r="F180" s="119" t="s">
        <v>5124</v>
      </c>
      <c r="J180" s="120">
        <f>BK180</f>
        <v>0</v>
      </c>
      <c r="L180" s="117"/>
      <c r="M180" s="121"/>
      <c r="P180" s="122">
        <f>P181</f>
        <v>0</v>
      </c>
      <c r="R180" s="122">
        <f>R181</f>
        <v>0</v>
      </c>
      <c r="T180" s="123">
        <f>T181</f>
        <v>0</v>
      </c>
      <c r="AR180" s="118" t="s">
        <v>344</v>
      </c>
      <c r="AT180" s="124" t="s">
        <v>79</v>
      </c>
      <c r="AU180" s="124" t="s">
        <v>80</v>
      </c>
      <c r="AY180" s="118" t="s">
        <v>337</v>
      </c>
      <c r="BK180" s="125">
        <f>BK181</f>
        <v>0</v>
      </c>
    </row>
    <row r="181" spans="2:65" s="16" customFormat="1" ht="21.75" customHeight="1" x14ac:dyDescent="0.2">
      <c r="B181" s="17"/>
      <c r="C181" s="128">
        <v>34</v>
      </c>
      <c r="D181" s="128" t="s">
        <v>339</v>
      </c>
      <c r="E181" s="129" t="s">
        <v>6318</v>
      </c>
      <c r="F181" s="130" t="s">
        <v>6319</v>
      </c>
      <c r="G181" s="131" t="s">
        <v>3042</v>
      </c>
      <c r="H181" s="132">
        <v>400</v>
      </c>
      <c r="I181" s="133"/>
      <c r="J181" s="134">
        <f>ROUND(I181*H181,2)</f>
        <v>0</v>
      </c>
      <c r="K181" s="130" t="s">
        <v>343</v>
      </c>
      <c r="L181" s="17"/>
      <c r="M181" s="135"/>
      <c r="N181" s="136" t="s">
        <v>45</v>
      </c>
      <c r="P181" s="137">
        <f>O181*H181</f>
        <v>0</v>
      </c>
      <c r="Q181" s="137">
        <v>0</v>
      </c>
      <c r="R181" s="137">
        <f>Q181*H181</f>
        <v>0</v>
      </c>
      <c r="S181" s="137">
        <v>0</v>
      </c>
      <c r="T181" s="138">
        <f>S181*H181</f>
        <v>0</v>
      </c>
      <c r="AR181" s="139" t="s">
        <v>6320</v>
      </c>
      <c r="AT181" s="139" t="s">
        <v>339</v>
      </c>
      <c r="AU181" s="139" t="s">
        <v>87</v>
      </c>
      <c r="AY181" s="2" t="s">
        <v>337</v>
      </c>
      <c r="BE181" s="140">
        <f>IF(N181="základní",J181,0)</f>
        <v>0</v>
      </c>
      <c r="BF181" s="140">
        <f>IF(N181="snížená",J181,0)</f>
        <v>0</v>
      </c>
      <c r="BG181" s="140">
        <f>IF(N181="zákl. přenesená",J181,0)</f>
        <v>0</v>
      </c>
      <c r="BH181" s="140">
        <f>IF(N181="sníž. přenesená",J181,0)</f>
        <v>0</v>
      </c>
      <c r="BI181" s="140">
        <f>IF(N181="nulová",J181,0)</f>
        <v>0</v>
      </c>
      <c r="BJ181" s="2" t="s">
        <v>87</v>
      </c>
      <c r="BK181" s="140">
        <f>ROUND(I181*H181,2)</f>
        <v>0</v>
      </c>
      <c r="BL181" s="2" t="s">
        <v>6320</v>
      </c>
      <c r="BM181" s="139" t="s">
        <v>870</v>
      </c>
    </row>
    <row r="182" spans="2:65" s="116" customFormat="1" ht="25.9" customHeight="1" x14ac:dyDescent="0.2">
      <c r="B182" s="117"/>
      <c r="D182" s="118" t="s">
        <v>79</v>
      </c>
      <c r="E182" s="119" t="s">
        <v>174</v>
      </c>
      <c r="F182" s="119" t="s">
        <v>175</v>
      </c>
      <c r="J182" s="120">
        <f>BK182</f>
        <v>0</v>
      </c>
      <c r="L182" s="117"/>
      <c r="M182" s="121"/>
      <c r="P182" s="122">
        <f>P183+P185</f>
        <v>0</v>
      </c>
      <c r="R182" s="122">
        <f>R183+R185</f>
        <v>0</v>
      </c>
      <c r="T182" s="123">
        <f>T183+T185</f>
        <v>0</v>
      </c>
      <c r="AR182" s="118" t="s">
        <v>422</v>
      </c>
      <c r="AT182" s="124" t="s">
        <v>79</v>
      </c>
      <c r="AU182" s="124" t="s">
        <v>80</v>
      </c>
      <c r="AY182" s="118" t="s">
        <v>337</v>
      </c>
      <c r="BK182" s="125">
        <f>BK183+BK185</f>
        <v>0</v>
      </c>
    </row>
    <row r="183" spans="2:65" s="116" customFormat="1" ht="22.9" customHeight="1" x14ac:dyDescent="0.2">
      <c r="B183" s="117"/>
      <c r="D183" s="118" t="s">
        <v>79</v>
      </c>
      <c r="E183" s="126" t="s">
        <v>6826</v>
      </c>
      <c r="F183" s="126" t="s">
        <v>6827</v>
      </c>
      <c r="J183" s="127">
        <f>BK183</f>
        <v>0</v>
      </c>
      <c r="L183" s="117"/>
      <c r="M183" s="121"/>
      <c r="P183" s="122">
        <f>P184</f>
        <v>0</v>
      </c>
      <c r="R183" s="122">
        <f>R184</f>
        <v>0</v>
      </c>
      <c r="T183" s="123">
        <f>T184</f>
        <v>0</v>
      </c>
      <c r="AR183" s="118" t="s">
        <v>422</v>
      </c>
      <c r="AT183" s="124" t="s">
        <v>79</v>
      </c>
      <c r="AU183" s="124" t="s">
        <v>87</v>
      </c>
      <c r="AY183" s="118" t="s">
        <v>337</v>
      </c>
      <c r="BK183" s="125">
        <f>BK184</f>
        <v>0</v>
      </c>
    </row>
    <row r="184" spans="2:65" s="16" customFormat="1" ht="16.5" customHeight="1" x14ac:dyDescent="0.2">
      <c r="B184" s="17"/>
      <c r="C184" s="128">
        <v>35</v>
      </c>
      <c r="D184" s="128" t="s">
        <v>339</v>
      </c>
      <c r="E184" s="129" t="s">
        <v>6828</v>
      </c>
      <c r="F184" s="130" t="s">
        <v>6829</v>
      </c>
      <c r="G184" s="131" t="s">
        <v>6145</v>
      </c>
      <c r="H184" s="132">
        <v>1</v>
      </c>
      <c r="I184" s="133"/>
      <c r="J184" s="134">
        <f>ROUND(I184*H184,2)</f>
        <v>0</v>
      </c>
      <c r="K184" s="130"/>
      <c r="L184" s="17"/>
      <c r="M184" s="135"/>
      <c r="N184" s="136" t="s">
        <v>45</v>
      </c>
      <c r="P184" s="137">
        <f>O184*H184</f>
        <v>0</v>
      </c>
      <c r="Q184" s="137">
        <v>0</v>
      </c>
      <c r="R184" s="137">
        <f>Q184*H184</f>
        <v>0</v>
      </c>
      <c r="S184" s="137">
        <v>0</v>
      </c>
      <c r="T184" s="138">
        <f>S184*H184</f>
        <v>0</v>
      </c>
      <c r="AR184" s="139" t="s">
        <v>344</v>
      </c>
      <c r="AT184" s="139" t="s">
        <v>339</v>
      </c>
      <c r="AU184" s="139" t="s">
        <v>90</v>
      </c>
      <c r="AY184" s="2" t="s">
        <v>337</v>
      </c>
      <c r="BE184" s="140">
        <f>IF(N184="základní",J184,0)</f>
        <v>0</v>
      </c>
      <c r="BF184" s="140">
        <f>IF(N184="snížená",J184,0)</f>
        <v>0</v>
      </c>
      <c r="BG184" s="140">
        <f>IF(N184="zákl. přenesená",J184,0)</f>
        <v>0</v>
      </c>
      <c r="BH184" s="140">
        <f>IF(N184="sníž. přenesená",J184,0)</f>
        <v>0</v>
      </c>
      <c r="BI184" s="140">
        <f>IF(N184="nulová",J184,0)</f>
        <v>0</v>
      </c>
      <c r="BJ184" s="2" t="s">
        <v>87</v>
      </c>
      <c r="BK184" s="140">
        <f>ROUND(I184*H184,2)</f>
        <v>0</v>
      </c>
      <c r="BL184" s="2" t="s">
        <v>344</v>
      </c>
      <c r="BM184" s="139" t="s">
        <v>950</v>
      </c>
    </row>
    <row r="185" spans="2:65" s="116" customFormat="1" ht="22.9" customHeight="1" x14ac:dyDescent="0.2">
      <c r="B185" s="117"/>
      <c r="D185" s="118" t="s">
        <v>79</v>
      </c>
      <c r="E185" s="126" t="s">
        <v>6321</v>
      </c>
      <c r="F185" s="126" t="s">
        <v>6322</v>
      </c>
      <c r="J185" s="127">
        <f>BK185</f>
        <v>0</v>
      </c>
      <c r="L185" s="117"/>
      <c r="M185" s="121"/>
      <c r="P185" s="122">
        <f>SUM(P186:P187)</f>
        <v>0</v>
      </c>
      <c r="R185" s="122">
        <f>SUM(R186:R187)</f>
        <v>0</v>
      </c>
      <c r="T185" s="123">
        <f>SUM(T186:T187)</f>
        <v>0</v>
      </c>
      <c r="AR185" s="118" t="s">
        <v>422</v>
      </c>
      <c r="AT185" s="124" t="s">
        <v>79</v>
      </c>
      <c r="AU185" s="124" t="s">
        <v>87</v>
      </c>
      <c r="AY185" s="118" t="s">
        <v>337</v>
      </c>
      <c r="BK185" s="125">
        <f>SUM(BK186:BK187)</f>
        <v>0</v>
      </c>
    </row>
    <row r="186" spans="2:65" s="16" customFormat="1" ht="16.5" customHeight="1" x14ac:dyDescent="0.2">
      <c r="B186" s="17"/>
      <c r="C186" s="128">
        <v>36</v>
      </c>
      <c r="D186" s="128" t="s">
        <v>339</v>
      </c>
      <c r="E186" s="129" t="s">
        <v>6323</v>
      </c>
      <c r="F186" s="130" t="s">
        <v>6324</v>
      </c>
      <c r="G186" s="131" t="s">
        <v>6145</v>
      </c>
      <c r="H186" s="132">
        <v>1</v>
      </c>
      <c r="I186" s="133"/>
      <c r="J186" s="134">
        <f>ROUND(I186*H186,2)</f>
        <v>0</v>
      </c>
      <c r="K186" s="130"/>
      <c r="L186" s="17"/>
      <c r="M186" s="135"/>
      <c r="N186" s="136" t="s">
        <v>45</v>
      </c>
      <c r="P186" s="137">
        <f>O186*H186</f>
        <v>0</v>
      </c>
      <c r="Q186" s="137">
        <v>0</v>
      </c>
      <c r="R186" s="137">
        <f>Q186*H186</f>
        <v>0</v>
      </c>
      <c r="S186" s="137">
        <v>0</v>
      </c>
      <c r="T186" s="138">
        <f>S186*H186</f>
        <v>0</v>
      </c>
      <c r="AR186" s="139" t="s">
        <v>344</v>
      </c>
      <c r="AT186" s="139" t="s">
        <v>339</v>
      </c>
      <c r="AU186" s="139" t="s">
        <v>90</v>
      </c>
      <c r="AY186" s="2" t="s">
        <v>337</v>
      </c>
      <c r="BE186" s="140">
        <f>IF(N186="základní",J186,0)</f>
        <v>0</v>
      </c>
      <c r="BF186" s="140">
        <f>IF(N186="snížená",J186,0)</f>
        <v>0</v>
      </c>
      <c r="BG186" s="140">
        <f>IF(N186="zákl. přenesená",J186,0)</f>
        <v>0</v>
      </c>
      <c r="BH186" s="140">
        <f>IF(N186="sníž. přenesená",J186,0)</f>
        <v>0</v>
      </c>
      <c r="BI186" s="140">
        <f>IF(N186="nulová",J186,0)</f>
        <v>0</v>
      </c>
      <c r="BJ186" s="2" t="s">
        <v>87</v>
      </c>
      <c r="BK186" s="140">
        <f>ROUND(I186*H186,2)</f>
        <v>0</v>
      </c>
      <c r="BL186" s="2" t="s">
        <v>344</v>
      </c>
      <c r="BM186" s="139" t="s">
        <v>958</v>
      </c>
    </row>
    <row r="187" spans="2:65" s="16" customFormat="1" ht="24.2" customHeight="1" x14ac:dyDescent="0.2">
      <c r="B187" s="17"/>
      <c r="C187" s="128">
        <v>37</v>
      </c>
      <c r="D187" s="128" t="s">
        <v>339</v>
      </c>
      <c r="E187" s="129" t="s">
        <v>6830</v>
      </c>
      <c r="F187" s="130" t="s">
        <v>6752</v>
      </c>
      <c r="G187" s="131" t="s">
        <v>449</v>
      </c>
      <c r="H187" s="132">
        <v>10</v>
      </c>
      <c r="I187" s="133"/>
      <c r="J187" s="134">
        <f>ROUND(I187*H187,2)</f>
        <v>0</v>
      </c>
      <c r="K187" s="130"/>
      <c r="L187" s="17"/>
      <c r="M187" s="187"/>
      <c r="N187" s="188" t="s">
        <v>45</v>
      </c>
      <c r="O187" s="189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AR187" s="139" t="s">
        <v>344</v>
      </c>
      <c r="AT187" s="139" t="s">
        <v>339</v>
      </c>
      <c r="AU187" s="139" t="s">
        <v>90</v>
      </c>
      <c r="AY187" s="2" t="s">
        <v>337</v>
      </c>
      <c r="BE187" s="140">
        <f>IF(N187="základní",J187,0)</f>
        <v>0</v>
      </c>
      <c r="BF187" s="140">
        <f>IF(N187="snížená",J187,0)</f>
        <v>0</v>
      </c>
      <c r="BG187" s="140">
        <f>IF(N187="zákl. přenesená",J187,0)</f>
        <v>0</v>
      </c>
      <c r="BH187" s="140">
        <f>IF(N187="sníž. přenesená",J187,0)</f>
        <v>0</v>
      </c>
      <c r="BI187" s="140">
        <f>IF(N187="nulová",J187,0)</f>
        <v>0</v>
      </c>
      <c r="BJ187" s="2" t="s">
        <v>87</v>
      </c>
      <c r="BK187" s="140">
        <f>ROUND(I187*H187,2)</f>
        <v>0</v>
      </c>
      <c r="BL187" s="2" t="s">
        <v>344</v>
      </c>
      <c r="BM187" s="139" t="s">
        <v>970</v>
      </c>
    </row>
    <row r="188" spans="2:65" s="16" customFormat="1" ht="6.95" customHeight="1" x14ac:dyDescent="0.2">
      <c r="B188" s="30"/>
      <c r="C188" s="19"/>
      <c r="D188" s="19"/>
      <c r="E188" s="19"/>
      <c r="F188" s="19"/>
      <c r="G188" s="19"/>
      <c r="H188" s="19"/>
      <c r="I188" s="19"/>
      <c r="J188" s="19"/>
      <c r="K188" s="19"/>
      <c r="L188" s="17"/>
    </row>
  </sheetData>
  <sheetProtection algorithmName="SHA-512" hashValue="XEI2zen//WQpMeYY2K+UArXtfUrgDBjwqADB2CNKCqHMJ92yUDFJ6Aogte8OaJ8ZQW7iLtcVIeRQfdmBYqBQUQ==" saltValue="iOmeI+AeGbN/hb9Ei5hl+A==" spinCount="100000" sheet="1" objects="1" scenarios="1" formatCells="0" formatColumns="0" formatRows="0" autoFilter="0"/>
  <autoFilter ref="C137:K187" xr:uid="{00000000-0009-0000-0000-000010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8"/>
  <dimension ref="B2:BM376"/>
  <sheetViews>
    <sheetView showGridLines="0" workbookViewId="0"/>
  </sheetViews>
  <sheetFormatPr defaultColWidth="8.5" defaultRowHeight="11.25" x14ac:dyDescent="0.2"/>
  <cols>
    <col min="1" max="1" width="7.6640625" customWidth="1"/>
    <col min="2" max="2" width="1" customWidth="1"/>
    <col min="3" max="3" width="6.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1640625" customWidth="1"/>
    <col min="11" max="11" width="20.83203125" customWidth="1"/>
    <col min="12" max="12" width="15.1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151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6831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6832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/>
      <c r="L24" s="17"/>
    </row>
    <row r="25" spans="2:12" s="16" customFormat="1" ht="18" hidden="1" customHeight="1" x14ac:dyDescent="0.2">
      <c r="B25" s="17"/>
      <c r="E25" s="10" t="s">
        <v>6833</v>
      </c>
      <c r="I25" s="12" t="s">
        <v>26</v>
      </c>
      <c r="J25" s="10"/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/>
      <c r="L27" s="17"/>
    </row>
    <row r="28" spans="2:12" s="16" customFormat="1" ht="18" hidden="1" customHeight="1" x14ac:dyDescent="0.2">
      <c r="B28" s="17"/>
      <c r="E28" s="10" t="s">
        <v>6833</v>
      </c>
      <c r="I28" s="12" t="s">
        <v>26</v>
      </c>
      <c r="J28" s="10"/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47.25" hidden="1" customHeight="1" x14ac:dyDescent="0.2">
      <c r="B31" s="82"/>
      <c r="E31" s="304" t="s">
        <v>6834</v>
      </c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ROUND((SUM(BE139:BE375)),  2)</f>
        <v>0</v>
      </c>
      <c r="I37" s="86">
        <v>0.21</v>
      </c>
      <c r="J37" s="73">
        <f>ROUND(((SUM(BE139:BE375))*I37),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ROUND((SUM(BF139:BF375)),  2)</f>
        <v>0</v>
      </c>
      <c r="I38" s="86">
        <v>0.12</v>
      </c>
      <c r="J38" s="73">
        <f>ROUND(((SUM(BF139:BF375))*I38),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ROUND((SUM(BG139:BG375)),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ROUND((SUM(BH139:BH375)),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ROUND((SUM(BI139:BI375)),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6831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SIL - Silnoproud a hromosvod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Karel Sommer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Karel Sommer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6835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98" customFormat="1" ht="24.95" customHeight="1" x14ac:dyDescent="0.2">
      <c r="B102" s="99"/>
      <c r="D102" s="100" t="s">
        <v>6836</v>
      </c>
      <c r="E102" s="101"/>
      <c r="F102" s="101"/>
      <c r="G102" s="101"/>
      <c r="H102" s="101"/>
      <c r="I102" s="101"/>
      <c r="J102" s="102">
        <f>J205</f>
        <v>0</v>
      </c>
      <c r="L102" s="99"/>
    </row>
    <row r="103" spans="2:47" s="98" customFormat="1" ht="24.95" customHeight="1" x14ac:dyDescent="0.2">
      <c r="B103" s="99"/>
      <c r="D103" s="100" t="s">
        <v>6837</v>
      </c>
      <c r="E103" s="101"/>
      <c r="F103" s="101"/>
      <c r="G103" s="101"/>
      <c r="H103" s="101"/>
      <c r="I103" s="101"/>
      <c r="J103" s="102">
        <f>J217</f>
        <v>0</v>
      </c>
      <c r="L103" s="99"/>
    </row>
    <row r="104" spans="2:47" s="98" customFormat="1" ht="24.95" customHeight="1" x14ac:dyDescent="0.2">
      <c r="B104" s="99"/>
      <c r="D104" s="100" t="s">
        <v>6838</v>
      </c>
      <c r="E104" s="101"/>
      <c r="F104" s="101"/>
      <c r="G104" s="101"/>
      <c r="H104" s="101"/>
      <c r="I104" s="101"/>
      <c r="J104" s="102">
        <f>J226</f>
        <v>0</v>
      </c>
      <c r="L104" s="99"/>
    </row>
    <row r="105" spans="2:47" s="98" customFormat="1" ht="24.95" customHeight="1" x14ac:dyDescent="0.2">
      <c r="B105" s="99"/>
      <c r="D105" s="100" t="s">
        <v>6839</v>
      </c>
      <c r="E105" s="101"/>
      <c r="F105" s="101"/>
      <c r="G105" s="101"/>
      <c r="H105" s="101"/>
      <c r="I105" s="101"/>
      <c r="J105" s="102">
        <f>J237</f>
        <v>0</v>
      </c>
      <c r="L105" s="99"/>
    </row>
    <row r="106" spans="2:47" s="98" customFormat="1" ht="24.95" customHeight="1" x14ac:dyDescent="0.2">
      <c r="B106" s="99"/>
      <c r="D106" s="100" t="s">
        <v>6840</v>
      </c>
      <c r="E106" s="101"/>
      <c r="F106" s="101"/>
      <c r="G106" s="101"/>
      <c r="H106" s="101"/>
      <c r="I106" s="101"/>
      <c r="J106" s="102">
        <f>J374</f>
        <v>0</v>
      </c>
      <c r="L106" s="99"/>
    </row>
    <row r="107" spans="2:47" s="16" customFormat="1" ht="21.75" customHeight="1" x14ac:dyDescent="0.2">
      <c r="B107" s="17"/>
      <c r="L107" s="17"/>
    </row>
    <row r="108" spans="2:47" s="16" customFormat="1" ht="6.95" customHeight="1" x14ac:dyDescent="0.2">
      <c r="B108" s="30"/>
      <c r="C108" s="19"/>
      <c r="D108" s="19"/>
      <c r="E108" s="19"/>
      <c r="F108" s="19"/>
      <c r="G108" s="19"/>
      <c r="H108" s="19"/>
      <c r="I108" s="19"/>
      <c r="J108" s="19"/>
      <c r="K108" s="19"/>
      <c r="L108" s="17"/>
    </row>
    <row r="112" spans="2:47" ht="3" customHeight="1" x14ac:dyDescent="0.2"/>
    <row r="113" spans="2:12" ht="3" customHeight="1" x14ac:dyDescent="0.2"/>
    <row r="114" spans="2:12" ht="3" customHeight="1" x14ac:dyDescent="0.2"/>
    <row r="115" spans="2:12" ht="3" customHeight="1" x14ac:dyDescent="0.2"/>
    <row r="116" spans="2:12" ht="3" customHeight="1" x14ac:dyDescent="0.2"/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6831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SIL - Silnoproud a hromosvod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Karel Sommer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15" t="str">
        <f>E28</f>
        <v>Karel Sommer</v>
      </c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P140+P205+P217+P226+P237+P374</f>
        <v>0</v>
      </c>
      <c r="Q139" s="39"/>
      <c r="R139" s="113">
        <f>R140+R205+R217+R226+R237+R374</f>
        <v>0</v>
      </c>
      <c r="S139" s="39"/>
      <c r="T139" s="114">
        <f>T140+T205+T217+T226+T237+T374</f>
        <v>0</v>
      </c>
      <c r="AT139" s="2" t="s">
        <v>79</v>
      </c>
      <c r="AU139" s="2" t="s">
        <v>303</v>
      </c>
      <c r="BK139" s="115">
        <f>BK140+BK205+BK217+BK226+BK237+BK374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87</v>
      </c>
      <c r="F140" s="119" t="s">
        <v>6841</v>
      </c>
      <c r="J140" s="120">
        <f>BK140</f>
        <v>0</v>
      </c>
      <c r="L140" s="117"/>
      <c r="M140" s="121"/>
      <c r="P140" s="122">
        <f>SUM(P141:P204)</f>
        <v>0</v>
      </c>
      <c r="R140" s="122">
        <f>SUM(R141:R204)</f>
        <v>0</v>
      </c>
      <c r="T140" s="123">
        <f>SUM(T141:T204)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SUM(BK141:BK204)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6842</v>
      </c>
      <c r="F141" s="130" t="s">
        <v>6843</v>
      </c>
      <c r="G141" s="131" t="s">
        <v>724</v>
      </c>
      <c r="H141" s="132">
        <v>1000</v>
      </c>
      <c r="I141" s="133"/>
      <c r="J141" s="134">
        <f t="shared" ref="J141:J172" si="0">ROUND(I141*H141,2)</f>
        <v>0</v>
      </c>
      <c r="K141" s="130"/>
      <c r="L141" s="17"/>
      <c r="M141" s="135"/>
      <c r="N141" s="136" t="s">
        <v>45</v>
      </c>
      <c r="P141" s="137">
        <f t="shared" ref="P141:P172" si="1">O141*H141</f>
        <v>0</v>
      </c>
      <c r="Q141" s="137">
        <v>0</v>
      </c>
      <c r="R141" s="137">
        <f t="shared" ref="R141:R172" si="2">Q141*H141</f>
        <v>0</v>
      </c>
      <c r="S141" s="137">
        <v>0</v>
      </c>
      <c r="T141" s="138">
        <f t="shared" ref="T141:T172" si="3"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 t="shared" ref="BE141:BE172" si="4">IF(N141="základní",J141,0)</f>
        <v>0</v>
      </c>
      <c r="BF141" s="140">
        <f t="shared" ref="BF141:BF172" si="5">IF(N141="snížená",J141,0)</f>
        <v>0</v>
      </c>
      <c r="BG141" s="140">
        <f t="shared" ref="BG141:BG172" si="6">IF(N141="zákl. přenesená",J141,0)</f>
        <v>0</v>
      </c>
      <c r="BH141" s="140">
        <f t="shared" ref="BH141:BH172" si="7">IF(N141="sníž. přenesená",J141,0)</f>
        <v>0</v>
      </c>
      <c r="BI141" s="140">
        <f t="shared" ref="BI141:BI172" si="8">IF(N141="nulová",J141,0)</f>
        <v>0</v>
      </c>
      <c r="BJ141" s="2" t="s">
        <v>87</v>
      </c>
      <c r="BK141" s="140">
        <f t="shared" ref="BK141:BK172" si="9">ROUND(I141*H141,2)</f>
        <v>0</v>
      </c>
      <c r="BL141" s="2" t="s">
        <v>344</v>
      </c>
      <c r="BM141" s="139" t="s">
        <v>90</v>
      </c>
    </row>
    <row r="142" spans="2:65" s="16" customFormat="1" ht="16.5" customHeight="1" x14ac:dyDescent="0.2">
      <c r="B142" s="17"/>
      <c r="C142" s="128">
        <v>2</v>
      </c>
      <c r="D142" s="128" t="s">
        <v>339</v>
      </c>
      <c r="E142" s="129" t="s">
        <v>6844</v>
      </c>
      <c r="F142" s="130" t="s">
        <v>6845</v>
      </c>
      <c r="G142" s="131" t="s">
        <v>724</v>
      </c>
      <c r="H142" s="132">
        <v>1000</v>
      </c>
      <c r="I142" s="133"/>
      <c r="J142" s="134">
        <f t="shared" si="0"/>
        <v>0</v>
      </c>
      <c r="K142" s="130"/>
      <c r="L142" s="17"/>
      <c r="M142" s="135"/>
      <c r="N142" s="136" t="s">
        <v>45</v>
      </c>
      <c r="P142" s="137">
        <f t="shared" si="1"/>
        <v>0</v>
      </c>
      <c r="Q142" s="137">
        <v>0</v>
      </c>
      <c r="R142" s="137">
        <f t="shared" si="2"/>
        <v>0</v>
      </c>
      <c r="S142" s="137">
        <v>0</v>
      </c>
      <c r="T142" s="138">
        <f t="shared" si="3"/>
        <v>0</v>
      </c>
      <c r="AR142" s="139" t="s">
        <v>344</v>
      </c>
      <c r="AT142" s="139" t="s">
        <v>339</v>
      </c>
      <c r="AU142" s="139" t="s">
        <v>87</v>
      </c>
      <c r="AY142" s="2" t="s">
        <v>337</v>
      </c>
      <c r="BE142" s="140">
        <f t="shared" si="4"/>
        <v>0</v>
      </c>
      <c r="BF142" s="140">
        <f t="shared" si="5"/>
        <v>0</v>
      </c>
      <c r="BG142" s="140">
        <f t="shared" si="6"/>
        <v>0</v>
      </c>
      <c r="BH142" s="140">
        <f t="shared" si="7"/>
        <v>0</v>
      </c>
      <c r="BI142" s="140">
        <f t="shared" si="8"/>
        <v>0</v>
      </c>
      <c r="BJ142" s="2" t="s">
        <v>87</v>
      </c>
      <c r="BK142" s="140">
        <f t="shared" si="9"/>
        <v>0</v>
      </c>
      <c r="BL142" s="2" t="s">
        <v>344</v>
      </c>
      <c r="BM142" s="139" t="s">
        <v>344</v>
      </c>
    </row>
    <row r="143" spans="2:65" s="16" customFormat="1" ht="16.5" customHeight="1" x14ac:dyDescent="0.2">
      <c r="B143" s="17"/>
      <c r="C143" s="128">
        <v>3</v>
      </c>
      <c r="D143" s="128" t="s">
        <v>339</v>
      </c>
      <c r="E143" s="129" t="s">
        <v>6846</v>
      </c>
      <c r="F143" s="130" t="s">
        <v>6847</v>
      </c>
      <c r="G143" s="131" t="s">
        <v>724</v>
      </c>
      <c r="H143" s="132">
        <v>800</v>
      </c>
      <c r="I143" s="133"/>
      <c r="J143" s="134">
        <f t="shared" si="0"/>
        <v>0</v>
      </c>
      <c r="K143" s="130"/>
      <c r="L143" s="17"/>
      <c r="M143" s="135"/>
      <c r="N143" s="136" t="s">
        <v>45</v>
      </c>
      <c r="P143" s="137">
        <f t="shared" si="1"/>
        <v>0</v>
      </c>
      <c r="Q143" s="137">
        <v>0</v>
      </c>
      <c r="R143" s="137">
        <f t="shared" si="2"/>
        <v>0</v>
      </c>
      <c r="S143" s="137">
        <v>0</v>
      </c>
      <c r="T143" s="138">
        <f t="shared" si="3"/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 t="shared" si="4"/>
        <v>0</v>
      </c>
      <c r="BF143" s="140">
        <f t="shared" si="5"/>
        <v>0</v>
      </c>
      <c r="BG143" s="140">
        <f t="shared" si="6"/>
        <v>0</v>
      </c>
      <c r="BH143" s="140">
        <f t="shared" si="7"/>
        <v>0</v>
      </c>
      <c r="BI143" s="140">
        <f t="shared" si="8"/>
        <v>0</v>
      </c>
      <c r="BJ143" s="2" t="s">
        <v>87</v>
      </c>
      <c r="BK143" s="140">
        <f t="shared" si="9"/>
        <v>0</v>
      </c>
      <c r="BL143" s="2" t="s">
        <v>344</v>
      </c>
      <c r="BM143" s="139" t="s">
        <v>430</v>
      </c>
    </row>
    <row r="144" spans="2:65" s="16" customFormat="1" ht="16.5" customHeight="1" x14ac:dyDescent="0.2">
      <c r="B144" s="17"/>
      <c r="C144" s="128">
        <v>4</v>
      </c>
      <c r="D144" s="128" t="s">
        <v>339</v>
      </c>
      <c r="E144" s="129" t="s">
        <v>6848</v>
      </c>
      <c r="F144" s="130" t="s">
        <v>6849</v>
      </c>
      <c r="G144" s="131" t="s">
        <v>724</v>
      </c>
      <c r="H144" s="132">
        <v>600</v>
      </c>
      <c r="I144" s="133"/>
      <c r="J144" s="134">
        <f t="shared" si="0"/>
        <v>0</v>
      </c>
      <c r="K144" s="130"/>
      <c r="L144" s="17"/>
      <c r="M144" s="135"/>
      <c r="N144" s="136" t="s">
        <v>45</v>
      </c>
      <c r="P144" s="137">
        <f t="shared" si="1"/>
        <v>0</v>
      </c>
      <c r="Q144" s="137">
        <v>0</v>
      </c>
      <c r="R144" s="137">
        <f t="shared" si="2"/>
        <v>0</v>
      </c>
      <c r="S144" s="137">
        <v>0</v>
      </c>
      <c r="T144" s="138">
        <f t="shared" si="3"/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 t="shared" si="4"/>
        <v>0</v>
      </c>
      <c r="BF144" s="140">
        <f t="shared" si="5"/>
        <v>0</v>
      </c>
      <c r="BG144" s="140">
        <f t="shared" si="6"/>
        <v>0</v>
      </c>
      <c r="BH144" s="140">
        <f t="shared" si="7"/>
        <v>0</v>
      </c>
      <c r="BI144" s="140">
        <f t="shared" si="8"/>
        <v>0</v>
      </c>
      <c r="BJ144" s="2" t="s">
        <v>87</v>
      </c>
      <c r="BK144" s="140">
        <f t="shared" si="9"/>
        <v>0</v>
      </c>
      <c r="BL144" s="2" t="s">
        <v>344</v>
      </c>
      <c r="BM144" s="139" t="s">
        <v>446</v>
      </c>
    </row>
    <row r="145" spans="2:65" s="16" customFormat="1" ht="16.5" customHeight="1" x14ac:dyDescent="0.2">
      <c r="B145" s="17"/>
      <c r="C145" s="128">
        <v>5</v>
      </c>
      <c r="D145" s="128" t="s">
        <v>339</v>
      </c>
      <c r="E145" s="129" t="s">
        <v>6850</v>
      </c>
      <c r="F145" s="130" t="s">
        <v>6851</v>
      </c>
      <c r="G145" s="131" t="s">
        <v>724</v>
      </c>
      <c r="H145" s="132">
        <v>600</v>
      </c>
      <c r="I145" s="133"/>
      <c r="J145" s="134">
        <f t="shared" si="0"/>
        <v>0</v>
      </c>
      <c r="K145" s="130"/>
      <c r="L145" s="17"/>
      <c r="M145" s="135"/>
      <c r="N145" s="136" t="s">
        <v>45</v>
      </c>
      <c r="P145" s="137">
        <f t="shared" si="1"/>
        <v>0</v>
      </c>
      <c r="Q145" s="137">
        <v>0</v>
      </c>
      <c r="R145" s="137">
        <f t="shared" si="2"/>
        <v>0</v>
      </c>
      <c r="S145" s="137">
        <v>0</v>
      </c>
      <c r="T145" s="138">
        <f t="shared" si="3"/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 t="shared" si="4"/>
        <v>0</v>
      </c>
      <c r="BF145" s="140">
        <f t="shared" si="5"/>
        <v>0</v>
      </c>
      <c r="BG145" s="140">
        <f t="shared" si="6"/>
        <v>0</v>
      </c>
      <c r="BH145" s="140">
        <f t="shared" si="7"/>
        <v>0</v>
      </c>
      <c r="BI145" s="140">
        <f t="shared" si="8"/>
        <v>0</v>
      </c>
      <c r="BJ145" s="2" t="s">
        <v>87</v>
      </c>
      <c r="BK145" s="140">
        <f t="shared" si="9"/>
        <v>0</v>
      </c>
      <c r="BL145" s="2" t="s">
        <v>344</v>
      </c>
      <c r="BM145" s="139" t="s">
        <v>457</v>
      </c>
    </row>
    <row r="146" spans="2:65" s="16" customFormat="1" ht="16.5" customHeight="1" x14ac:dyDescent="0.2">
      <c r="B146" s="17"/>
      <c r="C146" s="128">
        <v>6</v>
      </c>
      <c r="D146" s="128" t="s">
        <v>339</v>
      </c>
      <c r="E146" s="129" t="s">
        <v>6852</v>
      </c>
      <c r="F146" s="130" t="s">
        <v>6853</v>
      </c>
      <c r="G146" s="131" t="s">
        <v>724</v>
      </c>
      <c r="H146" s="132">
        <v>1000</v>
      </c>
      <c r="I146" s="133"/>
      <c r="J146" s="134">
        <f t="shared" si="0"/>
        <v>0</v>
      </c>
      <c r="K146" s="130"/>
      <c r="L146" s="17"/>
      <c r="M146" s="135"/>
      <c r="N146" s="136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344</v>
      </c>
      <c r="AT146" s="139" t="s">
        <v>339</v>
      </c>
      <c r="AU146" s="139" t="s">
        <v>87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344</v>
      </c>
      <c r="BM146" s="139" t="s">
        <v>7</v>
      </c>
    </row>
    <row r="147" spans="2:65" s="16" customFormat="1" ht="16.5" customHeight="1" x14ac:dyDescent="0.2">
      <c r="B147" s="17"/>
      <c r="C147" s="128">
        <v>7</v>
      </c>
      <c r="D147" s="128" t="s">
        <v>339</v>
      </c>
      <c r="E147" s="129" t="s">
        <v>6854</v>
      </c>
      <c r="F147" s="130" t="s">
        <v>6855</v>
      </c>
      <c r="G147" s="131" t="s">
        <v>724</v>
      </c>
      <c r="H147" s="132">
        <v>800</v>
      </c>
      <c r="I147" s="133"/>
      <c r="J147" s="134">
        <f t="shared" si="0"/>
        <v>0</v>
      </c>
      <c r="K147" s="130"/>
      <c r="L147" s="17"/>
      <c r="M147" s="135"/>
      <c r="N147" s="136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AR147" s="139" t="s">
        <v>344</v>
      </c>
      <c r="AT147" s="139" t="s">
        <v>339</v>
      </c>
      <c r="AU147" s="139" t="s">
        <v>87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344</v>
      </c>
      <c r="BM147" s="139" t="s">
        <v>480</v>
      </c>
    </row>
    <row r="148" spans="2:65" s="16" customFormat="1" ht="16.5" customHeight="1" x14ac:dyDescent="0.2">
      <c r="B148" s="17"/>
      <c r="C148" s="128">
        <v>8</v>
      </c>
      <c r="D148" s="128" t="s">
        <v>339</v>
      </c>
      <c r="E148" s="129" t="s">
        <v>6856</v>
      </c>
      <c r="F148" s="130" t="s">
        <v>6857</v>
      </c>
      <c r="G148" s="131" t="s">
        <v>724</v>
      </c>
      <c r="H148" s="132">
        <v>800</v>
      </c>
      <c r="I148" s="133"/>
      <c r="J148" s="134">
        <f t="shared" si="0"/>
        <v>0</v>
      </c>
      <c r="K148" s="130"/>
      <c r="L148" s="17"/>
      <c r="M148" s="135"/>
      <c r="N148" s="136" t="s">
        <v>45</v>
      </c>
      <c r="P148" s="137">
        <f t="shared" si="1"/>
        <v>0</v>
      </c>
      <c r="Q148" s="137">
        <v>0</v>
      </c>
      <c r="R148" s="137">
        <f t="shared" si="2"/>
        <v>0</v>
      </c>
      <c r="S148" s="137">
        <v>0</v>
      </c>
      <c r="T148" s="138">
        <f t="shared" si="3"/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 t="shared" si="4"/>
        <v>0</v>
      </c>
      <c r="BF148" s="140">
        <f t="shared" si="5"/>
        <v>0</v>
      </c>
      <c r="BG148" s="140">
        <f t="shared" si="6"/>
        <v>0</v>
      </c>
      <c r="BH148" s="140">
        <f t="shared" si="7"/>
        <v>0</v>
      </c>
      <c r="BI148" s="140">
        <f t="shared" si="8"/>
        <v>0</v>
      </c>
      <c r="BJ148" s="2" t="s">
        <v>87</v>
      </c>
      <c r="BK148" s="140">
        <f t="shared" si="9"/>
        <v>0</v>
      </c>
      <c r="BL148" s="2" t="s">
        <v>344</v>
      </c>
      <c r="BM148" s="139" t="s">
        <v>496</v>
      </c>
    </row>
    <row r="149" spans="2:65" s="16" customFormat="1" ht="16.5" customHeight="1" x14ac:dyDescent="0.2">
      <c r="B149" s="17"/>
      <c r="C149" s="128">
        <v>9</v>
      </c>
      <c r="D149" s="128" t="s">
        <v>339</v>
      </c>
      <c r="E149" s="129" t="s">
        <v>6858</v>
      </c>
      <c r="F149" s="130" t="s">
        <v>6859</v>
      </c>
      <c r="G149" s="131" t="s">
        <v>4460</v>
      </c>
      <c r="H149" s="132">
        <v>450</v>
      </c>
      <c r="I149" s="133"/>
      <c r="J149" s="134">
        <f t="shared" si="0"/>
        <v>0</v>
      </c>
      <c r="K149" s="130"/>
      <c r="L149" s="17"/>
      <c r="M149" s="135"/>
      <c r="N149" s="136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344</v>
      </c>
      <c r="BM149" s="139" t="s">
        <v>2547</v>
      </c>
    </row>
    <row r="150" spans="2:65" s="16" customFormat="1" ht="16.5" customHeight="1" x14ac:dyDescent="0.2">
      <c r="B150" s="17"/>
      <c r="C150" s="128">
        <v>10</v>
      </c>
      <c r="D150" s="128" t="s">
        <v>339</v>
      </c>
      <c r="E150" s="129" t="s">
        <v>6860</v>
      </c>
      <c r="F150" s="130" t="s">
        <v>6861</v>
      </c>
      <c r="G150" s="131" t="s">
        <v>4460</v>
      </c>
      <c r="H150" s="132">
        <v>1050</v>
      </c>
      <c r="I150" s="133"/>
      <c r="J150" s="134">
        <f t="shared" si="0"/>
        <v>0</v>
      </c>
      <c r="K150" s="130"/>
      <c r="L150" s="17"/>
      <c r="M150" s="135"/>
      <c r="N150" s="136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344</v>
      </c>
      <c r="BM150" s="139" t="s">
        <v>532</v>
      </c>
    </row>
    <row r="151" spans="2:65" s="16" customFormat="1" ht="16.5" customHeight="1" x14ac:dyDescent="0.2">
      <c r="B151" s="17"/>
      <c r="C151" s="128">
        <v>11</v>
      </c>
      <c r="D151" s="128" t="s">
        <v>339</v>
      </c>
      <c r="E151" s="129" t="s">
        <v>6862</v>
      </c>
      <c r="F151" s="130" t="s">
        <v>6863</v>
      </c>
      <c r="G151" s="131" t="s">
        <v>4460</v>
      </c>
      <c r="H151" s="132">
        <v>2600</v>
      </c>
      <c r="I151" s="133"/>
      <c r="J151" s="134">
        <f t="shared" si="0"/>
        <v>0</v>
      </c>
      <c r="K151" s="130"/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344</v>
      </c>
      <c r="AT151" s="139" t="s">
        <v>339</v>
      </c>
      <c r="AU151" s="139" t="s">
        <v>87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344</v>
      </c>
      <c r="BM151" s="139" t="s">
        <v>543</v>
      </c>
    </row>
    <row r="152" spans="2:65" s="16" customFormat="1" ht="16.5" customHeight="1" x14ac:dyDescent="0.2">
      <c r="B152" s="17"/>
      <c r="C152" s="128">
        <v>12</v>
      </c>
      <c r="D152" s="128" t="s">
        <v>339</v>
      </c>
      <c r="E152" s="129" t="s">
        <v>6864</v>
      </c>
      <c r="F152" s="130" t="s">
        <v>6865</v>
      </c>
      <c r="G152" s="131" t="s">
        <v>4460</v>
      </c>
      <c r="H152" s="132">
        <v>30</v>
      </c>
      <c r="I152" s="133"/>
      <c r="J152" s="134">
        <f t="shared" si="0"/>
        <v>0</v>
      </c>
      <c r="K152" s="130"/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344</v>
      </c>
      <c r="BM152" s="139" t="s">
        <v>569</v>
      </c>
    </row>
    <row r="153" spans="2:65" s="16" customFormat="1" ht="16.5" customHeight="1" x14ac:dyDescent="0.2">
      <c r="B153" s="17"/>
      <c r="C153" s="128">
        <v>13</v>
      </c>
      <c r="D153" s="128" t="s">
        <v>339</v>
      </c>
      <c r="E153" s="129" t="s">
        <v>6866</v>
      </c>
      <c r="F153" s="130" t="s">
        <v>6867</v>
      </c>
      <c r="G153" s="131" t="s">
        <v>4460</v>
      </c>
      <c r="H153" s="132">
        <v>3300</v>
      </c>
      <c r="I153" s="133"/>
      <c r="J153" s="134">
        <f t="shared" si="0"/>
        <v>0</v>
      </c>
      <c r="K153" s="130"/>
      <c r="L153" s="17"/>
      <c r="M153" s="135"/>
      <c r="N153" s="136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</v>
      </c>
      <c r="T153" s="138">
        <f t="shared" si="3"/>
        <v>0</v>
      </c>
      <c r="AR153" s="139" t="s">
        <v>344</v>
      </c>
      <c r="AT153" s="139" t="s">
        <v>339</v>
      </c>
      <c r="AU153" s="139" t="s">
        <v>87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344</v>
      </c>
      <c r="BM153" s="139" t="s">
        <v>577</v>
      </c>
    </row>
    <row r="154" spans="2:65" s="16" customFormat="1" ht="16.5" customHeight="1" x14ac:dyDescent="0.2">
      <c r="B154" s="17"/>
      <c r="C154" s="128">
        <v>14</v>
      </c>
      <c r="D154" s="128" t="s">
        <v>339</v>
      </c>
      <c r="E154" s="129" t="s">
        <v>6868</v>
      </c>
      <c r="F154" s="130" t="s">
        <v>6869</v>
      </c>
      <c r="G154" s="131" t="s">
        <v>4460</v>
      </c>
      <c r="H154" s="132">
        <v>200</v>
      </c>
      <c r="I154" s="133"/>
      <c r="J154" s="134">
        <f t="shared" si="0"/>
        <v>0</v>
      </c>
      <c r="K154" s="130"/>
      <c r="L154" s="17"/>
      <c r="M154" s="135"/>
      <c r="N154" s="136" t="s">
        <v>45</v>
      </c>
      <c r="P154" s="137">
        <f t="shared" si="1"/>
        <v>0</v>
      </c>
      <c r="Q154" s="137">
        <v>0</v>
      </c>
      <c r="R154" s="137">
        <f t="shared" si="2"/>
        <v>0</v>
      </c>
      <c r="S154" s="137">
        <v>0</v>
      </c>
      <c r="T154" s="138">
        <f t="shared" si="3"/>
        <v>0</v>
      </c>
      <c r="AR154" s="139" t="s">
        <v>344</v>
      </c>
      <c r="AT154" s="139" t="s">
        <v>339</v>
      </c>
      <c r="AU154" s="139" t="s">
        <v>87</v>
      </c>
      <c r="AY154" s="2" t="s">
        <v>337</v>
      </c>
      <c r="BE154" s="140">
        <f t="shared" si="4"/>
        <v>0</v>
      </c>
      <c r="BF154" s="140">
        <f t="shared" si="5"/>
        <v>0</v>
      </c>
      <c r="BG154" s="140">
        <f t="shared" si="6"/>
        <v>0</v>
      </c>
      <c r="BH154" s="140">
        <f t="shared" si="7"/>
        <v>0</v>
      </c>
      <c r="BI154" s="140">
        <f t="shared" si="8"/>
        <v>0</v>
      </c>
      <c r="BJ154" s="2" t="s">
        <v>87</v>
      </c>
      <c r="BK154" s="140">
        <f t="shared" si="9"/>
        <v>0</v>
      </c>
      <c r="BL154" s="2" t="s">
        <v>344</v>
      </c>
      <c r="BM154" s="139" t="s">
        <v>591</v>
      </c>
    </row>
    <row r="155" spans="2:65" s="16" customFormat="1" ht="16.5" customHeight="1" x14ac:dyDescent="0.2">
      <c r="B155" s="17"/>
      <c r="C155" s="128">
        <v>15</v>
      </c>
      <c r="D155" s="128" t="s">
        <v>339</v>
      </c>
      <c r="E155" s="129" t="s">
        <v>6870</v>
      </c>
      <c r="F155" s="130" t="s">
        <v>6871</v>
      </c>
      <c r="G155" s="131" t="s">
        <v>4460</v>
      </c>
      <c r="H155" s="132">
        <v>110</v>
      </c>
      <c r="I155" s="133"/>
      <c r="J155" s="134">
        <f t="shared" si="0"/>
        <v>0</v>
      </c>
      <c r="K155" s="130"/>
      <c r="L155" s="17"/>
      <c r="M155" s="135"/>
      <c r="N155" s="136" t="s">
        <v>45</v>
      </c>
      <c r="P155" s="137">
        <f t="shared" si="1"/>
        <v>0</v>
      </c>
      <c r="Q155" s="137">
        <v>0</v>
      </c>
      <c r="R155" s="137">
        <f t="shared" si="2"/>
        <v>0</v>
      </c>
      <c r="S155" s="137">
        <v>0</v>
      </c>
      <c r="T155" s="138">
        <f t="shared" si="3"/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 t="shared" si="4"/>
        <v>0</v>
      </c>
      <c r="BF155" s="140">
        <f t="shared" si="5"/>
        <v>0</v>
      </c>
      <c r="BG155" s="140">
        <f t="shared" si="6"/>
        <v>0</v>
      </c>
      <c r="BH155" s="140">
        <f t="shared" si="7"/>
        <v>0</v>
      </c>
      <c r="BI155" s="140">
        <f t="shared" si="8"/>
        <v>0</v>
      </c>
      <c r="BJ155" s="2" t="s">
        <v>87</v>
      </c>
      <c r="BK155" s="140">
        <f t="shared" si="9"/>
        <v>0</v>
      </c>
      <c r="BL155" s="2" t="s">
        <v>344</v>
      </c>
      <c r="BM155" s="139" t="s">
        <v>614</v>
      </c>
    </row>
    <row r="156" spans="2:65" s="16" customFormat="1" ht="16.5" customHeight="1" x14ac:dyDescent="0.2">
      <c r="B156" s="17"/>
      <c r="C156" s="128">
        <v>16</v>
      </c>
      <c r="D156" s="128" t="s">
        <v>339</v>
      </c>
      <c r="E156" s="129" t="s">
        <v>6872</v>
      </c>
      <c r="F156" s="130" t="s">
        <v>6873</v>
      </c>
      <c r="G156" s="131" t="s">
        <v>4460</v>
      </c>
      <c r="H156" s="132">
        <v>80</v>
      </c>
      <c r="I156" s="133"/>
      <c r="J156" s="134">
        <f t="shared" si="0"/>
        <v>0</v>
      </c>
      <c r="K156" s="130"/>
      <c r="L156" s="17"/>
      <c r="M156" s="135"/>
      <c r="N156" s="136" t="s">
        <v>45</v>
      </c>
      <c r="P156" s="137">
        <f t="shared" si="1"/>
        <v>0</v>
      </c>
      <c r="Q156" s="137">
        <v>0</v>
      </c>
      <c r="R156" s="137">
        <f t="shared" si="2"/>
        <v>0</v>
      </c>
      <c r="S156" s="137">
        <v>0</v>
      </c>
      <c r="T156" s="138">
        <f t="shared" si="3"/>
        <v>0</v>
      </c>
      <c r="AR156" s="139" t="s">
        <v>344</v>
      </c>
      <c r="AT156" s="139" t="s">
        <v>339</v>
      </c>
      <c r="AU156" s="139" t="s">
        <v>87</v>
      </c>
      <c r="AY156" s="2" t="s">
        <v>337</v>
      </c>
      <c r="BE156" s="140">
        <f t="shared" si="4"/>
        <v>0</v>
      </c>
      <c r="BF156" s="140">
        <f t="shared" si="5"/>
        <v>0</v>
      </c>
      <c r="BG156" s="140">
        <f t="shared" si="6"/>
        <v>0</v>
      </c>
      <c r="BH156" s="140">
        <f t="shared" si="7"/>
        <v>0</v>
      </c>
      <c r="BI156" s="140">
        <f t="shared" si="8"/>
        <v>0</v>
      </c>
      <c r="BJ156" s="2" t="s">
        <v>87</v>
      </c>
      <c r="BK156" s="140">
        <f t="shared" si="9"/>
        <v>0</v>
      </c>
      <c r="BL156" s="2" t="s">
        <v>344</v>
      </c>
      <c r="BM156" s="139" t="s">
        <v>621</v>
      </c>
    </row>
    <row r="157" spans="2:65" s="16" customFormat="1" ht="16.5" customHeight="1" x14ac:dyDescent="0.2">
      <c r="B157" s="17"/>
      <c r="C157" s="128">
        <v>17</v>
      </c>
      <c r="D157" s="128" t="s">
        <v>339</v>
      </c>
      <c r="E157" s="129" t="s">
        <v>6874</v>
      </c>
      <c r="F157" s="130" t="s">
        <v>6875</v>
      </c>
      <c r="G157" s="131" t="s">
        <v>4460</v>
      </c>
      <c r="H157" s="132">
        <v>20</v>
      </c>
      <c r="I157" s="133"/>
      <c r="J157" s="134">
        <f t="shared" si="0"/>
        <v>0</v>
      </c>
      <c r="K157" s="130"/>
      <c r="L157" s="17"/>
      <c r="M157" s="135"/>
      <c r="N157" s="136" t="s">
        <v>45</v>
      </c>
      <c r="P157" s="137">
        <f t="shared" si="1"/>
        <v>0</v>
      </c>
      <c r="Q157" s="137">
        <v>0</v>
      </c>
      <c r="R157" s="137">
        <f t="shared" si="2"/>
        <v>0</v>
      </c>
      <c r="S157" s="137">
        <v>0</v>
      </c>
      <c r="T157" s="138">
        <f t="shared" si="3"/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 t="shared" si="4"/>
        <v>0</v>
      </c>
      <c r="BF157" s="140">
        <f t="shared" si="5"/>
        <v>0</v>
      </c>
      <c r="BG157" s="140">
        <f t="shared" si="6"/>
        <v>0</v>
      </c>
      <c r="BH157" s="140">
        <f t="shared" si="7"/>
        <v>0</v>
      </c>
      <c r="BI157" s="140">
        <f t="shared" si="8"/>
        <v>0</v>
      </c>
      <c r="BJ157" s="2" t="s">
        <v>87</v>
      </c>
      <c r="BK157" s="140">
        <f t="shared" si="9"/>
        <v>0</v>
      </c>
      <c r="BL157" s="2" t="s">
        <v>344</v>
      </c>
      <c r="BM157" s="139" t="s">
        <v>637</v>
      </c>
    </row>
    <row r="158" spans="2:65" s="16" customFormat="1" ht="16.5" customHeight="1" x14ac:dyDescent="0.2">
      <c r="B158" s="17"/>
      <c r="C158" s="128">
        <v>18</v>
      </c>
      <c r="D158" s="128" t="s">
        <v>339</v>
      </c>
      <c r="E158" s="129" t="s">
        <v>6876</v>
      </c>
      <c r="F158" s="130" t="s">
        <v>6877</v>
      </c>
      <c r="G158" s="131" t="s">
        <v>4460</v>
      </c>
      <c r="H158" s="132">
        <v>10</v>
      </c>
      <c r="I158" s="133"/>
      <c r="J158" s="134">
        <f t="shared" si="0"/>
        <v>0</v>
      </c>
      <c r="K158" s="130"/>
      <c r="L158" s="17"/>
      <c r="M158" s="135"/>
      <c r="N158" s="136" t="s">
        <v>45</v>
      </c>
      <c r="P158" s="137">
        <f t="shared" si="1"/>
        <v>0</v>
      </c>
      <c r="Q158" s="137">
        <v>0</v>
      </c>
      <c r="R158" s="137">
        <f t="shared" si="2"/>
        <v>0</v>
      </c>
      <c r="S158" s="137">
        <v>0</v>
      </c>
      <c r="T158" s="138">
        <f t="shared" si="3"/>
        <v>0</v>
      </c>
      <c r="AR158" s="139" t="s">
        <v>344</v>
      </c>
      <c r="AT158" s="139" t="s">
        <v>339</v>
      </c>
      <c r="AU158" s="139" t="s">
        <v>87</v>
      </c>
      <c r="AY158" s="2" t="s">
        <v>337</v>
      </c>
      <c r="BE158" s="140">
        <f t="shared" si="4"/>
        <v>0</v>
      </c>
      <c r="BF158" s="140">
        <f t="shared" si="5"/>
        <v>0</v>
      </c>
      <c r="BG158" s="140">
        <f t="shared" si="6"/>
        <v>0</v>
      </c>
      <c r="BH158" s="140">
        <f t="shared" si="7"/>
        <v>0</v>
      </c>
      <c r="BI158" s="140">
        <f t="shared" si="8"/>
        <v>0</v>
      </c>
      <c r="BJ158" s="2" t="s">
        <v>87</v>
      </c>
      <c r="BK158" s="140">
        <f t="shared" si="9"/>
        <v>0</v>
      </c>
      <c r="BL158" s="2" t="s">
        <v>344</v>
      </c>
      <c r="BM158" s="139" t="s">
        <v>646</v>
      </c>
    </row>
    <row r="159" spans="2:65" s="16" customFormat="1" ht="16.5" customHeight="1" x14ac:dyDescent="0.2">
      <c r="B159" s="17"/>
      <c r="C159" s="128">
        <v>19</v>
      </c>
      <c r="D159" s="128" t="s">
        <v>339</v>
      </c>
      <c r="E159" s="129" t="s">
        <v>6878</v>
      </c>
      <c r="F159" s="130" t="s">
        <v>6879</v>
      </c>
      <c r="G159" s="131" t="s">
        <v>4460</v>
      </c>
      <c r="H159" s="132">
        <v>306</v>
      </c>
      <c r="I159" s="133"/>
      <c r="J159" s="134">
        <f t="shared" si="0"/>
        <v>0</v>
      </c>
      <c r="K159" s="130"/>
      <c r="L159" s="17"/>
      <c r="M159" s="135"/>
      <c r="N159" s="136" t="s">
        <v>45</v>
      </c>
      <c r="P159" s="137">
        <f t="shared" si="1"/>
        <v>0</v>
      </c>
      <c r="Q159" s="137">
        <v>0</v>
      </c>
      <c r="R159" s="137">
        <f t="shared" si="2"/>
        <v>0</v>
      </c>
      <c r="S159" s="137">
        <v>0</v>
      </c>
      <c r="T159" s="138">
        <f t="shared" si="3"/>
        <v>0</v>
      </c>
      <c r="AR159" s="139" t="s">
        <v>344</v>
      </c>
      <c r="AT159" s="139" t="s">
        <v>339</v>
      </c>
      <c r="AU159" s="139" t="s">
        <v>87</v>
      </c>
      <c r="AY159" s="2" t="s">
        <v>337</v>
      </c>
      <c r="BE159" s="140">
        <f t="shared" si="4"/>
        <v>0</v>
      </c>
      <c r="BF159" s="140">
        <f t="shared" si="5"/>
        <v>0</v>
      </c>
      <c r="BG159" s="140">
        <f t="shared" si="6"/>
        <v>0</v>
      </c>
      <c r="BH159" s="140">
        <f t="shared" si="7"/>
        <v>0</v>
      </c>
      <c r="BI159" s="140">
        <f t="shared" si="8"/>
        <v>0</v>
      </c>
      <c r="BJ159" s="2" t="s">
        <v>87</v>
      </c>
      <c r="BK159" s="140">
        <f t="shared" si="9"/>
        <v>0</v>
      </c>
      <c r="BL159" s="2" t="s">
        <v>344</v>
      </c>
      <c r="BM159" s="139" t="s">
        <v>658</v>
      </c>
    </row>
    <row r="160" spans="2:65" s="16" customFormat="1" ht="16.5" customHeight="1" x14ac:dyDescent="0.2">
      <c r="B160" s="17"/>
      <c r="C160" s="128">
        <v>20</v>
      </c>
      <c r="D160" s="128" t="s">
        <v>339</v>
      </c>
      <c r="E160" s="129" t="s">
        <v>6880</v>
      </c>
      <c r="F160" s="130" t="s">
        <v>6881</v>
      </c>
      <c r="G160" s="131" t="s">
        <v>4460</v>
      </c>
      <c r="H160" s="132">
        <v>2</v>
      </c>
      <c r="I160" s="133"/>
      <c r="J160" s="134">
        <f t="shared" si="0"/>
        <v>0</v>
      </c>
      <c r="K160" s="130"/>
      <c r="L160" s="17"/>
      <c r="M160" s="135"/>
      <c r="N160" s="136" t="s">
        <v>45</v>
      </c>
      <c r="P160" s="137">
        <f t="shared" si="1"/>
        <v>0</v>
      </c>
      <c r="Q160" s="137">
        <v>0</v>
      </c>
      <c r="R160" s="137">
        <f t="shared" si="2"/>
        <v>0</v>
      </c>
      <c r="S160" s="137">
        <v>0</v>
      </c>
      <c r="T160" s="138">
        <f t="shared" si="3"/>
        <v>0</v>
      </c>
      <c r="AR160" s="139" t="s">
        <v>344</v>
      </c>
      <c r="AT160" s="139" t="s">
        <v>339</v>
      </c>
      <c r="AU160" s="139" t="s">
        <v>87</v>
      </c>
      <c r="AY160" s="2" t="s">
        <v>337</v>
      </c>
      <c r="BE160" s="140">
        <f t="shared" si="4"/>
        <v>0</v>
      </c>
      <c r="BF160" s="140">
        <f t="shared" si="5"/>
        <v>0</v>
      </c>
      <c r="BG160" s="140">
        <f t="shared" si="6"/>
        <v>0</v>
      </c>
      <c r="BH160" s="140">
        <f t="shared" si="7"/>
        <v>0</v>
      </c>
      <c r="BI160" s="140">
        <f t="shared" si="8"/>
        <v>0</v>
      </c>
      <c r="BJ160" s="2" t="s">
        <v>87</v>
      </c>
      <c r="BK160" s="140">
        <f t="shared" si="9"/>
        <v>0</v>
      </c>
      <c r="BL160" s="2" t="s">
        <v>344</v>
      </c>
      <c r="BM160" s="139" t="s">
        <v>685</v>
      </c>
    </row>
    <row r="161" spans="2:65" s="16" customFormat="1" ht="16.5" customHeight="1" x14ac:dyDescent="0.2">
      <c r="B161" s="17"/>
      <c r="C161" s="128">
        <v>21</v>
      </c>
      <c r="D161" s="128" t="s">
        <v>339</v>
      </c>
      <c r="E161" s="129" t="s">
        <v>6882</v>
      </c>
      <c r="F161" s="130" t="s">
        <v>6883</v>
      </c>
      <c r="G161" s="131" t="s">
        <v>4460</v>
      </c>
      <c r="H161" s="132">
        <v>47</v>
      </c>
      <c r="I161" s="133"/>
      <c r="J161" s="134">
        <f t="shared" si="0"/>
        <v>0</v>
      </c>
      <c r="K161" s="130"/>
      <c r="L161" s="17"/>
      <c r="M161" s="135"/>
      <c r="N161" s="136" t="s">
        <v>45</v>
      </c>
      <c r="P161" s="137">
        <f t="shared" si="1"/>
        <v>0</v>
      </c>
      <c r="Q161" s="137">
        <v>0</v>
      </c>
      <c r="R161" s="137">
        <f t="shared" si="2"/>
        <v>0</v>
      </c>
      <c r="S161" s="137">
        <v>0</v>
      </c>
      <c r="T161" s="138">
        <f t="shared" si="3"/>
        <v>0</v>
      </c>
      <c r="AR161" s="139" t="s">
        <v>344</v>
      </c>
      <c r="AT161" s="139" t="s">
        <v>339</v>
      </c>
      <c r="AU161" s="139" t="s">
        <v>87</v>
      </c>
      <c r="AY161" s="2" t="s">
        <v>337</v>
      </c>
      <c r="BE161" s="140">
        <f t="shared" si="4"/>
        <v>0</v>
      </c>
      <c r="BF161" s="140">
        <f t="shared" si="5"/>
        <v>0</v>
      </c>
      <c r="BG161" s="140">
        <f t="shared" si="6"/>
        <v>0</v>
      </c>
      <c r="BH161" s="140">
        <f t="shared" si="7"/>
        <v>0</v>
      </c>
      <c r="BI161" s="140">
        <f t="shared" si="8"/>
        <v>0</v>
      </c>
      <c r="BJ161" s="2" t="s">
        <v>87</v>
      </c>
      <c r="BK161" s="140">
        <f t="shared" si="9"/>
        <v>0</v>
      </c>
      <c r="BL161" s="2" t="s">
        <v>344</v>
      </c>
      <c r="BM161" s="139" t="s">
        <v>699</v>
      </c>
    </row>
    <row r="162" spans="2:65" s="16" customFormat="1" ht="16.5" customHeight="1" x14ac:dyDescent="0.2">
      <c r="B162" s="17"/>
      <c r="C162" s="128">
        <v>22</v>
      </c>
      <c r="D162" s="128" t="s">
        <v>339</v>
      </c>
      <c r="E162" s="129" t="s">
        <v>6884</v>
      </c>
      <c r="F162" s="130" t="s">
        <v>6885</v>
      </c>
      <c r="G162" s="131" t="s">
        <v>4460</v>
      </c>
      <c r="H162" s="132">
        <v>149</v>
      </c>
      <c r="I162" s="133"/>
      <c r="J162" s="134">
        <f t="shared" si="0"/>
        <v>0</v>
      </c>
      <c r="K162" s="130"/>
      <c r="L162" s="17"/>
      <c r="M162" s="135"/>
      <c r="N162" s="136" t="s">
        <v>45</v>
      </c>
      <c r="P162" s="137">
        <f t="shared" si="1"/>
        <v>0</v>
      </c>
      <c r="Q162" s="137">
        <v>0</v>
      </c>
      <c r="R162" s="137">
        <f t="shared" si="2"/>
        <v>0</v>
      </c>
      <c r="S162" s="137">
        <v>0</v>
      </c>
      <c r="T162" s="138">
        <f t="shared" si="3"/>
        <v>0</v>
      </c>
      <c r="AR162" s="139" t="s">
        <v>344</v>
      </c>
      <c r="AT162" s="139" t="s">
        <v>339</v>
      </c>
      <c r="AU162" s="139" t="s">
        <v>87</v>
      </c>
      <c r="AY162" s="2" t="s">
        <v>337</v>
      </c>
      <c r="BE162" s="140">
        <f t="shared" si="4"/>
        <v>0</v>
      </c>
      <c r="BF162" s="140">
        <f t="shared" si="5"/>
        <v>0</v>
      </c>
      <c r="BG162" s="140">
        <f t="shared" si="6"/>
        <v>0</v>
      </c>
      <c r="BH162" s="140">
        <f t="shared" si="7"/>
        <v>0</v>
      </c>
      <c r="BI162" s="140">
        <f t="shared" si="8"/>
        <v>0</v>
      </c>
      <c r="BJ162" s="2" t="s">
        <v>87</v>
      </c>
      <c r="BK162" s="140">
        <f t="shared" si="9"/>
        <v>0</v>
      </c>
      <c r="BL162" s="2" t="s">
        <v>344</v>
      </c>
      <c r="BM162" s="139" t="s">
        <v>708</v>
      </c>
    </row>
    <row r="163" spans="2:65" s="16" customFormat="1" ht="16.5" customHeight="1" x14ac:dyDescent="0.2">
      <c r="B163" s="17"/>
      <c r="C163" s="128">
        <v>23</v>
      </c>
      <c r="D163" s="128" t="s">
        <v>339</v>
      </c>
      <c r="E163" s="129" t="s">
        <v>6886</v>
      </c>
      <c r="F163" s="130" t="s">
        <v>6887</v>
      </c>
      <c r="G163" s="131" t="s">
        <v>4460</v>
      </c>
      <c r="H163" s="132">
        <v>22</v>
      </c>
      <c r="I163" s="133"/>
      <c r="J163" s="134">
        <f t="shared" si="0"/>
        <v>0</v>
      </c>
      <c r="K163" s="130"/>
      <c r="L163" s="17"/>
      <c r="M163" s="135"/>
      <c r="N163" s="136" t="s">
        <v>45</v>
      </c>
      <c r="P163" s="137">
        <f t="shared" si="1"/>
        <v>0</v>
      </c>
      <c r="Q163" s="137">
        <v>0</v>
      </c>
      <c r="R163" s="137">
        <f t="shared" si="2"/>
        <v>0</v>
      </c>
      <c r="S163" s="137">
        <v>0</v>
      </c>
      <c r="T163" s="138">
        <f t="shared" si="3"/>
        <v>0</v>
      </c>
      <c r="AR163" s="139" t="s">
        <v>344</v>
      </c>
      <c r="AT163" s="139" t="s">
        <v>339</v>
      </c>
      <c r="AU163" s="139" t="s">
        <v>87</v>
      </c>
      <c r="AY163" s="2" t="s">
        <v>337</v>
      </c>
      <c r="BE163" s="140">
        <f t="shared" si="4"/>
        <v>0</v>
      </c>
      <c r="BF163" s="140">
        <f t="shared" si="5"/>
        <v>0</v>
      </c>
      <c r="BG163" s="140">
        <f t="shared" si="6"/>
        <v>0</v>
      </c>
      <c r="BH163" s="140">
        <f t="shared" si="7"/>
        <v>0</v>
      </c>
      <c r="BI163" s="140">
        <f t="shared" si="8"/>
        <v>0</v>
      </c>
      <c r="BJ163" s="2" t="s">
        <v>87</v>
      </c>
      <c r="BK163" s="140">
        <f t="shared" si="9"/>
        <v>0</v>
      </c>
      <c r="BL163" s="2" t="s">
        <v>344</v>
      </c>
      <c r="BM163" s="139" t="s">
        <v>733</v>
      </c>
    </row>
    <row r="164" spans="2:65" s="16" customFormat="1" ht="16.5" customHeight="1" x14ac:dyDescent="0.2">
      <c r="B164" s="17"/>
      <c r="C164" s="128">
        <v>24</v>
      </c>
      <c r="D164" s="128" t="s">
        <v>339</v>
      </c>
      <c r="E164" s="129" t="s">
        <v>6888</v>
      </c>
      <c r="F164" s="130" t="s">
        <v>6889</v>
      </c>
      <c r="G164" s="131" t="s">
        <v>4460</v>
      </c>
      <c r="H164" s="132">
        <v>85</v>
      </c>
      <c r="I164" s="133"/>
      <c r="J164" s="134">
        <f t="shared" si="0"/>
        <v>0</v>
      </c>
      <c r="K164" s="130"/>
      <c r="L164" s="17"/>
      <c r="M164" s="135"/>
      <c r="N164" s="136" t="s">
        <v>45</v>
      </c>
      <c r="P164" s="137">
        <f t="shared" si="1"/>
        <v>0</v>
      </c>
      <c r="Q164" s="137">
        <v>0</v>
      </c>
      <c r="R164" s="137">
        <f t="shared" si="2"/>
        <v>0</v>
      </c>
      <c r="S164" s="137">
        <v>0</v>
      </c>
      <c r="T164" s="138">
        <f t="shared" si="3"/>
        <v>0</v>
      </c>
      <c r="AR164" s="139" t="s">
        <v>344</v>
      </c>
      <c r="AT164" s="139" t="s">
        <v>339</v>
      </c>
      <c r="AU164" s="139" t="s">
        <v>87</v>
      </c>
      <c r="AY164" s="2" t="s">
        <v>337</v>
      </c>
      <c r="BE164" s="140">
        <f t="shared" si="4"/>
        <v>0</v>
      </c>
      <c r="BF164" s="140">
        <f t="shared" si="5"/>
        <v>0</v>
      </c>
      <c r="BG164" s="140">
        <f t="shared" si="6"/>
        <v>0</v>
      </c>
      <c r="BH164" s="140">
        <f t="shared" si="7"/>
        <v>0</v>
      </c>
      <c r="BI164" s="140">
        <f t="shared" si="8"/>
        <v>0</v>
      </c>
      <c r="BJ164" s="2" t="s">
        <v>87</v>
      </c>
      <c r="BK164" s="140">
        <f t="shared" si="9"/>
        <v>0</v>
      </c>
      <c r="BL164" s="2" t="s">
        <v>344</v>
      </c>
      <c r="BM164" s="139" t="s">
        <v>748</v>
      </c>
    </row>
    <row r="165" spans="2:65" s="16" customFormat="1" ht="16.5" customHeight="1" x14ac:dyDescent="0.2">
      <c r="B165" s="17"/>
      <c r="C165" s="128">
        <v>25</v>
      </c>
      <c r="D165" s="128" t="s">
        <v>339</v>
      </c>
      <c r="E165" s="129" t="s">
        <v>6890</v>
      </c>
      <c r="F165" s="130" t="s">
        <v>6891</v>
      </c>
      <c r="G165" s="131" t="s">
        <v>4460</v>
      </c>
      <c r="H165" s="132">
        <v>6</v>
      </c>
      <c r="I165" s="133"/>
      <c r="J165" s="134">
        <f t="shared" si="0"/>
        <v>0</v>
      </c>
      <c r="K165" s="130"/>
      <c r="L165" s="17"/>
      <c r="M165" s="135"/>
      <c r="N165" s="136" t="s">
        <v>45</v>
      </c>
      <c r="P165" s="137">
        <f t="shared" si="1"/>
        <v>0</v>
      </c>
      <c r="Q165" s="137">
        <v>0</v>
      </c>
      <c r="R165" s="137">
        <f t="shared" si="2"/>
        <v>0</v>
      </c>
      <c r="S165" s="137">
        <v>0</v>
      </c>
      <c r="T165" s="138">
        <f t="shared" si="3"/>
        <v>0</v>
      </c>
      <c r="AR165" s="139" t="s">
        <v>344</v>
      </c>
      <c r="AT165" s="139" t="s">
        <v>339</v>
      </c>
      <c r="AU165" s="139" t="s">
        <v>87</v>
      </c>
      <c r="AY165" s="2" t="s">
        <v>337</v>
      </c>
      <c r="BE165" s="140">
        <f t="shared" si="4"/>
        <v>0</v>
      </c>
      <c r="BF165" s="140">
        <f t="shared" si="5"/>
        <v>0</v>
      </c>
      <c r="BG165" s="140">
        <f t="shared" si="6"/>
        <v>0</v>
      </c>
      <c r="BH165" s="140">
        <f t="shared" si="7"/>
        <v>0</v>
      </c>
      <c r="BI165" s="140">
        <f t="shared" si="8"/>
        <v>0</v>
      </c>
      <c r="BJ165" s="2" t="s">
        <v>87</v>
      </c>
      <c r="BK165" s="140">
        <f t="shared" si="9"/>
        <v>0</v>
      </c>
      <c r="BL165" s="2" t="s">
        <v>344</v>
      </c>
      <c r="BM165" s="139" t="s">
        <v>762</v>
      </c>
    </row>
    <row r="166" spans="2:65" s="16" customFormat="1" ht="16.5" customHeight="1" x14ac:dyDescent="0.2">
      <c r="B166" s="17"/>
      <c r="C166" s="128">
        <v>26</v>
      </c>
      <c r="D166" s="128" t="s">
        <v>339</v>
      </c>
      <c r="E166" s="129" t="s">
        <v>6892</v>
      </c>
      <c r="F166" s="130" t="s">
        <v>6893</v>
      </c>
      <c r="G166" s="131" t="s">
        <v>4460</v>
      </c>
      <c r="H166" s="132">
        <v>96</v>
      </c>
      <c r="I166" s="133"/>
      <c r="J166" s="134">
        <f t="shared" si="0"/>
        <v>0</v>
      </c>
      <c r="K166" s="130"/>
      <c r="L166" s="17"/>
      <c r="M166" s="135"/>
      <c r="N166" s="136" t="s">
        <v>45</v>
      </c>
      <c r="P166" s="137">
        <f t="shared" si="1"/>
        <v>0</v>
      </c>
      <c r="Q166" s="137">
        <v>0</v>
      </c>
      <c r="R166" s="137">
        <f t="shared" si="2"/>
        <v>0</v>
      </c>
      <c r="S166" s="137">
        <v>0</v>
      </c>
      <c r="T166" s="138">
        <f t="shared" si="3"/>
        <v>0</v>
      </c>
      <c r="AR166" s="139" t="s">
        <v>344</v>
      </c>
      <c r="AT166" s="139" t="s">
        <v>339</v>
      </c>
      <c r="AU166" s="139" t="s">
        <v>87</v>
      </c>
      <c r="AY166" s="2" t="s">
        <v>337</v>
      </c>
      <c r="BE166" s="140">
        <f t="shared" si="4"/>
        <v>0</v>
      </c>
      <c r="BF166" s="140">
        <f t="shared" si="5"/>
        <v>0</v>
      </c>
      <c r="BG166" s="140">
        <f t="shared" si="6"/>
        <v>0</v>
      </c>
      <c r="BH166" s="140">
        <f t="shared" si="7"/>
        <v>0</v>
      </c>
      <c r="BI166" s="140">
        <f t="shared" si="8"/>
        <v>0</v>
      </c>
      <c r="BJ166" s="2" t="s">
        <v>87</v>
      </c>
      <c r="BK166" s="140">
        <f t="shared" si="9"/>
        <v>0</v>
      </c>
      <c r="BL166" s="2" t="s">
        <v>344</v>
      </c>
      <c r="BM166" s="139" t="s">
        <v>774</v>
      </c>
    </row>
    <row r="167" spans="2:65" s="16" customFormat="1" ht="16.5" customHeight="1" x14ac:dyDescent="0.2">
      <c r="B167" s="17"/>
      <c r="C167" s="128">
        <v>27</v>
      </c>
      <c r="D167" s="128" t="s">
        <v>339</v>
      </c>
      <c r="E167" s="129" t="s">
        <v>6894</v>
      </c>
      <c r="F167" s="130" t="s">
        <v>6895</v>
      </c>
      <c r="G167" s="131" t="s">
        <v>4460</v>
      </c>
      <c r="H167" s="132">
        <v>1561</v>
      </c>
      <c r="I167" s="133"/>
      <c r="J167" s="134">
        <f t="shared" si="0"/>
        <v>0</v>
      </c>
      <c r="K167" s="130"/>
      <c r="L167" s="17"/>
      <c r="M167" s="135"/>
      <c r="N167" s="136" t="s">
        <v>45</v>
      </c>
      <c r="P167" s="137">
        <f t="shared" si="1"/>
        <v>0</v>
      </c>
      <c r="Q167" s="137">
        <v>0</v>
      </c>
      <c r="R167" s="137">
        <f t="shared" si="2"/>
        <v>0</v>
      </c>
      <c r="S167" s="137">
        <v>0</v>
      </c>
      <c r="T167" s="138">
        <f t="shared" si="3"/>
        <v>0</v>
      </c>
      <c r="AR167" s="139" t="s">
        <v>344</v>
      </c>
      <c r="AT167" s="139" t="s">
        <v>339</v>
      </c>
      <c r="AU167" s="139" t="s">
        <v>87</v>
      </c>
      <c r="AY167" s="2" t="s">
        <v>337</v>
      </c>
      <c r="BE167" s="140">
        <f t="shared" si="4"/>
        <v>0</v>
      </c>
      <c r="BF167" s="140">
        <f t="shared" si="5"/>
        <v>0</v>
      </c>
      <c r="BG167" s="140">
        <f t="shared" si="6"/>
        <v>0</v>
      </c>
      <c r="BH167" s="140">
        <f t="shared" si="7"/>
        <v>0</v>
      </c>
      <c r="BI167" s="140">
        <f t="shared" si="8"/>
        <v>0</v>
      </c>
      <c r="BJ167" s="2" t="s">
        <v>87</v>
      </c>
      <c r="BK167" s="140">
        <f t="shared" si="9"/>
        <v>0</v>
      </c>
      <c r="BL167" s="2" t="s">
        <v>344</v>
      </c>
      <c r="BM167" s="139" t="s">
        <v>788</v>
      </c>
    </row>
    <row r="168" spans="2:65" s="16" customFormat="1" ht="16.5" customHeight="1" x14ac:dyDescent="0.2">
      <c r="B168" s="17"/>
      <c r="C168" s="128">
        <v>28</v>
      </c>
      <c r="D168" s="128" t="s">
        <v>339</v>
      </c>
      <c r="E168" s="129" t="s">
        <v>6896</v>
      </c>
      <c r="F168" s="130" t="s">
        <v>6897</v>
      </c>
      <c r="G168" s="131" t="s">
        <v>4460</v>
      </c>
      <c r="H168" s="132">
        <v>11</v>
      </c>
      <c r="I168" s="133"/>
      <c r="J168" s="134">
        <f t="shared" si="0"/>
        <v>0</v>
      </c>
      <c r="K168" s="130"/>
      <c r="L168" s="17"/>
      <c r="M168" s="135"/>
      <c r="N168" s="136" t="s">
        <v>45</v>
      </c>
      <c r="P168" s="137">
        <f t="shared" si="1"/>
        <v>0</v>
      </c>
      <c r="Q168" s="137">
        <v>0</v>
      </c>
      <c r="R168" s="137">
        <f t="shared" si="2"/>
        <v>0</v>
      </c>
      <c r="S168" s="137">
        <v>0</v>
      </c>
      <c r="T168" s="138">
        <f t="shared" si="3"/>
        <v>0</v>
      </c>
      <c r="AR168" s="139" t="s">
        <v>344</v>
      </c>
      <c r="AT168" s="139" t="s">
        <v>339</v>
      </c>
      <c r="AU168" s="139" t="s">
        <v>87</v>
      </c>
      <c r="AY168" s="2" t="s">
        <v>337</v>
      </c>
      <c r="BE168" s="140">
        <f t="shared" si="4"/>
        <v>0</v>
      </c>
      <c r="BF168" s="140">
        <f t="shared" si="5"/>
        <v>0</v>
      </c>
      <c r="BG168" s="140">
        <f t="shared" si="6"/>
        <v>0</v>
      </c>
      <c r="BH168" s="140">
        <f t="shared" si="7"/>
        <v>0</v>
      </c>
      <c r="BI168" s="140">
        <f t="shared" si="8"/>
        <v>0</v>
      </c>
      <c r="BJ168" s="2" t="s">
        <v>87</v>
      </c>
      <c r="BK168" s="140">
        <f t="shared" si="9"/>
        <v>0</v>
      </c>
      <c r="BL168" s="2" t="s">
        <v>344</v>
      </c>
      <c r="BM168" s="139" t="s">
        <v>797</v>
      </c>
    </row>
    <row r="169" spans="2:65" s="16" customFormat="1" ht="16.5" customHeight="1" x14ac:dyDescent="0.2">
      <c r="B169" s="17"/>
      <c r="C169" s="128">
        <v>29</v>
      </c>
      <c r="D169" s="128" t="s">
        <v>339</v>
      </c>
      <c r="E169" s="129" t="s">
        <v>6898</v>
      </c>
      <c r="F169" s="130" t="s">
        <v>6899</v>
      </c>
      <c r="G169" s="131" t="s">
        <v>4460</v>
      </c>
      <c r="H169" s="132">
        <v>1</v>
      </c>
      <c r="I169" s="133"/>
      <c r="J169" s="134">
        <f t="shared" si="0"/>
        <v>0</v>
      </c>
      <c r="K169" s="130"/>
      <c r="L169" s="17"/>
      <c r="M169" s="135"/>
      <c r="N169" s="136" t="s">
        <v>45</v>
      </c>
      <c r="P169" s="137">
        <f t="shared" si="1"/>
        <v>0</v>
      </c>
      <c r="Q169" s="137">
        <v>0</v>
      </c>
      <c r="R169" s="137">
        <f t="shared" si="2"/>
        <v>0</v>
      </c>
      <c r="S169" s="137">
        <v>0</v>
      </c>
      <c r="T169" s="138">
        <f t="shared" si="3"/>
        <v>0</v>
      </c>
      <c r="AR169" s="139" t="s">
        <v>344</v>
      </c>
      <c r="AT169" s="139" t="s">
        <v>339</v>
      </c>
      <c r="AU169" s="139" t="s">
        <v>87</v>
      </c>
      <c r="AY169" s="2" t="s">
        <v>337</v>
      </c>
      <c r="BE169" s="140">
        <f t="shared" si="4"/>
        <v>0</v>
      </c>
      <c r="BF169" s="140">
        <f t="shared" si="5"/>
        <v>0</v>
      </c>
      <c r="BG169" s="140">
        <f t="shared" si="6"/>
        <v>0</v>
      </c>
      <c r="BH169" s="140">
        <f t="shared" si="7"/>
        <v>0</v>
      </c>
      <c r="BI169" s="140">
        <f t="shared" si="8"/>
        <v>0</v>
      </c>
      <c r="BJ169" s="2" t="s">
        <v>87</v>
      </c>
      <c r="BK169" s="140">
        <f t="shared" si="9"/>
        <v>0</v>
      </c>
      <c r="BL169" s="2" t="s">
        <v>344</v>
      </c>
      <c r="BM169" s="139" t="s">
        <v>807</v>
      </c>
    </row>
    <row r="170" spans="2:65" s="16" customFormat="1" ht="16.5" customHeight="1" x14ac:dyDescent="0.2">
      <c r="B170" s="17"/>
      <c r="C170" s="128">
        <v>30</v>
      </c>
      <c r="D170" s="128" t="s">
        <v>339</v>
      </c>
      <c r="E170" s="129" t="s">
        <v>6900</v>
      </c>
      <c r="F170" s="130" t="s">
        <v>6901</v>
      </c>
      <c r="G170" s="131" t="s">
        <v>4460</v>
      </c>
      <c r="H170" s="132">
        <v>13</v>
      </c>
      <c r="I170" s="133"/>
      <c r="J170" s="134">
        <f t="shared" si="0"/>
        <v>0</v>
      </c>
      <c r="K170" s="130"/>
      <c r="L170" s="17"/>
      <c r="M170" s="135"/>
      <c r="N170" s="136" t="s">
        <v>45</v>
      </c>
      <c r="P170" s="137">
        <f t="shared" si="1"/>
        <v>0</v>
      </c>
      <c r="Q170" s="137">
        <v>0</v>
      </c>
      <c r="R170" s="137">
        <f t="shared" si="2"/>
        <v>0</v>
      </c>
      <c r="S170" s="137">
        <v>0</v>
      </c>
      <c r="T170" s="138">
        <f t="shared" si="3"/>
        <v>0</v>
      </c>
      <c r="AR170" s="139" t="s">
        <v>344</v>
      </c>
      <c r="AT170" s="139" t="s">
        <v>339</v>
      </c>
      <c r="AU170" s="139" t="s">
        <v>87</v>
      </c>
      <c r="AY170" s="2" t="s">
        <v>337</v>
      </c>
      <c r="BE170" s="140">
        <f t="shared" si="4"/>
        <v>0</v>
      </c>
      <c r="BF170" s="140">
        <f t="shared" si="5"/>
        <v>0</v>
      </c>
      <c r="BG170" s="140">
        <f t="shared" si="6"/>
        <v>0</v>
      </c>
      <c r="BH170" s="140">
        <f t="shared" si="7"/>
        <v>0</v>
      </c>
      <c r="BI170" s="140">
        <f t="shared" si="8"/>
        <v>0</v>
      </c>
      <c r="BJ170" s="2" t="s">
        <v>87</v>
      </c>
      <c r="BK170" s="140">
        <f t="shared" si="9"/>
        <v>0</v>
      </c>
      <c r="BL170" s="2" t="s">
        <v>344</v>
      </c>
      <c r="BM170" s="139" t="s">
        <v>818</v>
      </c>
    </row>
    <row r="171" spans="2:65" s="16" customFormat="1" ht="16.5" customHeight="1" x14ac:dyDescent="0.2">
      <c r="B171" s="17"/>
      <c r="C171" s="128">
        <v>31</v>
      </c>
      <c r="D171" s="128" t="s">
        <v>339</v>
      </c>
      <c r="E171" s="129" t="s">
        <v>6902</v>
      </c>
      <c r="F171" s="130" t="s">
        <v>6903</v>
      </c>
      <c r="G171" s="131" t="s">
        <v>4460</v>
      </c>
      <c r="H171" s="132">
        <v>112</v>
      </c>
      <c r="I171" s="133"/>
      <c r="J171" s="134">
        <f t="shared" si="0"/>
        <v>0</v>
      </c>
      <c r="K171" s="130"/>
      <c r="L171" s="17"/>
      <c r="M171" s="135"/>
      <c r="N171" s="136" t="s">
        <v>45</v>
      </c>
      <c r="P171" s="137">
        <f t="shared" si="1"/>
        <v>0</v>
      </c>
      <c r="Q171" s="137">
        <v>0</v>
      </c>
      <c r="R171" s="137">
        <f t="shared" si="2"/>
        <v>0</v>
      </c>
      <c r="S171" s="137">
        <v>0</v>
      </c>
      <c r="T171" s="138">
        <f t="shared" si="3"/>
        <v>0</v>
      </c>
      <c r="AR171" s="139" t="s">
        <v>344</v>
      </c>
      <c r="AT171" s="139" t="s">
        <v>339</v>
      </c>
      <c r="AU171" s="139" t="s">
        <v>87</v>
      </c>
      <c r="AY171" s="2" t="s">
        <v>337</v>
      </c>
      <c r="BE171" s="140">
        <f t="shared" si="4"/>
        <v>0</v>
      </c>
      <c r="BF171" s="140">
        <f t="shared" si="5"/>
        <v>0</v>
      </c>
      <c r="BG171" s="140">
        <f t="shared" si="6"/>
        <v>0</v>
      </c>
      <c r="BH171" s="140">
        <f t="shared" si="7"/>
        <v>0</v>
      </c>
      <c r="BI171" s="140">
        <f t="shared" si="8"/>
        <v>0</v>
      </c>
      <c r="BJ171" s="2" t="s">
        <v>87</v>
      </c>
      <c r="BK171" s="140">
        <f t="shared" si="9"/>
        <v>0</v>
      </c>
      <c r="BL171" s="2" t="s">
        <v>344</v>
      </c>
      <c r="BM171" s="139" t="s">
        <v>829</v>
      </c>
    </row>
    <row r="172" spans="2:65" s="16" customFormat="1" ht="16.5" customHeight="1" x14ac:dyDescent="0.2">
      <c r="B172" s="17"/>
      <c r="C172" s="289">
        <v>32</v>
      </c>
      <c r="D172" s="289" t="s">
        <v>339</v>
      </c>
      <c r="E172" s="290" t="s">
        <v>6904</v>
      </c>
      <c r="F172" s="291" t="s">
        <v>6905</v>
      </c>
      <c r="G172" s="292" t="s">
        <v>4460</v>
      </c>
      <c r="H172" s="288">
        <v>9</v>
      </c>
      <c r="I172" s="133"/>
      <c r="J172" s="134">
        <f t="shared" si="0"/>
        <v>0</v>
      </c>
      <c r="K172" s="130"/>
      <c r="L172" s="293" t="s">
        <v>9248</v>
      </c>
      <c r="M172" s="135"/>
      <c r="N172" s="136" t="s">
        <v>45</v>
      </c>
      <c r="P172" s="137">
        <f t="shared" si="1"/>
        <v>0</v>
      </c>
      <c r="Q172" s="137">
        <v>0</v>
      </c>
      <c r="R172" s="137">
        <f t="shared" si="2"/>
        <v>0</v>
      </c>
      <c r="S172" s="137">
        <v>0</v>
      </c>
      <c r="T172" s="138">
        <f t="shared" si="3"/>
        <v>0</v>
      </c>
      <c r="AR172" s="139" t="s">
        <v>344</v>
      </c>
      <c r="AT172" s="139" t="s">
        <v>339</v>
      </c>
      <c r="AU172" s="139" t="s">
        <v>87</v>
      </c>
      <c r="AY172" s="2" t="s">
        <v>337</v>
      </c>
      <c r="BE172" s="140">
        <f t="shared" si="4"/>
        <v>0</v>
      </c>
      <c r="BF172" s="140">
        <f t="shared" si="5"/>
        <v>0</v>
      </c>
      <c r="BG172" s="140">
        <f t="shared" si="6"/>
        <v>0</v>
      </c>
      <c r="BH172" s="140">
        <f t="shared" si="7"/>
        <v>0</v>
      </c>
      <c r="BI172" s="140">
        <f t="shared" si="8"/>
        <v>0</v>
      </c>
      <c r="BJ172" s="2" t="s">
        <v>87</v>
      </c>
      <c r="BK172" s="140">
        <f t="shared" si="9"/>
        <v>0</v>
      </c>
      <c r="BL172" s="2" t="s">
        <v>344</v>
      </c>
      <c r="BM172" s="139" t="s">
        <v>850</v>
      </c>
    </row>
    <row r="173" spans="2:65" s="16" customFormat="1" ht="16.5" customHeight="1" x14ac:dyDescent="0.2">
      <c r="B173" s="17"/>
      <c r="C173" s="128">
        <v>33</v>
      </c>
      <c r="D173" s="128" t="s">
        <v>339</v>
      </c>
      <c r="E173" s="129" t="s">
        <v>6906</v>
      </c>
      <c r="F173" s="130" t="s">
        <v>6907</v>
      </c>
      <c r="G173" s="131" t="s">
        <v>724</v>
      </c>
      <c r="H173" s="132">
        <v>14</v>
      </c>
      <c r="I173" s="133"/>
      <c r="J173" s="134">
        <f t="shared" ref="J173:J204" si="10">ROUND(I173*H173,2)</f>
        <v>0</v>
      </c>
      <c r="K173" s="130"/>
      <c r="L173" s="17"/>
      <c r="M173" s="135"/>
      <c r="N173" s="136" t="s">
        <v>45</v>
      </c>
      <c r="P173" s="137">
        <f t="shared" ref="P173:P204" si="11">O173*H173</f>
        <v>0</v>
      </c>
      <c r="Q173" s="137">
        <v>0</v>
      </c>
      <c r="R173" s="137">
        <f t="shared" ref="R173:R204" si="12">Q173*H173</f>
        <v>0</v>
      </c>
      <c r="S173" s="137">
        <v>0</v>
      </c>
      <c r="T173" s="138">
        <f t="shared" ref="T173:T204" si="13">S173*H173</f>
        <v>0</v>
      </c>
      <c r="AR173" s="139" t="s">
        <v>344</v>
      </c>
      <c r="AT173" s="139" t="s">
        <v>339</v>
      </c>
      <c r="AU173" s="139" t="s">
        <v>87</v>
      </c>
      <c r="AY173" s="2" t="s">
        <v>337</v>
      </c>
      <c r="BE173" s="140">
        <f t="shared" ref="BE173:BE204" si="14">IF(N173="základní",J173,0)</f>
        <v>0</v>
      </c>
      <c r="BF173" s="140">
        <f t="shared" ref="BF173:BF204" si="15">IF(N173="snížená",J173,0)</f>
        <v>0</v>
      </c>
      <c r="BG173" s="140">
        <f t="shared" ref="BG173:BG204" si="16">IF(N173="zákl. přenesená",J173,0)</f>
        <v>0</v>
      </c>
      <c r="BH173" s="140">
        <f t="shared" ref="BH173:BH204" si="17">IF(N173="sníž. přenesená",J173,0)</f>
        <v>0</v>
      </c>
      <c r="BI173" s="140">
        <f t="shared" ref="BI173:BI204" si="18">IF(N173="nulová",J173,0)</f>
        <v>0</v>
      </c>
      <c r="BJ173" s="2" t="s">
        <v>87</v>
      </c>
      <c r="BK173" s="140">
        <f t="shared" ref="BK173:BK204" si="19">ROUND(I173*H173,2)</f>
        <v>0</v>
      </c>
      <c r="BL173" s="2" t="s">
        <v>344</v>
      </c>
      <c r="BM173" s="139" t="s">
        <v>6908</v>
      </c>
    </row>
    <row r="174" spans="2:65" s="16" customFormat="1" ht="16.5" customHeight="1" x14ac:dyDescent="0.2">
      <c r="B174" s="17"/>
      <c r="C174" s="128">
        <v>34</v>
      </c>
      <c r="D174" s="128" t="s">
        <v>339</v>
      </c>
      <c r="E174" s="129" t="s">
        <v>6909</v>
      </c>
      <c r="F174" s="130" t="s">
        <v>6910</v>
      </c>
      <c r="G174" s="131" t="s">
        <v>4460</v>
      </c>
      <c r="H174" s="132">
        <v>1</v>
      </c>
      <c r="I174" s="133"/>
      <c r="J174" s="134">
        <f t="shared" si="10"/>
        <v>0</v>
      </c>
      <c r="K174" s="130"/>
      <c r="L174" s="17"/>
      <c r="M174" s="135"/>
      <c r="N174" s="136" t="s">
        <v>45</v>
      </c>
      <c r="P174" s="137">
        <f t="shared" si="11"/>
        <v>0</v>
      </c>
      <c r="Q174" s="137">
        <v>0</v>
      </c>
      <c r="R174" s="137">
        <f t="shared" si="12"/>
        <v>0</v>
      </c>
      <c r="S174" s="137">
        <v>0</v>
      </c>
      <c r="T174" s="138">
        <f t="shared" si="13"/>
        <v>0</v>
      </c>
      <c r="AR174" s="139" t="s">
        <v>344</v>
      </c>
      <c r="AT174" s="139" t="s">
        <v>339</v>
      </c>
      <c r="AU174" s="139" t="s">
        <v>87</v>
      </c>
      <c r="AY174" s="2" t="s">
        <v>337</v>
      </c>
      <c r="BE174" s="140">
        <f t="shared" si="14"/>
        <v>0</v>
      </c>
      <c r="BF174" s="140">
        <f t="shared" si="15"/>
        <v>0</v>
      </c>
      <c r="BG174" s="140">
        <f t="shared" si="16"/>
        <v>0</v>
      </c>
      <c r="BH174" s="140">
        <f t="shared" si="17"/>
        <v>0</v>
      </c>
      <c r="BI174" s="140">
        <f t="shared" si="18"/>
        <v>0</v>
      </c>
      <c r="BJ174" s="2" t="s">
        <v>87</v>
      </c>
      <c r="BK174" s="140">
        <f t="shared" si="19"/>
        <v>0</v>
      </c>
      <c r="BL174" s="2" t="s">
        <v>344</v>
      </c>
      <c r="BM174" s="139" t="s">
        <v>3442</v>
      </c>
    </row>
    <row r="175" spans="2:65" s="16" customFormat="1" ht="16.5" customHeight="1" x14ac:dyDescent="0.2">
      <c r="B175" s="17"/>
      <c r="C175" s="128">
        <v>35</v>
      </c>
      <c r="D175" s="128" t="s">
        <v>339</v>
      </c>
      <c r="E175" s="129" t="s">
        <v>6911</v>
      </c>
      <c r="F175" s="130" t="s">
        <v>6912</v>
      </c>
      <c r="G175" s="131" t="s">
        <v>4460</v>
      </c>
      <c r="H175" s="132">
        <v>1</v>
      </c>
      <c r="I175" s="133"/>
      <c r="J175" s="134">
        <f t="shared" si="10"/>
        <v>0</v>
      </c>
      <c r="K175" s="130"/>
      <c r="L175" s="17"/>
      <c r="M175" s="135"/>
      <c r="N175" s="136" t="s">
        <v>45</v>
      </c>
      <c r="P175" s="137">
        <f t="shared" si="11"/>
        <v>0</v>
      </c>
      <c r="Q175" s="137">
        <v>0</v>
      </c>
      <c r="R175" s="137">
        <f t="shared" si="12"/>
        <v>0</v>
      </c>
      <c r="S175" s="137">
        <v>0</v>
      </c>
      <c r="T175" s="138">
        <f t="shared" si="13"/>
        <v>0</v>
      </c>
      <c r="AR175" s="139" t="s">
        <v>344</v>
      </c>
      <c r="AT175" s="139" t="s">
        <v>339</v>
      </c>
      <c r="AU175" s="139" t="s">
        <v>87</v>
      </c>
      <c r="AY175" s="2" t="s">
        <v>337</v>
      </c>
      <c r="BE175" s="140">
        <f t="shared" si="14"/>
        <v>0</v>
      </c>
      <c r="BF175" s="140">
        <f t="shared" si="15"/>
        <v>0</v>
      </c>
      <c r="BG175" s="140">
        <f t="shared" si="16"/>
        <v>0</v>
      </c>
      <c r="BH175" s="140">
        <f t="shared" si="17"/>
        <v>0</v>
      </c>
      <c r="BI175" s="140">
        <f t="shared" si="18"/>
        <v>0</v>
      </c>
      <c r="BJ175" s="2" t="s">
        <v>87</v>
      </c>
      <c r="BK175" s="140">
        <f t="shared" si="19"/>
        <v>0</v>
      </c>
      <c r="BL175" s="2" t="s">
        <v>344</v>
      </c>
      <c r="BM175" s="139" t="s">
        <v>870</v>
      </c>
    </row>
    <row r="176" spans="2:65" s="16" customFormat="1" ht="16.5" customHeight="1" x14ac:dyDescent="0.2">
      <c r="B176" s="17"/>
      <c r="C176" s="128">
        <v>36</v>
      </c>
      <c r="D176" s="128" t="s">
        <v>339</v>
      </c>
      <c r="E176" s="129" t="s">
        <v>6913</v>
      </c>
      <c r="F176" s="130" t="s">
        <v>6914</v>
      </c>
      <c r="G176" s="131" t="s">
        <v>4460</v>
      </c>
      <c r="H176" s="132">
        <v>1</v>
      </c>
      <c r="I176" s="133"/>
      <c r="J176" s="134">
        <f t="shared" si="10"/>
        <v>0</v>
      </c>
      <c r="K176" s="130"/>
      <c r="L176" s="17"/>
      <c r="M176" s="135"/>
      <c r="N176" s="136" t="s">
        <v>45</v>
      </c>
      <c r="P176" s="137">
        <f t="shared" si="11"/>
        <v>0</v>
      </c>
      <c r="Q176" s="137">
        <v>0</v>
      </c>
      <c r="R176" s="137">
        <f t="shared" si="12"/>
        <v>0</v>
      </c>
      <c r="S176" s="137">
        <v>0</v>
      </c>
      <c r="T176" s="138">
        <f t="shared" si="13"/>
        <v>0</v>
      </c>
      <c r="AR176" s="139" t="s">
        <v>344</v>
      </c>
      <c r="AT176" s="139" t="s">
        <v>339</v>
      </c>
      <c r="AU176" s="139" t="s">
        <v>87</v>
      </c>
      <c r="AY176" s="2" t="s">
        <v>337</v>
      </c>
      <c r="BE176" s="140">
        <f t="shared" si="14"/>
        <v>0</v>
      </c>
      <c r="BF176" s="140">
        <f t="shared" si="15"/>
        <v>0</v>
      </c>
      <c r="BG176" s="140">
        <f t="shared" si="16"/>
        <v>0</v>
      </c>
      <c r="BH176" s="140">
        <f t="shared" si="17"/>
        <v>0</v>
      </c>
      <c r="BI176" s="140">
        <f t="shared" si="18"/>
        <v>0</v>
      </c>
      <c r="BJ176" s="2" t="s">
        <v>87</v>
      </c>
      <c r="BK176" s="140">
        <f t="shared" si="19"/>
        <v>0</v>
      </c>
      <c r="BL176" s="2" t="s">
        <v>344</v>
      </c>
      <c r="BM176" s="139" t="s">
        <v>943</v>
      </c>
    </row>
    <row r="177" spans="2:65" s="16" customFormat="1" ht="16.5" customHeight="1" x14ac:dyDescent="0.2">
      <c r="B177" s="17"/>
      <c r="C177" s="128">
        <v>37</v>
      </c>
      <c r="D177" s="128" t="s">
        <v>339</v>
      </c>
      <c r="E177" s="129" t="s">
        <v>6915</v>
      </c>
      <c r="F177" s="130" t="s">
        <v>6916</v>
      </c>
      <c r="G177" s="131" t="s">
        <v>4460</v>
      </c>
      <c r="H177" s="132">
        <v>4</v>
      </c>
      <c r="I177" s="133"/>
      <c r="J177" s="134">
        <f t="shared" si="10"/>
        <v>0</v>
      </c>
      <c r="K177" s="130"/>
      <c r="L177" s="17"/>
      <c r="M177" s="135"/>
      <c r="N177" s="136" t="s">
        <v>45</v>
      </c>
      <c r="P177" s="137">
        <f t="shared" si="11"/>
        <v>0</v>
      </c>
      <c r="Q177" s="137">
        <v>0</v>
      </c>
      <c r="R177" s="137">
        <f t="shared" si="12"/>
        <v>0</v>
      </c>
      <c r="S177" s="137">
        <v>0</v>
      </c>
      <c r="T177" s="138">
        <f t="shared" si="13"/>
        <v>0</v>
      </c>
      <c r="AR177" s="139" t="s">
        <v>344</v>
      </c>
      <c r="AT177" s="139" t="s">
        <v>339</v>
      </c>
      <c r="AU177" s="139" t="s">
        <v>87</v>
      </c>
      <c r="AY177" s="2" t="s">
        <v>337</v>
      </c>
      <c r="BE177" s="140">
        <f t="shared" si="14"/>
        <v>0</v>
      </c>
      <c r="BF177" s="140">
        <f t="shared" si="15"/>
        <v>0</v>
      </c>
      <c r="BG177" s="140">
        <f t="shared" si="16"/>
        <v>0</v>
      </c>
      <c r="BH177" s="140">
        <f t="shared" si="17"/>
        <v>0</v>
      </c>
      <c r="BI177" s="140">
        <f t="shared" si="18"/>
        <v>0</v>
      </c>
      <c r="BJ177" s="2" t="s">
        <v>87</v>
      </c>
      <c r="BK177" s="140">
        <f t="shared" si="19"/>
        <v>0</v>
      </c>
      <c r="BL177" s="2" t="s">
        <v>344</v>
      </c>
      <c r="BM177" s="139" t="s">
        <v>950</v>
      </c>
    </row>
    <row r="178" spans="2:65" s="16" customFormat="1" ht="16.5" customHeight="1" x14ac:dyDescent="0.2">
      <c r="B178" s="17"/>
      <c r="C178" s="128">
        <v>38</v>
      </c>
      <c r="D178" s="128" t="s">
        <v>339</v>
      </c>
      <c r="E178" s="129" t="s">
        <v>6917</v>
      </c>
      <c r="F178" s="130" t="s">
        <v>6918</v>
      </c>
      <c r="G178" s="131" t="s">
        <v>4460</v>
      </c>
      <c r="H178" s="132">
        <v>10</v>
      </c>
      <c r="I178" s="133"/>
      <c r="J178" s="134">
        <f t="shared" si="10"/>
        <v>0</v>
      </c>
      <c r="K178" s="130"/>
      <c r="L178" s="17"/>
      <c r="M178" s="135"/>
      <c r="N178" s="136" t="s">
        <v>45</v>
      </c>
      <c r="P178" s="137">
        <f t="shared" si="11"/>
        <v>0</v>
      </c>
      <c r="Q178" s="137">
        <v>0</v>
      </c>
      <c r="R178" s="137">
        <f t="shared" si="12"/>
        <v>0</v>
      </c>
      <c r="S178" s="137">
        <v>0</v>
      </c>
      <c r="T178" s="138">
        <f t="shared" si="13"/>
        <v>0</v>
      </c>
      <c r="AR178" s="139" t="s">
        <v>344</v>
      </c>
      <c r="AT178" s="139" t="s">
        <v>339</v>
      </c>
      <c r="AU178" s="139" t="s">
        <v>87</v>
      </c>
      <c r="AY178" s="2" t="s">
        <v>337</v>
      </c>
      <c r="BE178" s="140">
        <f t="shared" si="14"/>
        <v>0</v>
      </c>
      <c r="BF178" s="140">
        <f t="shared" si="15"/>
        <v>0</v>
      </c>
      <c r="BG178" s="140">
        <f t="shared" si="16"/>
        <v>0</v>
      </c>
      <c r="BH178" s="140">
        <f t="shared" si="17"/>
        <v>0</v>
      </c>
      <c r="BI178" s="140">
        <f t="shared" si="18"/>
        <v>0</v>
      </c>
      <c r="BJ178" s="2" t="s">
        <v>87</v>
      </c>
      <c r="BK178" s="140">
        <f t="shared" si="19"/>
        <v>0</v>
      </c>
      <c r="BL178" s="2" t="s">
        <v>344</v>
      </c>
      <c r="BM178" s="139" t="s">
        <v>958</v>
      </c>
    </row>
    <row r="179" spans="2:65" s="16" customFormat="1" ht="16.5" customHeight="1" x14ac:dyDescent="0.2">
      <c r="B179" s="17"/>
      <c r="C179" s="128">
        <v>39</v>
      </c>
      <c r="D179" s="128" t="s">
        <v>339</v>
      </c>
      <c r="E179" s="129" t="s">
        <v>6919</v>
      </c>
      <c r="F179" s="130" t="s">
        <v>6920</v>
      </c>
      <c r="G179" s="131" t="s">
        <v>4460</v>
      </c>
      <c r="H179" s="132">
        <v>88</v>
      </c>
      <c r="I179" s="133"/>
      <c r="J179" s="134">
        <f t="shared" si="10"/>
        <v>0</v>
      </c>
      <c r="K179" s="130"/>
      <c r="L179" s="17"/>
      <c r="M179" s="135"/>
      <c r="N179" s="136" t="s">
        <v>45</v>
      </c>
      <c r="P179" s="137">
        <f t="shared" si="11"/>
        <v>0</v>
      </c>
      <c r="Q179" s="137">
        <v>0</v>
      </c>
      <c r="R179" s="137">
        <f t="shared" si="12"/>
        <v>0</v>
      </c>
      <c r="S179" s="137">
        <v>0</v>
      </c>
      <c r="T179" s="138">
        <f t="shared" si="13"/>
        <v>0</v>
      </c>
      <c r="AR179" s="139" t="s">
        <v>344</v>
      </c>
      <c r="AT179" s="139" t="s">
        <v>339</v>
      </c>
      <c r="AU179" s="139" t="s">
        <v>87</v>
      </c>
      <c r="AY179" s="2" t="s">
        <v>337</v>
      </c>
      <c r="BE179" s="140">
        <f t="shared" si="14"/>
        <v>0</v>
      </c>
      <c r="BF179" s="140">
        <f t="shared" si="15"/>
        <v>0</v>
      </c>
      <c r="BG179" s="140">
        <f t="shared" si="16"/>
        <v>0</v>
      </c>
      <c r="BH179" s="140">
        <f t="shared" si="17"/>
        <v>0</v>
      </c>
      <c r="BI179" s="140">
        <f t="shared" si="18"/>
        <v>0</v>
      </c>
      <c r="BJ179" s="2" t="s">
        <v>87</v>
      </c>
      <c r="BK179" s="140">
        <f t="shared" si="19"/>
        <v>0</v>
      </c>
      <c r="BL179" s="2" t="s">
        <v>344</v>
      </c>
      <c r="BM179" s="139" t="s">
        <v>970</v>
      </c>
    </row>
    <row r="180" spans="2:65" s="16" customFormat="1" ht="16.5" customHeight="1" x14ac:dyDescent="0.2">
      <c r="B180" s="17"/>
      <c r="C180" s="128">
        <v>40</v>
      </c>
      <c r="D180" s="128" t="s">
        <v>339</v>
      </c>
      <c r="E180" s="129" t="s">
        <v>6921</v>
      </c>
      <c r="F180" s="130" t="s">
        <v>6922</v>
      </c>
      <c r="G180" s="131" t="s">
        <v>4460</v>
      </c>
      <c r="H180" s="132">
        <v>914</v>
      </c>
      <c r="I180" s="133"/>
      <c r="J180" s="134">
        <f t="shared" si="10"/>
        <v>0</v>
      </c>
      <c r="K180" s="130"/>
      <c r="L180" s="17"/>
      <c r="M180" s="135"/>
      <c r="N180" s="136" t="s">
        <v>45</v>
      </c>
      <c r="P180" s="137">
        <f t="shared" si="11"/>
        <v>0</v>
      </c>
      <c r="Q180" s="137">
        <v>0</v>
      </c>
      <c r="R180" s="137">
        <f t="shared" si="12"/>
        <v>0</v>
      </c>
      <c r="S180" s="137">
        <v>0</v>
      </c>
      <c r="T180" s="138">
        <f t="shared" si="13"/>
        <v>0</v>
      </c>
      <c r="AR180" s="139" t="s">
        <v>344</v>
      </c>
      <c r="AT180" s="139" t="s">
        <v>339</v>
      </c>
      <c r="AU180" s="139" t="s">
        <v>87</v>
      </c>
      <c r="AY180" s="2" t="s">
        <v>337</v>
      </c>
      <c r="BE180" s="140">
        <f t="shared" si="14"/>
        <v>0</v>
      </c>
      <c r="BF180" s="140">
        <f t="shared" si="15"/>
        <v>0</v>
      </c>
      <c r="BG180" s="140">
        <f t="shared" si="16"/>
        <v>0</v>
      </c>
      <c r="BH180" s="140">
        <f t="shared" si="17"/>
        <v>0</v>
      </c>
      <c r="BI180" s="140">
        <f t="shared" si="18"/>
        <v>0</v>
      </c>
      <c r="BJ180" s="2" t="s">
        <v>87</v>
      </c>
      <c r="BK180" s="140">
        <f t="shared" si="19"/>
        <v>0</v>
      </c>
      <c r="BL180" s="2" t="s">
        <v>344</v>
      </c>
      <c r="BM180" s="139" t="s">
        <v>981</v>
      </c>
    </row>
    <row r="181" spans="2:65" s="16" customFormat="1" ht="16.5" customHeight="1" x14ac:dyDescent="0.2">
      <c r="B181" s="17"/>
      <c r="C181" s="128">
        <v>41</v>
      </c>
      <c r="D181" s="128" t="s">
        <v>339</v>
      </c>
      <c r="E181" s="129" t="s">
        <v>6923</v>
      </c>
      <c r="F181" s="130" t="s">
        <v>6924</v>
      </c>
      <c r="G181" s="131" t="s">
        <v>724</v>
      </c>
      <c r="H181" s="132">
        <v>1500</v>
      </c>
      <c r="I181" s="133"/>
      <c r="J181" s="134">
        <f t="shared" si="10"/>
        <v>0</v>
      </c>
      <c r="K181" s="130"/>
      <c r="L181" s="17"/>
      <c r="M181" s="135"/>
      <c r="N181" s="136" t="s">
        <v>45</v>
      </c>
      <c r="P181" s="137">
        <f t="shared" si="11"/>
        <v>0</v>
      </c>
      <c r="Q181" s="137">
        <v>0</v>
      </c>
      <c r="R181" s="137">
        <f t="shared" si="12"/>
        <v>0</v>
      </c>
      <c r="S181" s="137">
        <v>0</v>
      </c>
      <c r="T181" s="138">
        <f t="shared" si="13"/>
        <v>0</v>
      </c>
      <c r="AR181" s="139" t="s">
        <v>344</v>
      </c>
      <c r="AT181" s="139" t="s">
        <v>339</v>
      </c>
      <c r="AU181" s="139" t="s">
        <v>87</v>
      </c>
      <c r="AY181" s="2" t="s">
        <v>337</v>
      </c>
      <c r="BE181" s="140">
        <f t="shared" si="14"/>
        <v>0</v>
      </c>
      <c r="BF181" s="140">
        <f t="shared" si="15"/>
        <v>0</v>
      </c>
      <c r="BG181" s="140">
        <f t="shared" si="16"/>
        <v>0</v>
      </c>
      <c r="BH181" s="140">
        <f t="shared" si="17"/>
        <v>0</v>
      </c>
      <c r="BI181" s="140">
        <f t="shared" si="18"/>
        <v>0</v>
      </c>
      <c r="BJ181" s="2" t="s">
        <v>87</v>
      </c>
      <c r="BK181" s="140">
        <f t="shared" si="19"/>
        <v>0</v>
      </c>
      <c r="BL181" s="2" t="s">
        <v>344</v>
      </c>
      <c r="BM181" s="139" t="s">
        <v>996</v>
      </c>
    </row>
    <row r="182" spans="2:65" s="16" customFormat="1" ht="16.5" customHeight="1" x14ac:dyDescent="0.2">
      <c r="B182" s="17"/>
      <c r="C182" s="128">
        <v>42</v>
      </c>
      <c r="D182" s="128" t="s">
        <v>339</v>
      </c>
      <c r="E182" s="129" t="s">
        <v>6925</v>
      </c>
      <c r="F182" s="130" t="s">
        <v>6926</v>
      </c>
      <c r="G182" s="131" t="s">
        <v>724</v>
      </c>
      <c r="H182" s="132">
        <v>14225</v>
      </c>
      <c r="I182" s="133"/>
      <c r="J182" s="134">
        <f t="shared" si="10"/>
        <v>0</v>
      </c>
      <c r="K182" s="130"/>
      <c r="L182" s="17"/>
      <c r="M182" s="135"/>
      <c r="N182" s="136" t="s">
        <v>45</v>
      </c>
      <c r="P182" s="137">
        <f t="shared" si="11"/>
        <v>0</v>
      </c>
      <c r="Q182" s="137">
        <v>0</v>
      </c>
      <c r="R182" s="137">
        <f t="shared" si="12"/>
        <v>0</v>
      </c>
      <c r="S182" s="137">
        <v>0</v>
      </c>
      <c r="T182" s="138">
        <f t="shared" si="13"/>
        <v>0</v>
      </c>
      <c r="AR182" s="139" t="s">
        <v>344</v>
      </c>
      <c r="AT182" s="139" t="s">
        <v>339</v>
      </c>
      <c r="AU182" s="139" t="s">
        <v>87</v>
      </c>
      <c r="AY182" s="2" t="s">
        <v>337</v>
      </c>
      <c r="BE182" s="140">
        <f t="shared" si="14"/>
        <v>0</v>
      </c>
      <c r="BF182" s="140">
        <f t="shared" si="15"/>
        <v>0</v>
      </c>
      <c r="BG182" s="140">
        <f t="shared" si="16"/>
        <v>0</v>
      </c>
      <c r="BH182" s="140">
        <f t="shared" si="17"/>
        <v>0</v>
      </c>
      <c r="BI182" s="140">
        <f t="shared" si="18"/>
        <v>0</v>
      </c>
      <c r="BJ182" s="2" t="s">
        <v>87</v>
      </c>
      <c r="BK182" s="140">
        <f t="shared" si="19"/>
        <v>0</v>
      </c>
      <c r="BL182" s="2" t="s">
        <v>344</v>
      </c>
      <c r="BM182" s="139" t="s">
        <v>1008</v>
      </c>
    </row>
    <row r="183" spans="2:65" s="16" customFormat="1" ht="16.5" customHeight="1" x14ac:dyDescent="0.2">
      <c r="B183" s="17"/>
      <c r="C183" s="128">
        <v>43</v>
      </c>
      <c r="D183" s="128" t="s">
        <v>339</v>
      </c>
      <c r="E183" s="129" t="s">
        <v>6927</v>
      </c>
      <c r="F183" s="130" t="s">
        <v>6928</v>
      </c>
      <c r="G183" s="131" t="s">
        <v>724</v>
      </c>
      <c r="H183" s="132">
        <v>4240</v>
      </c>
      <c r="I183" s="133"/>
      <c r="J183" s="134">
        <f t="shared" si="10"/>
        <v>0</v>
      </c>
      <c r="K183" s="130"/>
      <c r="L183" s="17"/>
      <c r="M183" s="135"/>
      <c r="N183" s="136" t="s">
        <v>45</v>
      </c>
      <c r="P183" s="137">
        <f t="shared" si="11"/>
        <v>0</v>
      </c>
      <c r="Q183" s="137">
        <v>0</v>
      </c>
      <c r="R183" s="137">
        <f t="shared" si="12"/>
        <v>0</v>
      </c>
      <c r="S183" s="137">
        <v>0</v>
      </c>
      <c r="T183" s="138">
        <f t="shared" si="13"/>
        <v>0</v>
      </c>
      <c r="AR183" s="139" t="s">
        <v>344</v>
      </c>
      <c r="AT183" s="139" t="s">
        <v>339</v>
      </c>
      <c r="AU183" s="139" t="s">
        <v>87</v>
      </c>
      <c r="AY183" s="2" t="s">
        <v>337</v>
      </c>
      <c r="BE183" s="140">
        <f t="shared" si="14"/>
        <v>0</v>
      </c>
      <c r="BF183" s="140">
        <f t="shared" si="15"/>
        <v>0</v>
      </c>
      <c r="BG183" s="140">
        <f t="shared" si="16"/>
        <v>0</v>
      </c>
      <c r="BH183" s="140">
        <f t="shared" si="17"/>
        <v>0</v>
      </c>
      <c r="BI183" s="140">
        <f t="shared" si="18"/>
        <v>0</v>
      </c>
      <c r="BJ183" s="2" t="s">
        <v>87</v>
      </c>
      <c r="BK183" s="140">
        <f t="shared" si="19"/>
        <v>0</v>
      </c>
      <c r="BL183" s="2" t="s">
        <v>344</v>
      </c>
      <c r="BM183" s="139" t="s">
        <v>3778</v>
      </c>
    </row>
    <row r="184" spans="2:65" s="16" customFormat="1" ht="16.5" customHeight="1" x14ac:dyDescent="0.2">
      <c r="B184" s="17"/>
      <c r="C184" s="128">
        <v>44</v>
      </c>
      <c r="D184" s="128" t="s">
        <v>339</v>
      </c>
      <c r="E184" s="129" t="s">
        <v>6929</v>
      </c>
      <c r="F184" s="130" t="s">
        <v>6930</v>
      </c>
      <c r="G184" s="131" t="s">
        <v>724</v>
      </c>
      <c r="H184" s="132">
        <v>12240</v>
      </c>
      <c r="I184" s="133"/>
      <c r="J184" s="134">
        <f t="shared" si="10"/>
        <v>0</v>
      </c>
      <c r="K184" s="130"/>
      <c r="L184" s="17"/>
      <c r="M184" s="135"/>
      <c r="N184" s="136" t="s">
        <v>45</v>
      </c>
      <c r="P184" s="137">
        <f t="shared" si="11"/>
        <v>0</v>
      </c>
      <c r="Q184" s="137">
        <v>0</v>
      </c>
      <c r="R184" s="137">
        <f t="shared" si="12"/>
        <v>0</v>
      </c>
      <c r="S184" s="137">
        <v>0</v>
      </c>
      <c r="T184" s="138">
        <f t="shared" si="13"/>
        <v>0</v>
      </c>
      <c r="AR184" s="139" t="s">
        <v>344</v>
      </c>
      <c r="AT184" s="139" t="s">
        <v>339</v>
      </c>
      <c r="AU184" s="139" t="s">
        <v>87</v>
      </c>
      <c r="AY184" s="2" t="s">
        <v>337</v>
      </c>
      <c r="BE184" s="140">
        <f t="shared" si="14"/>
        <v>0</v>
      </c>
      <c r="BF184" s="140">
        <f t="shared" si="15"/>
        <v>0</v>
      </c>
      <c r="BG184" s="140">
        <f t="shared" si="16"/>
        <v>0</v>
      </c>
      <c r="BH184" s="140">
        <f t="shared" si="17"/>
        <v>0</v>
      </c>
      <c r="BI184" s="140">
        <f t="shared" si="18"/>
        <v>0</v>
      </c>
      <c r="BJ184" s="2" t="s">
        <v>87</v>
      </c>
      <c r="BK184" s="140">
        <f t="shared" si="19"/>
        <v>0</v>
      </c>
      <c r="BL184" s="2" t="s">
        <v>344</v>
      </c>
      <c r="BM184" s="139" t="s">
        <v>1037</v>
      </c>
    </row>
    <row r="185" spans="2:65" s="16" customFormat="1" ht="16.5" customHeight="1" x14ac:dyDescent="0.2">
      <c r="B185" s="17"/>
      <c r="C185" s="128">
        <v>45</v>
      </c>
      <c r="D185" s="128" t="s">
        <v>339</v>
      </c>
      <c r="E185" s="129" t="s">
        <v>6931</v>
      </c>
      <c r="F185" s="130" t="s">
        <v>6932</v>
      </c>
      <c r="G185" s="131" t="s">
        <v>724</v>
      </c>
      <c r="H185" s="132">
        <v>1090</v>
      </c>
      <c r="I185" s="133"/>
      <c r="J185" s="134">
        <f t="shared" si="10"/>
        <v>0</v>
      </c>
      <c r="K185" s="130"/>
      <c r="L185" s="17"/>
      <c r="M185" s="135"/>
      <c r="N185" s="136" t="s">
        <v>45</v>
      </c>
      <c r="P185" s="137">
        <f t="shared" si="11"/>
        <v>0</v>
      </c>
      <c r="Q185" s="137">
        <v>0</v>
      </c>
      <c r="R185" s="137">
        <f t="shared" si="12"/>
        <v>0</v>
      </c>
      <c r="S185" s="137">
        <v>0</v>
      </c>
      <c r="T185" s="138">
        <f t="shared" si="13"/>
        <v>0</v>
      </c>
      <c r="AR185" s="139" t="s">
        <v>344</v>
      </c>
      <c r="AT185" s="139" t="s">
        <v>339</v>
      </c>
      <c r="AU185" s="139" t="s">
        <v>87</v>
      </c>
      <c r="AY185" s="2" t="s">
        <v>337</v>
      </c>
      <c r="BE185" s="140">
        <f t="shared" si="14"/>
        <v>0</v>
      </c>
      <c r="BF185" s="140">
        <f t="shared" si="15"/>
        <v>0</v>
      </c>
      <c r="BG185" s="140">
        <f t="shared" si="16"/>
        <v>0</v>
      </c>
      <c r="BH185" s="140">
        <f t="shared" si="17"/>
        <v>0</v>
      </c>
      <c r="BI185" s="140">
        <f t="shared" si="18"/>
        <v>0</v>
      </c>
      <c r="BJ185" s="2" t="s">
        <v>87</v>
      </c>
      <c r="BK185" s="140">
        <f t="shared" si="19"/>
        <v>0</v>
      </c>
      <c r="BL185" s="2" t="s">
        <v>344</v>
      </c>
      <c r="BM185" s="139" t="s">
        <v>1049</v>
      </c>
    </row>
    <row r="186" spans="2:65" s="16" customFormat="1" ht="16.5" customHeight="1" x14ac:dyDescent="0.2">
      <c r="B186" s="17"/>
      <c r="C186" s="128">
        <v>46</v>
      </c>
      <c r="D186" s="128" t="s">
        <v>339</v>
      </c>
      <c r="E186" s="129" t="s">
        <v>6933</v>
      </c>
      <c r="F186" s="130" t="s">
        <v>6934</v>
      </c>
      <c r="G186" s="131" t="s">
        <v>724</v>
      </c>
      <c r="H186" s="132">
        <v>60</v>
      </c>
      <c r="I186" s="133"/>
      <c r="J186" s="134">
        <f t="shared" si="10"/>
        <v>0</v>
      </c>
      <c r="K186" s="130"/>
      <c r="L186" s="17"/>
      <c r="M186" s="135"/>
      <c r="N186" s="136" t="s">
        <v>45</v>
      </c>
      <c r="P186" s="137">
        <f t="shared" si="11"/>
        <v>0</v>
      </c>
      <c r="Q186" s="137">
        <v>0</v>
      </c>
      <c r="R186" s="137">
        <f t="shared" si="12"/>
        <v>0</v>
      </c>
      <c r="S186" s="137">
        <v>0</v>
      </c>
      <c r="T186" s="138">
        <f t="shared" si="13"/>
        <v>0</v>
      </c>
      <c r="AR186" s="139" t="s">
        <v>344</v>
      </c>
      <c r="AT186" s="139" t="s">
        <v>339</v>
      </c>
      <c r="AU186" s="139" t="s">
        <v>87</v>
      </c>
      <c r="AY186" s="2" t="s">
        <v>337</v>
      </c>
      <c r="BE186" s="140">
        <f t="shared" si="14"/>
        <v>0</v>
      </c>
      <c r="BF186" s="140">
        <f t="shared" si="15"/>
        <v>0</v>
      </c>
      <c r="BG186" s="140">
        <f t="shared" si="16"/>
        <v>0</v>
      </c>
      <c r="BH186" s="140">
        <f t="shared" si="17"/>
        <v>0</v>
      </c>
      <c r="BI186" s="140">
        <f t="shared" si="18"/>
        <v>0</v>
      </c>
      <c r="BJ186" s="2" t="s">
        <v>87</v>
      </c>
      <c r="BK186" s="140">
        <f t="shared" si="19"/>
        <v>0</v>
      </c>
      <c r="BL186" s="2" t="s">
        <v>344</v>
      </c>
      <c r="BM186" s="139" t="s">
        <v>6935</v>
      </c>
    </row>
    <row r="187" spans="2:65" s="16" customFormat="1" ht="16.5" customHeight="1" x14ac:dyDescent="0.2">
      <c r="B187" s="17"/>
      <c r="C187" s="128">
        <v>47</v>
      </c>
      <c r="D187" s="128" t="s">
        <v>339</v>
      </c>
      <c r="E187" s="129" t="s">
        <v>6936</v>
      </c>
      <c r="F187" s="130" t="s">
        <v>6937</v>
      </c>
      <c r="G187" s="131" t="s">
        <v>724</v>
      </c>
      <c r="H187" s="132">
        <v>654</v>
      </c>
      <c r="I187" s="133"/>
      <c r="J187" s="134">
        <f t="shared" si="10"/>
        <v>0</v>
      </c>
      <c r="K187" s="130"/>
      <c r="L187" s="17"/>
      <c r="M187" s="135"/>
      <c r="N187" s="136" t="s">
        <v>45</v>
      </c>
      <c r="P187" s="137">
        <f t="shared" si="11"/>
        <v>0</v>
      </c>
      <c r="Q187" s="137">
        <v>0</v>
      </c>
      <c r="R187" s="137">
        <f t="shared" si="12"/>
        <v>0</v>
      </c>
      <c r="S187" s="137">
        <v>0</v>
      </c>
      <c r="T187" s="138">
        <f t="shared" si="13"/>
        <v>0</v>
      </c>
      <c r="AR187" s="139" t="s">
        <v>344</v>
      </c>
      <c r="AT187" s="139" t="s">
        <v>339</v>
      </c>
      <c r="AU187" s="139" t="s">
        <v>87</v>
      </c>
      <c r="AY187" s="2" t="s">
        <v>337</v>
      </c>
      <c r="BE187" s="140">
        <f t="shared" si="14"/>
        <v>0</v>
      </c>
      <c r="BF187" s="140">
        <f t="shared" si="15"/>
        <v>0</v>
      </c>
      <c r="BG187" s="140">
        <f t="shared" si="16"/>
        <v>0</v>
      </c>
      <c r="BH187" s="140">
        <f t="shared" si="17"/>
        <v>0</v>
      </c>
      <c r="BI187" s="140">
        <f t="shared" si="18"/>
        <v>0</v>
      </c>
      <c r="BJ187" s="2" t="s">
        <v>87</v>
      </c>
      <c r="BK187" s="140">
        <f t="shared" si="19"/>
        <v>0</v>
      </c>
      <c r="BL187" s="2" t="s">
        <v>344</v>
      </c>
      <c r="BM187" s="139" t="s">
        <v>1738</v>
      </c>
    </row>
    <row r="188" spans="2:65" s="16" customFormat="1" ht="16.5" customHeight="1" x14ac:dyDescent="0.2">
      <c r="B188" s="17"/>
      <c r="C188" s="128">
        <v>48</v>
      </c>
      <c r="D188" s="128" t="s">
        <v>339</v>
      </c>
      <c r="E188" s="129" t="s">
        <v>6938</v>
      </c>
      <c r="F188" s="130" t="s">
        <v>6939</v>
      </c>
      <c r="G188" s="131" t="s">
        <v>724</v>
      </c>
      <c r="H188" s="132">
        <v>40</v>
      </c>
      <c r="I188" s="133"/>
      <c r="J188" s="134">
        <f t="shared" si="10"/>
        <v>0</v>
      </c>
      <c r="K188" s="130"/>
      <c r="L188" s="17"/>
      <c r="M188" s="135"/>
      <c r="N188" s="136" t="s">
        <v>45</v>
      </c>
      <c r="P188" s="137">
        <f t="shared" si="11"/>
        <v>0</v>
      </c>
      <c r="Q188" s="137">
        <v>0</v>
      </c>
      <c r="R188" s="137">
        <f t="shared" si="12"/>
        <v>0</v>
      </c>
      <c r="S188" s="137">
        <v>0</v>
      </c>
      <c r="T188" s="138">
        <f t="shared" si="13"/>
        <v>0</v>
      </c>
      <c r="AR188" s="139" t="s">
        <v>344</v>
      </c>
      <c r="AT188" s="139" t="s">
        <v>339</v>
      </c>
      <c r="AU188" s="139" t="s">
        <v>87</v>
      </c>
      <c r="AY188" s="2" t="s">
        <v>337</v>
      </c>
      <c r="BE188" s="140">
        <f t="shared" si="14"/>
        <v>0</v>
      </c>
      <c r="BF188" s="140">
        <f t="shared" si="15"/>
        <v>0</v>
      </c>
      <c r="BG188" s="140">
        <f t="shared" si="16"/>
        <v>0</v>
      </c>
      <c r="BH188" s="140">
        <f t="shared" si="17"/>
        <v>0</v>
      </c>
      <c r="BI188" s="140">
        <f t="shared" si="18"/>
        <v>0</v>
      </c>
      <c r="BJ188" s="2" t="s">
        <v>87</v>
      </c>
      <c r="BK188" s="140">
        <f t="shared" si="19"/>
        <v>0</v>
      </c>
      <c r="BL188" s="2" t="s">
        <v>344</v>
      </c>
      <c r="BM188" s="139" t="s">
        <v>1080</v>
      </c>
    </row>
    <row r="189" spans="2:65" s="16" customFormat="1" ht="16.5" customHeight="1" x14ac:dyDescent="0.2">
      <c r="B189" s="17"/>
      <c r="C189" s="128">
        <v>49</v>
      </c>
      <c r="D189" s="128" t="s">
        <v>339</v>
      </c>
      <c r="E189" s="129" t="s">
        <v>6940</v>
      </c>
      <c r="F189" s="130" t="s">
        <v>6941</v>
      </c>
      <c r="G189" s="131" t="s">
        <v>724</v>
      </c>
      <c r="H189" s="132">
        <v>250</v>
      </c>
      <c r="I189" s="133"/>
      <c r="J189" s="134">
        <f t="shared" si="10"/>
        <v>0</v>
      </c>
      <c r="K189" s="130"/>
      <c r="L189" s="17"/>
      <c r="M189" s="135"/>
      <c r="N189" s="136" t="s">
        <v>45</v>
      </c>
      <c r="P189" s="137">
        <f t="shared" si="11"/>
        <v>0</v>
      </c>
      <c r="Q189" s="137">
        <v>0</v>
      </c>
      <c r="R189" s="137">
        <f t="shared" si="12"/>
        <v>0</v>
      </c>
      <c r="S189" s="137">
        <v>0</v>
      </c>
      <c r="T189" s="138">
        <f t="shared" si="13"/>
        <v>0</v>
      </c>
      <c r="AR189" s="139" t="s">
        <v>344</v>
      </c>
      <c r="AT189" s="139" t="s">
        <v>339</v>
      </c>
      <c r="AU189" s="139" t="s">
        <v>87</v>
      </c>
      <c r="AY189" s="2" t="s">
        <v>337</v>
      </c>
      <c r="BE189" s="140">
        <f t="shared" si="14"/>
        <v>0</v>
      </c>
      <c r="BF189" s="140">
        <f t="shared" si="15"/>
        <v>0</v>
      </c>
      <c r="BG189" s="140">
        <f t="shared" si="16"/>
        <v>0</v>
      </c>
      <c r="BH189" s="140">
        <f t="shared" si="17"/>
        <v>0</v>
      </c>
      <c r="BI189" s="140">
        <f t="shared" si="18"/>
        <v>0</v>
      </c>
      <c r="BJ189" s="2" t="s">
        <v>87</v>
      </c>
      <c r="BK189" s="140">
        <f t="shared" si="19"/>
        <v>0</v>
      </c>
      <c r="BL189" s="2" t="s">
        <v>344</v>
      </c>
      <c r="BM189" s="139" t="s">
        <v>1093</v>
      </c>
    </row>
    <row r="190" spans="2:65" s="16" customFormat="1" ht="16.5" customHeight="1" x14ac:dyDescent="0.2">
      <c r="B190" s="17"/>
      <c r="C190" s="128">
        <v>50</v>
      </c>
      <c r="D190" s="128" t="s">
        <v>339</v>
      </c>
      <c r="E190" s="129" t="s">
        <v>6942</v>
      </c>
      <c r="F190" s="130" t="s">
        <v>6943</v>
      </c>
      <c r="G190" s="131" t="s">
        <v>724</v>
      </c>
      <c r="H190" s="132">
        <v>724</v>
      </c>
      <c r="I190" s="133"/>
      <c r="J190" s="134">
        <f t="shared" si="10"/>
        <v>0</v>
      </c>
      <c r="K190" s="130"/>
      <c r="L190" s="17"/>
      <c r="M190" s="135"/>
      <c r="N190" s="136" t="s">
        <v>45</v>
      </c>
      <c r="P190" s="137">
        <f t="shared" si="11"/>
        <v>0</v>
      </c>
      <c r="Q190" s="137">
        <v>0</v>
      </c>
      <c r="R190" s="137">
        <f t="shared" si="12"/>
        <v>0</v>
      </c>
      <c r="S190" s="137">
        <v>0</v>
      </c>
      <c r="T190" s="138">
        <f t="shared" si="13"/>
        <v>0</v>
      </c>
      <c r="AR190" s="139" t="s">
        <v>344</v>
      </c>
      <c r="AT190" s="139" t="s">
        <v>339</v>
      </c>
      <c r="AU190" s="139" t="s">
        <v>87</v>
      </c>
      <c r="AY190" s="2" t="s">
        <v>337</v>
      </c>
      <c r="BE190" s="140">
        <f t="shared" si="14"/>
        <v>0</v>
      </c>
      <c r="BF190" s="140">
        <f t="shared" si="15"/>
        <v>0</v>
      </c>
      <c r="BG190" s="140">
        <f t="shared" si="16"/>
        <v>0</v>
      </c>
      <c r="BH190" s="140">
        <f t="shared" si="17"/>
        <v>0</v>
      </c>
      <c r="BI190" s="140">
        <f t="shared" si="18"/>
        <v>0</v>
      </c>
      <c r="BJ190" s="2" t="s">
        <v>87</v>
      </c>
      <c r="BK190" s="140">
        <f t="shared" si="19"/>
        <v>0</v>
      </c>
      <c r="BL190" s="2" t="s">
        <v>344</v>
      </c>
      <c r="BM190" s="139" t="s">
        <v>3852</v>
      </c>
    </row>
    <row r="191" spans="2:65" s="16" customFormat="1" ht="16.5" customHeight="1" x14ac:dyDescent="0.2">
      <c r="B191" s="17"/>
      <c r="C191" s="128">
        <v>51</v>
      </c>
      <c r="D191" s="128" t="s">
        <v>339</v>
      </c>
      <c r="E191" s="129" t="s">
        <v>6944</v>
      </c>
      <c r="F191" s="130" t="s">
        <v>6945</v>
      </c>
      <c r="G191" s="131" t="s">
        <v>724</v>
      </c>
      <c r="H191" s="132">
        <v>96</v>
      </c>
      <c r="I191" s="133"/>
      <c r="J191" s="134">
        <f t="shared" si="10"/>
        <v>0</v>
      </c>
      <c r="K191" s="130"/>
      <c r="L191" s="17"/>
      <c r="M191" s="135"/>
      <c r="N191" s="136" t="s">
        <v>45</v>
      </c>
      <c r="P191" s="137">
        <f t="shared" si="11"/>
        <v>0</v>
      </c>
      <c r="Q191" s="137">
        <v>0</v>
      </c>
      <c r="R191" s="137">
        <f t="shared" si="12"/>
        <v>0</v>
      </c>
      <c r="S191" s="137">
        <v>0</v>
      </c>
      <c r="T191" s="138">
        <f t="shared" si="13"/>
        <v>0</v>
      </c>
      <c r="AR191" s="139" t="s">
        <v>344</v>
      </c>
      <c r="AT191" s="139" t="s">
        <v>339</v>
      </c>
      <c r="AU191" s="139" t="s">
        <v>87</v>
      </c>
      <c r="AY191" s="2" t="s">
        <v>337</v>
      </c>
      <c r="BE191" s="140">
        <f t="shared" si="14"/>
        <v>0</v>
      </c>
      <c r="BF191" s="140">
        <f t="shared" si="15"/>
        <v>0</v>
      </c>
      <c r="BG191" s="140">
        <f t="shared" si="16"/>
        <v>0</v>
      </c>
      <c r="BH191" s="140">
        <f t="shared" si="17"/>
        <v>0</v>
      </c>
      <c r="BI191" s="140">
        <f t="shared" si="18"/>
        <v>0</v>
      </c>
      <c r="BJ191" s="2" t="s">
        <v>87</v>
      </c>
      <c r="BK191" s="140">
        <f t="shared" si="19"/>
        <v>0</v>
      </c>
      <c r="BL191" s="2" t="s">
        <v>344</v>
      </c>
      <c r="BM191" s="139" t="s">
        <v>3864</v>
      </c>
    </row>
    <row r="192" spans="2:65" s="16" customFormat="1" ht="16.5" customHeight="1" x14ac:dyDescent="0.2">
      <c r="B192" s="17"/>
      <c r="C192" s="128">
        <v>52</v>
      </c>
      <c r="D192" s="128" t="s">
        <v>339</v>
      </c>
      <c r="E192" s="129" t="s">
        <v>6946</v>
      </c>
      <c r="F192" s="130" t="s">
        <v>6947</v>
      </c>
      <c r="G192" s="131" t="s">
        <v>724</v>
      </c>
      <c r="H192" s="132">
        <v>600</v>
      </c>
      <c r="I192" s="133"/>
      <c r="J192" s="134">
        <f t="shared" si="10"/>
        <v>0</v>
      </c>
      <c r="K192" s="130"/>
      <c r="L192" s="17"/>
      <c r="M192" s="135"/>
      <c r="N192" s="136" t="s">
        <v>45</v>
      </c>
      <c r="P192" s="137">
        <f t="shared" si="11"/>
        <v>0</v>
      </c>
      <c r="Q192" s="137">
        <v>0</v>
      </c>
      <c r="R192" s="137">
        <f t="shared" si="12"/>
        <v>0</v>
      </c>
      <c r="S192" s="137">
        <v>0</v>
      </c>
      <c r="T192" s="138">
        <f t="shared" si="13"/>
        <v>0</v>
      </c>
      <c r="AR192" s="139" t="s">
        <v>344</v>
      </c>
      <c r="AT192" s="139" t="s">
        <v>339</v>
      </c>
      <c r="AU192" s="139" t="s">
        <v>87</v>
      </c>
      <c r="AY192" s="2" t="s">
        <v>337</v>
      </c>
      <c r="BE192" s="140">
        <f t="shared" si="14"/>
        <v>0</v>
      </c>
      <c r="BF192" s="140">
        <f t="shared" si="15"/>
        <v>0</v>
      </c>
      <c r="BG192" s="140">
        <f t="shared" si="16"/>
        <v>0</v>
      </c>
      <c r="BH192" s="140">
        <f t="shared" si="17"/>
        <v>0</v>
      </c>
      <c r="BI192" s="140">
        <f t="shared" si="18"/>
        <v>0</v>
      </c>
      <c r="BJ192" s="2" t="s">
        <v>87</v>
      </c>
      <c r="BK192" s="140">
        <f t="shared" si="19"/>
        <v>0</v>
      </c>
      <c r="BL192" s="2" t="s">
        <v>344</v>
      </c>
      <c r="BM192" s="139" t="s">
        <v>1737</v>
      </c>
    </row>
    <row r="193" spans="2:65" s="16" customFormat="1" ht="16.5" customHeight="1" x14ac:dyDescent="0.2">
      <c r="B193" s="17"/>
      <c r="C193" s="128">
        <v>53</v>
      </c>
      <c r="D193" s="128" t="s">
        <v>339</v>
      </c>
      <c r="E193" s="129" t="s">
        <v>6948</v>
      </c>
      <c r="F193" s="130" t="s">
        <v>6949</v>
      </c>
      <c r="G193" s="131" t="s">
        <v>724</v>
      </c>
      <c r="H193" s="132">
        <v>400</v>
      </c>
      <c r="I193" s="133"/>
      <c r="J193" s="134">
        <f t="shared" si="10"/>
        <v>0</v>
      </c>
      <c r="K193" s="130"/>
      <c r="L193" s="17"/>
      <c r="M193" s="135"/>
      <c r="N193" s="136" t="s">
        <v>45</v>
      </c>
      <c r="P193" s="137">
        <f t="shared" si="11"/>
        <v>0</v>
      </c>
      <c r="Q193" s="137">
        <v>0</v>
      </c>
      <c r="R193" s="137">
        <f t="shared" si="12"/>
        <v>0</v>
      </c>
      <c r="S193" s="137">
        <v>0</v>
      </c>
      <c r="T193" s="138">
        <f t="shared" si="13"/>
        <v>0</v>
      </c>
      <c r="AR193" s="139" t="s">
        <v>344</v>
      </c>
      <c r="AT193" s="139" t="s">
        <v>339</v>
      </c>
      <c r="AU193" s="139" t="s">
        <v>87</v>
      </c>
      <c r="AY193" s="2" t="s">
        <v>337</v>
      </c>
      <c r="BE193" s="140">
        <f t="shared" si="14"/>
        <v>0</v>
      </c>
      <c r="BF193" s="140">
        <f t="shared" si="15"/>
        <v>0</v>
      </c>
      <c r="BG193" s="140">
        <f t="shared" si="16"/>
        <v>0</v>
      </c>
      <c r="BH193" s="140">
        <f t="shared" si="17"/>
        <v>0</v>
      </c>
      <c r="BI193" s="140">
        <f t="shared" si="18"/>
        <v>0</v>
      </c>
      <c r="BJ193" s="2" t="s">
        <v>87</v>
      </c>
      <c r="BK193" s="140">
        <f t="shared" si="19"/>
        <v>0</v>
      </c>
      <c r="BL193" s="2" t="s">
        <v>344</v>
      </c>
      <c r="BM193" s="139" t="s">
        <v>1146</v>
      </c>
    </row>
    <row r="194" spans="2:65" s="16" customFormat="1" ht="16.5" customHeight="1" x14ac:dyDescent="0.2">
      <c r="B194" s="17"/>
      <c r="C194" s="128">
        <v>54</v>
      </c>
      <c r="D194" s="128" t="s">
        <v>339</v>
      </c>
      <c r="E194" s="129" t="s">
        <v>6950</v>
      </c>
      <c r="F194" s="130" t="s">
        <v>6951</v>
      </c>
      <c r="G194" s="131" t="s">
        <v>724</v>
      </c>
      <c r="H194" s="132">
        <v>160</v>
      </c>
      <c r="I194" s="133"/>
      <c r="J194" s="134">
        <f t="shared" si="10"/>
        <v>0</v>
      </c>
      <c r="K194" s="130"/>
      <c r="L194" s="17"/>
      <c r="M194" s="135"/>
      <c r="N194" s="136" t="s">
        <v>45</v>
      </c>
      <c r="P194" s="137">
        <f t="shared" si="11"/>
        <v>0</v>
      </c>
      <c r="Q194" s="137">
        <v>0</v>
      </c>
      <c r="R194" s="137">
        <f t="shared" si="12"/>
        <v>0</v>
      </c>
      <c r="S194" s="137">
        <v>0</v>
      </c>
      <c r="T194" s="138">
        <f t="shared" si="13"/>
        <v>0</v>
      </c>
      <c r="AR194" s="139" t="s">
        <v>344</v>
      </c>
      <c r="AT194" s="139" t="s">
        <v>339</v>
      </c>
      <c r="AU194" s="139" t="s">
        <v>87</v>
      </c>
      <c r="AY194" s="2" t="s">
        <v>337</v>
      </c>
      <c r="BE194" s="140">
        <f t="shared" si="14"/>
        <v>0</v>
      </c>
      <c r="BF194" s="140">
        <f t="shared" si="15"/>
        <v>0</v>
      </c>
      <c r="BG194" s="140">
        <f t="shared" si="16"/>
        <v>0</v>
      </c>
      <c r="BH194" s="140">
        <f t="shared" si="17"/>
        <v>0</v>
      </c>
      <c r="BI194" s="140">
        <f t="shared" si="18"/>
        <v>0</v>
      </c>
      <c r="BJ194" s="2" t="s">
        <v>87</v>
      </c>
      <c r="BK194" s="140">
        <f t="shared" si="19"/>
        <v>0</v>
      </c>
      <c r="BL194" s="2" t="s">
        <v>344</v>
      </c>
      <c r="BM194" s="139" t="s">
        <v>1156</v>
      </c>
    </row>
    <row r="195" spans="2:65" s="16" customFormat="1" ht="16.5" customHeight="1" x14ac:dyDescent="0.2">
      <c r="B195" s="17"/>
      <c r="C195" s="128">
        <v>55</v>
      </c>
      <c r="D195" s="128" t="s">
        <v>339</v>
      </c>
      <c r="E195" s="129" t="s">
        <v>6952</v>
      </c>
      <c r="F195" s="130" t="s">
        <v>6953</v>
      </c>
      <c r="G195" s="131" t="s">
        <v>724</v>
      </c>
      <c r="H195" s="132">
        <v>160</v>
      </c>
      <c r="I195" s="133"/>
      <c r="J195" s="134">
        <f t="shared" si="10"/>
        <v>0</v>
      </c>
      <c r="K195" s="130"/>
      <c r="L195" s="17"/>
      <c r="M195" s="135"/>
      <c r="N195" s="136" t="s">
        <v>45</v>
      </c>
      <c r="P195" s="137">
        <f t="shared" si="11"/>
        <v>0</v>
      </c>
      <c r="Q195" s="137">
        <v>0</v>
      </c>
      <c r="R195" s="137">
        <f t="shared" si="12"/>
        <v>0</v>
      </c>
      <c r="S195" s="137">
        <v>0</v>
      </c>
      <c r="T195" s="138">
        <f t="shared" si="13"/>
        <v>0</v>
      </c>
      <c r="AR195" s="139" t="s">
        <v>344</v>
      </c>
      <c r="AT195" s="139" t="s">
        <v>339</v>
      </c>
      <c r="AU195" s="139" t="s">
        <v>87</v>
      </c>
      <c r="AY195" s="2" t="s">
        <v>337</v>
      </c>
      <c r="BE195" s="140">
        <f t="shared" si="14"/>
        <v>0</v>
      </c>
      <c r="BF195" s="140">
        <f t="shared" si="15"/>
        <v>0</v>
      </c>
      <c r="BG195" s="140">
        <f t="shared" si="16"/>
        <v>0</v>
      </c>
      <c r="BH195" s="140">
        <f t="shared" si="17"/>
        <v>0</v>
      </c>
      <c r="BI195" s="140">
        <f t="shared" si="18"/>
        <v>0</v>
      </c>
      <c r="BJ195" s="2" t="s">
        <v>87</v>
      </c>
      <c r="BK195" s="140">
        <f t="shared" si="19"/>
        <v>0</v>
      </c>
      <c r="BL195" s="2" t="s">
        <v>344</v>
      </c>
      <c r="BM195" s="139" t="s">
        <v>1172</v>
      </c>
    </row>
    <row r="196" spans="2:65" s="16" customFormat="1" ht="16.5" customHeight="1" x14ac:dyDescent="0.2">
      <c r="B196" s="17"/>
      <c r="C196" s="128">
        <v>56</v>
      </c>
      <c r="D196" s="128" t="s">
        <v>339</v>
      </c>
      <c r="E196" s="129" t="s">
        <v>6954</v>
      </c>
      <c r="F196" s="130" t="s">
        <v>6955</v>
      </c>
      <c r="G196" s="131" t="s">
        <v>724</v>
      </c>
      <c r="H196" s="132">
        <v>500</v>
      </c>
      <c r="I196" s="133"/>
      <c r="J196" s="134">
        <f t="shared" si="10"/>
        <v>0</v>
      </c>
      <c r="K196" s="130"/>
      <c r="L196" s="17"/>
      <c r="M196" s="135"/>
      <c r="N196" s="136" t="s">
        <v>45</v>
      </c>
      <c r="P196" s="137">
        <f t="shared" si="11"/>
        <v>0</v>
      </c>
      <c r="Q196" s="137">
        <v>0</v>
      </c>
      <c r="R196" s="137">
        <f t="shared" si="12"/>
        <v>0</v>
      </c>
      <c r="S196" s="137">
        <v>0</v>
      </c>
      <c r="T196" s="138">
        <f t="shared" si="13"/>
        <v>0</v>
      </c>
      <c r="AR196" s="139" t="s">
        <v>344</v>
      </c>
      <c r="AT196" s="139" t="s">
        <v>339</v>
      </c>
      <c r="AU196" s="139" t="s">
        <v>87</v>
      </c>
      <c r="AY196" s="2" t="s">
        <v>337</v>
      </c>
      <c r="BE196" s="140">
        <f t="shared" si="14"/>
        <v>0</v>
      </c>
      <c r="BF196" s="140">
        <f t="shared" si="15"/>
        <v>0</v>
      </c>
      <c r="BG196" s="140">
        <f t="shared" si="16"/>
        <v>0</v>
      </c>
      <c r="BH196" s="140">
        <f t="shared" si="17"/>
        <v>0</v>
      </c>
      <c r="BI196" s="140">
        <f t="shared" si="18"/>
        <v>0</v>
      </c>
      <c r="BJ196" s="2" t="s">
        <v>87</v>
      </c>
      <c r="BK196" s="140">
        <f t="shared" si="19"/>
        <v>0</v>
      </c>
      <c r="BL196" s="2" t="s">
        <v>344</v>
      </c>
      <c r="BM196" s="139" t="s">
        <v>1220</v>
      </c>
    </row>
    <row r="197" spans="2:65" s="16" customFormat="1" ht="16.5" customHeight="1" x14ac:dyDescent="0.2">
      <c r="B197" s="17"/>
      <c r="C197" s="128">
        <v>57</v>
      </c>
      <c r="D197" s="128" t="s">
        <v>339</v>
      </c>
      <c r="E197" s="129" t="s">
        <v>6956</v>
      </c>
      <c r="F197" s="130" t="s">
        <v>6957</v>
      </c>
      <c r="G197" s="131" t="s">
        <v>724</v>
      </c>
      <c r="H197" s="132">
        <v>20</v>
      </c>
      <c r="I197" s="133"/>
      <c r="J197" s="134">
        <f t="shared" si="10"/>
        <v>0</v>
      </c>
      <c r="K197" s="130"/>
      <c r="L197" s="17"/>
      <c r="M197" s="135"/>
      <c r="N197" s="136" t="s">
        <v>45</v>
      </c>
      <c r="P197" s="137">
        <f t="shared" si="11"/>
        <v>0</v>
      </c>
      <c r="Q197" s="137">
        <v>0</v>
      </c>
      <c r="R197" s="137">
        <f t="shared" si="12"/>
        <v>0</v>
      </c>
      <c r="S197" s="137">
        <v>0</v>
      </c>
      <c r="T197" s="138">
        <f t="shared" si="13"/>
        <v>0</v>
      </c>
      <c r="AR197" s="139" t="s">
        <v>344</v>
      </c>
      <c r="AT197" s="139" t="s">
        <v>339</v>
      </c>
      <c r="AU197" s="139" t="s">
        <v>87</v>
      </c>
      <c r="AY197" s="2" t="s">
        <v>337</v>
      </c>
      <c r="BE197" s="140">
        <f t="shared" si="14"/>
        <v>0</v>
      </c>
      <c r="BF197" s="140">
        <f t="shared" si="15"/>
        <v>0</v>
      </c>
      <c r="BG197" s="140">
        <f t="shared" si="16"/>
        <v>0</v>
      </c>
      <c r="BH197" s="140">
        <f t="shared" si="17"/>
        <v>0</v>
      </c>
      <c r="BI197" s="140">
        <f t="shared" si="18"/>
        <v>0</v>
      </c>
      <c r="BJ197" s="2" t="s">
        <v>87</v>
      </c>
      <c r="BK197" s="140">
        <f t="shared" si="19"/>
        <v>0</v>
      </c>
      <c r="BL197" s="2" t="s">
        <v>344</v>
      </c>
      <c r="BM197" s="139" t="s">
        <v>1242</v>
      </c>
    </row>
    <row r="198" spans="2:65" s="16" customFormat="1" ht="16.5" customHeight="1" x14ac:dyDescent="0.2">
      <c r="B198" s="17"/>
      <c r="C198" s="128">
        <v>58</v>
      </c>
      <c r="D198" s="128" t="s">
        <v>339</v>
      </c>
      <c r="E198" s="129" t="s">
        <v>6958</v>
      </c>
      <c r="F198" s="130" t="s">
        <v>6959</v>
      </c>
      <c r="G198" s="131" t="s">
        <v>4460</v>
      </c>
      <c r="H198" s="132">
        <v>3</v>
      </c>
      <c r="I198" s="133"/>
      <c r="J198" s="134">
        <f t="shared" si="10"/>
        <v>0</v>
      </c>
      <c r="K198" s="130"/>
      <c r="L198" s="17"/>
      <c r="M198" s="135"/>
      <c r="N198" s="136" t="s">
        <v>45</v>
      </c>
      <c r="P198" s="137">
        <f t="shared" si="11"/>
        <v>0</v>
      </c>
      <c r="Q198" s="137">
        <v>0</v>
      </c>
      <c r="R198" s="137">
        <f t="shared" si="12"/>
        <v>0</v>
      </c>
      <c r="S198" s="137">
        <v>0</v>
      </c>
      <c r="T198" s="138">
        <f t="shared" si="13"/>
        <v>0</v>
      </c>
      <c r="AR198" s="139" t="s">
        <v>344</v>
      </c>
      <c r="AT198" s="139" t="s">
        <v>339</v>
      </c>
      <c r="AU198" s="139" t="s">
        <v>87</v>
      </c>
      <c r="AY198" s="2" t="s">
        <v>337</v>
      </c>
      <c r="BE198" s="140">
        <f t="shared" si="14"/>
        <v>0</v>
      </c>
      <c r="BF198" s="140">
        <f t="shared" si="15"/>
        <v>0</v>
      </c>
      <c r="BG198" s="140">
        <f t="shared" si="16"/>
        <v>0</v>
      </c>
      <c r="BH198" s="140">
        <f t="shared" si="17"/>
        <v>0</v>
      </c>
      <c r="BI198" s="140">
        <f t="shared" si="18"/>
        <v>0</v>
      </c>
      <c r="BJ198" s="2" t="s">
        <v>87</v>
      </c>
      <c r="BK198" s="140">
        <f t="shared" si="19"/>
        <v>0</v>
      </c>
      <c r="BL198" s="2" t="s">
        <v>344</v>
      </c>
      <c r="BM198" s="139" t="s">
        <v>1272</v>
      </c>
    </row>
    <row r="199" spans="2:65" s="16" customFormat="1" ht="16.5" customHeight="1" x14ac:dyDescent="0.2">
      <c r="B199" s="17"/>
      <c r="C199" s="128">
        <v>59</v>
      </c>
      <c r="D199" s="128" t="s">
        <v>339</v>
      </c>
      <c r="E199" s="129" t="s">
        <v>6960</v>
      </c>
      <c r="F199" s="130" t="s">
        <v>6961</v>
      </c>
      <c r="G199" s="131" t="s">
        <v>4460</v>
      </c>
      <c r="H199" s="132">
        <v>42</v>
      </c>
      <c r="I199" s="133"/>
      <c r="J199" s="134">
        <f t="shared" si="10"/>
        <v>0</v>
      </c>
      <c r="K199" s="130"/>
      <c r="L199" s="17"/>
      <c r="M199" s="135"/>
      <c r="N199" s="136" t="s">
        <v>45</v>
      </c>
      <c r="P199" s="137">
        <f t="shared" si="11"/>
        <v>0</v>
      </c>
      <c r="Q199" s="137">
        <v>0</v>
      </c>
      <c r="R199" s="137">
        <f t="shared" si="12"/>
        <v>0</v>
      </c>
      <c r="S199" s="137">
        <v>0</v>
      </c>
      <c r="T199" s="138">
        <f t="shared" si="13"/>
        <v>0</v>
      </c>
      <c r="AR199" s="139" t="s">
        <v>344</v>
      </c>
      <c r="AT199" s="139" t="s">
        <v>339</v>
      </c>
      <c r="AU199" s="139" t="s">
        <v>87</v>
      </c>
      <c r="AY199" s="2" t="s">
        <v>337</v>
      </c>
      <c r="BE199" s="140">
        <f t="shared" si="14"/>
        <v>0</v>
      </c>
      <c r="BF199" s="140">
        <f t="shared" si="15"/>
        <v>0</v>
      </c>
      <c r="BG199" s="140">
        <f t="shared" si="16"/>
        <v>0</v>
      </c>
      <c r="BH199" s="140">
        <f t="shared" si="17"/>
        <v>0</v>
      </c>
      <c r="BI199" s="140">
        <f t="shared" si="18"/>
        <v>0</v>
      </c>
      <c r="BJ199" s="2" t="s">
        <v>87</v>
      </c>
      <c r="BK199" s="140">
        <f t="shared" si="19"/>
        <v>0</v>
      </c>
      <c r="BL199" s="2" t="s">
        <v>344</v>
      </c>
      <c r="BM199" s="139" t="s">
        <v>1300</v>
      </c>
    </row>
    <row r="200" spans="2:65" s="16" customFormat="1" ht="16.5" customHeight="1" x14ac:dyDescent="0.2">
      <c r="B200" s="17"/>
      <c r="C200" s="128">
        <v>60</v>
      </c>
      <c r="D200" s="128" t="s">
        <v>339</v>
      </c>
      <c r="E200" s="129" t="s">
        <v>6962</v>
      </c>
      <c r="F200" s="130" t="s">
        <v>6963</v>
      </c>
      <c r="G200" s="131" t="s">
        <v>4460</v>
      </c>
      <c r="H200" s="132">
        <v>91</v>
      </c>
      <c r="I200" s="133"/>
      <c r="J200" s="134">
        <f t="shared" si="10"/>
        <v>0</v>
      </c>
      <c r="K200" s="130"/>
      <c r="L200" s="17"/>
      <c r="M200" s="135"/>
      <c r="N200" s="136" t="s">
        <v>45</v>
      </c>
      <c r="P200" s="137">
        <f t="shared" si="11"/>
        <v>0</v>
      </c>
      <c r="Q200" s="137">
        <v>0</v>
      </c>
      <c r="R200" s="137">
        <f t="shared" si="12"/>
        <v>0</v>
      </c>
      <c r="S200" s="137">
        <v>0</v>
      </c>
      <c r="T200" s="138">
        <f t="shared" si="13"/>
        <v>0</v>
      </c>
      <c r="AR200" s="139" t="s">
        <v>344</v>
      </c>
      <c r="AT200" s="139" t="s">
        <v>339</v>
      </c>
      <c r="AU200" s="139" t="s">
        <v>87</v>
      </c>
      <c r="AY200" s="2" t="s">
        <v>337</v>
      </c>
      <c r="BE200" s="140">
        <f t="shared" si="14"/>
        <v>0</v>
      </c>
      <c r="BF200" s="140">
        <f t="shared" si="15"/>
        <v>0</v>
      </c>
      <c r="BG200" s="140">
        <f t="shared" si="16"/>
        <v>0</v>
      </c>
      <c r="BH200" s="140">
        <f t="shared" si="17"/>
        <v>0</v>
      </c>
      <c r="BI200" s="140">
        <f t="shared" si="18"/>
        <v>0</v>
      </c>
      <c r="BJ200" s="2" t="s">
        <v>87</v>
      </c>
      <c r="BK200" s="140">
        <f t="shared" si="19"/>
        <v>0</v>
      </c>
      <c r="BL200" s="2" t="s">
        <v>344</v>
      </c>
      <c r="BM200" s="139" t="s">
        <v>1324</v>
      </c>
    </row>
    <row r="201" spans="2:65" s="16" customFormat="1" ht="16.5" customHeight="1" x14ac:dyDescent="0.2">
      <c r="B201" s="17"/>
      <c r="C201" s="128">
        <v>61</v>
      </c>
      <c r="D201" s="128" t="s">
        <v>339</v>
      </c>
      <c r="E201" s="129" t="s">
        <v>6964</v>
      </c>
      <c r="F201" s="130" t="s">
        <v>6965</v>
      </c>
      <c r="G201" s="131" t="s">
        <v>724</v>
      </c>
      <c r="H201" s="132">
        <v>600</v>
      </c>
      <c r="I201" s="133"/>
      <c r="J201" s="134">
        <f t="shared" si="10"/>
        <v>0</v>
      </c>
      <c r="K201" s="130"/>
      <c r="L201" s="17"/>
      <c r="M201" s="135"/>
      <c r="N201" s="136" t="s">
        <v>45</v>
      </c>
      <c r="P201" s="137">
        <f t="shared" si="11"/>
        <v>0</v>
      </c>
      <c r="Q201" s="137">
        <v>0</v>
      </c>
      <c r="R201" s="137">
        <f t="shared" si="12"/>
        <v>0</v>
      </c>
      <c r="S201" s="137">
        <v>0</v>
      </c>
      <c r="T201" s="138">
        <f t="shared" si="13"/>
        <v>0</v>
      </c>
      <c r="AR201" s="139" t="s">
        <v>344</v>
      </c>
      <c r="AT201" s="139" t="s">
        <v>339</v>
      </c>
      <c r="AU201" s="139" t="s">
        <v>87</v>
      </c>
      <c r="AY201" s="2" t="s">
        <v>337</v>
      </c>
      <c r="BE201" s="140">
        <f t="shared" si="14"/>
        <v>0</v>
      </c>
      <c r="BF201" s="140">
        <f t="shared" si="15"/>
        <v>0</v>
      </c>
      <c r="BG201" s="140">
        <f t="shared" si="16"/>
        <v>0</v>
      </c>
      <c r="BH201" s="140">
        <f t="shared" si="17"/>
        <v>0</v>
      </c>
      <c r="BI201" s="140">
        <f t="shared" si="18"/>
        <v>0</v>
      </c>
      <c r="BJ201" s="2" t="s">
        <v>87</v>
      </c>
      <c r="BK201" s="140">
        <f t="shared" si="19"/>
        <v>0</v>
      </c>
      <c r="BL201" s="2" t="s">
        <v>344</v>
      </c>
      <c r="BM201" s="139" t="s">
        <v>1345</v>
      </c>
    </row>
    <row r="202" spans="2:65" s="16" customFormat="1" ht="16.5" customHeight="1" x14ac:dyDescent="0.2">
      <c r="B202" s="17"/>
      <c r="C202" s="128">
        <v>62</v>
      </c>
      <c r="D202" s="128" t="s">
        <v>339</v>
      </c>
      <c r="E202" s="129" t="s">
        <v>6966</v>
      </c>
      <c r="F202" s="130" t="s">
        <v>6967</v>
      </c>
      <c r="G202" s="131" t="s">
        <v>4460</v>
      </c>
      <c r="H202" s="132">
        <v>60</v>
      </c>
      <c r="I202" s="133"/>
      <c r="J202" s="134">
        <f t="shared" ref="J202:J203" si="20">ROUND(I202*H202,2)</f>
        <v>0</v>
      </c>
      <c r="K202" s="130"/>
      <c r="L202" s="17"/>
      <c r="M202" s="135"/>
      <c r="N202" s="136" t="s">
        <v>45</v>
      </c>
      <c r="P202" s="137">
        <f t="shared" ref="P202:P203" si="21">O202*H202</f>
        <v>0</v>
      </c>
      <c r="Q202" s="137">
        <v>0</v>
      </c>
      <c r="R202" s="137">
        <f t="shared" ref="R202:R203" si="22">Q202*H202</f>
        <v>0</v>
      </c>
      <c r="S202" s="137">
        <v>0</v>
      </c>
      <c r="T202" s="138">
        <f t="shared" ref="T202:T203" si="23">S202*H202</f>
        <v>0</v>
      </c>
      <c r="AR202" s="139" t="s">
        <v>344</v>
      </c>
      <c r="AT202" s="139" t="s">
        <v>339</v>
      </c>
      <c r="AU202" s="139" t="s">
        <v>87</v>
      </c>
      <c r="AY202" s="2" t="s">
        <v>337</v>
      </c>
      <c r="BE202" s="140">
        <f t="shared" ref="BE202:BE203" si="24">IF(N202="základní",J202,0)</f>
        <v>0</v>
      </c>
      <c r="BF202" s="140">
        <f t="shared" ref="BF202:BF203" si="25">IF(N202="snížená",J202,0)</f>
        <v>0</v>
      </c>
      <c r="BG202" s="140">
        <f t="shared" ref="BG202:BG203" si="26">IF(N202="zákl. přenesená",J202,0)</f>
        <v>0</v>
      </c>
      <c r="BH202" s="140">
        <f t="shared" ref="BH202:BH203" si="27">IF(N202="sníž. přenesená",J202,0)</f>
        <v>0</v>
      </c>
      <c r="BI202" s="140">
        <f t="shared" ref="BI202:BI203" si="28">IF(N202="nulová",J202,0)</f>
        <v>0</v>
      </c>
      <c r="BJ202" s="2" t="s">
        <v>87</v>
      </c>
      <c r="BK202" s="140">
        <f t="shared" ref="BK202:BK203" si="29">ROUND(I202*H202,2)</f>
        <v>0</v>
      </c>
      <c r="BL202" s="2" t="s">
        <v>344</v>
      </c>
      <c r="BM202" s="139" t="s">
        <v>1362</v>
      </c>
    </row>
    <row r="203" spans="2:65" s="16" customFormat="1" ht="16.5" customHeight="1" x14ac:dyDescent="0.2">
      <c r="B203" s="17"/>
      <c r="C203" s="289" t="s">
        <v>9265</v>
      </c>
      <c r="D203" s="289" t="s">
        <v>339</v>
      </c>
      <c r="E203" s="290" t="s">
        <v>9249</v>
      </c>
      <c r="F203" s="291" t="s">
        <v>9250</v>
      </c>
      <c r="G203" s="292" t="s">
        <v>4460</v>
      </c>
      <c r="H203" s="288">
        <v>1</v>
      </c>
      <c r="I203" s="133"/>
      <c r="J203" s="134">
        <f t="shared" si="20"/>
        <v>0</v>
      </c>
      <c r="K203" s="130"/>
      <c r="L203" s="293" t="s">
        <v>9251</v>
      </c>
      <c r="M203" s="135"/>
      <c r="N203" s="136" t="s">
        <v>45</v>
      </c>
      <c r="P203" s="137">
        <f t="shared" si="21"/>
        <v>0</v>
      </c>
      <c r="Q203" s="137">
        <v>0</v>
      </c>
      <c r="R203" s="137">
        <f t="shared" si="22"/>
        <v>0</v>
      </c>
      <c r="S203" s="137">
        <v>0</v>
      </c>
      <c r="T203" s="138">
        <f t="shared" si="23"/>
        <v>0</v>
      </c>
      <c r="AR203" s="139" t="s">
        <v>344</v>
      </c>
      <c r="AT203" s="139" t="s">
        <v>339</v>
      </c>
      <c r="AU203" s="139" t="s">
        <v>87</v>
      </c>
      <c r="AY203" s="2" t="s">
        <v>337</v>
      </c>
      <c r="BE203" s="140">
        <f t="shared" si="24"/>
        <v>0</v>
      </c>
      <c r="BF203" s="140">
        <f t="shared" si="25"/>
        <v>0</v>
      </c>
      <c r="BG203" s="140">
        <f t="shared" si="26"/>
        <v>0</v>
      </c>
      <c r="BH203" s="140">
        <f t="shared" si="27"/>
        <v>0</v>
      </c>
      <c r="BI203" s="140">
        <f t="shared" si="28"/>
        <v>0</v>
      </c>
      <c r="BJ203" s="2" t="s">
        <v>87</v>
      </c>
      <c r="BK203" s="140">
        <f t="shared" si="29"/>
        <v>0</v>
      </c>
      <c r="BL203" s="2" t="s">
        <v>344</v>
      </c>
      <c r="BM203" s="139" t="s">
        <v>1362</v>
      </c>
    </row>
    <row r="204" spans="2:65" s="16" customFormat="1" ht="16.5" customHeight="1" x14ac:dyDescent="0.2">
      <c r="B204" s="17"/>
      <c r="C204" s="289" t="s">
        <v>9266</v>
      </c>
      <c r="D204" s="289" t="s">
        <v>339</v>
      </c>
      <c r="E204" s="290" t="s">
        <v>9254</v>
      </c>
      <c r="F204" s="291" t="s">
        <v>9255</v>
      </c>
      <c r="G204" s="292" t="s">
        <v>724</v>
      </c>
      <c r="H204" s="288">
        <v>120</v>
      </c>
      <c r="I204" s="133"/>
      <c r="J204" s="134">
        <f t="shared" si="10"/>
        <v>0</v>
      </c>
      <c r="K204" s="130"/>
      <c r="L204" s="293" t="s">
        <v>9251</v>
      </c>
      <c r="M204" s="135"/>
      <c r="N204" s="136" t="s">
        <v>45</v>
      </c>
      <c r="P204" s="137">
        <f t="shared" si="11"/>
        <v>0</v>
      </c>
      <c r="Q204" s="137">
        <v>0</v>
      </c>
      <c r="R204" s="137">
        <f t="shared" si="12"/>
        <v>0</v>
      </c>
      <c r="S204" s="137">
        <v>0</v>
      </c>
      <c r="T204" s="138">
        <f t="shared" si="13"/>
        <v>0</v>
      </c>
      <c r="AR204" s="139" t="s">
        <v>344</v>
      </c>
      <c r="AT204" s="139" t="s">
        <v>339</v>
      </c>
      <c r="AU204" s="139" t="s">
        <v>87</v>
      </c>
      <c r="AY204" s="2" t="s">
        <v>337</v>
      </c>
      <c r="BE204" s="140">
        <f t="shared" si="14"/>
        <v>0</v>
      </c>
      <c r="BF204" s="140">
        <f t="shared" si="15"/>
        <v>0</v>
      </c>
      <c r="BG204" s="140">
        <f t="shared" si="16"/>
        <v>0</v>
      </c>
      <c r="BH204" s="140">
        <f t="shared" si="17"/>
        <v>0</v>
      </c>
      <c r="BI204" s="140">
        <f t="shared" si="18"/>
        <v>0</v>
      </c>
      <c r="BJ204" s="2" t="s">
        <v>87</v>
      </c>
      <c r="BK204" s="140">
        <f t="shared" si="19"/>
        <v>0</v>
      </c>
      <c r="BL204" s="2" t="s">
        <v>344</v>
      </c>
      <c r="BM204" s="139" t="s">
        <v>1362</v>
      </c>
    </row>
    <row r="205" spans="2:65" s="116" customFormat="1" ht="25.9" customHeight="1" x14ac:dyDescent="0.2">
      <c r="B205" s="117"/>
      <c r="D205" s="118" t="s">
        <v>79</v>
      </c>
      <c r="E205" s="119" t="s">
        <v>90</v>
      </c>
      <c r="F205" s="119" t="s">
        <v>6968</v>
      </c>
      <c r="J205" s="120">
        <f>BK205</f>
        <v>0</v>
      </c>
      <c r="L205" s="117"/>
      <c r="M205" s="121"/>
      <c r="P205" s="122">
        <f>SUM(P206:P216)</f>
        <v>0</v>
      </c>
      <c r="R205" s="122">
        <f>SUM(R206:R216)</f>
        <v>0</v>
      </c>
      <c r="T205" s="123">
        <f>SUM(T206:T216)</f>
        <v>0</v>
      </c>
      <c r="AR205" s="118" t="s">
        <v>87</v>
      </c>
      <c r="AT205" s="124" t="s">
        <v>79</v>
      </c>
      <c r="AU205" s="124" t="s">
        <v>80</v>
      </c>
      <c r="AY205" s="118" t="s">
        <v>337</v>
      </c>
      <c r="BK205" s="125">
        <f>SUM(BK206:BK216)</f>
        <v>0</v>
      </c>
    </row>
    <row r="206" spans="2:65" s="16" customFormat="1" ht="16.5" customHeight="1" x14ac:dyDescent="0.2">
      <c r="B206" s="17"/>
      <c r="C206" s="128">
        <v>63</v>
      </c>
      <c r="D206" s="128" t="s">
        <v>339</v>
      </c>
      <c r="E206" s="129" t="s">
        <v>6969</v>
      </c>
      <c r="F206" s="130" t="s">
        <v>6970</v>
      </c>
      <c r="G206" s="131" t="s">
        <v>724</v>
      </c>
      <c r="H206" s="132">
        <v>200</v>
      </c>
      <c r="I206" s="133"/>
      <c r="J206" s="134">
        <f t="shared" ref="J206:J216" si="30">ROUND(I206*H206,2)</f>
        <v>0</v>
      </c>
      <c r="K206" s="130"/>
      <c r="L206" s="17"/>
      <c r="M206" s="135"/>
      <c r="N206" s="136" t="s">
        <v>45</v>
      </c>
      <c r="P206" s="137">
        <f t="shared" ref="P206:P216" si="31">O206*H206</f>
        <v>0</v>
      </c>
      <c r="Q206" s="137">
        <v>0</v>
      </c>
      <c r="R206" s="137">
        <f t="shared" ref="R206:R216" si="32">Q206*H206</f>
        <v>0</v>
      </c>
      <c r="S206" s="137">
        <v>0</v>
      </c>
      <c r="T206" s="138">
        <f t="shared" ref="T206:T216" si="33">S206*H206</f>
        <v>0</v>
      </c>
      <c r="AR206" s="139" t="s">
        <v>344</v>
      </c>
      <c r="AT206" s="139" t="s">
        <v>339</v>
      </c>
      <c r="AU206" s="139" t="s">
        <v>87</v>
      </c>
      <c r="AY206" s="2" t="s">
        <v>337</v>
      </c>
      <c r="BE206" s="140">
        <f t="shared" ref="BE206:BE216" si="34">IF(N206="základní",J206,0)</f>
        <v>0</v>
      </c>
      <c r="BF206" s="140">
        <f t="shared" ref="BF206:BF216" si="35">IF(N206="snížená",J206,0)</f>
        <v>0</v>
      </c>
      <c r="BG206" s="140">
        <f t="shared" ref="BG206:BG216" si="36">IF(N206="zákl. přenesená",J206,0)</f>
        <v>0</v>
      </c>
      <c r="BH206" s="140">
        <f t="shared" ref="BH206:BH216" si="37">IF(N206="sníž. přenesená",J206,0)</f>
        <v>0</v>
      </c>
      <c r="BI206" s="140">
        <f t="shared" ref="BI206:BI216" si="38">IF(N206="nulová",J206,0)</f>
        <v>0</v>
      </c>
      <c r="BJ206" s="2" t="s">
        <v>87</v>
      </c>
      <c r="BK206" s="140">
        <f t="shared" ref="BK206:BK216" si="39">ROUND(I206*H206,2)</f>
        <v>0</v>
      </c>
      <c r="BL206" s="2" t="s">
        <v>344</v>
      </c>
      <c r="BM206" s="139" t="s">
        <v>1373</v>
      </c>
    </row>
    <row r="207" spans="2:65" s="16" customFormat="1" ht="16.5" customHeight="1" x14ac:dyDescent="0.2">
      <c r="B207" s="17"/>
      <c r="C207" s="128">
        <v>64</v>
      </c>
      <c r="D207" s="128" t="s">
        <v>339</v>
      </c>
      <c r="E207" s="129" t="s">
        <v>6971</v>
      </c>
      <c r="F207" s="130" t="s">
        <v>6972</v>
      </c>
      <c r="G207" s="131" t="s">
        <v>4460</v>
      </c>
      <c r="H207" s="132">
        <v>8</v>
      </c>
      <c r="I207" s="133"/>
      <c r="J207" s="134">
        <f t="shared" si="30"/>
        <v>0</v>
      </c>
      <c r="K207" s="130"/>
      <c r="L207" s="17"/>
      <c r="M207" s="135"/>
      <c r="N207" s="136" t="s">
        <v>45</v>
      </c>
      <c r="P207" s="137">
        <f t="shared" si="31"/>
        <v>0</v>
      </c>
      <c r="Q207" s="137">
        <v>0</v>
      </c>
      <c r="R207" s="137">
        <f t="shared" si="32"/>
        <v>0</v>
      </c>
      <c r="S207" s="137">
        <v>0</v>
      </c>
      <c r="T207" s="138">
        <f t="shared" si="33"/>
        <v>0</v>
      </c>
      <c r="AR207" s="139" t="s">
        <v>344</v>
      </c>
      <c r="AT207" s="139" t="s">
        <v>339</v>
      </c>
      <c r="AU207" s="139" t="s">
        <v>87</v>
      </c>
      <c r="AY207" s="2" t="s">
        <v>337</v>
      </c>
      <c r="BE207" s="140">
        <f t="shared" si="34"/>
        <v>0</v>
      </c>
      <c r="BF207" s="140">
        <f t="shared" si="35"/>
        <v>0</v>
      </c>
      <c r="BG207" s="140">
        <f t="shared" si="36"/>
        <v>0</v>
      </c>
      <c r="BH207" s="140">
        <f t="shared" si="37"/>
        <v>0</v>
      </c>
      <c r="BI207" s="140">
        <f t="shared" si="38"/>
        <v>0</v>
      </c>
      <c r="BJ207" s="2" t="s">
        <v>87</v>
      </c>
      <c r="BK207" s="140">
        <f t="shared" si="39"/>
        <v>0</v>
      </c>
      <c r="BL207" s="2" t="s">
        <v>344</v>
      </c>
      <c r="BM207" s="139" t="s">
        <v>1389</v>
      </c>
    </row>
    <row r="208" spans="2:65" s="16" customFormat="1" ht="16.5" customHeight="1" x14ac:dyDescent="0.2">
      <c r="B208" s="17"/>
      <c r="C208" s="128">
        <v>65</v>
      </c>
      <c r="D208" s="128" t="s">
        <v>339</v>
      </c>
      <c r="E208" s="129" t="s">
        <v>6973</v>
      </c>
      <c r="F208" s="130" t="s">
        <v>6974</v>
      </c>
      <c r="G208" s="131" t="s">
        <v>4460</v>
      </c>
      <c r="H208" s="132">
        <v>95</v>
      </c>
      <c r="I208" s="133"/>
      <c r="J208" s="134">
        <f t="shared" si="30"/>
        <v>0</v>
      </c>
      <c r="K208" s="130"/>
      <c r="L208" s="17"/>
      <c r="M208" s="135"/>
      <c r="N208" s="136" t="s">
        <v>45</v>
      </c>
      <c r="P208" s="137">
        <f t="shared" si="31"/>
        <v>0</v>
      </c>
      <c r="Q208" s="137">
        <v>0</v>
      </c>
      <c r="R208" s="137">
        <f t="shared" si="32"/>
        <v>0</v>
      </c>
      <c r="S208" s="137">
        <v>0</v>
      </c>
      <c r="T208" s="138">
        <f t="shared" si="33"/>
        <v>0</v>
      </c>
      <c r="AR208" s="139" t="s">
        <v>344</v>
      </c>
      <c r="AT208" s="139" t="s">
        <v>339</v>
      </c>
      <c r="AU208" s="139" t="s">
        <v>87</v>
      </c>
      <c r="AY208" s="2" t="s">
        <v>337</v>
      </c>
      <c r="BE208" s="140">
        <f t="shared" si="34"/>
        <v>0</v>
      </c>
      <c r="BF208" s="140">
        <f t="shared" si="35"/>
        <v>0</v>
      </c>
      <c r="BG208" s="140">
        <f t="shared" si="36"/>
        <v>0</v>
      </c>
      <c r="BH208" s="140">
        <f t="shared" si="37"/>
        <v>0</v>
      </c>
      <c r="BI208" s="140">
        <f t="shared" si="38"/>
        <v>0</v>
      </c>
      <c r="BJ208" s="2" t="s">
        <v>87</v>
      </c>
      <c r="BK208" s="140">
        <f t="shared" si="39"/>
        <v>0</v>
      </c>
      <c r="BL208" s="2" t="s">
        <v>344</v>
      </c>
      <c r="BM208" s="139" t="s">
        <v>1409</v>
      </c>
    </row>
    <row r="209" spans="2:65" s="16" customFormat="1" ht="16.5" customHeight="1" x14ac:dyDescent="0.2">
      <c r="B209" s="17"/>
      <c r="C209" s="128">
        <v>66</v>
      </c>
      <c r="D209" s="128" t="s">
        <v>339</v>
      </c>
      <c r="E209" s="129" t="s">
        <v>6975</v>
      </c>
      <c r="F209" s="130" t="s">
        <v>6976</v>
      </c>
      <c r="G209" s="131" t="s">
        <v>4460</v>
      </c>
      <c r="H209" s="132">
        <v>60</v>
      </c>
      <c r="I209" s="133"/>
      <c r="J209" s="134">
        <f t="shared" si="30"/>
        <v>0</v>
      </c>
      <c r="K209" s="130"/>
      <c r="L209" s="17"/>
      <c r="M209" s="135"/>
      <c r="N209" s="136" t="s">
        <v>45</v>
      </c>
      <c r="P209" s="137">
        <f t="shared" si="31"/>
        <v>0</v>
      </c>
      <c r="Q209" s="137">
        <v>0</v>
      </c>
      <c r="R209" s="137">
        <f t="shared" si="32"/>
        <v>0</v>
      </c>
      <c r="S209" s="137">
        <v>0</v>
      </c>
      <c r="T209" s="138">
        <f t="shared" si="33"/>
        <v>0</v>
      </c>
      <c r="AR209" s="139" t="s">
        <v>344</v>
      </c>
      <c r="AT209" s="139" t="s">
        <v>339</v>
      </c>
      <c r="AU209" s="139" t="s">
        <v>87</v>
      </c>
      <c r="AY209" s="2" t="s">
        <v>337</v>
      </c>
      <c r="BE209" s="140">
        <f t="shared" si="34"/>
        <v>0</v>
      </c>
      <c r="BF209" s="140">
        <f t="shared" si="35"/>
        <v>0</v>
      </c>
      <c r="BG209" s="140">
        <f t="shared" si="36"/>
        <v>0</v>
      </c>
      <c r="BH209" s="140">
        <f t="shared" si="37"/>
        <v>0</v>
      </c>
      <c r="BI209" s="140">
        <f t="shared" si="38"/>
        <v>0</v>
      </c>
      <c r="BJ209" s="2" t="s">
        <v>87</v>
      </c>
      <c r="BK209" s="140">
        <f t="shared" si="39"/>
        <v>0</v>
      </c>
      <c r="BL209" s="2" t="s">
        <v>344</v>
      </c>
      <c r="BM209" s="139" t="s">
        <v>1439</v>
      </c>
    </row>
    <row r="210" spans="2:65" s="16" customFormat="1" ht="16.5" customHeight="1" x14ac:dyDescent="0.2">
      <c r="B210" s="17"/>
      <c r="C210" s="128">
        <v>67</v>
      </c>
      <c r="D210" s="128" t="s">
        <v>339</v>
      </c>
      <c r="E210" s="129" t="s">
        <v>6977</v>
      </c>
      <c r="F210" s="130" t="s">
        <v>6978</v>
      </c>
      <c r="G210" s="131" t="s">
        <v>4460</v>
      </c>
      <c r="H210" s="132">
        <v>8</v>
      </c>
      <c r="I210" s="133"/>
      <c r="J210" s="134">
        <f t="shared" si="30"/>
        <v>0</v>
      </c>
      <c r="K210" s="130"/>
      <c r="L210" s="17"/>
      <c r="M210" s="135"/>
      <c r="N210" s="136" t="s">
        <v>45</v>
      </c>
      <c r="P210" s="137">
        <f t="shared" si="31"/>
        <v>0</v>
      </c>
      <c r="Q210" s="137">
        <v>0</v>
      </c>
      <c r="R210" s="137">
        <f t="shared" si="32"/>
        <v>0</v>
      </c>
      <c r="S210" s="137">
        <v>0</v>
      </c>
      <c r="T210" s="138">
        <f t="shared" si="33"/>
        <v>0</v>
      </c>
      <c r="AR210" s="139" t="s">
        <v>344</v>
      </c>
      <c r="AT210" s="139" t="s">
        <v>339</v>
      </c>
      <c r="AU210" s="139" t="s">
        <v>87</v>
      </c>
      <c r="AY210" s="2" t="s">
        <v>337</v>
      </c>
      <c r="BE210" s="140">
        <f t="shared" si="34"/>
        <v>0</v>
      </c>
      <c r="BF210" s="140">
        <f t="shared" si="35"/>
        <v>0</v>
      </c>
      <c r="BG210" s="140">
        <f t="shared" si="36"/>
        <v>0</v>
      </c>
      <c r="BH210" s="140">
        <f t="shared" si="37"/>
        <v>0</v>
      </c>
      <c r="BI210" s="140">
        <f t="shared" si="38"/>
        <v>0</v>
      </c>
      <c r="BJ210" s="2" t="s">
        <v>87</v>
      </c>
      <c r="BK210" s="140">
        <f t="shared" si="39"/>
        <v>0</v>
      </c>
      <c r="BL210" s="2" t="s">
        <v>344</v>
      </c>
      <c r="BM210" s="139" t="s">
        <v>1463</v>
      </c>
    </row>
    <row r="211" spans="2:65" s="16" customFormat="1" ht="16.5" customHeight="1" x14ac:dyDescent="0.2">
      <c r="B211" s="17"/>
      <c r="C211" s="128">
        <v>68</v>
      </c>
      <c r="D211" s="128" t="s">
        <v>339</v>
      </c>
      <c r="E211" s="129" t="s">
        <v>6979</v>
      </c>
      <c r="F211" s="130" t="s">
        <v>6980</v>
      </c>
      <c r="G211" s="131" t="s">
        <v>4460</v>
      </c>
      <c r="H211" s="132">
        <v>18</v>
      </c>
      <c r="I211" s="133"/>
      <c r="J211" s="134">
        <f t="shared" si="30"/>
        <v>0</v>
      </c>
      <c r="K211" s="130"/>
      <c r="L211" s="17"/>
      <c r="M211" s="135"/>
      <c r="N211" s="136" t="s">
        <v>45</v>
      </c>
      <c r="P211" s="137">
        <f t="shared" si="31"/>
        <v>0</v>
      </c>
      <c r="Q211" s="137">
        <v>0</v>
      </c>
      <c r="R211" s="137">
        <f t="shared" si="32"/>
        <v>0</v>
      </c>
      <c r="S211" s="137">
        <v>0</v>
      </c>
      <c r="T211" s="138">
        <f t="shared" si="33"/>
        <v>0</v>
      </c>
      <c r="AR211" s="139" t="s">
        <v>344</v>
      </c>
      <c r="AT211" s="139" t="s">
        <v>339</v>
      </c>
      <c r="AU211" s="139" t="s">
        <v>87</v>
      </c>
      <c r="AY211" s="2" t="s">
        <v>337</v>
      </c>
      <c r="BE211" s="140">
        <f t="shared" si="34"/>
        <v>0</v>
      </c>
      <c r="BF211" s="140">
        <f t="shared" si="35"/>
        <v>0</v>
      </c>
      <c r="BG211" s="140">
        <f t="shared" si="36"/>
        <v>0</v>
      </c>
      <c r="BH211" s="140">
        <f t="shared" si="37"/>
        <v>0</v>
      </c>
      <c r="BI211" s="140">
        <f t="shared" si="38"/>
        <v>0</v>
      </c>
      <c r="BJ211" s="2" t="s">
        <v>87</v>
      </c>
      <c r="BK211" s="140">
        <f t="shared" si="39"/>
        <v>0</v>
      </c>
      <c r="BL211" s="2" t="s">
        <v>344</v>
      </c>
      <c r="BM211" s="139" t="s">
        <v>1492</v>
      </c>
    </row>
    <row r="212" spans="2:65" s="16" customFormat="1" ht="16.5" customHeight="1" x14ac:dyDescent="0.2">
      <c r="B212" s="17"/>
      <c r="C212" s="128">
        <v>69</v>
      </c>
      <c r="D212" s="128" t="s">
        <v>339</v>
      </c>
      <c r="E212" s="129" t="s">
        <v>6981</v>
      </c>
      <c r="F212" s="130" t="s">
        <v>6982</v>
      </c>
      <c r="G212" s="131" t="s">
        <v>4460</v>
      </c>
      <c r="H212" s="132">
        <v>40</v>
      </c>
      <c r="I212" s="133"/>
      <c r="J212" s="134">
        <f t="shared" si="30"/>
        <v>0</v>
      </c>
      <c r="K212" s="130"/>
      <c r="L212" s="17"/>
      <c r="M212" s="135"/>
      <c r="N212" s="136" t="s">
        <v>45</v>
      </c>
      <c r="P212" s="137">
        <f t="shared" si="31"/>
        <v>0</v>
      </c>
      <c r="Q212" s="137">
        <v>0</v>
      </c>
      <c r="R212" s="137">
        <f t="shared" si="32"/>
        <v>0</v>
      </c>
      <c r="S212" s="137">
        <v>0</v>
      </c>
      <c r="T212" s="138">
        <f t="shared" si="33"/>
        <v>0</v>
      </c>
      <c r="AR212" s="139" t="s">
        <v>344</v>
      </c>
      <c r="AT212" s="139" t="s">
        <v>339</v>
      </c>
      <c r="AU212" s="139" t="s">
        <v>87</v>
      </c>
      <c r="AY212" s="2" t="s">
        <v>337</v>
      </c>
      <c r="BE212" s="140">
        <f t="shared" si="34"/>
        <v>0</v>
      </c>
      <c r="BF212" s="140">
        <f t="shared" si="35"/>
        <v>0</v>
      </c>
      <c r="BG212" s="140">
        <f t="shared" si="36"/>
        <v>0</v>
      </c>
      <c r="BH212" s="140">
        <f t="shared" si="37"/>
        <v>0</v>
      </c>
      <c r="BI212" s="140">
        <f t="shared" si="38"/>
        <v>0</v>
      </c>
      <c r="BJ212" s="2" t="s">
        <v>87</v>
      </c>
      <c r="BK212" s="140">
        <f t="shared" si="39"/>
        <v>0</v>
      </c>
      <c r="BL212" s="2" t="s">
        <v>344</v>
      </c>
      <c r="BM212" s="139" t="s">
        <v>1499</v>
      </c>
    </row>
    <row r="213" spans="2:65" s="16" customFormat="1" ht="16.5" customHeight="1" x14ac:dyDescent="0.2">
      <c r="B213" s="17"/>
      <c r="C213" s="128">
        <v>70</v>
      </c>
      <c r="D213" s="128" t="s">
        <v>339</v>
      </c>
      <c r="E213" s="129" t="s">
        <v>6983</v>
      </c>
      <c r="F213" s="130" t="s">
        <v>6984</v>
      </c>
      <c r="G213" s="131" t="s">
        <v>4460</v>
      </c>
      <c r="H213" s="132">
        <v>90</v>
      </c>
      <c r="I213" s="133"/>
      <c r="J213" s="134">
        <f t="shared" si="30"/>
        <v>0</v>
      </c>
      <c r="K213" s="130"/>
      <c r="L213" s="17"/>
      <c r="M213" s="135"/>
      <c r="N213" s="136" t="s">
        <v>45</v>
      </c>
      <c r="P213" s="137">
        <f t="shared" si="31"/>
        <v>0</v>
      </c>
      <c r="Q213" s="137">
        <v>0</v>
      </c>
      <c r="R213" s="137">
        <f t="shared" si="32"/>
        <v>0</v>
      </c>
      <c r="S213" s="137">
        <v>0</v>
      </c>
      <c r="T213" s="138">
        <f t="shared" si="33"/>
        <v>0</v>
      </c>
      <c r="AR213" s="139" t="s">
        <v>344</v>
      </c>
      <c r="AT213" s="139" t="s">
        <v>339</v>
      </c>
      <c r="AU213" s="139" t="s">
        <v>87</v>
      </c>
      <c r="AY213" s="2" t="s">
        <v>337</v>
      </c>
      <c r="BE213" s="140">
        <f t="shared" si="34"/>
        <v>0</v>
      </c>
      <c r="BF213" s="140">
        <f t="shared" si="35"/>
        <v>0</v>
      </c>
      <c r="BG213" s="140">
        <f t="shared" si="36"/>
        <v>0</v>
      </c>
      <c r="BH213" s="140">
        <f t="shared" si="37"/>
        <v>0</v>
      </c>
      <c r="BI213" s="140">
        <f t="shared" si="38"/>
        <v>0</v>
      </c>
      <c r="BJ213" s="2" t="s">
        <v>87</v>
      </c>
      <c r="BK213" s="140">
        <f t="shared" si="39"/>
        <v>0</v>
      </c>
      <c r="BL213" s="2" t="s">
        <v>344</v>
      </c>
      <c r="BM213" s="139" t="s">
        <v>1535</v>
      </c>
    </row>
    <row r="214" spans="2:65" s="16" customFormat="1" ht="16.5" customHeight="1" x14ac:dyDescent="0.2">
      <c r="B214" s="17"/>
      <c r="C214" s="128">
        <v>71</v>
      </c>
      <c r="D214" s="128" t="s">
        <v>339</v>
      </c>
      <c r="E214" s="129" t="s">
        <v>6985</v>
      </c>
      <c r="F214" s="130" t="s">
        <v>6986</v>
      </c>
      <c r="G214" s="131" t="s">
        <v>724</v>
      </c>
      <c r="H214" s="132">
        <v>520</v>
      </c>
      <c r="I214" s="133"/>
      <c r="J214" s="134">
        <f t="shared" si="30"/>
        <v>0</v>
      </c>
      <c r="K214" s="130"/>
      <c r="L214" s="17"/>
      <c r="M214" s="135"/>
      <c r="N214" s="136" t="s">
        <v>45</v>
      </c>
      <c r="P214" s="137">
        <f t="shared" si="31"/>
        <v>0</v>
      </c>
      <c r="Q214" s="137">
        <v>0</v>
      </c>
      <c r="R214" s="137">
        <f t="shared" si="32"/>
        <v>0</v>
      </c>
      <c r="S214" s="137">
        <v>0</v>
      </c>
      <c r="T214" s="138">
        <f t="shared" si="33"/>
        <v>0</v>
      </c>
      <c r="AR214" s="139" t="s">
        <v>344</v>
      </c>
      <c r="AT214" s="139" t="s">
        <v>339</v>
      </c>
      <c r="AU214" s="139" t="s">
        <v>87</v>
      </c>
      <c r="AY214" s="2" t="s">
        <v>337</v>
      </c>
      <c r="BE214" s="140">
        <f t="shared" si="34"/>
        <v>0</v>
      </c>
      <c r="BF214" s="140">
        <f t="shared" si="35"/>
        <v>0</v>
      </c>
      <c r="BG214" s="140">
        <f t="shared" si="36"/>
        <v>0</v>
      </c>
      <c r="BH214" s="140">
        <f t="shared" si="37"/>
        <v>0</v>
      </c>
      <c r="BI214" s="140">
        <f t="shared" si="38"/>
        <v>0</v>
      </c>
      <c r="BJ214" s="2" t="s">
        <v>87</v>
      </c>
      <c r="BK214" s="140">
        <f t="shared" si="39"/>
        <v>0</v>
      </c>
      <c r="BL214" s="2" t="s">
        <v>344</v>
      </c>
      <c r="BM214" s="139" t="s">
        <v>6156</v>
      </c>
    </row>
    <row r="215" spans="2:65" s="16" customFormat="1" ht="16.5" customHeight="1" x14ac:dyDescent="0.2">
      <c r="B215" s="17"/>
      <c r="C215" s="128">
        <v>72</v>
      </c>
      <c r="D215" s="128" t="s">
        <v>339</v>
      </c>
      <c r="E215" s="129" t="s">
        <v>6987</v>
      </c>
      <c r="F215" s="130" t="s">
        <v>6988</v>
      </c>
      <c r="G215" s="131" t="s">
        <v>342</v>
      </c>
      <c r="H215" s="132">
        <v>6</v>
      </c>
      <c r="I215" s="133"/>
      <c r="J215" s="134">
        <f t="shared" si="30"/>
        <v>0</v>
      </c>
      <c r="K215" s="130"/>
      <c r="L215" s="17"/>
      <c r="M215" s="135"/>
      <c r="N215" s="136" t="s">
        <v>45</v>
      </c>
      <c r="P215" s="137">
        <f t="shared" si="31"/>
        <v>0</v>
      </c>
      <c r="Q215" s="137">
        <v>0</v>
      </c>
      <c r="R215" s="137">
        <f t="shared" si="32"/>
        <v>0</v>
      </c>
      <c r="S215" s="137">
        <v>0</v>
      </c>
      <c r="T215" s="138">
        <f t="shared" si="33"/>
        <v>0</v>
      </c>
      <c r="AR215" s="139" t="s">
        <v>344</v>
      </c>
      <c r="AT215" s="139" t="s">
        <v>339</v>
      </c>
      <c r="AU215" s="139" t="s">
        <v>87</v>
      </c>
      <c r="AY215" s="2" t="s">
        <v>337</v>
      </c>
      <c r="BE215" s="140">
        <f t="shared" si="34"/>
        <v>0</v>
      </c>
      <c r="BF215" s="140">
        <f t="shared" si="35"/>
        <v>0</v>
      </c>
      <c r="BG215" s="140">
        <f t="shared" si="36"/>
        <v>0</v>
      </c>
      <c r="BH215" s="140">
        <f t="shared" si="37"/>
        <v>0</v>
      </c>
      <c r="BI215" s="140">
        <f t="shared" si="38"/>
        <v>0</v>
      </c>
      <c r="BJ215" s="2" t="s">
        <v>87</v>
      </c>
      <c r="BK215" s="140">
        <f t="shared" si="39"/>
        <v>0</v>
      </c>
      <c r="BL215" s="2" t="s">
        <v>344</v>
      </c>
      <c r="BM215" s="139" t="s">
        <v>1541</v>
      </c>
    </row>
    <row r="216" spans="2:65" s="16" customFormat="1" ht="16.5" customHeight="1" x14ac:dyDescent="0.2">
      <c r="B216" s="17"/>
      <c r="C216" s="128">
        <v>73</v>
      </c>
      <c r="D216" s="128" t="s">
        <v>339</v>
      </c>
      <c r="E216" s="129" t="s">
        <v>6989</v>
      </c>
      <c r="F216" s="130" t="s">
        <v>6990</v>
      </c>
      <c r="G216" s="131" t="s">
        <v>724</v>
      </c>
      <c r="H216" s="132">
        <v>120</v>
      </c>
      <c r="I216" s="133"/>
      <c r="J216" s="134">
        <f t="shared" si="30"/>
        <v>0</v>
      </c>
      <c r="K216" s="130"/>
      <c r="L216" s="17"/>
      <c r="M216" s="135"/>
      <c r="N216" s="136" t="s">
        <v>45</v>
      </c>
      <c r="P216" s="137">
        <f t="shared" si="31"/>
        <v>0</v>
      </c>
      <c r="Q216" s="137">
        <v>0</v>
      </c>
      <c r="R216" s="137">
        <f t="shared" si="32"/>
        <v>0</v>
      </c>
      <c r="S216" s="137">
        <v>0</v>
      </c>
      <c r="T216" s="138">
        <f t="shared" si="33"/>
        <v>0</v>
      </c>
      <c r="AR216" s="139" t="s">
        <v>344</v>
      </c>
      <c r="AT216" s="139" t="s">
        <v>339</v>
      </c>
      <c r="AU216" s="139" t="s">
        <v>87</v>
      </c>
      <c r="AY216" s="2" t="s">
        <v>337</v>
      </c>
      <c r="BE216" s="140">
        <f t="shared" si="34"/>
        <v>0</v>
      </c>
      <c r="BF216" s="140">
        <f t="shared" si="35"/>
        <v>0</v>
      </c>
      <c r="BG216" s="140">
        <f t="shared" si="36"/>
        <v>0</v>
      </c>
      <c r="BH216" s="140">
        <f t="shared" si="37"/>
        <v>0</v>
      </c>
      <c r="BI216" s="140">
        <f t="shared" si="38"/>
        <v>0</v>
      </c>
      <c r="BJ216" s="2" t="s">
        <v>87</v>
      </c>
      <c r="BK216" s="140">
        <f t="shared" si="39"/>
        <v>0</v>
      </c>
      <c r="BL216" s="2" t="s">
        <v>344</v>
      </c>
      <c r="BM216" s="139" t="s">
        <v>6161</v>
      </c>
    </row>
    <row r="217" spans="2:65" s="116" customFormat="1" ht="25.9" customHeight="1" x14ac:dyDescent="0.2">
      <c r="B217" s="117"/>
      <c r="D217" s="118" t="s">
        <v>79</v>
      </c>
      <c r="E217" s="119" t="s">
        <v>113</v>
      </c>
      <c r="F217" s="119" t="s">
        <v>6991</v>
      </c>
      <c r="J217" s="120">
        <f>BK217</f>
        <v>0</v>
      </c>
      <c r="L217" s="117"/>
      <c r="M217" s="121"/>
      <c r="P217" s="122">
        <f>SUM(P218:P225)</f>
        <v>0</v>
      </c>
      <c r="R217" s="122">
        <f>SUM(R218:R225)</f>
        <v>0</v>
      </c>
      <c r="T217" s="123">
        <f>SUM(T218:T225)</f>
        <v>0</v>
      </c>
      <c r="AR217" s="118" t="s">
        <v>87</v>
      </c>
      <c r="AT217" s="124" t="s">
        <v>79</v>
      </c>
      <c r="AU217" s="124" t="s">
        <v>80</v>
      </c>
      <c r="AY217" s="118" t="s">
        <v>337</v>
      </c>
      <c r="BK217" s="125">
        <f>SUM(BK218:BK225)</f>
        <v>0</v>
      </c>
    </row>
    <row r="218" spans="2:65" s="16" customFormat="1" ht="16.5" customHeight="1" x14ac:dyDescent="0.2">
      <c r="B218" s="17"/>
      <c r="C218" s="128">
        <v>74</v>
      </c>
      <c r="D218" s="128" t="s">
        <v>339</v>
      </c>
      <c r="E218" s="129" t="s">
        <v>6992</v>
      </c>
      <c r="F218" s="130" t="s">
        <v>6993</v>
      </c>
      <c r="G218" s="131" t="s">
        <v>724</v>
      </c>
      <c r="H218" s="132">
        <v>1500</v>
      </c>
      <c r="I218" s="133"/>
      <c r="J218" s="134">
        <f t="shared" ref="J218:J225" si="40">ROUND(I218*H218,2)</f>
        <v>0</v>
      </c>
      <c r="K218" s="130"/>
      <c r="L218" s="17"/>
      <c r="M218" s="135"/>
      <c r="N218" s="136" t="s">
        <v>45</v>
      </c>
      <c r="P218" s="137">
        <f t="shared" ref="P218:P225" si="41">O218*H218</f>
        <v>0</v>
      </c>
      <c r="Q218" s="137">
        <v>0</v>
      </c>
      <c r="R218" s="137">
        <f t="shared" ref="R218:R225" si="42">Q218*H218</f>
        <v>0</v>
      </c>
      <c r="S218" s="137">
        <v>0</v>
      </c>
      <c r="T218" s="138">
        <f t="shared" ref="T218:T225" si="43">S218*H218</f>
        <v>0</v>
      </c>
      <c r="AR218" s="139" t="s">
        <v>344</v>
      </c>
      <c r="AT218" s="139" t="s">
        <v>339</v>
      </c>
      <c r="AU218" s="139" t="s">
        <v>87</v>
      </c>
      <c r="AY218" s="2" t="s">
        <v>337</v>
      </c>
      <c r="BE218" s="140">
        <f t="shared" ref="BE218:BE225" si="44">IF(N218="základní",J218,0)</f>
        <v>0</v>
      </c>
      <c r="BF218" s="140">
        <f t="shared" ref="BF218:BF225" si="45">IF(N218="snížená",J218,0)</f>
        <v>0</v>
      </c>
      <c r="BG218" s="140">
        <f t="shared" ref="BG218:BG225" si="46">IF(N218="zákl. přenesená",J218,0)</f>
        <v>0</v>
      </c>
      <c r="BH218" s="140">
        <f t="shared" ref="BH218:BH225" si="47">IF(N218="sníž. přenesená",J218,0)</f>
        <v>0</v>
      </c>
      <c r="BI218" s="140">
        <f t="shared" ref="BI218:BI225" si="48">IF(N218="nulová",J218,0)</f>
        <v>0</v>
      </c>
      <c r="BJ218" s="2" t="s">
        <v>87</v>
      </c>
      <c r="BK218" s="140">
        <f t="shared" ref="BK218:BK225" si="49">ROUND(I218*H218,2)</f>
        <v>0</v>
      </c>
      <c r="BL218" s="2" t="s">
        <v>344</v>
      </c>
      <c r="BM218" s="139" t="s">
        <v>1576</v>
      </c>
    </row>
    <row r="219" spans="2:65" s="16" customFormat="1" ht="16.5" customHeight="1" x14ac:dyDescent="0.2">
      <c r="B219" s="17"/>
      <c r="C219" s="128">
        <v>75</v>
      </c>
      <c r="D219" s="128" t="s">
        <v>339</v>
      </c>
      <c r="E219" s="129" t="s">
        <v>6994</v>
      </c>
      <c r="F219" s="130" t="s">
        <v>6995</v>
      </c>
      <c r="G219" s="131" t="s">
        <v>4460</v>
      </c>
      <c r="H219" s="132">
        <v>4100</v>
      </c>
      <c r="I219" s="133"/>
      <c r="J219" s="134">
        <f t="shared" si="40"/>
        <v>0</v>
      </c>
      <c r="K219" s="130"/>
      <c r="L219" s="17"/>
      <c r="M219" s="135"/>
      <c r="N219" s="136" t="s">
        <v>45</v>
      </c>
      <c r="P219" s="137">
        <f t="shared" si="41"/>
        <v>0</v>
      </c>
      <c r="Q219" s="137">
        <v>0</v>
      </c>
      <c r="R219" s="137">
        <f t="shared" si="42"/>
        <v>0</v>
      </c>
      <c r="S219" s="137">
        <v>0</v>
      </c>
      <c r="T219" s="138">
        <f t="shared" si="43"/>
        <v>0</v>
      </c>
      <c r="AR219" s="139" t="s">
        <v>344</v>
      </c>
      <c r="AT219" s="139" t="s">
        <v>339</v>
      </c>
      <c r="AU219" s="139" t="s">
        <v>87</v>
      </c>
      <c r="AY219" s="2" t="s">
        <v>337</v>
      </c>
      <c r="BE219" s="140">
        <f t="shared" si="44"/>
        <v>0</v>
      </c>
      <c r="BF219" s="140">
        <f t="shared" si="45"/>
        <v>0</v>
      </c>
      <c r="BG219" s="140">
        <f t="shared" si="46"/>
        <v>0</v>
      </c>
      <c r="BH219" s="140">
        <f t="shared" si="47"/>
        <v>0</v>
      </c>
      <c r="BI219" s="140">
        <f t="shared" si="48"/>
        <v>0</v>
      </c>
      <c r="BJ219" s="2" t="s">
        <v>87</v>
      </c>
      <c r="BK219" s="140">
        <f t="shared" si="49"/>
        <v>0</v>
      </c>
      <c r="BL219" s="2" t="s">
        <v>344</v>
      </c>
      <c r="BM219" s="139" t="s">
        <v>1663</v>
      </c>
    </row>
    <row r="220" spans="2:65" s="16" customFormat="1" ht="16.5" customHeight="1" x14ac:dyDescent="0.2">
      <c r="B220" s="17"/>
      <c r="C220" s="128">
        <v>76</v>
      </c>
      <c r="D220" s="128" t="s">
        <v>339</v>
      </c>
      <c r="E220" s="129" t="s">
        <v>6996</v>
      </c>
      <c r="F220" s="130" t="s">
        <v>6997</v>
      </c>
      <c r="G220" s="131" t="s">
        <v>342</v>
      </c>
      <c r="H220" s="132">
        <v>3</v>
      </c>
      <c r="I220" s="133"/>
      <c r="J220" s="134">
        <f t="shared" si="40"/>
        <v>0</v>
      </c>
      <c r="K220" s="130"/>
      <c r="L220" s="17"/>
      <c r="M220" s="135"/>
      <c r="N220" s="136" t="s">
        <v>45</v>
      </c>
      <c r="P220" s="137">
        <f t="shared" si="41"/>
        <v>0</v>
      </c>
      <c r="Q220" s="137">
        <v>0</v>
      </c>
      <c r="R220" s="137">
        <f t="shared" si="42"/>
        <v>0</v>
      </c>
      <c r="S220" s="137">
        <v>0</v>
      </c>
      <c r="T220" s="138">
        <f t="shared" si="43"/>
        <v>0</v>
      </c>
      <c r="AR220" s="139" t="s">
        <v>344</v>
      </c>
      <c r="AT220" s="139" t="s">
        <v>339</v>
      </c>
      <c r="AU220" s="139" t="s">
        <v>87</v>
      </c>
      <c r="AY220" s="2" t="s">
        <v>337</v>
      </c>
      <c r="BE220" s="140">
        <f t="shared" si="44"/>
        <v>0</v>
      </c>
      <c r="BF220" s="140">
        <f t="shared" si="45"/>
        <v>0</v>
      </c>
      <c r="BG220" s="140">
        <f t="shared" si="46"/>
        <v>0</v>
      </c>
      <c r="BH220" s="140">
        <f t="shared" si="47"/>
        <v>0</v>
      </c>
      <c r="BI220" s="140">
        <f t="shared" si="48"/>
        <v>0</v>
      </c>
      <c r="BJ220" s="2" t="s">
        <v>87</v>
      </c>
      <c r="BK220" s="140">
        <f t="shared" si="49"/>
        <v>0</v>
      </c>
      <c r="BL220" s="2" t="s">
        <v>344</v>
      </c>
      <c r="BM220" s="139" t="s">
        <v>1672</v>
      </c>
    </row>
    <row r="221" spans="2:65" s="16" customFormat="1" ht="16.5" customHeight="1" x14ac:dyDescent="0.2">
      <c r="B221" s="17"/>
      <c r="C221" s="128">
        <v>77</v>
      </c>
      <c r="D221" s="128" t="s">
        <v>339</v>
      </c>
      <c r="E221" s="129" t="s">
        <v>6998</v>
      </c>
      <c r="F221" s="130" t="s">
        <v>6999</v>
      </c>
      <c r="G221" s="131" t="s">
        <v>3042</v>
      </c>
      <c r="H221" s="132">
        <v>65</v>
      </c>
      <c r="I221" s="133"/>
      <c r="J221" s="134">
        <f t="shared" si="40"/>
        <v>0</v>
      </c>
      <c r="K221" s="130"/>
      <c r="L221" s="17"/>
      <c r="M221" s="135"/>
      <c r="N221" s="136" t="s">
        <v>45</v>
      </c>
      <c r="P221" s="137">
        <f t="shared" si="41"/>
        <v>0</v>
      </c>
      <c r="Q221" s="137">
        <v>0</v>
      </c>
      <c r="R221" s="137">
        <f t="shared" si="42"/>
        <v>0</v>
      </c>
      <c r="S221" s="137">
        <v>0</v>
      </c>
      <c r="T221" s="138">
        <f t="shared" si="43"/>
        <v>0</v>
      </c>
      <c r="AR221" s="139" t="s">
        <v>344</v>
      </c>
      <c r="AT221" s="139" t="s">
        <v>339</v>
      </c>
      <c r="AU221" s="139" t="s">
        <v>87</v>
      </c>
      <c r="AY221" s="2" t="s">
        <v>337</v>
      </c>
      <c r="BE221" s="140">
        <f t="shared" si="44"/>
        <v>0</v>
      </c>
      <c r="BF221" s="140">
        <f t="shared" si="45"/>
        <v>0</v>
      </c>
      <c r="BG221" s="140">
        <f t="shared" si="46"/>
        <v>0</v>
      </c>
      <c r="BH221" s="140">
        <f t="shared" si="47"/>
        <v>0</v>
      </c>
      <c r="BI221" s="140">
        <f t="shared" si="48"/>
        <v>0</v>
      </c>
      <c r="BJ221" s="2" t="s">
        <v>87</v>
      </c>
      <c r="BK221" s="140">
        <f t="shared" si="49"/>
        <v>0</v>
      </c>
      <c r="BL221" s="2" t="s">
        <v>344</v>
      </c>
      <c r="BM221" s="139" t="s">
        <v>7000</v>
      </c>
    </row>
    <row r="222" spans="2:65" s="16" customFormat="1" ht="16.5" customHeight="1" x14ac:dyDescent="0.2">
      <c r="B222" s="17"/>
      <c r="C222" s="128">
        <v>78</v>
      </c>
      <c r="D222" s="128" t="s">
        <v>339</v>
      </c>
      <c r="E222" s="129" t="s">
        <v>7001</v>
      </c>
      <c r="F222" s="130" t="s">
        <v>7002</v>
      </c>
      <c r="G222" s="131" t="s">
        <v>342</v>
      </c>
      <c r="H222" s="132">
        <v>3</v>
      </c>
      <c r="I222" s="133"/>
      <c r="J222" s="134">
        <f t="shared" si="40"/>
        <v>0</v>
      </c>
      <c r="K222" s="130"/>
      <c r="L222" s="17"/>
      <c r="M222" s="135"/>
      <c r="N222" s="136" t="s">
        <v>45</v>
      </c>
      <c r="P222" s="137">
        <f t="shared" si="41"/>
        <v>0</v>
      </c>
      <c r="Q222" s="137">
        <v>0</v>
      </c>
      <c r="R222" s="137">
        <f t="shared" si="42"/>
        <v>0</v>
      </c>
      <c r="S222" s="137">
        <v>0</v>
      </c>
      <c r="T222" s="138">
        <f t="shared" si="43"/>
        <v>0</v>
      </c>
      <c r="AR222" s="139" t="s">
        <v>344</v>
      </c>
      <c r="AT222" s="139" t="s">
        <v>339</v>
      </c>
      <c r="AU222" s="139" t="s">
        <v>87</v>
      </c>
      <c r="AY222" s="2" t="s">
        <v>337</v>
      </c>
      <c r="BE222" s="140">
        <f t="shared" si="44"/>
        <v>0</v>
      </c>
      <c r="BF222" s="140">
        <f t="shared" si="45"/>
        <v>0</v>
      </c>
      <c r="BG222" s="140">
        <f t="shared" si="46"/>
        <v>0</v>
      </c>
      <c r="BH222" s="140">
        <f t="shared" si="47"/>
        <v>0</v>
      </c>
      <c r="BI222" s="140">
        <f t="shared" si="48"/>
        <v>0</v>
      </c>
      <c r="BJ222" s="2" t="s">
        <v>87</v>
      </c>
      <c r="BK222" s="140">
        <f t="shared" si="49"/>
        <v>0</v>
      </c>
      <c r="BL222" s="2" t="s">
        <v>344</v>
      </c>
      <c r="BM222" s="139" t="s">
        <v>1683</v>
      </c>
    </row>
    <row r="223" spans="2:65" s="16" customFormat="1" ht="16.5" customHeight="1" x14ac:dyDescent="0.2">
      <c r="B223" s="17"/>
      <c r="C223" s="128">
        <v>79</v>
      </c>
      <c r="D223" s="128" t="s">
        <v>339</v>
      </c>
      <c r="E223" s="129" t="s">
        <v>7003</v>
      </c>
      <c r="F223" s="130" t="s">
        <v>7004</v>
      </c>
      <c r="G223" s="131" t="s">
        <v>4460</v>
      </c>
      <c r="H223" s="132">
        <v>600</v>
      </c>
      <c r="I223" s="133"/>
      <c r="J223" s="134">
        <f t="shared" si="40"/>
        <v>0</v>
      </c>
      <c r="K223" s="130"/>
      <c r="L223" s="17"/>
      <c r="M223" s="135"/>
      <c r="N223" s="136" t="s">
        <v>45</v>
      </c>
      <c r="P223" s="137">
        <f t="shared" si="41"/>
        <v>0</v>
      </c>
      <c r="Q223" s="137">
        <v>0</v>
      </c>
      <c r="R223" s="137">
        <f t="shared" si="42"/>
        <v>0</v>
      </c>
      <c r="S223" s="137">
        <v>0</v>
      </c>
      <c r="T223" s="138">
        <f t="shared" si="43"/>
        <v>0</v>
      </c>
      <c r="AR223" s="139" t="s">
        <v>344</v>
      </c>
      <c r="AT223" s="139" t="s">
        <v>339</v>
      </c>
      <c r="AU223" s="139" t="s">
        <v>87</v>
      </c>
      <c r="AY223" s="2" t="s">
        <v>337</v>
      </c>
      <c r="BE223" s="140">
        <f t="shared" si="44"/>
        <v>0</v>
      </c>
      <c r="BF223" s="140">
        <f t="shared" si="45"/>
        <v>0</v>
      </c>
      <c r="BG223" s="140">
        <f t="shared" si="46"/>
        <v>0</v>
      </c>
      <c r="BH223" s="140">
        <f t="shared" si="47"/>
        <v>0</v>
      </c>
      <c r="BI223" s="140">
        <f t="shared" si="48"/>
        <v>0</v>
      </c>
      <c r="BJ223" s="2" t="s">
        <v>87</v>
      </c>
      <c r="BK223" s="140">
        <f t="shared" si="49"/>
        <v>0</v>
      </c>
      <c r="BL223" s="2" t="s">
        <v>344</v>
      </c>
      <c r="BM223" s="139" t="s">
        <v>1701</v>
      </c>
    </row>
    <row r="224" spans="2:65" s="16" customFormat="1" ht="16.5" customHeight="1" x14ac:dyDescent="0.2">
      <c r="B224" s="17"/>
      <c r="C224" s="128">
        <v>80</v>
      </c>
      <c r="D224" s="128" t="s">
        <v>339</v>
      </c>
      <c r="E224" s="129" t="s">
        <v>7005</v>
      </c>
      <c r="F224" s="130" t="s">
        <v>7006</v>
      </c>
      <c r="G224" s="131" t="s">
        <v>4460</v>
      </c>
      <c r="H224" s="132">
        <v>500</v>
      </c>
      <c r="I224" s="133"/>
      <c r="J224" s="134">
        <f t="shared" ref="J224" si="50">ROUND(I224*H224,2)</f>
        <v>0</v>
      </c>
      <c r="K224" s="130"/>
      <c r="L224" s="17"/>
      <c r="M224" s="135"/>
      <c r="N224" s="136" t="s">
        <v>45</v>
      </c>
      <c r="P224" s="137">
        <f t="shared" ref="P224" si="51">O224*H224</f>
        <v>0</v>
      </c>
      <c r="Q224" s="137">
        <v>0</v>
      </c>
      <c r="R224" s="137">
        <f t="shared" ref="R224" si="52">Q224*H224</f>
        <v>0</v>
      </c>
      <c r="S224" s="137">
        <v>0</v>
      </c>
      <c r="T224" s="138">
        <f t="shared" ref="T224" si="53">S224*H224</f>
        <v>0</v>
      </c>
      <c r="AR224" s="139" t="s">
        <v>344</v>
      </c>
      <c r="AT224" s="139" t="s">
        <v>339</v>
      </c>
      <c r="AU224" s="139" t="s">
        <v>87</v>
      </c>
      <c r="AY224" s="2" t="s">
        <v>337</v>
      </c>
      <c r="BE224" s="140">
        <f t="shared" ref="BE224" si="54">IF(N224="základní",J224,0)</f>
        <v>0</v>
      </c>
      <c r="BF224" s="140">
        <f t="shared" ref="BF224" si="55">IF(N224="snížená",J224,0)</f>
        <v>0</v>
      </c>
      <c r="BG224" s="140">
        <f t="shared" ref="BG224" si="56">IF(N224="zákl. přenesená",J224,0)</f>
        <v>0</v>
      </c>
      <c r="BH224" s="140">
        <f t="shared" ref="BH224" si="57">IF(N224="sníž. přenesená",J224,0)</f>
        <v>0</v>
      </c>
      <c r="BI224" s="140">
        <f t="shared" ref="BI224" si="58">IF(N224="nulová",J224,0)</f>
        <v>0</v>
      </c>
      <c r="BJ224" s="2" t="s">
        <v>87</v>
      </c>
      <c r="BK224" s="140">
        <f t="shared" ref="BK224" si="59">ROUND(I224*H224,2)</f>
        <v>0</v>
      </c>
      <c r="BL224" s="2" t="s">
        <v>344</v>
      </c>
      <c r="BM224" s="139" t="s">
        <v>1711</v>
      </c>
    </row>
    <row r="225" spans="2:65" s="16" customFormat="1" ht="16.5" customHeight="1" x14ac:dyDescent="0.2">
      <c r="B225" s="17"/>
      <c r="C225" s="289" t="s">
        <v>9267</v>
      </c>
      <c r="D225" s="289" t="s">
        <v>339</v>
      </c>
      <c r="E225" s="290" t="s">
        <v>7005</v>
      </c>
      <c r="F225" s="291" t="s">
        <v>9264</v>
      </c>
      <c r="G225" s="292" t="s">
        <v>4460</v>
      </c>
      <c r="H225" s="288">
        <v>10</v>
      </c>
      <c r="I225" s="294"/>
      <c r="J225" s="295">
        <f t="shared" si="40"/>
        <v>0</v>
      </c>
      <c r="K225" s="291"/>
      <c r="L225" s="293" t="s">
        <v>9256</v>
      </c>
      <c r="M225" s="135"/>
      <c r="N225" s="136" t="s">
        <v>45</v>
      </c>
      <c r="P225" s="137">
        <f t="shared" si="41"/>
        <v>0</v>
      </c>
      <c r="Q225" s="137">
        <v>0</v>
      </c>
      <c r="R225" s="137">
        <f t="shared" si="42"/>
        <v>0</v>
      </c>
      <c r="S225" s="137">
        <v>0</v>
      </c>
      <c r="T225" s="138">
        <f t="shared" si="43"/>
        <v>0</v>
      </c>
      <c r="AR225" s="139" t="s">
        <v>344</v>
      </c>
      <c r="AT225" s="139" t="s">
        <v>339</v>
      </c>
      <c r="AU225" s="139" t="s">
        <v>87</v>
      </c>
      <c r="AY225" s="2" t="s">
        <v>337</v>
      </c>
      <c r="BE225" s="140">
        <f t="shared" si="44"/>
        <v>0</v>
      </c>
      <c r="BF225" s="140">
        <f t="shared" si="45"/>
        <v>0</v>
      </c>
      <c r="BG225" s="140">
        <f t="shared" si="46"/>
        <v>0</v>
      </c>
      <c r="BH225" s="140">
        <f t="shared" si="47"/>
        <v>0</v>
      </c>
      <c r="BI225" s="140">
        <f t="shared" si="48"/>
        <v>0</v>
      </c>
      <c r="BJ225" s="2" t="s">
        <v>87</v>
      </c>
      <c r="BK225" s="140">
        <f t="shared" si="49"/>
        <v>0</v>
      </c>
      <c r="BL225" s="2" t="s">
        <v>344</v>
      </c>
      <c r="BM225" s="139" t="s">
        <v>1711</v>
      </c>
    </row>
    <row r="226" spans="2:65" s="116" customFormat="1" ht="25.9" customHeight="1" x14ac:dyDescent="0.2">
      <c r="B226" s="117"/>
      <c r="D226" s="118" t="s">
        <v>79</v>
      </c>
      <c r="E226" s="119" t="s">
        <v>344</v>
      </c>
      <c r="F226" s="119" t="s">
        <v>7007</v>
      </c>
      <c r="J226" s="120">
        <f>BK226</f>
        <v>0</v>
      </c>
      <c r="L226" s="117"/>
      <c r="M226" s="121"/>
      <c r="P226" s="122">
        <f>SUM(P227:P236)</f>
        <v>0</v>
      </c>
      <c r="R226" s="122">
        <f>SUM(R227:R236)</f>
        <v>0</v>
      </c>
      <c r="T226" s="123">
        <f>SUM(T227:T236)</f>
        <v>0</v>
      </c>
      <c r="AR226" s="118" t="s">
        <v>87</v>
      </c>
      <c r="AT226" s="124" t="s">
        <v>79</v>
      </c>
      <c r="AU226" s="124" t="s">
        <v>80</v>
      </c>
      <c r="AY226" s="118" t="s">
        <v>337</v>
      </c>
      <c r="BK226" s="125">
        <f>SUM(BK227:BK236)</f>
        <v>0</v>
      </c>
    </row>
    <row r="227" spans="2:65" s="16" customFormat="1" ht="16.5" customHeight="1" x14ac:dyDescent="0.2">
      <c r="B227" s="17"/>
      <c r="C227" s="128">
        <v>81</v>
      </c>
      <c r="D227" s="128" t="s">
        <v>339</v>
      </c>
      <c r="E227" s="129" t="s">
        <v>7008</v>
      </c>
      <c r="F227" s="130" t="s">
        <v>7009</v>
      </c>
      <c r="G227" s="131" t="s">
        <v>7010</v>
      </c>
      <c r="H227" s="132">
        <v>5</v>
      </c>
      <c r="I227" s="133"/>
      <c r="J227" s="134">
        <f t="shared" ref="J227:J236" si="60">ROUND(I227*H227,2)</f>
        <v>0</v>
      </c>
      <c r="K227" s="130"/>
      <c r="L227" s="17"/>
      <c r="M227" s="135"/>
      <c r="N227" s="136" t="s">
        <v>45</v>
      </c>
      <c r="P227" s="137">
        <f t="shared" ref="P227:P236" si="61">O227*H227</f>
        <v>0</v>
      </c>
      <c r="Q227" s="137">
        <v>0</v>
      </c>
      <c r="R227" s="137">
        <f t="shared" ref="R227:R236" si="62">Q227*H227</f>
        <v>0</v>
      </c>
      <c r="S227" s="137">
        <v>0</v>
      </c>
      <c r="T227" s="138">
        <f t="shared" ref="T227:T236" si="63">S227*H227</f>
        <v>0</v>
      </c>
      <c r="AR227" s="139" t="s">
        <v>344</v>
      </c>
      <c r="AT227" s="139" t="s">
        <v>339</v>
      </c>
      <c r="AU227" s="139" t="s">
        <v>87</v>
      </c>
      <c r="AY227" s="2" t="s">
        <v>337</v>
      </c>
      <c r="BE227" s="140">
        <f t="shared" ref="BE227:BE236" si="64">IF(N227="základní",J227,0)</f>
        <v>0</v>
      </c>
      <c r="BF227" s="140">
        <f t="shared" ref="BF227:BF236" si="65">IF(N227="snížená",J227,0)</f>
        <v>0</v>
      </c>
      <c r="BG227" s="140">
        <f t="shared" ref="BG227:BG236" si="66">IF(N227="zákl. přenesená",J227,0)</f>
        <v>0</v>
      </c>
      <c r="BH227" s="140">
        <f t="shared" ref="BH227:BH236" si="67">IF(N227="sníž. přenesená",J227,0)</f>
        <v>0</v>
      </c>
      <c r="BI227" s="140">
        <f t="shared" ref="BI227:BI236" si="68">IF(N227="nulová",J227,0)</f>
        <v>0</v>
      </c>
      <c r="BJ227" s="2" t="s">
        <v>87</v>
      </c>
      <c r="BK227" s="140">
        <f t="shared" ref="BK227:BK236" si="69">ROUND(I227*H227,2)</f>
        <v>0</v>
      </c>
      <c r="BL227" s="2" t="s">
        <v>344</v>
      </c>
      <c r="BM227" s="139" t="s">
        <v>1726</v>
      </c>
    </row>
    <row r="228" spans="2:65" s="16" customFormat="1" ht="16.5" customHeight="1" x14ac:dyDescent="0.2">
      <c r="B228" s="17"/>
      <c r="C228" s="128">
        <v>82</v>
      </c>
      <c r="D228" s="128" t="s">
        <v>339</v>
      </c>
      <c r="E228" s="129" t="s">
        <v>7011</v>
      </c>
      <c r="F228" s="130" t="s">
        <v>7012</v>
      </c>
      <c r="G228" s="131" t="s">
        <v>7010</v>
      </c>
      <c r="H228" s="132">
        <v>2</v>
      </c>
      <c r="I228" s="133"/>
      <c r="J228" s="134">
        <f t="shared" si="60"/>
        <v>0</v>
      </c>
      <c r="K228" s="130"/>
      <c r="L228" s="17"/>
      <c r="M228" s="135"/>
      <c r="N228" s="136" t="s">
        <v>45</v>
      </c>
      <c r="P228" s="137">
        <f t="shared" si="61"/>
        <v>0</v>
      </c>
      <c r="Q228" s="137">
        <v>0</v>
      </c>
      <c r="R228" s="137">
        <f t="shared" si="62"/>
        <v>0</v>
      </c>
      <c r="S228" s="137">
        <v>0</v>
      </c>
      <c r="T228" s="138">
        <f t="shared" si="63"/>
        <v>0</v>
      </c>
      <c r="AR228" s="139" t="s">
        <v>344</v>
      </c>
      <c r="AT228" s="139" t="s">
        <v>339</v>
      </c>
      <c r="AU228" s="139" t="s">
        <v>87</v>
      </c>
      <c r="AY228" s="2" t="s">
        <v>337</v>
      </c>
      <c r="BE228" s="140">
        <f t="shared" si="64"/>
        <v>0</v>
      </c>
      <c r="BF228" s="140">
        <f t="shared" si="65"/>
        <v>0</v>
      </c>
      <c r="BG228" s="140">
        <f t="shared" si="66"/>
        <v>0</v>
      </c>
      <c r="BH228" s="140">
        <f t="shared" si="67"/>
        <v>0</v>
      </c>
      <c r="BI228" s="140">
        <f t="shared" si="68"/>
        <v>0</v>
      </c>
      <c r="BJ228" s="2" t="s">
        <v>87</v>
      </c>
      <c r="BK228" s="140">
        <f t="shared" si="69"/>
        <v>0</v>
      </c>
      <c r="BL228" s="2" t="s">
        <v>344</v>
      </c>
      <c r="BM228" s="139" t="s">
        <v>1739</v>
      </c>
    </row>
    <row r="229" spans="2:65" s="16" customFormat="1" ht="16.5" customHeight="1" x14ac:dyDescent="0.2">
      <c r="B229" s="17"/>
      <c r="C229" s="128">
        <v>83</v>
      </c>
      <c r="D229" s="128" t="s">
        <v>339</v>
      </c>
      <c r="E229" s="129" t="s">
        <v>7013</v>
      </c>
      <c r="F229" s="130" t="s">
        <v>7014</v>
      </c>
      <c r="G229" s="131" t="s">
        <v>7010</v>
      </c>
      <c r="H229" s="132">
        <v>1</v>
      </c>
      <c r="I229" s="133"/>
      <c r="J229" s="134">
        <f t="shared" si="60"/>
        <v>0</v>
      </c>
      <c r="K229" s="130"/>
      <c r="L229" s="17"/>
      <c r="M229" s="135"/>
      <c r="N229" s="136" t="s">
        <v>45</v>
      </c>
      <c r="P229" s="137">
        <f t="shared" si="61"/>
        <v>0</v>
      </c>
      <c r="Q229" s="137">
        <v>0</v>
      </c>
      <c r="R229" s="137">
        <f t="shared" si="62"/>
        <v>0</v>
      </c>
      <c r="S229" s="137">
        <v>0</v>
      </c>
      <c r="T229" s="138">
        <f t="shared" si="63"/>
        <v>0</v>
      </c>
      <c r="AR229" s="139" t="s">
        <v>344</v>
      </c>
      <c r="AT229" s="139" t="s">
        <v>339</v>
      </c>
      <c r="AU229" s="139" t="s">
        <v>87</v>
      </c>
      <c r="AY229" s="2" t="s">
        <v>337</v>
      </c>
      <c r="BE229" s="140">
        <f t="shared" si="64"/>
        <v>0</v>
      </c>
      <c r="BF229" s="140">
        <f t="shared" si="65"/>
        <v>0</v>
      </c>
      <c r="BG229" s="140">
        <f t="shared" si="66"/>
        <v>0</v>
      </c>
      <c r="BH229" s="140">
        <f t="shared" si="67"/>
        <v>0</v>
      </c>
      <c r="BI229" s="140">
        <f t="shared" si="68"/>
        <v>0</v>
      </c>
      <c r="BJ229" s="2" t="s">
        <v>87</v>
      </c>
      <c r="BK229" s="140">
        <f t="shared" si="69"/>
        <v>0</v>
      </c>
      <c r="BL229" s="2" t="s">
        <v>344</v>
      </c>
      <c r="BM229" s="139" t="s">
        <v>1746</v>
      </c>
    </row>
    <row r="230" spans="2:65" s="16" customFormat="1" ht="16.5" customHeight="1" x14ac:dyDescent="0.2">
      <c r="B230" s="17"/>
      <c r="C230" s="128">
        <v>84</v>
      </c>
      <c r="D230" s="128" t="s">
        <v>339</v>
      </c>
      <c r="E230" s="129" t="s">
        <v>7015</v>
      </c>
      <c r="F230" s="130" t="s">
        <v>7016</v>
      </c>
      <c r="G230" s="131" t="s">
        <v>7010</v>
      </c>
      <c r="H230" s="132">
        <v>1</v>
      </c>
      <c r="I230" s="133"/>
      <c r="J230" s="134">
        <f t="shared" si="60"/>
        <v>0</v>
      </c>
      <c r="K230" s="130"/>
      <c r="L230" s="17"/>
      <c r="M230" s="135"/>
      <c r="N230" s="136" t="s">
        <v>45</v>
      </c>
      <c r="P230" s="137">
        <f t="shared" si="61"/>
        <v>0</v>
      </c>
      <c r="Q230" s="137">
        <v>0</v>
      </c>
      <c r="R230" s="137">
        <f t="shared" si="62"/>
        <v>0</v>
      </c>
      <c r="S230" s="137">
        <v>0</v>
      </c>
      <c r="T230" s="138">
        <f t="shared" si="63"/>
        <v>0</v>
      </c>
      <c r="AR230" s="139" t="s">
        <v>344</v>
      </c>
      <c r="AT230" s="139" t="s">
        <v>339</v>
      </c>
      <c r="AU230" s="139" t="s">
        <v>87</v>
      </c>
      <c r="AY230" s="2" t="s">
        <v>337</v>
      </c>
      <c r="BE230" s="140">
        <f t="shared" si="64"/>
        <v>0</v>
      </c>
      <c r="BF230" s="140">
        <f t="shared" si="65"/>
        <v>0</v>
      </c>
      <c r="BG230" s="140">
        <f t="shared" si="66"/>
        <v>0</v>
      </c>
      <c r="BH230" s="140">
        <f t="shared" si="67"/>
        <v>0</v>
      </c>
      <c r="BI230" s="140">
        <f t="shared" si="68"/>
        <v>0</v>
      </c>
      <c r="BJ230" s="2" t="s">
        <v>87</v>
      </c>
      <c r="BK230" s="140">
        <f t="shared" si="69"/>
        <v>0</v>
      </c>
      <c r="BL230" s="2" t="s">
        <v>344</v>
      </c>
      <c r="BM230" s="139" t="s">
        <v>1758</v>
      </c>
    </row>
    <row r="231" spans="2:65" s="16" customFormat="1" ht="16.5" customHeight="1" x14ac:dyDescent="0.2">
      <c r="B231" s="17"/>
      <c r="C231" s="128">
        <v>85</v>
      </c>
      <c r="D231" s="128" t="s">
        <v>339</v>
      </c>
      <c r="E231" s="129" t="s">
        <v>7017</v>
      </c>
      <c r="F231" s="130" t="s">
        <v>7018</v>
      </c>
      <c r="G231" s="131" t="s">
        <v>7010</v>
      </c>
      <c r="H231" s="132">
        <v>1</v>
      </c>
      <c r="I231" s="133"/>
      <c r="J231" s="134">
        <f t="shared" si="60"/>
        <v>0</v>
      </c>
      <c r="K231" s="130"/>
      <c r="L231" s="17"/>
      <c r="M231" s="135"/>
      <c r="N231" s="136" t="s">
        <v>45</v>
      </c>
      <c r="P231" s="137">
        <f t="shared" si="61"/>
        <v>0</v>
      </c>
      <c r="Q231" s="137">
        <v>0</v>
      </c>
      <c r="R231" s="137">
        <f t="shared" si="62"/>
        <v>0</v>
      </c>
      <c r="S231" s="137">
        <v>0</v>
      </c>
      <c r="T231" s="138">
        <f t="shared" si="63"/>
        <v>0</v>
      </c>
      <c r="AR231" s="139" t="s">
        <v>344</v>
      </c>
      <c r="AT231" s="139" t="s">
        <v>339</v>
      </c>
      <c r="AU231" s="139" t="s">
        <v>87</v>
      </c>
      <c r="AY231" s="2" t="s">
        <v>337</v>
      </c>
      <c r="BE231" s="140">
        <f t="shared" si="64"/>
        <v>0</v>
      </c>
      <c r="BF231" s="140">
        <f t="shared" si="65"/>
        <v>0</v>
      </c>
      <c r="BG231" s="140">
        <f t="shared" si="66"/>
        <v>0</v>
      </c>
      <c r="BH231" s="140">
        <f t="shared" si="67"/>
        <v>0</v>
      </c>
      <c r="BI231" s="140">
        <f t="shared" si="68"/>
        <v>0</v>
      </c>
      <c r="BJ231" s="2" t="s">
        <v>87</v>
      </c>
      <c r="BK231" s="140">
        <f t="shared" si="69"/>
        <v>0</v>
      </c>
      <c r="BL231" s="2" t="s">
        <v>344</v>
      </c>
      <c r="BM231" s="139" t="s">
        <v>1767</v>
      </c>
    </row>
    <row r="232" spans="2:65" s="16" customFormat="1" ht="16.5" customHeight="1" x14ac:dyDescent="0.2">
      <c r="B232" s="17"/>
      <c r="C232" s="128">
        <v>86</v>
      </c>
      <c r="D232" s="128" t="s">
        <v>339</v>
      </c>
      <c r="E232" s="129" t="s">
        <v>7019</v>
      </c>
      <c r="F232" s="130" t="s">
        <v>7020</v>
      </c>
      <c r="G232" s="131" t="s">
        <v>7010</v>
      </c>
      <c r="H232" s="132">
        <v>1</v>
      </c>
      <c r="I232" s="133"/>
      <c r="J232" s="134">
        <f t="shared" si="60"/>
        <v>0</v>
      </c>
      <c r="K232" s="130"/>
      <c r="L232" s="17"/>
      <c r="M232" s="135"/>
      <c r="N232" s="136" t="s">
        <v>45</v>
      </c>
      <c r="P232" s="137">
        <f t="shared" si="61"/>
        <v>0</v>
      </c>
      <c r="Q232" s="137">
        <v>0</v>
      </c>
      <c r="R232" s="137">
        <f t="shared" si="62"/>
        <v>0</v>
      </c>
      <c r="S232" s="137">
        <v>0</v>
      </c>
      <c r="T232" s="138">
        <f t="shared" si="63"/>
        <v>0</v>
      </c>
      <c r="AR232" s="139" t="s">
        <v>344</v>
      </c>
      <c r="AT232" s="139" t="s">
        <v>339</v>
      </c>
      <c r="AU232" s="139" t="s">
        <v>87</v>
      </c>
      <c r="AY232" s="2" t="s">
        <v>337</v>
      </c>
      <c r="BE232" s="140">
        <f t="shared" si="64"/>
        <v>0</v>
      </c>
      <c r="BF232" s="140">
        <f t="shared" si="65"/>
        <v>0</v>
      </c>
      <c r="BG232" s="140">
        <f t="shared" si="66"/>
        <v>0</v>
      </c>
      <c r="BH232" s="140">
        <f t="shared" si="67"/>
        <v>0</v>
      </c>
      <c r="BI232" s="140">
        <f t="shared" si="68"/>
        <v>0</v>
      </c>
      <c r="BJ232" s="2" t="s">
        <v>87</v>
      </c>
      <c r="BK232" s="140">
        <f t="shared" si="69"/>
        <v>0</v>
      </c>
      <c r="BL232" s="2" t="s">
        <v>344</v>
      </c>
      <c r="BM232" s="139" t="s">
        <v>7021</v>
      </c>
    </row>
    <row r="233" spans="2:65" s="16" customFormat="1" ht="16.5" customHeight="1" x14ac:dyDescent="0.2">
      <c r="B233" s="17"/>
      <c r="C233" s="128">
        <v>87</v>
      </c>
      <c r="D233" s="128" t="s">
        <v>339</v>
      </c>
      <c r="E233" s="129" t="s">
        <v>7022</v>
      </c>
      <c r="F233" s="130" t="s">
        <v>7023</v>
      </c>
      <c r="G233" s="131" t="s">
        <v>7010</v>
      </c>
      <c r="H233" s="132">
        <v>1</v>
      </c>
      <c r="I233" s="133"/>
      <c r="J233" s="134">
        <f t="shared" si="60"/>
        <v>0</v>
      </c>
      <c r="K233" s="130"/>
      <c r="L233" s="17"/>
      <c r="M233" s="135"/>
      <c r="N233" s="136" t="s">
        <v>45</v>
      </c>
      <c r="P233" s="137">
        <f t="shared" si="61"/>
        <v>0</v>
      </c>
      <c r="Q233" s="137">
        <v>0</v>
      </c>
      <c r="R233" s="137">
        <f t="shared" si="62"/>
        <v>0</v>
      </c>
      <c r="S233" s="137">
        <v>0</v>
      </c>
      <c r="T233" s="138">
        <f t="shared" si="63"/>
        <v>0</v>
      </c>
      <c r="AR233" s="139" t="s">
        <v>344</v>
      </c>
      <c r="AT233" s="139" t="s">
        <v>339</v>
      </c>
      <c r="AU233" s="139" t="s">
        <v>87</v>
      </c>
      <c r="AY233" s="2" t="s">
        <v>337</v>
      </c>
      <c r="BE233" s="140">
        <f t="shared" si="64"/>
        <v>0</v>
      </c>
      <c r="BF233" s="140">
        <f t="shared" si="65"/>
        <v>0</v>
      </c>
      <c r="BG233" s="140">
        <f t="shared" si="66"/>
        <v>0</v>
      </c>
      <c r="BH233" s="140">
        <f t="shared" si="67"/>
        <v>0</v>
      </c>
      <c r="BI233" s="140">
        <f t="shared" si="68"/>
        <v>0</v>
      </c>
      <c r="BJ233" s="2" t="s">
        <v>87</v>
      </c>
      <c r="BK233" s="140">
        <f t="shared" si="69"/>
        <v>0</v>
      </c>
      <c r="BL233" s="2" t="s">
        <v>344</v>
      </c>
      <c r="BM233" s="139" t="s">
        <v>1790</v>
      </c>
    </row>
    <row r="234" spans="2:65" s="16" customFormat="1" ht="16.5" customHeight="1" x14ac:dyDescent="0.2">
      <c r="B234" s="17"/>
      <c r="C234" s="128">
        <v>88</v>
      </c>
      <c r="D234" s="128" t="s">
        <v>339</v>
      </c>
      <c r="E234" s="129" t="s">
        <v>7024</v>
      </c>
      <c r="F234" s="130" t="s">
        <v>7025</v>
      </c>
      <c r="G234" s="131" t="s">
        <v>7026</v>
      </c>
      <c r="H234" s="132">
        <v>60</v>
      </c>
      <c r="I234" s="133"/>
      <c r="J234" s="134">
        <f t="shared" si="60"/>
        <v>0</v>
      </c>
      <c r="K234" s="130"/>
      <c r="L234" s="17"/>
      <c r="M234" s="135"/>
      <c r="N234" s="136" t="s">
        <v>45</v>
      </c>
      <c r="P234" s="137">
        <f t="shared" si="61"/>
        <v>0</v>
      </c>
      <c r="Q234" s="137">
        <v>0</v>
      </c>
      <c r="R234" s="137">
        <f t="shared" si="62"/>
        <v>0</v>
      </c>
      <c r="S234" s="137">
        <v>0</v>
      </c>
      <c r="T234" s="138">
        <f t="shared" si="63"/>
        <v>0</v>
      </c>
      <c r="AR234" s="139" t="s">
        <v>344</v>
      </c>
      <c r="AT234" s="139" t="s">
        <v>339</v>
      </c>
      <c r="AU234" s="139" t="s">
        <v>87</v>
      </c>
      <c r="AY234" s="2" t="s">
        <v>337</v>
      </c>
      <c r="BE234" s="140">
        <f t="shared" si="64"/>
        <v>0</v>
      </c>
      <c r="BF234" s="140">
        <f t="shared" si="65"/>
        <v>0</v>
      </c>
      <c r="BG234" s="140">
        <f t="shared" si="66"/>
        <v>0</v>
      </c>
      <c r="BH234" s="140">
        <f t="shared" si="67"/>
        <v>0</v>
      </c>
      <c r="BI234" s="140">
        <f t="shared" si="68"/>
        <v>0</v>
      </c>
      <c r="BJ234" s="2" t="s">
        <v>87</v>
      </c>
      <c r="BK234" s="140">
        <f t="shared" si="69"/>
        <v>0</v>
      </c>
      <c r="BL234" s="2" t="s">
        <v>344</v>
      </c>
      <c r="BM234" s="139" t="s">
        <v>1799</v>
      </c>
    </row>
    <row r="235" spans="2:65" s="16" customFormat="1" ht="16.5" customHeight="1" x14ac:dyDescent="0.2">
      <c r="B235" s="17"/>
      <c r="C235" s="128">
        <v>89</v>
      </c>
      <c r="D235" s="128" t="s">
        <v>339</v>
      </c>
      <c r="E235" s="129" t="s">
        <v>7027</v>
      </c>
      <c r="F235" s="130" t="s">
        <v>7028</v>
      </c>
      <c r="G235" s="131" t="s">
        <v>7026</v>
      </c>
      <c r="H235" s="132">
        <v>24</v>
      </c>
      <c r="I235" s="133"/>
      <c r="J235" s="134">
        <f t="shared" si="60"/>
        <v>0</v>
      </c>
      <c r="K235" s="130"/>
      <c r="L235" s="17"/>
      <c r="M235" s="135"/>
      <c r="N235" s="136" t="s">
        <v>45</v>
      </c>
      <c r="P235" s="137">
        <f t="shared" si="61"/>
        <v>0</v>
      </c>
      <c r="Q235" s="137">
        <v>0</v>
      </c>
      <c r="R235" s="137">
        <f t="shared" si="62"/>
        <v>0</v>
      </c>
      <c r="S235" s="137">
        <v>0</v>
      </c>
      <c r="T235" s="138">
        <f t="shared" si="63"/>
        <v>0</v>
      </c>
      <c r="AR235" s="139" t="s">
        <v>344</v>
      </c>
      <c r="AT235" s="139" t="s">
        <v>339</v>
      </c>
      <c r="AU235" s="139" t="s">
        <v>87</v>
      </c>
      <c r="AY235" s="2" t="s">
        <v>337</v>
      </c>
      <c r="BE235" s="140">
        <f t="shared" si="64"/>
        <v>0</v>
      </c>
      <c r="BF235" s="140">
        <f t="shared" si="65"/>
        <v>0</v>
      </c>
      <c r="BG235" s="140">
        <f t="shared" si="66"/>
        <v>0</v>
      </c>
      <c r="BH235" s="140">
        <f t="shared" si="67"/>
        <v>0</v>
      </c>
      <c r="BI235" s="140">
        <f t="shared" si="68"/>
        <v>0</v>
      </c>
      <c r="BJ235" s="2" t="s">
        <v>87</v>
      </c>
      <c r="BK235" s="140">
        <f t="shared" si="69"/>
        <v>0</v>
      </c>
      <c r="BL235" s="2" t="s">
        <v>344</v>
      </c>
      <c r="BM235" s="139" t="s">
        <v>1808</v>
      </c>
    </row>
    <row r="236" spans="2:65" s="16" customFormat="1" ht="16.5" customHeight="1" x14ac:dyDescent="0.2">
      <c r="B236" s="17"/>
      <c r="C236" s="128">
        <v>90</v>
      </c>
      <c r="D236" s="128" t="s">
        <v>339</v>
      </c>
      <c r="E236" s="129" t="s">
        <v>7029</v>
      </c>
      <c r="F236" s="130" t="s">
        <v>7030</v>
      </c>
      <c r="G236" s="131" t="s">
        <v>7031</v>
      </c>
      <c r="H236" s="132">
        <v>16</v>
      </c>
      <c r="I236" s="133"/>
      <c r="J236" s="134">
        <f t="shared" si="60"/>
        <v>0</v>
      </c>
      <c r="K236" s="130"/>
      <c r="L236" s="17"/>
      <c r="M236" s="135"/>
      <c r="N236" s="136" t="s">
        <v>45</v>
      </c>
      <c r="P236" s="137">
        <f t="shared" si="61"/>
        <v>0</v>
      </c>
      <c r="Q236" s="137">
        <v>0</v>
      </c>
      <c r="R236" s="137">
        <f t="shared" si="62"/>
        <v>0</v>
      </c>
      <c r="S236" s="137">
        <v>0</v>
      </c>
      <c r="T236" s="138">
        <f t="shared" si="63"/>
        <v>0</v>
      </c>
      <c r="AR236" s="139" t="s">
        <v>344</v>
      </c>
      <c r="AT236" s="139" t="s">
        <v>339</v>
      </c>
      <c r="AU236" s="139" t="s">
        <v>87</v>
      </c>
      <c r="AY236" s="2" t="s">
        <v>337</v>
      </c>
      <c r="BE236" s="140">
        <f t="shared" si="64"/>
        <v>0</v>
      </c>
      <c r="BF236" s="140">
        <f t="shared" si="65"/>
        <v>0</v>
      </c>
      <c r="BG236" s="140">
        <f t="shared" si="66"/>
        <v>0</v>
      </c>
      <c r="BH236" s="140">
        <f t="shared" si="67"/>
        <v>0</v>
      </c>
      <c r="BI236" s="140">
        <f t="shared" si="68"/>
        <v>0</v>
      </c>
      <c r="BJ236" s="2" t="s">
        <v>87</v>
      </c>
      <c r="BK236" s="140">
        <f t="shared" si="69"/>
        <v>0</v>
      </c>
      <c r="BL236" s="2" t="s">
        <v>344</v>
      </c>
      <c r="BM236" s="139" t="s">
        <v>1974</v>
      </c>
    </row>
    <row r="237" spans="2:65" s="116" customFormat="1" ht="25.9" customHeight="1" x14ac:dyDescent="0.2">
      <c r="B237" s="117"/>
      <c r="D237" s="118" t="s">
        <v>79</v>
      </c>
      <c r="E237" s="119" t="s">
        <v>422</v>
      </c>
      <c r="F237" s="119" t="s">
        <v>7032</v>
      </c>
      <c r="J237" s="120">
        <f>BK237</f>
        <v>0</v>
      </c>
      <c r="L237" s="117"/>
      <c r="M237" s="121"/>
      <c r="P237" s="122">
        <f>SUM(P238:P373)</f>
        <v>0</v>
      </c>
      <c r="R237" s="122">
        <f>SUM(R238:R373)</f>
        <v>0</v>
      </c>
      <c r="T237" s="123">
        <f>SUM(T238:T373)</f>
        <v>0</v>
      </c>
      <c r="AR237" s="118" t="s">
        <v>87</v>
      </c>
      <c r="AT237" s="124" t="s">
        <v>79</v>
      </c>
      <c r="AU237" s="124" t="s">
        <v>80</v>
      </c>
      <c r="AY237" s="118" t="s">
        <v>337</v>
      </c>
      <c r="BK237" s="125">
        <f>SUM(BK238:BK373)</f>
        <v>0</v>
      </c>
    </row>
    <row r="238" spans="2:65" s="16" customFormat="1" ht="16.5" customHeight="1" x14ac:dyDescent="0.2">
      <c r="B238" s="17"/>
      <c r="C238" s="289">
        <v>91</v>
      </c>
      <c r="D238" s="289" t="s">
        <v>339</v>
      </c>
      <c r="E238" s="290" t="s">
        <v>7033</v>
      </c>
      <c r="F238" s="291" t="s">
        <v>9257</v>
      </c>
      <c r="G238" s="292" t="s">
        <v>4460</v>
      </c>
      <c r="H238" s="288">
        <v>1</v>
      </c>
      <c r="I238" s="294"/>
      <c r="J238" s="295">
        <f t="shared" ref="J238:J269" si="70">ROUND(I238*H238,2)</f>
        <v>0</v>
      </c>
      <c r="K238" s="130"/>
      <c r="L238" s="293" t="s">
        <v>9258</v>
      </c>
      <c r="M238" s="135"/>
      <c r="N238" s="136" t="s">
        <v>45</v>
      </c>
      <c r="P238" s="137">
        <f t="shared" ref="P238:P269" si="71">O238*H238</f>
        <v>0</v>
      </c>
      <c r="Q238" s="137">
        <v>0</v>
      </c>
      <c r="R238" s="137">
        <f t="shared" ref="R238:R269" si="72">Q238*H238</f>
        <v>0</v>
      </c>
      <c r="S238" s="137">
        <v>0</v>
      </c>
      <c r="T238" s="138">
        <f t="shared" ref="T238:T269" si="73">S238*H238</f>
        <v>0</v>
      </c>
      <c r="AR238" s="139" t="s">
        <v>344</v>
      </c>
      <c r="AT238" s="139" t="s">
        <v>339</v>
      </c>
      <c r="AU238" s="139" t="s">
        <v>87</v>
      </c>
      <c r="AY238" s="2" t="s">
        <v>337</v>
      </c>
      <c r="BE238" s="140">
        <f t="shared" ref="BE238:BE269" si="74">IF(N238="základní",J238,0)</f>
        <v>0</v>
      </c>
      <c r="BF238" s="140">
        <f t="shared" ref="BF238:BF269" si="75">IF(N238="snížená",J238,0)</f>
        <v>0</v>
      </c>
      <c r="BG238" s="140">
        <f t="shared" ref="BG238:BG269" si="76">IF(N238="zákl. přenesená",J238,0)</f>
        <v>0</v>
      </c>
      <c r="BH238" s="140">
        <f t="shared" ref="BH238:BH269" si="77">IF(N238="sníž. přenesená",J238,0)</f>
        <v>0</v>
      </c>
      <c r="BI238" s="140">
        <f t="shared" ref="BI238:BI269" si="78">IF(N238="nulová",J238,0)</f>
        <v>0</v>
      </c>
      <c r="BJ238" s="2" t="s">
        <v>87</v>
      </c>
      <c r="BK238" s="140">
        <f t="shared" ref="BK238:BK269" si="79">ROUND(I238*H238,2)</f>
        <v>0</v>
      </c>
      <c r="BL238" s="2" t="s">
        <v>344</v>
      </c>
      <c r="BM238" s="139" t="s">
        <v>1982</v>
      </c>
    </row>
    <row r="239" spans="2:65" s="16" customFormat="1" ht="16.5" customHeight="1" x14ac:dyDescent="0.2">
      <c r="B239" s="17"/>
      <c r="C239" s="128">
        <v>92</v>
      </c>
      <c r="D239" s="128" t="s">
        <v>339</v>
      </c>
      <c r="E239" s="129" t="s">
        <v>7034</v>
      </c>
      <c r="F239" s="130" t="s">
        <v>7035</v>
      </c>
      <c r="G239" s="131" t="s">
        <v>4460</v>
      </c>
      <c r="H239" s="132">
        <v>1</v>
      </c>
      <c r="I239" s="133"/>
      <c r="J239" s="134">
        <f t="shared" si="70"/>
        <v>0</v>
      </c>
      <c r="K239" s="130"/>
      <c r="L239" s="17"/>
      <c r="M239" s="135"/>
      <c r="N239" s="136" t="s">
        <v>45</v>
      </c>
      <c r="P239" s="137">
        <f t="shared" si="71"/>
        <v>0</v>
      </c>
      <c r="Q239" s="137">
        <v>0</v>
      </c>
      <c r="R239" s="137">
        <f t="shared" si="72"/>
        <v>0</v>
      </c>
      <c r="S239" s="137">
        <v>0</v>
      </c>
      <c r="T239" s="138">
        <f t="shared" si="73"/>
        <v>0</v>
      </c>
      <c r="AR239" s="139" t="s">
        <v>344</v>
      </c>
      <c r="AT239" s="139" t="s">
        <v>339</v>
      </c>
      <c r="AU239" s="139" t="s">
        <v>87</v>
      </c>
      <c r="AY239" s="2" t="s">
        <v>337</v>
      </c>
      <c r="BE239" s="140">
        <f t="shared" si="74"/>
        <v>0</v>
      </c>
      <c r="BF239" s="140">
        <f t="shared" si="75"/>
        <v>0</v>
      </c>
      <c r="BG239" s="140">
        <f t="shared" si="76"/>
        <v>0</v>
      </c>
      <c r="BH239" s="140">
        <f t="shared" si="77"/>
        <v>0</v>
      </c>
      <c r="BI239" s="140">
        <f t="shared" si="78"/>
        <v>0</v>
      </c>
      <c r="BJ239" s="2" t="s">
        <v>87</v>
      </c>
      <c r="BK239" s="140">
        <f t="shared" si="79"/>
        <v>0</v>
      </c>
      <c r="BL239" s="2" t="s">
        <v>344</v>
      </c>
      <c r="BM239" s="139" t="s">
        <v>1991</v>
      </c>
    </row>
    <row r="240" spans="2:65" s="16" customFormat="1" ht="16.5" customHeight="1" x14ac:dyDescent="0.2">
      <c r="B240" s="17"/>
      <c r="C240" s="128">
        <v>93</v>
      </c>
      <c r="D240" s="128" t="s">
        <v>339</v>
      </c>
      <c r="E240" s="129" t="s">
        <v>7036</v>
      </c>
      <c r="F240" s="130" t="s">
        <v>7037</v>
      </c>
      <c r="G240" s="131" t="s">
        <v>4460</v>
      </c>
      <c r="H240" s="132">
        <v>1</v>
      </c>
      <c r="I240" s="133"/>
      <c r="J240" s="134">
        <f t="shared" si="70"/>
        <v>0</v>
      </c>
      <c r="K240" s="130"/>
      <c r="L240" s="17"/>
      <c r="M240" s="135"/>
      <c r="N240" s="136" t="s">
        <v>45</v>
      </c>
      <c r="P240" s="137">
        <f t="shared" si="71"/>
        <v>0</v>
      </c>
      <c r="Q240" s="137">
        <v>0</v>
      </c>
      <c r="R240" s="137">
        <f t="shared" si="72"/>
        <v>0</v>
      </c>
      <c r="S240" s="137">
        <v>0</v>
      </c>
      <c r="T240" s="138">
        <f t="shared" si="73"/>
        <v>0</v>
      </c>
      <c r="AR240" s="139" t="s">
        <v>344</v>
      </c>
      <c r="AT240" s="139" t="s">
        <v>339</v>
      </c>
      <c r="AU240" s="139" t="s">
        <v>87</v>
      </c>
      <c r="AY240" s="2" t="s">
        <v>337</v>
      </c>
      <c r="BE240" s="140">
        <f t="shared" si="74"/>
        <v>0</v>
      </c>
      <c r="BF240" s="140">
        <f t="shared" si="75"/>
        <v>0</v>
      </c>
      <c r="BG240" s="140">
        <f t="shared" si="76"/>
        <v>0</v>
      </c>
      <c r="BH240" s="140">
        <f t="shared" si="77"/>
        <v>0</v>
      </c>
      <c r="BI240" s="140">
        <f t="shared" si="78"/>
        <v>0</v>
      </c>
      <c r="BJ240" s="2" t="s">
        <v>87</v>
      </c>
      <c r="BK240" s="140">
        <f t="shared" si="79"/>
        <v>0</v>
      </c>
      <c r="BL240" s="2" t="s">
        <v>344</v>
      </c>
      <c r="BM240" s="139" t="s">
        <v>2000</v>
      </c>
    </row>
    <row r="241" spans="2:65" s="16" customFormat="1" ht="16.5" customHeight="1" x14ac:dyDescent="0.2">
      <c r="B241" s="17"/>
      <c r="C241" s="128">
        <v>94</v>
      </c>
      <c r="D241" s="128" t="s">
        <v>339</v>
      </c>
      <c r="E241" s="129" t="s">
        <v>7038</v>
      </c>
      <c r="F241" s="130" t="s">
        <v>7039</v>
      </c>
      <c r="G241" s="131" t="s">
        <v>4460</v>
      </c>
      <c r="H241" s="132">
        <v>1</v>
      </c>
      <c r="I241" s="133"/>
      <c r="J241" s="134">
        <f t="shared" si="70"/>
        <v>0</v>
      </c>
      <c r="K241" s="130"/>
      <c r="L241" s="17"/>
      <c r="M241" s="135"/>
      <c r="N241" s="136" t="s">
        <v>45</v>
      </c>
      <c r="P241" s="137">
        <f t="shared" si="71"/>
        <v>0</v>
      </c>
      <c r="Q241" s="137">
        <v>0</v>
      </c>
      <c r="R241" s="137">
        <f t="shared" si="72"/>
        <v>0</v>
      </c>
      <c r="S241" s="137">
        <v>0</v>
      </c>
      <c r="T241" s="138">
        <f t="shared" si="73"/>
        <v>0</v>
      </c>
      <c r="AR241" s="139" t="s">
        <v>344</v>
      </c>
      <c r="AT241" s="139" t="s">
        <v>339</v>
      </c>
      <c r="AU241" s="139" t="s">
        <v>87</v>
      </c>
      <c r="AY241" s="2" t="s">
        <v>337</v>
      </c>
      <c r="BE241" s="140">
        <f t="shared" si="74"/>
        <v>0</v>
      </c>
      <c r="BF241" s="140">
        <f t="shared" si="75"/>
        <v>0</v>
      </c>
      <c r="BG241" s="140">
        <f t="shared" si="76"/>
        <v>0</v>
      </c>
      <c r="BH241" s="140">
        <f t="shared" si="77"/>
        <v>0</v>
      </c>
      <c r="BI241" s="140">
        <f t="shared" si="78"/>
        <v>0</v>
      </c>
      <c r="BJ241" s="2" t="s">
        <v>87</v>
      </c>
      <c r="BK241" s="140">
        <f t="shared" si="79"/>
        <v>0</v>
      </c>
      <c r="BL241" s="2" t="s">
        <v>344</v>
      </c>
      <c r="BM241" s="139" t="s">
        <v>2038</v>
      </c>
    </row>
    <row r="242" spans="2:65" s="16" customFormat="1" ht="16.5" customHeight="1" x14ac:dyDescent="0.2">
      <c r="B242" s="17"/>
      <c r="C242" s="128">
        <v>95</v>
      </c>
      <c r="D242" s="128" t="s">
        <v>339</v>
      </c>
      <c r="E242" s="129" t="s">
        <v>7040</v>
      </c>
      <c r="F242" s="130" t="s">
        <v>7041</v>
      </c>
      <c r="G242" s="131" t="s">
        <v>4460</v>
      </c>
      <c r="H242" s="132">
        <v>1</v>
      </c>
      <c r="I242" s="133"/>
      <c r="J242" s="134">
        <f t="shared" si="70"/>
        <v>0</v>
      </c>
      <c r="K242" s="130"/>
      <c r="L242" s="17"/>
      <c r="M242" s="135"/>
      <c r="N242" s="136" t="s">
        <v>45</v>
      </c>
      <c r="P242" s="137">
        <f t="shared" si="71"/>
        <v>0</v>
      </c>
      <c r="Q242" s="137">
        <v>0</v>
      </c>
      <c r="R242" s="137">
        <f t="shared" si="72"/>
        <v>0</v>
      </c>
      <c r="S242" s="137">
        <v>0</v>
      </c>
      <c r="T242" s="138">
        <f t="shared" si="73"/>
        <v>0</v>
      </c>
      <c r="AR242" s="139" t="s">
        <v>344</v>
      </c>
      <c r="AT242" s="139" t="s">
        <v>339</v>
      </c>
      <c r="AU242" s="139" t="s">
        <v>87</v>
      </c>
      <c r="AY242" s="2" t="s">
        <v>337</v>
      </c>
      <c r="BE242" s="140">
        <f t="shared" si="74"/>
        <v>0</v>
      </c>
      <c r="BF242" s="140">
        <f t="shared" si="75"/>
        <v>0</v>
      </c>
      <c r="BG242" s="140">
        <f t="shared" si="76"/>
        <v>0</v>
      </c>
      <c r="BH242" s="140">
        <f t="shared" si="77"/>
        <v>0</v>
      </c>
      <c r="BI242" s="140">
        <f t="shared" si="78"/>
        <v>0</v>
      </c>
      <c r="BJ242" s="2" t="s">
        <v>87</v>
      </c>
      <c r="BK242" s="140">
        <f t="shared" si="79"/>
        <v>0</v>
      </c>
      <c r="BL242" s="2" t="s">
        <v>344</v>
      </c>
      <c r="BM242" s="139" t="s">
        <v>2049</v>
      </c>
    </row>
    <row r="243" spans="2:65" s="16" customFormat="1" ht="16.5" customHeight="1" x14ac:dyDescent="0.2">
      <c r="B243" s="17"/>
      <c r="C243" s="128">
        <v>96</v>
      </c>
      <c r="D243" s="128" t="s">
        <v>339</v>
      </c>
      <c r="E243" s="129" t="s">
        <v>7042</v>
      </c>
      <c r="F243" s="130" t="s">
        <v>7043</v>
      </c>
      <c r="G243" s="131" t="s">
        <v>4460</v>
      </c>
      <c r="H243" s="132">
        <v>1</v>
      </c>
      <c r="I243" s="133"/>
      <c r="J243" s="134">
        <f t="shared" si="70"/>
        <v>0</v>
      </c>
      <c r="K243" s="130"/>
      <c r="L243" s="17"/>
      <c r="M243" s="135"/>
      <c r="N243" s="136" t="s">
        <v>45</v>
      </c>
      <c r="P243" s="137">
        <f t="shared" si="71"/>
        <v>0</v>
      </c>
      <c r="Q243" s="137">
        <v>0</v>
      </c>
      <c r="R243" s="137">
        <f t="shared" si="72"/>
        <v>0</v>
      </c>
      <c r="S243" s="137">
        <v>0</v>
      </c>
      <c r="T243" s="138">
        <f t="shared" si="73"/>
        <v>0</v>
      </c>
      <c r="AR243" s="139" t="s">
        <v>344</v>
      </c>
      <c r="AT243" s="139" t="s">
        <v>339</v>
      </c>
      <c r="AU243" s="139" t="s">
        <v>87</v>
      </c>
      <c r="AY243" s="2" t="s">
        <v>337</v>
      </c>
      <c r="BE243" s="140">
        <f t="shared" si="74"/>
        <v>0</v>
      </c>
      <c r="BF243" s="140">
        <f t="shared" si="75"/>
        <v>0</v>
      </c>
      <c r="BG243" s="140">
        <f t="shared" si="76"/>
        <v>0</v>
      </c>
      <c r="BH243" s="140">
        <f t="shared" si="77"/>
        <v>0</v>
      </c>
      <c r="BI243" s="140">
        <f t="shared" si="78"/>
        <v>0</v>
      </c>
      <c r="BJ243" s="2" t="s">
        <v>87</v>
      </c>
      <c r="BK243" s="140">
        <f t="shared" si="79"/>
        <v>0</v>
      </c>
      <c r="BL243" s="2" t="s">
        <v>344</v>
      </c>
      <c r="BM243" s="139" t="s">
        <v>2059</v>
      </c>
    </row>
    <row r="244" spans="2:65" s="16" customFormat="1" ht="16.5" customHeight="1" x14ac:dyDescent="0.2">
      <c r="B244" s="17"/>
      <c r="C244" s="128">
        <v>97</v>
      </c>
      <c r="D244" s="128" t="s">
        <v>339</v>
      </c>
      <c r="E244" s="129" t="s">
        <v>7044</v>
      </c>
      <c r="F244" s="130" t="s">
        <v>7045</v>
      </c>
      <c r="G244" s="131" t="s">
        <v>4460</v>
      </c>
      <c r="H244" s="132">
        <v>1</v>
      </c>
      <c r="I244" s="133"/>
      <c r="J244" s="134">
        <f t="shared" si="70"/>
        <v>0</v>
      </c>
      <c r="K244" s="130"/>
      <c r="L244" s="17"/>
      <c r="M244" s="135"/>
      <c r="N244" s="136" t="s">
        <v>45</v>
      </c>
      <c r="P244" s="137">
        <f t="shared" si="71"/>
        <v>0</v>
      </c>
      <c r="Q244" s="137">
        <v>0</v>
      </c>
      <c r="R244" s="137">
        <f t="shared" si="72"/>
        <v>0</v>
      </c>
      <c r="S244" s="137">
        <v>0</v>
      </c>
      <c r="T244" s="138">
        <f t="shared" si="73"/>
        <v>0</v>
      </c>
      <c r="AR244" s="139" t="s">
        <v>344</v>
      </c>
      <c r="AT244" s="139" t="s">
        <v>339</v>
      </c>
      <c r="AU244" s="139" t="s">
        <v>87</v>
      </c>
      <c r="AY244" s="2" t="s">
        <v>337</v>
      </c>
      <c r="BE244" s="140">
        <f t="shared" si="74"/>
        <v>0</v>
      </c>
      <c r="BF244" s="140">
        <f t="shared" si="75"/>
        <v>0</v>
      </c>
      <c r="BG244" s="140">
        <f t="shared" si="76"/>
        <v>0</v>
      </c>
      <c r="BH244" s="140">
        <f t="shared" si="77"/>
        <v>0</v>
      </c>
      <c r="BI244" s="140">
        <f t="shared" si="78"/>
        <v>0</v>
      </c>
      <c r="BJ244" s="2" t="s">
        <v>87</v>
      </c>
      <c r="BK244" s="140">
        <f t="shared" si="79"/>
        <v>0</v>
      </c>
      <c r="BL244" s="2" t="s">
        <v>344</v>
      </c>
      <c r="BM244" s="139" t="s">
        <v>2068</v>
      </c>
    </row>
    <row r="245" spans="2:65" s="16" customFormat="1" ht="16.5" customHeight="1" x14ac:dyDescent="0.2">
      <c r="B245" s="17"/>
      <c r="C245" s="128">
        <v>98</v>
      </c>
      <c r="D245" s="128" t="s">
        <v>339</v>
      </c>
      <c r="E245" s="129" t="s">
        <v>7046</v>
      </c>
      <c r="F245" s="130" t="s">
        <v>7047</v>
      </c>
      <c r="G245" s="131" t="s">
        <v>4460</v>
      </c>
      <c r="H245" s="132">
        <v>1</v>
      </c>
      <c r="I245" s="133"/>
      <c r="J245" s="134">
        <f t="shared" si="70"/>
        <v>0</v>
      </c>
      <c r="K245" s="130"/>
      <c r="L245" s="17"/>
      <c r="M245" s="135"/>
      <c r="N245" s="136" t="s">
        <v>45</v>
      </c>
      <c r="P245" s="137">
        <f t="shared" si="71"/>
        <v>0</v>
      </c>
      <c r="Q245" s="137">
        <v>0</v>
      </c>
      <c r="R245" s="137">
        <f t="shared" si="72"/>
        <v>0</v>
      </c>
      <c r="S245" s="137">
        <v>0</v>
      </c>
      <c r="T245" s="138">
        <f t="shared" si="73"/>
        <v>0</v>
      </c>
      <c r="AR245" s="139" t="s">
        <v>344</v>
      </c>
      <c r="AT245" s="139" t="s">
        <v>339</v>
      </c>
      <c r="AU245" s="139" t="s">
        <v>87</v>
      </c>
      <c r="AY245" s="2" t="s">
        <v>337</v>
      </c>
      <c r="BE245" s="140">
        <f t="shared" si="74"/>
        <v>0</v>
      </c>
      <c r="BF245" s="140">
        <f t="shared" si="75"/>
        <v>0</v>
      </c>
      <c r="BG245" s="140">
        <f t="shared" si="76"/>
        <v>0</v>
      </c>
      <c r="BH245" s="140">
        <f t="shared" si="77"/>
        <v>0</v>
      </c>
      <c r="BI245" s="140">
        <f t="shared" si="78"/>
        <v>0</v>
      </c>
      <c r="BJ245" s="2" t="s">
        <v>87</v>
      </c>
      <c r="BK245" s="140">
        <f t="shared" si="79"/>
        <v>0</v>
      </c>
      <c r="BL245" s="2" t="s">
        <v>344</v>
      </c>
      <c r="BM245" s="139" t="s">
        <v>2200</v>
      </c>
    </row>
    <row r="246" spans="2:65" s="16" customFormat="1" ht="16.5" customHeight="1" x14ac:dyDescent="0.2">
      <c r="B246" s="17"/>
      <c r="C246" s="128">
        <v>99</v>
      </c>
      <c r="D246" s="128" t="s">
        <v>339</v>
      </c>
      <c r="E246" s="129" t="s">
        <v>7048</v>
      </c>
      <c r="F246" s="130" t="s">
        <v>7049</v>
      </c>
      <c r="G246" s="131" t="s">
        <v>4460</v>
      </c>
      <c r="H246" s="132">
        <v>1</v>
      </c>
      <c r="I246" s="133"/>
      <c r="J246" s="134">
        <f t="shared" si="70"/>
        <v>0</v>
      </c>
      <c r="K246" s="130"/>
      <c r="L246" s="17"/>
      <c r="M246" s="135"/>
      <c r="N246" s="136" t="s">
        <v>45</v>
      </c>
      <c r="P246" s="137">
        <f t="shared" si="71"/>
        <v>0</v>
      </c>
      <c r="Q246" s="137">
        <v>0</v>
      </c>
      <c r="R246" s="137">
        <f t="shared" si="72"/>
        <v>0</v>
      </c>
      <c r="S246" s="137">
        <v>0</v>
      </c>
      <c r="T246" s="138">
        <f t="shared" si="73"/>
        <v>0</v>
      </c>
      <c r="AR246" s="139" t="s">
        <v>344</v>
      </c>
      <c r="AT246" s="139" t="s">
        <v>339</v>
      </c>
      <c r="AU246" s="139" t="s">
        <v>87</v>
      </c>
      <c r="AY246" s="2" t="s">
        <v>337</v>
      </c>
      <c r="BE246" s="140">
        <f t="shared" si="74"/>
        <v>0</v>
      </c>
      <c r="BF246" s="140">
        <f t="shared" si="75"/>
        <v>0</v>
      </c>
      <c r="BG246" s="140">
        <f t="shared" si="76"/>
        <v>0</v>
      </c>
      <c r="BH246" s="140">
        <f t="shared" si="77"/>
        <v>0</v>
      </c>
      <c r="BI246" s="140">
        <f t="shared" si="78"/>
        <v>0</v>
      </c>
      <c r="BJ246" s="2" t="s">
        <v>87</v>
      </c>
      <c r="BK246" s="140">
        <f t="shared" si="79"/>
        <v>0</v>
      </c>
      <c r="BL246" s="2" t="s">
        <v>344</v>
      </c>
      <c r="BM246" s="139" t="s">
        <v>2209</v>
      </c>
    </row>
    <row r="247" spans="2:65" s="16" customFormat="1" ht="16.5" customHeight="1" x14ac:dyDescent="0.2">
      <c r="B247" s="17"/>
      <c r="C247" s="128">
        <v>100</v>
      </c>
      <c r="D247" s="128" t="s">
        <v>339</v>
      </c>
      <c r="E247" s="129" t="s">
        <v>7050</v>
      </c>
      <c r="F247" s="130" t="s">
        <v>7051</v>
      </c>
      <c r="G247" s="131" t="s">
        <v>4460</v>
      </c>
      <c r="H247" s="132">
        <v>1</v>
      </c>
      <c r="I247" s="133"/>
      <c r="J247" s="134">
        <f t="shared" si="70"/>
        <v>0</v>
      </c>
      <c r="K247" s="130"/>
      <c r="L247" s="17"/>
      <c r="M247" s="135"/>
      <c r="N247" s="136" t="s">
        <v>45</v>
      </c>
      <c r="P247" s="137">
        <f t="shared" si="71"/>
        <v>0</v>
      </c>
      <c r="Q247" s="137">
        <v>0</v>
      </c>
      <c r="R247" s="137">
        <f t="shared" si="72"/>
        <v>0</v>
      </c>
      <c r="S247" s="137">
        <v>0</v>
      </c>
      <c r="T247" s="138">
        <f t="shared" si="73"/>
        <v>0</v>
      </c>
      <c r="AR247" s="139" t="s">
        <v>344</v>
      </c>
      <c r="AT247" s="139" t="s">
        <v>339</v>
      </c>
      <c r="AU247" s="139" t="s">
        <v>87</v>
      </c>
      <c r="AY247" s="2" t="s">
        <v>337</v>
      </c>
      <c r="BE247" s="140">
        <f t="shared" si="74"/>
        <v>0</v>
      </c>
      <c r="BF247" s="140">
        <f t="shared" si="75"/>
        <v>0</v>
      </c>
      <c r="BG247" s="140">
        <f t="shared" si="76"/>
        <v>0</v>
      </c>
      <c r="BH247" s="140">
        <f t="shared" si="77"/>
        <v>0</v>
      </c>
      <c r="BI247" s="140">
        <f t="shared" si="78"/>
        <v>0</v>
      </c>
      <c r="BJ247" s="2" t="s">
        <v>87</v>
      </c>
      <c r="BK247" s="140">
        <f t="shared" si="79"/>
        <v>0</v>
      </c>
      <c r="BL247" s="2" t="s">
        <v>344</v>
      </c>
      <c r="BM247" s="139" t="s">
        <v>2218</v>
      </c>
    </row>
    <row r="248" spans="2:65" s="16" customFormat="1" ht="16.5" customHeight="1" x14ac:dyDescent="0.2">
      <c r="B248" s="17"/>
      <c r="C248" s="128">
        <v>101</v>
      </c>
      <c r="D248" s="128" t="s">
        <v>339</v>
      </c>
      <c r="E248" s="129" t="s">
        <v>7052</v>
      </c>
      <c r="F248" s="130" t="s">
        <v>7053</v>
      </c>
      <c r="G248" s="131" t="s">
        <v>4460</v>
      </c>
      <c r="H248" s="132">
        <v>1</v>
      </c>
      <c r="I248" s="133"/>
      <c r="J248" s="134">
        <f t="shared" si="70"/>
        <v>0</v>
      </c>
      <c r="K248" s="130"/>
      <c r="L248" s="17"/>
      <c r="M248" s="135"/>
      <c r="N248" s="136" t="s">
        <v>45</v>
      </c>
      <c r="P248" s="137">
        <f t="shared" si="71"/>
        <v>0</v>
      </c>
      <c r="Q248" s="137">
        <v>0</v>
      </c>
      <c r="R248" s="137">
        <f t="shared" si="72"/>
        <v>0</v>
      </c>
      <c r="S248" s="137">
        <v>0</v>
      </c>
      <c r="T248" s="138">
        <f t="shared" si="73"/>
        <v>0</v>
      </c>
      <c r="AR248" s="139" t="s">
        <v>344</v>
      </c>
      <c r="AT248" s="139" t="s">
        <v>339</v>
      </c>
      <c r="AU248" s="139" t="s">
        <v>87</v>
      </c>
      <c r="AY248" s="2" t="s">
        <v>337</v>
      </c>
      <c r="BE248" s="140">
        <f t="shared" si="74"/>
        <v>0</v>
      </c>
      <c r="BF248" s="140">
        <f t="shared" si="75"/>
        <v>0</v>
      </c>
      <c r="BG248" s="140">
        <f t="shared" si="76"/>
        <v>0</v>
      </c>
      <c r="BH248" s="140">
        <f t="shared" si="77"/>
        <v>0</v>
      </c>
      <c r="BI248" s="140">
        <f t="shared" si="78"/>
        <v>0</v>
      </c>
      <c r="BJ248" s="2" t="s">
        <v>87</v>
      </c>
      <c r="BK248" s="140">
        <f t="shared" si="79"/>
        <v>0</v>
      </c>
      <c r="BL248" s="2" t="s">
        <v>344</v>
      </c>
      <c r="BM248" s="139" t="s">
        <v>2229</v>
      </c>
    </row>
    <row r="249" spans="2:65" s="16" customFormat="1" ht="16.5" customHeight="1" x14ac:dyDescent="0.2">
      <c r="B249" s="17"/>
      <c r="C249" s="128">
        <v>102</v>
      </c>
      <c r="D249" s="128" t="s">
        <v>339</v>
      </c>
      <c r="E249" s="129" t="s">
        <v>7054</v>
      </c>
      <c r="F249" s="130" t="s">
        <v>7055</v>
      </c>
      <c r="G249" s="131" t="s">
        <v>4460</v>
      </c>
      <c r="H249" s="132">
        <v>1</v>
      </c>
      <c r="I249" s="133"/>
      <c r="J249" s="134">
        <f t="shared" si="70"/>
        <v>0</v>
      </c>
      <c r="K249" s="130"/>
      <c r="L249" s="17"/>
      <c r="M249" s="135"/>
      <c r="N249" s="136" t="s">
        <v>45</v>
      </c>
      <c r="P249" s="137">
        <f t="shared" si="71"/>
        <v>0</v>
      </c>
      <c r="Q249" s="137">
        <v>0</v>
      </c>
      <c r="R249" s="137">
        <f t="shared" si="72"/>
        <v>0</v>
      </c>
      <c r="S249" s="137">
        <v>0</v>
      </c>
      <c r="T249" s="138">
        <f t="shared" si="73"/>
        <v>0</v>
      </c>
      <c r="AR249" s="139" t="s">
        <v>344</v>
      </c>
      <c r="AT249" s="139" t="s">
        <v>339</v>
      </c>
      <c r="AU249" s="139" t="s">
        <v>87</v>
      </c>
      <c r="AY249" s="2" t="s">
        <v>337</v>
      </c>
      <c r="BE249" s="140">
        <f t="shared" si="74"/>
        <v>0</v>
      </c>
      <c r="BF249" s="140">
        <f t="shared" si="75"/>
        <v>0</v>
      </c>
      <c r="BG249" s="140">
        <f t="shared" si="76"/>
        <v>0</v>
      </c>
      <c r="BH249" s="140">
        <f t="shared" si="77"/>
        <v>0</v>
      </c>
      <c r="BI249" s="140">
        <f t="shared" si="78"/>
        <v>0</v>
      </c>
      <c r="BJ249" s="2" t="s">
        <v>87</v>
      </c>
      <c r="BK249" s="140">
        <f t="shared" si="79"/>
        <v>0</v>
      </c>
      <c r="BL249" s="2" t="s">
        <v>344</v>
      </c>
      <c r="BM249" s="139" t="s">
        <v>2263</v>
      </c>
    </row>
    <row r="250" spans="2:65" s="16" customFormat="1" ht="16.5" customHeight="1" x14ac:dyDescent="0.2">
      <c r="B250" s="17"/>
      <c r="C250" s="128">
        <v>103</v>
      </c>
      <c r="D250" s="128" t="s">
        <v>339</v>
      </c>
      <c r="E250" s="129" t="s">
        <v>7056</v>
      </c>
      <c r="F250" s="130" t="s">
        <v>7057</v>
      </c>
      <c r="G250" s="131" t="s">
        <v>4460</v>
      </c>
      <c r="H250" s="132">
        <v>1</v>
      </c>
      <c r="I250" s="133"/>
      <c r="J250" s="134">
        <f t="shared" si="70"/>
        <v>0</v>
      </c>
      <c r="K250" s="130"/>
      <c r="L250" s="17"/>
      <c r="M250" s="135"/>
      <c r="N250" s="136" t="s">
        <v>45</v>
      </c>
      <c r="P250" s="137">
        <f t="shared" si="71"/>
        <v>0</v>
      </c>
      <c r="Q250" s="137">
        <v>0</v>
      </c>
      <c r="R250" s="137">
        <f t="shared" si="72"/>
        <v>0</v>
      </c>
      <c r="S250" s="137">
        <v>0</v>
      </c>
      <c r="T250" s="138">
        <f t="shared" si="73"/>
        <v>0</v>
      </c>
      <c r="AR250" s="139" t="s">
        <v>344</v>
      </c>
      <c r="AT250" s="139" t="s">
        <v>339</v>
      </c>
      <c r="AU250" s="139" t="s">
        <v>87</v>
      </c>
      <c r="AY250" s="2" t="s">
        <v>337</v>
      </c>
      <c r="BE250" s="140">
        <f t="shared" si="74"/>
        <v>0</v>
      </c>
      <c r="BF250" s="140">
        <f t="shared" si="75"/>
        <v>0</v>
      </c>
      <c r="BG250" s="140">
        <f t="shared" si="76"/>
        <v>0</v>
      </c>
      <c r="BH250" s="140">
        <f t="shared" si="77"/>
        <v>0</v>
      </c>
      <c r="BI250" s="140">
        <f t="shared" si="78"/>
        <v>0</v>
      </c>
      <c r="BJ250" s="2" t="s">
        <v>87</v>
      </c>
      <c r="BK250" s="140">
        <f t="shared" si="79"/>
        <v>0</v>
      </c>
      <c r="BL250" s="2" t="s">
        <v>344</v>
      </c>
      <c r="BM250" s="139" t="s">
        <v>2278</v>
      </c>
    </row>
    <row r="251" spans="2:65" s="16" customFormat="1" ht="37.9" customHeight="1" x14ac:dyDescent="0.2">
      <c r="B251" s="17"/>
      <c r="C251" s="128">
        <v>104</v>
      </c>
      <c r="D251" s="128" t="s">
        <v>339</v>
      </c>
      <c r="E251" s="129" t="s">
        <v>7058</v>
      </c>
      <c r="F251" s="130" t="s">
        <v>7059</v>
      </c>
      <c r="G251" s="131" t="s">
        <v>4460</v>
      </c>
      <c r="H251" s="132">
        <v>1</v>
      </c>
      <c r="I251" s="133"/>
      <c r="J251" s="134">
        <f t="shared" si="70"/>
        <v>0</v>
      </c>
      <c r="K251" s="130"/>
      <c r="L251" s="17"/>
      <c r="M251" s="135"/>
      <c r="N251" s="136" t="s">
        <v>45</v>
      </c>
      <c r="P251" s="137">
        <f t="shared" si="71"/>
        <v>0</v>
      </c>
      <c r="Q251" s="137">
        <v>0</v>
      </c>
      <c r="R251" s="137">
        <f t="shared" si="72"/>
        <v>0</v>
      </c>
      <c r="S251" s="137">
        <v>0</v>
      </c>
      <c r="T251" s="138">
        <f t="shared" si="73"/>
        <v>0</v>
      </c>
      <c r="AR251" s="139" t="s">
        <v>344</v>
      </c>
      <c r="AT251" s="139" t="s">
        <v>339</v>
      </c>
      <c r="AU251" s="139" t="s">
        <v>87</v>
      </c>
      <c r="AY251" s="2" t="s">
        <v>337</v>
      </c>
      <c r="BE251" s="140">
        <f t="shared" si="74"/>
        <v>0</v>
      </c>
      <c r="BF251" s="140">
        <f t="shared" si="75"/>
        <v>0</v>
      </c>
      <c r="BG251" s="140">
        <f t="shared" si="76"/>
        <v>0</v>
      </c>
      <c r="BH251" s="140">
        <f t="shared" si="77"/>
        <v>0</v>
      </c>
      <c r="BI251" s="140">
        <f t="shared" si="78"/>
        <v>0</v>
      </c>
      <c r="BJ251" s="2" t="s">
        <v>87</v>
      </c>
      <c r="BK251" s="140">
        <f t="shared" si="79"/>
        <v>0</v>
      </c>
      <c r="BL251" s="2" t="s">
        <v>344</v>
      </c>
      <c r="BM251" s="139" t="s">
        <v>7060</v>
      </c>
    </row>
    <row r="252" spans="2:65" s="16" customFormat="1" ht="16.5" customHeight="1" x14ac:dyDescent="0.2">
      <c r="B252" s="17"/>
      <c r="C252" s="128">
        <v>105</v>
      </c>
      <c r="D252" s="128" t="s">
        <v>339</v>
      </c>
      <c r="E252" s="129" t="s">
        <v>7061</v>
      </c>
      <c r="F252" s="130" t="s">
        <v>7062</v>
      </c>
      <c r="G252" s="131" t="s">
        <v>4460</v>
      </c>
      <c r="H252" s="132">
        <v>91</v>
      </c>
      <c r="I252" s="133"/>
      <c r="J252" s="134">
        <f t="shared" si="70"/>
        <v>0</v>
      </c>
      <c r="K252" s="130"/>
      <c r="L252" s="17"/>
      <c r="M252" s="135"/>
      <c r="N252" s="136" t="s">
        <v>45</v>
      </c>
      <c r="P252" s="137">
        <f t="shared" si="71"/>
        <v>0</v>
      </c>
      <c r="Q252" s="137">
        <v>0</v>
      </c>
      <c r="R252" s="137">
        <f t="shared" si="72"/>
        <v>0</v>
      </c>
      <c r="S252" s="137">
        <v>0</v>
      </c>
      <c r="T252" s="138">
        <f t="shared" si="73"/>
        <v>0</v>
      </c>
      <c r="AR252" s="139" t="s">
        <v>344</v>
      </c>
      <c r="AT252" s="139" t="s">
        <v>339</v>
      </c>
      <c r="AU252" s="139" t="s">
        <v>87</v>
      </c>
      <c r="AY252" s="2" t="s">
        <v>337</v>
      </c>
      <c r="BE252" s="140">
        <f t="shared" si="74"/>
        <v>0</v>
      </c>
      <c r="BF252" s="140">
        <f t="shared" si="75"/>
        <v>0</v>
      </c>
      <c r="BG252" s="140">
        <f t="shared" si="76"/>
        <v>0</v>
      </c>
      <c r="BH252" s="140">
        <f t="shared" si="77"/>
        <v>0</v>
      </c>
      <c r="BI252" s="140">
        <f t="shared" si="78"/>
        <v>0</v>
      </c>
      <c r="BJ252" s="2" t="s">
        <v>87</v>
      </c>
      <c r="BK252" s="140">
        <f t="shared" si="79"/>
        <v>0</v>
      </c>
      <c r="BL252" s="2" t="s">
        <v>344</v>
      </c>
      <c r="BM252" s="139" t="s">
        <v>6713</v>
      </c>
    </row>
    <row r="253" spans="2:65" s="16" customFormat="1" ht="16.5" customHeight="1" x14ac:dyDescent="0.2">
      <c r="B253" s="17"/>
      <c r="C253" s="128">
        <v>106</v>
      </c>
      <c r="D253" s="128" t="s">
        <v>339</v>
      </c>
      <c r="E253" s="129" t="s">
        <v>7063</v>
      </c>
      <c r="F253" s="130" t="s">
        <v>7064</v>
      </c>
      <c r="G253" s="131" t="s">
        <v>4460</v>
      </c>
      <c r="H253" s="132">
        <v>13</v>
      </c>
      <c r="I253" s="133"/>
      <c r="J253" s="134">
        <f t="shared" si="70"/>
        <v>0</v>
      </c>
      <c r="K253" s="130"/>
      <c r="L253" s="17"/>
      <c r="M253" s="135"/>
      <c r="N253" s="136" t="s">
        <v>45</v>
      </c>
      <c r="P253" s="137">
        <f t="shared" si="71"/>
        <v>0</v>
      </c>
      <c r="Q253" s="137">
        <v>0</v>
      </c>
      <c r="R253" s="137">
        <f t="shared" si="72"/>
        <v>0</v>
      </c>
      <c r="S253" s="137">
        <v>0</v>
      </c>
      <c r="T253" s="138">
        <f t="shared" si="73"/>
        <v>0</v>
      </c>
      <c r="AR253" s="139" t="s">
        <v>344</v>
      </c>
      <c r="AT253" s="139" t="s">
        <v>339</v>
      </c>
      <c r="AU253" s="139" t="s">
        <v>87</v>
      </c>
      <c r="AY253" s="2" t="s">
        <v>337</v>
      </c>
      <c r="BE253" s="140">
        <f t="shared" si="74"/>
        <v>0</v>
      </c>
      <c r="BF253" s="140">
        <f t="shared" si="75"/>
        <v>0</v>
      </c>
      <c r="BG253" s="140">
        <f t="shared" si="76"/>
        <v>0</v>
      </c>
      <c r="BH253" s="140">
        <f t="shared" si="77"/>
        <v>0</v>
      </c>
      <c r="BI253" s="140">
        <f t="shared" si="78"/>
        <v>0</v>
      </c>
      <c r="BJ253" s="2" t="s">
        <v>87</v>
      </c>
      <c r="BK253" s="140">
        <f t="shared" si="79"/>
        <v>0</v>
      </c>
      <c r="BL253" s="2" t="s">
        <v>344</v>
      </c>
      <c r="BM253" s="139" t="s">
        <v>6716</v>
      </c>
    </row>
    <row r="254" spans="2:65" s="16" customFormat="1" ht="16.5" customHeight="1" x14ac:dyDescent="0.2">
      <c r="B254" s="17"/>
      <c r="C254" s="128">
        <v>107</v>
      </c>
      <c r="D254" s="128" t="s">
        <v>339</v>
      </c>
      <c r="E254" s="129" t="s">
        <v>7065</v>
      </c>
      <c r="F254" s="130" t="s">
        <v>7066</v>
      </c>
      <c r="G254" s="131" t="s">
        <v>4460</v>
      </c>
      <c r="H254" s="132">
        <v>1</v>
      </c>
      <c r="I254" s="133"/>
      <c r="J254" s="134">
        <f t="shared" si="70"/>
        <v>0</v>
      </c>
      <c r="K254" s="130"/>
      <c r="L254" s="17"/>
      <c r="M254" s="135"/>
      <c r="N254" s="136" t="s">
        <v>45</v>
      </c>
      <c r="P254" s="137">
        <f t="shared" si="71"/>
        <v>0</v>
      </c>
      <c r="Q254" s="137">
        <v>0</v>
      </c>
      <c r="R254" s="137">
        <f t="shared" si="72"/>
        <v>0</v>
      </c>
      <c r="S254" s="137">
        <v>0</v>
      </c>
      <c r="T254" s="138">
        <f t="shared" si="73"/>
        <v>0</v>
      </c>
      <c r="AR254" s="139" t="s">
        <v>344</v>
      </c>
      <c r="AT254" s="139" t="s">
        <v>339</v>
      </c>
      <c r="AU254" s="139" t="s">
        <v>87</v>
      </c>
      <c r="AY254" s="2" t="s">
        <v>337</v>
      </c>
      <c r="BE254" s="140">
        <f t="shared" si="74"/>
        <v>0</v>
      </c>
      <c r="BF254" s="140">
        <f t="shared" si="75"/>
        <v>0</v>
      </c>
      <c r="BG254" s="140">
        <f t="shared" si="76"/>
        <v>0</v>
      </c>
      <c r="BH254" s="140">
        <f t="shared" si="77"/>
        <v>0</v>
      </c>
      <c r="BI254" s="140">
        <f t="shared" si="78"/>
        <v>0</v>
      </c>
      <c r="BJ254" s="2" t="s">
        <v>87</v>
      </c>
      <c r="BK254" s="140">
        <f t="shared" si="79"/>
        <v>0</v>
      </c>
      <c r="BL254" s="2" t="s">
        <v>344</v>
      </c>
      <c r="BM254" s="139" t="s">
        <v>2284</v>
      </c>
    </row>
    <row r="255" spans="2:65" s="16" customFormat="1" ht="16.5" customHeight="1" x14ac:dyDescent="0.2">
      <c r="B255" s="17"/>
      <c r="C255" s="128">
        <v>108</v>
      </c>
      <c r="D255" s="128" t="s">
        <v>339</v>
      </c>
      <c r="E255" s="129" t="s">
        <v>7067</v>
      </c>
      <c r="F255" s="130" t="s">
        <v>7068</v>
      </c>
      <c r="G255" s="131" t="s">
        <v>4460</v>
      </c>
      <c r="H255" s="132">
        <v>1</v>
      </c>
      <c r="I255" s="133"/>
      <c r="J255" s="134">
        <f t="shared" si="70"/>
        <v>0</v>
      </c>
      <c r="K255" s="130"/>
      <c r="L255" s="17"/>
      <c r="M255" s="135"/>
      <c r="N255" s="136" t="s">
        <v>45</v>
      </c>
      <c r="P255" s="137">
        <f t="shared" si="71"/>
        <v>0</v>
      </c>
      <c r="Q255" s="137">
        <v>0</v>
      </c>
      <c r="R255" s="137">
        <f t="shared" si="72"/>
        <v>0</v>
      </c>
      <c r="S255" s="137">
        <v>0</v>
      </c>
      <c r="T255" s="138">
        <f t="shared" si="73"/>
        <v>0</v>
      </c>
      <c r="AR255" s="139" t="s">
        <v>344</v>
      </c>
      <c r="AT255" s="139" t="s">
        <v>339</v>
      </c>
      <c r="AU255" s="139" t="s">
        <v>87</v>
      </c>
      <c r="AY255" s="2" t="s">
        <v>337</v>
      </c>
      <c r="BE255" s="140">
        <f t="shared" si="74"/>
        <v>0</v>
      </c>
      <c r="BF255" s="140">
        <f t="shared" si="75"/>
        <v>0</v>
      </c>
      <c r="BG255" s="140">
        <f t="shared" si="76"/>
        <v>0</v>
      </c>
      <c r="BH255" s="140">
        <f t="shared" si="77"/>
        <v>0</v>
      </c>
      <c r="BI255" s="140">
        <f t="shared" si="78"/>
        <v>0</v>
      </c>
      <c r="BJ255" s="2" t="s">
        <v>87</v>
      </c>
      <c r="BK255" s="140">
        <f t="shared" si="79"/>
        <v>0</v>
      </c>
      <c r="BL255" s="2" t="s">
        <v>344</v>
      </c>
      <c r="BM255" s="139" t="s">
        <v>2297</v>
      </c>
    </row>
    <row r="256" spans="2:65" s="16" customFormat="1" ht="16.5" customHeight="1" x14ac:dyDescent="0.2">
      <c r="B256" s="17"/>
      <c r="C256" s="128">
        <v>109</v>
      </c>
      <c r="D256" s="128" t="s">
        <v>339</v>
      </c>
      <c r="E256" s="129" t="s">
        <v>7069</v>
      </c>
      <c r="F256" s="130" t="s">
        <v>7070</v>
      </c>
      <c r="G256" s="131" t="s">
        <v>4460</v>
      </c>
      <c r="H256" s="132">
        <v>1</v>
      </c>
      <c r="I256" s="133"/>
      <c r="J256" s="134">
        <f t="shared" si="70"/>
        <v>0</v>
      </c>
      <c r="K256" s="130"/>
      <c r="L256" s="17"/>
      <c r="M256" s="135"/>
      <c r="N256" s="136" t="s">
        <v>45</v>
      </c>
      <c r="P256" s="137">
        <f t="shared" si="71"/>
        <v>0</v>
      </c>
      <c r="Q256" s="137">
        <v>0</v>
      </c>
      <c r="R256" s="137">
        <f t="shared" si="72"/>
        <v>0</v>
      </c>
      <c r="S256" s="137">
        <v>0</v>
      </c>
      <c r="T256" s="138">
        <f t="shared" si="73"/>
        <v>0</v>
      </c>
      <c r="AR256" s="139" t="s">
        <v>344</v>
      </c>
      <c r="AT256" s="139" t="s">
        <v>339</v>
      </c>
      <c r="AU256" s="139" t="s">
        <v>87</v>
      </c>
      <c r="AY256" s="2" t="s">
        <v>337</v>
      </c>
      <c r="BE256" s="140">
        <f t="shared" si="74"/>
        <v>0</v>
      </c>
      <c r="BF256" s="140">
        <f t="shared" si="75"/>
        <v>0</v>
      </c>
      <c r="BG256" s="140">
        <f t="shared" si="76"/>
        <v>0</v>
      </c>
      <c r="BH256" s="140">
        <f t="shared" si="77"/>
        <v>0</v>
      </c>
      <c r="BI256" s="140">
        <f t="shared" si="78"/>
        <v>0</v>
      </c>
      <c r="BJ256" s="2" t="s">
        <v>87</v>
      </c>
      <c r="BK256" s="140">
        <f t="shared" si="79"/>
        <v>0</v>
      </c>
      <c r="BL256" s="2" t="s">
        <v>344</v>
      </c>
      <c r="BM256" s="139" t="s">
        <v>6723</v>
      </c>
    </row>
    <row r="257" spans="2:65" s="16" customFormat="1" ht="16.5" customHeight="1" x14ac:dyDescent="0.2">
      <c r="B257" s="17"/>
      <c r="C257" s="128">
        <v>110</v>
      </c>
      <c r="D257" s="128" t="s">
        <v>339</v>
      </c>
      <c r="E257" s="129" t="s">
        <v>7071</v>
      </c>
      <c r="F257" s="130" t="s">
        <v>7072</v>
      </c>
      <c r="G257" s="131" t="s">
        <v>4460</v>
      </c>
      <c r="H257" s="132">
        <v>112</v>
      </c>
      <c r="I257" s="133"/>
      <c r="J257" s="134">
        <f t="shared" si="70"/>
        <v>0</v>
      </c>
      <c r="K257" s="130"/>
      <c r="L257" s="17"/>
      <c r="M257" s="135"/>
      <c r="N257" s="136" t="s">
        <v>45</v>
      </c>
      <c r="P257" s="137">
        <f t="shared" si="71"/>
        <v>0</v>
      </c>
      <c r="Q257" s="137">
        <v>0</v>
      </c>
      <c r="R257" s="137">
        <f t="shared" si="72"/>
        <v>0</v>
      </c>
      <c r="S257" s="137">
        <v>0</v>
      </c>
      <c r="T257" s="138">
        <f t="shared" si="73"/>
        <v>0</v>
      </c>
      <c r="AR257" s="139" t="s">
        <v>344</v>
      </c>
      <c r="AT257" s="139" t="s">
        <v>339</v>
      </c>
      <c r="AU257" s="139" t="s">
        <v>87</v>
      </c>
      <c r="AY257" s="2" t="s">
        <v>337</v>
      </c>
      <c r="BE257" s="140">
        <f t="shared" si="74"/>
        <v>0</v>
      </c>
      <c r="BF257" s="140">
        <f t="shared" si="75"/>
        <v>0</v>
      </c>
      <c r="BG257" s="140">
        <f t="shared" si="76"/>
        <v>0</v>
      </c>
      <c r="BH257" s="140">
        <f t="shared" si="77"/>
        <v>0</v>
      </c>
      <c r="BI257" s="140">
        <f t="shared" si="78"/>
        <v>0</v>
      </c>
      <c r="BJ257" s="2" t="s">
        <v>87</v>
      </c>
      <c r="BK257" s="140">
        <f t="shared" si="79"/>
        <v>0</v>
      </c>
      <c r="BL257" s="2" t="s">
        <v>344</v>
      </c>
      <c r="BM257" s="139" t="s">
        <v>2324</v>
      </c>
    </row>
    <row r="258" spans="2:65" s="16" customFormat="1" ht="16.5" customHeight="1" x14ac:dyDescent="0.2">
      <c r="B258" s="17"/>
      <c r="C258" s="128">
        <v>111</v>
      </c>
      <c r="D258" s="128" t="s">
        <v>339</v>
      </c>
      <c r="E258" s="129" t="s">
        <v>7073</v>
      </c>
      <c r="F258" s="130" t="s">
        <v>7074</v>
      </c>
      <c r="G258" s="131" t="s">
        <v>724</v>
      </c>
      <c r="H258" s="132">
        <v>1050</v>
      </c>
      <c r="I258" s="133"/>
      <c r="J258" s="134">
        <f t="shared" si="70"/>
        <v>0</v>
      </c>
      <c r="K258" s="130"/>
      <c r="L258" s="17"/>
      <c r="M258" s="135"/>
      <c r="N258" s="136" t="s">
        <v>45</v>
      </c>
      <c r="P258" s="137">
        <f t="shared" si="71"/>
        <v>0</v>
      </c>
      <c r="Q258" s="137">
        <v>0</v>
      </c>
      <c r="R258" s="137">
        <f t="shared" si="72"/>
        <v>0</v>
      </c>
      <c r="S258" s="137">
        <v>0</v>
      </c>
      <c r="T258" s="138">
        <f t="shared" si="73"/>
        <v>0</v>
      </c>
      <c r="AR258" s="139" t="s">
        <v>344</v>
      </c>
      <c r="AT258" s="139" t="s">
        <v>339</v>
      </c>
      <c r="AU258" s="139" t="s">
        <v>87</v>
      </c>
      <c r="AY258" s="2" t="s">
        <v>337</v>
      </c>
      <c r="BE258" s="140">
        <f t="shared" si="74"/>
        <v>0</v>
      </c>
      <c r="BF258" s="140">
        <f t="shared" si="75"/>
        <v>0</v>
      </c>
      <c r="BG258" s="140">
        <f t="shared" si="76"/>
        <v>0</v>
      </c>
      <c r="BH258" s="140">
        <f t="shared" si="77"/>
        <v>0</v>
      </c>
      <c r="BI258" s="140">
        <f t="shared" si="78"/>
        <v>0</v>
      </c>
      <c r="BJ258" s="2" t="s">
        <v>87</v>
      </c>
      <c r="BK258" s="140">
        <f t="shared" si="79"/>
        <v>0</v>
      </c>
      <c r="BL258" s="2" t="s">
        <v>344</v>
      </c>
      <c r="BM258" s="139" t="s">
        <v>2333</v>
      </c>
    </row>
    <row r="259" spans="2:65" s="16" customFormat="1" ht="16.5" customHeight="1" x14ac:dyDescent="0.2">
      <c r="B259" s="17"/>
      <c r="C259" s="128">
        <v>112</v>
      </c>
      <c r="D259" s="128" t="s">
        <v>339</v>
      </c>
      <c r="E259" s="129" t="s">
        <v>7075</v>
      </c>
      <c r="F259" s="130" t="s">
        <v>7076</v>
      </c>
      <c r="G259" s="131" t="s">
        <v>724</v>
      </c>
      <c r="H259" s="132">
        <v>1050</v>
      </c>
      <c r="I259" s="133"/>
      <c r="J259" s="134">
        <f t="shared" si="70"/>
        <v>0</v>
      </c>
      <c r="K259" s="130"/>
      <c r="L259" s="17"/>
      <c r="M259" s="135"/>
      <c r="N259" s="136" t="s">
        <v>45</v>
      </c>
      <c r="P259" s="137">
        <f t="shared" si="71"/>
        <v>0</v>
      </c>
      <c r="Q259" s="137">
        <v>0</v>
      </c>
      <c r="R259" s="137">
        <f t="shared" si="72"/>
        <v>0</v>
      </c>
      <c r="S259" s="137">
        <v>0</v>
      </c>
      <c r="T259" s="138">
        <f t="shared" si="73"/>
        <v>0</v>
      </c>
      <c r="AR259" s="139" t="s">
        <v>344</v>
      </c>
      <c r="AT259" s="139" t="s">
        <v>339</v>
      </c>
      <c r="AU259" s="139" t="s">
        <v>87</v>
      </c>
      <c r="AY259" s="2" t="s">
        <v>337</v>
      </c>
      <c r="BE259" s="140">
        <f t="shared" si="74"/>
        <v>0</v>
      </c>
      <c r="BF259" s="140">
        <f t="shared" si="75"/>
        <v>0</v>
      </c>
      <c r="BG259" s="140">
        <f t="shared" si="76"/>
        <v>0</v>
      </c>
      <c r="BH259" s="140">
        <f t="shared" si="77"/>
        <v>0</v>
      </c>
      <c r="BI259" s="140">
        <f t="shared" si="78"/>
        <v>0</v>
      </c>
      <c r="BJ259" s="2" t="s">
        <v>87</v>
      </c>
      <c r="BK259" s="140">
        <f t="shared" si="79"/>
        <v>0</v>
      </c>
      <c r="BL259" s="2" t="s">
        <v>344</v>
      </c>
      <c r="BM259" s="139" t="s">
        <v>2434</v>
      </c>
    </row>
    <row r="260" spans="2:65" s="16" customFormat="1" ht="16.5" customHeight="1" x14ac:dyDescent="0.2">
      <c r="B260" s="17"/>
      <c r="C260" s="128">
        <v>113</v>
      </c>
      <c r="D260" s="128" t="s">
        <v>339</v>
      </c>
      <c r="E260" s="129" t="s">
        <v>7077</v>
      </c>
      <c r="F260" s="130" t="s">
        <v>7078</v>
      </c>
      <c r="G260" s="131" t="s">
        <v>724</v>
      </c>
      <c r="H260" s="132">
        <v>840</v>
      </c>
      <c r="I260" s="133"/>
      <c r="J260" s="134">
        <f t="shared" si="70"/>
        <v>0</v>
      </c>
      <c r="K260" s="130"/>
      <c r="L260" s="17"/>
      <c r="M260" s="135"/>
      <c r="N260" s="136" t="s">
        <v>45</v>
      </c>
      <c r="P260" s="137">
        <f t="shared" si="71"/>
        <v>0</v>
      </c>
      <c r="Q260" s="137">
        <v>0</v>
      </c>
      <c r="R260" s="137">
        <f t="shared" si="72"/>
        <v>0</v>
      </c>
      <c r="S260" s="137">
        <v>0</v>
      </c>
      <c r="T260" s="138">
        <f t="shared" si="73"/>
        <v>0</v>
      </c>
      <c r="AR260" s="139" t="s">
        <v>344</v>
      </c>
      <c r="AT260" s="139" t="s">
        <v>339</v>
      </c>
      <c r="AU260" s="139" t="s">
        <v>87</v>
      </c>
      <c r="AY260" s="2" t="s">
        <v>337</v>
      </c>
      <c r="BE260" s="140">
        <f t="shared" si="74"/>
        <v>0</v>
      </c>
      <c r="BF260" s="140">
        <f t="shared" si="75"/>
        <v>0</v>
      </c>
      <c r="BG260" s="140">
        <f t="shared" si="76"/>
        <v>0</v>
      </c>
      <c r="BH260" s="140">
        <f t="shared" si="77"/>
        <v>0</v>
      </c>
      <c r="BI260" s="140">
        <f t="shared" si="78"/>
        <v>0</v>
      </c>
      <c r="BJ260" s="2" t="s">
        <v>87</v>
      </c>
      <c r="BK260" s="140">
        <f t="shared" si="79"/>
        <v>0</v>
      </c>
      <c r="BL260" s="2" t="s">
        <v>344</v>
      </c>
      <c r="BM260" s="139" t="s">
        <v>1557</v>
      </c>
    </row>
    <row r="261" spans="2:65" s="16" customFormat="1" ht="16.5" customHeight="1" x14ac:dyDescent="0.2">
      <c r="B261" s="17"/>
      <c r="C261" s="128">
        <v>114</v>
      </c>
      <c r="D261" s="128" t="s">
        <v>339</v>
      </c>
      <c r="E261" s="129" t="s">
        <v>7079</v>
      </c>
      <c r="F261" s="130" t="s">
        <v>7080</v>
      </c>
      <c r="G261" s="131" t="s">
        <v>724</v>
      </c>
      <c r="H261" s="132">
        <v>630</v>
      </c>
      <c r="I261" s="133"/>
      <c r="J261" s="134">
        <f t="shared" si="70"/>
        <v>0</v>
      </c>
      <c r="K261" s="130"/>
      <c r="L261" s="17"/>
      <c r="M261" s="135"/>
      <c r="N261" s="136" t="s">
        <v>45</v>
      </c>
      <c r="P261" s="137">
        <f t="shared" si="71"/>
        <v>0</v>
      </c>
      <c r="Q261" s="137">
        <v>0</v>
      </c>
      <c r="R261" s="137">
        <f t="shared" si="72"/>
        <v>0</v>
      </c>
      <c r="S261" s="137">
        <v>0</v>
      </c>
      <c r="T261" s="138">
        <f t="shared" si="73"/>
        <v>0</v>
      </c>
      <c r="AR261" s="139" t="s">
        <v>344</v>
      </c>
      <c r="AT261" s="139" t="s">
        <v>339</v>
      </c>
      <c r="AU261" s="139" t="s">
        <v>87</v>
      </c>
      <c r="AY261" s="2" t="s">
        <v>337</v>
      </c>
      <c r="BE261" s="140">
        <f t="shared" si="74"/>
        <v>0</v>
      </c>
      <c r="BF261" s="140">
        <f t="shared" si="75"/>
        <v>0</v>
      </c>
      <c r="BG261" s="140">
        <f t="shared" si="76"/>
        <v>0</v>
      </c>
      <c r="BH261" s="140">
        <f t="shared" si="77"/>
        <v>0</v>
      </c>
      <c r="BI261" s="140">
        <f t="shared" si="78"/>
        <v>0</v>
      </c>
      <c r="BJ261" s="2" t="s">
        <v>87</v>
      </c>
      <c r="BK261" s="140">
        <f t="shared" si="79"/>
        <v>0</v>
      </c>
      <c r="BL261" s="2" t="s">
        <v>344</v>
      </c>
      <c r="BM261" s="139" t="s">
        <v>1562</v>
      </c>
    </row>
    <row r="262" spans="2:65" s="16" customFormat="1" ht="16.5" customHeight="1" x14ac:dyDescent="0.2">
      <c r="B262" s="17"/>
      <c r="C262" s="128">
        <v>115</v>
      </c>
      <c r="D262" s="128" t="s">
        <v>339</v>
      </c>
      <c r="E262" s="129" t="s">
        <v>7081</v>
      </c>
      <c r="F262" s="130" t="s">
        <v>7082</v>
      </c>
      <c r="G262" s="131" t="s">
        <v>724</v>
      </c>
      <c r="H262" s="132">
        <v>630</v>
      </c>
      <c r="I262" s="133"/>
      <c r="J262" s="134">
        <f t="shared" si="70"/>
        <v>0</v>
      </c>
      <c r="K262" s="130"/>
      <c r="L262" s="17"/>
      <c r="M262" s="135"/>
      <c r="N262" s="136" t="s">
        <v>45</v>
      </c>
      <c r="P262" s="137">
        <f t="shared" si="71"/>
        <v>0</v>
      </c>
      <c r="Q262" s="137">
        <v>0</v>
      </c>
      <c r="R262" s="137">
        <f t="shared" si="72"/>
        <v>0</v>
      </c>
      <c r="S262" s="137">
        <v>0</v>
      </c>
      <c r="T262" s="138">
        <f t="shared" si="73"/>
        <v>0</v>
      </c>
      <c r="AR262" s="139" t="s">
        <v>344</v>
      </c>
      <c r="AT262" s="139" t="s">
        <v>339</v>
      </c>
      <c r="AU262" s="139" t="s">
        <v>87</v>
      </c>
      <c r="AY262" s="2" t="s">
        <v>337</v>
      </c>
      <c r="BE262" s="140">
        <f t="shared" si="74"/>
        <v>0</v>
      </c>
      <c r="BF262" s="140">
        <f t="shared" si="75"/>
        <v>0</v>
      </c>
      <c r="BG262" s="140">
        <f t="shared" si="76"/>
        <v>0</v>
      </c>
      <c r="BH262" s="140">
        <f t="shared" si="77"/>
        <v>0</v>
      </c>
      <c r="BI262" s="140">
        <f t="shared" si="78"/>
        <v>0</v>
      </c>
      <c r="BJ262" s="2" t="s">
        <v>87</v>
      </c>
      <c r="BK262" s="140">
        <f t="shared" si="79"/>
        <v>0</v>
      </c>
      <c r="BL262" s="2" t="s">
        <v>344</v>
      </c>
      <c r="BM262" s="139" t="s">
        <v>721</v>
      </c>
    </row>
    <row r="263" spans="2:65" s="16" customFormat="1" ht="16.5" customHeight="1" x14ac:dyDescent="0.2">
      <c r="B263" s="17"/>
      <c r="C263" s="128">
        <v>116</v>
      </c>
      <c r="D263" s="128" t="s">
        <v>339</v>
      </c>
      <c r="E263" s="129" t="s">
        <v>7083</v>
      </c>
      <c r="F263" s="130" t="s">
        <v>7084</v>
      </c>
      <c r="G263" s="131" t="s">
        <v>724</v>
      </c>
      <c r="H263" s="132">
        <v>315</v>
      </c>
      <c r="I263" s="133"/>
      <c r="J263" s="134">
        <f t="shared" si="70"/>
        <v>0</v>
      </c>
      <c r="K263" s="130"/>
      <c r="L263" s="17"/>
      <c r="M263" s="135"/>
      <c r="N263" s="136" t="s">
        <v>45</v>
      </c>
      <c r="P263" s="137">
        <f t="shared" si="71"/>
        <v>0</v>
      </c>
      <c r="Q263" s="137">
        <v>0</v>
      </c>
      <c r="R263" s="137">
        <f t="shared" si="72"/>
        <v>0</v>
      </c>
      <c r="S263" s="137">
        <v>0</v>
      </c>
      <c r="T263" s="138">
        <f t="shared" si="73"/>
        <v>0</v>
      </c>
      <c r="AR263" s="139" t="s">
        <v>344</v>
      </c>
      <c r="AT263" s="139" t="s">
        <v>339</v>
      </c>
      <c r="AU263" s="139" t="s">
        <v>87</v>
      </c>
      <c r="AY263" s="2" t="s">
        <v>337</v>
      </c>
      <c r="BE263" s="140">
        <f t="shared" si="74"/>
        <v>0</v>
      </c>
      <c r="BF263" s="140">
        <f t="shared" si="75"/>
        <v>0</v>
      </c>
      <c r="BG263" s="140">
        <f t="shared" si="76"/>
        <v>0</v>
      </c>
      <c r="BH263" s="140">
        <f t="shared" si="77"/>
        <v>0</v>
      </c>
      <c r="BI263" s="140">
        <f t="shared" si="78"/>
        <v>0</v>
      </c>
      <c r="BJ263" s="2" t="s">
        <v>87</v>
      </c>
      <c r="BK263" s="140">
        <f t="shared" si="79"/>
        <v>0</v>
      </c>
      <c r="BL263" s="2" t="s">
        <v>344</v>
      </c>
      <c r="BM263" s="139" t="s">
        <v>1024</v>
      </c>
    </row>
    <row r="264" spans="2:65" s="16" customFormat="1" ht="16.5" customHeight="1" x14ac:dyDescent="0.2">
      <c r="B264" s="17"/>
      <c r="C264" s="128">
        <v>117</v>
      </c>
      <c r="D264" s="128" t="s">
        <v>339</v>
      </c>
      <c r="E264" s="129" t="s">
        <v>7085</v>
      </c>
      <c r="F264" s="130" t="s">
        <v>7086</v>
      </c>
      <c r="G264" s="131" t="s">
        <v>724</v>
      </c>
      <c r="H264" s="132">
        <v>210</v>
      </c>
      <c r="I264" s="133"/>
      <c r="J264" s="134">
        <f t="shared" si="70"/>
        <v>0</v>
      </c>
      <c r="K264" s="130"/>
      <c r="L264" s="17"/>
      <c r="M264" s="135"/>
      <c r="N264" s="136" t="s">
        <v>45</v>
      </c>
      <c r="P264" s="137">
        <f t="shared" si="71"/>
        <v>0</v>
      </c>
      <c r="Q264" s="137">
        <v>0</v>
      </c>
      <c r="R264" s="137">
        <f t="shared" si="72"/>
        <v>0</v>
      </c>
      <c r="S264" s="137">
        <v>0</v>
      </c>
      <c r="T264" s="138">
        <f t="shared" si="73"/>
        <v>0</v>
      </c>
      <c r="AR264" s="139" t="s">
        <v>344</v>
      </c>
      <c r="AT264" s="139" t="s">
        <v>339</v>
      </c>
      <c r="AU264" s="139" t="s">
        <v>87</v>
      </c>
      <c r="AY264" s="2" t="s">
        <v>337</v>
      </c>
      <c r="BE264" s="140">
        <f t="shared" si="74"/>
        <v>0</v>
      </c>
      <c r="BF264" s="140">
        <f t="shared" si="75"/>
        <v>0</v>
      </c>
      <c r="BG264" s="140">
        <f t="shared" si="76"/>
        <v>0</v>
      </c>
      <c r="BH264" s="140">
        <f t="shared" si="77"/>
        <v>0</v>
      </c>
      <c r="BI264" s="140">
        <f t="shared" si="78"/>
        <v>0</v>
      </c>
      <c r="BJ264" s="2" t="s">
        <v>87</v>
      </c>
      <c r="BK264" s="140">
        <f t="shared" si="79"/>
        <v>0</v>
      </c>
      <c r="BL264" s="2" t="s">
        <v>344</v>
      </c>
      <c r="BM264" s="139" t="s">
        <v>1058</v>
      </c>
    </row>
    <row r="265" spans="2:65" s="16" customFormat="1" ht="16.5" customHeight="1" x14ac:dyDescent="0.2">
      <c r="B265" s="17"/>
      <c r="C265" s="128">
        <v>118</v>
      </c>
      <c r="D265" s="128" t="s">
        <v>339</v>
      </c>
      <c r="E265" s="129" t="s">
        <v>7087</v>
      </c>
      <c r="F265" s="130" t="s">
        <v>6857</v>
      </c>
      <c r="G265" s="131" t="s">
        <v>724</v>
      </c>
      <c r="H265" s="132">
        <v>388.5</v>
      </c>
      <c r="I265" s="133"/>
      <c r="J265" s="134">
        <f t="shared" si="70"/>
        <v>0</v>
      </c>
      <c r="K265" s="130"/>
      <c r="L265" s="17"/>
      <c r="M265" s="135"/>
      <c r="N265" s="136" t="s">
        <v>45</v>
      </c>
      <c r="P265" s="137">
        <f t="shared" si="71"/>
        <v>0</v>
      </c>
      <c r="Q265" s="137">
        <v>0</v>
      </c>
      <c r="R265" s="137">
        <f t="shared" si="72"/>
        <v>0</v>
      </c>
      <c r="S265" s="137">
        <v>0</v>
      </c>
      <c r="T265" s="138">
        <f t="shared" si="73"/>
        <v>0</v>
      </c>
      <c r="AR265" s="139" t="s">
        <v>344</v>
      </c>
      <c r="AT265" s="139" t="s">
        <v>339</v>
      </c>
      <c r="AU265" s="139" t="s">
        <v>87</v>
      </c>
      <c r="AY265" s="2" t="s">
        <v>337</v>
      </c>
      <c r="BE265" s="140">
        <f t="shared" si="74"/>
        <v>0</v>
      </c>
      <c r="BF265" s="140">
        <f t="shared" si="75"/>
        <v>0</v>
      </c>
      <c r="BG265" s="140">
        <f t="shared" si="76"/>
        <v>0</v>
      </c>
      <c r="BH265" s="140">
        <f t="shared" si="77"/>
        <v>0</v>
      </c>
      <c r="BI265" s="140">
        <f t="shared" si="78"/>
        <v>0</v>
      </c>
      <c r="BJ265" s="2" t="s">
        <v>87</v>
      </c>
      <c r="BK265" s="140">
        <f t="shared" si="79"/>
        <v>0</v>
      </c>
      <c r="BL265" s="2" t="s">
        <v>344</v>
      </c>
      <c r="BM265" s="139" t="s">
        <v>1107</v>
      </c>
    </row>
    <row r="266" spans="2:65" s="16" customFormat="1" ht="16.5" customHeight="1" x14ac:dyDescent="0.2">
      <c r="B266" s="17"/>
      <c r="C266" s="128">
        <v>119</v>
      </c>
      <c r="D266" s="128" t="s">
        <v>339</v>
      </c>
      <c r="E266" s="129" t="s">
        <v>7088</v>
      </c>
      <c r="F266" s="130" t="s">
        <v>7089</v>
      </c>
      <c r="G266" s="131" t="s">
        <v>4460</v>
      </c>
      <c r="H266" s="132">
        <v>1050</v>
      </c>
      <c r="I266" s="133"/>
      <c r="J266" s="134">
        <f t="shared" si="70"/>
        <v>0</v>
      </c>
      <c r="K266" s="130"/>
      <c r="L266" s="17"/>
      <c r="M266" s="135"/>
      <c r="N266" s="136" t="s">
        <v>45</v>
      </c>
      <c r="P266" s="137">
        <f t="shared" si="71"/>
        <v>0</v>
      </c>
      <c r="Q266" s="137">
        <v>0</v>
      </c>
      <c r="R266" s="137">
        <f t="shared" si="72"/>
        <v>0</v>
      </c>
      <c r="S266" s="137">
        <v>0</v>
      </c>
      <c r="T266" s="138">
        <f t="shared" si="73"/>
        <v>0</v>
      </c>
      <c r="AR266" s="139" t="s">
        <v>344</v>
      </c>
      <c r="AT266" s="139" t="s">
        <v>339</v>
      </c>
      <c r="AU266" s="139" t="s">
        <v>87</v>
      </c>
      <c r="AY266" s="2" t="s">
        <v>337</v>
      </c>
      <c r="BE266" s="140">
        <f t="shared" si="74"/>
        <v>0</v>
      </c>
      <c r="BF266" s="140">
        <f t="shared" si="75"/>
        <v>0</v>
      </c>
      <c r="BG266" s="140">
        <f t="shared" si="76"/>
        <v>0</v>
      </c>
      <c r="BH266" s="140">
        <f t="shared" si="77"/>
        <v>0</v>
      </c>
      <c r="BI266" s="140">
        <f t="shared" si="78"/>
        <v>0</v>
      </c>
      <c r="BJ266" s="2" t="s">
        <v>87</v>
      </c>
      <c r="BK266" s="140">
        <f t="shared" si="79"/>
        <v>0</v>
      </c>
      <c r="BL266" s="2" t="s">
        <v>344</v>
      </c>
      <c r="BM266" s="139" t="s">
        <v>1136</v>
      </c>
    </row>
    <row r="267" spans="2:65" s="16" customFormat="1" ht="16.5" customHeight="1" x14ac:dyDescent="0.2">
      <c r="B267" s="17"/>
      <c r="C267" s="128">
        <v>120</v>
      </c>
      <c r="D267" s="128" t="s">
        <v>339</v>
      </c>
      <c r="E267" s="129" t="s">
        <v>7090</v>
      </c>
      <c r="F267" s="130" t="s">
        <v>7091</v>
      </c>
      <c r="G267" s="131" t="s">
        <v>4460</v>
      </c>
      <c r="H267" s="132">
        <v>2600</v>
      </c>
      <c r="I267" s="133"/>
      <c r="J267" s="134">
        <f t="shared" si="70"/>
        <v>0</v>
      </c>
      <c r="K267" s="130"/>
      <c r="L267" s="17"/>
      <c r="M267" s="135"/>
      <c r="N267" s="136" t="s">
        <v>45</v>
      </c>
      <c r="P267" s="137">
        <f t="shared" si="71"/>
        <v>0</v>
      </c>
      <c r="Q267" s="137">
        <v>0</v>
      </c>
      <c r="R267" s="137">
        <f t="shared" si="72"/>
        <v>0</v>
      </c>
      <c r="S267" s="137">
        <v>0</v>
      </c>
      <c r="T267" s="138">
        <f t="shared" si="73"/>
        <v>0</v>
      </c>
      <c r="AR267" s="139" t="s">
        <v>344</v>
      </c>
      <c r="AT267" s="139" t="s">
        <v>339</v>
      </c>
      <c r="AU267" s="139" t="s">
        <v>87</v>
      </c>
      <c r="AY267" s="2" t="s">
        <v>337</v>
      </c>
      <c r="BE267" s="140">
        <f t="shared" si="74"/>
        <v>0</v>
      </c>
      <c r="BF267" s="140">
        <f t="shared" si="75"/>
        <v>0</v>
      </c>
      <c r="BG267" s="140">
        <f t="shared" si="76"/>
        <v>0</v>
      </c>
      <c r="BH267" s="140">
        <f t="shared" si="77"/>
        <v>0</v>
      </c>
      <c r="BI267" s="140">
        <f t="shared" si="78"/>
        <v>0</v>
      </c>
      <c r="BJ267" s="2" t="s">
        <v>87</v>
      </c>
      <c r="BK267" s="140">
        <f t="shared" si="79"/>
        <v>0</v>
      </c>
      <c r="BL267" s="2" t="s">
        <v>344</v>
      </c>
      <c r="BM267" s="139" t="s">
        <v>2308</v>
      </c>
    </row>
    <row r="268" spans="2:65" s="16" customFormat="1" ht="16.5" customHeight="1" x14ac:dyDescent="0.2">
      <c r="B268" s="17"/>
      <c r="C268" s="128">
        <v>121</v>
      </c>
      <c r="D268" s="128" t="s">
        <v>339</v>
      </c>
      <c r="E268" s="129" t="s">
        <v>7092</v>
      </c>
      <c r="F268" s="130" t="s">
        <v>7093</v>
      </c>
      <c r="G268" s="131" t="s">
        <v>4460</v>
      </c>
      <c r="H268" s="132">
        <v>450</v>
      </c>
      <c r="I268" s="133"/>
      <c r="J268" s="134">
        <f t="shared" si="70"/>
        <v>0</v>
      </c>
      <c r="K268" s="130"/>
      <c r="L268" s="17"/>
      <c r="M268" s="135"/>
      <c r="N268" s="136" t="s">
        <v>45</v>
      </c>
      <c r="P268" s="137">
        <f t="shared" si="71"/>
        <v>0</v>
      </c>
      <c r="Q268" s="137">
        <v>0</v>
      </c>
      <c r="R268" s="137">
        <f t="shared" si="72"/>
        <v>0</v>
      </c>
      <c r="S268" s="137">
        <v>0</v>
      </c>
      <c r="T268" s="138">
        <f t="shared" si="73"/>
        <v>0</v>
      </c>
      <c r="AR268" s="139" t="s">
        <v>344</v>
      </c>
      <c r="AT268" s="139" t="s">
        <v>339</v>
      </c>
      <c r="AU268" s="139" t="s">
        <v>87</v>
      </c>
      <c r="AY268" s="2" t="s">
        <v>337</v>
      </c>
      <c r="BE268" s="140">
        <f t="shared" si="74"/>
        <v>0</v>
      </c>
      <c r="BF268" s="140">
        <f t="shared" si="75"/>
        <v>0</v>
      </c>
      <c r="BG268" s="140">
        <f t="shared" si="76"/>
        <v>0</v>
      </c>
      <c r="BH268" s="140">
        <f t="shared" si="77"/>
        <v>0</v>
      </c>
      <c r="BI268" s="140">
        <f t="shared" si="78"/>
        <v>0</v>
      </c>
      <c r="BJ268" s="2" t="s">
        <v>87</v>
      </c>
      <c r="BK268" s="140">
        <f t="shared" si="79"/>
        <v>0</v>
      </c>
      <c r="BL268" s="2" t="s">
        <v>344</v>
      </c>
      <c r="BM268" s="139" t="s">
        <v>2329</v>
      </c>
    </row>
    <row r="269" spans="2:65" s="16" customFormat="1" ht="16.5" customHeight="1" x14ac:dyDescent="0.2">
      <c r="B269" s="17"/>
      <c r="C269" s="128">
        <v>122</v>
      </c>
      <c r="D269" s="128" t="s">
        <v>339</v>
      </c>
      <c r="E269" s="129" t="s">
        <v>7094</v>
      </c>
      <c r="F269" s="130" t="s">
        <v>7095</v>
      </c>
      <c r="G269" s="131" t="s">
        <v>4460</v>
      </c>
      <c r="H269" s="132">
        <v>15</v>
      </c>
      <c r="I269" s="133"/>
      <c r="J269" s="134">
        <f t="shared" si="70"/>
        <v>0</v>
      </c>
      <c r="K269" s="130"/>
      <c r="L269" s="17"/>
      <c r="M269" s="135"/>
      <c r="N269" s="136" t="s">
        <v>45</v>
      </c>
      <c r="P269" s="137">
        <f t="shared" si="71"/>
        <v>0</v>
      </c>
      <c r="Q269" s="137">
        <v>0</v>
      </c>
      <c r="R269" s="137">
        <f t="shared" si="72"/>
        <v>0</v>
      </c>
      <c r="S269" s="137">
        <v>0</v>
      </c>
      <c r="T269" s="138">
        <f t="shared" si="73"/>
        <v>0</v>
      </c>
      <c r="AR269" s="139" t="s">
        <v>344</v>
      </c>
      <c r="AT269" s="139" t="s">
        <v>339</v>
      </c>
      <c r="AU269" s="139" t="s">
        <v>87</v>
      </c>
      <c r="AY269" s="2" t="s">
        <v>337</v>
      </c>
      <c r="BE269" s="140">
        <f t="shared" si="74"/>
        <v>0</v>
      </c>
      <c r="BF269" s="140">
        <f t="shared" si="75"/>
        <v>0</v>
      </c>
      <c r="BG269" s="140">
        <f t="shared" si="76"/>
        <v>0</v>
      </c>
      <c r="BH269" s="140">
        <f t="shared" si="77"/>
        <v>0</v>
      </c>
      <c r="BI269" s="140">
        <f t="shared" si="78"/>
        <v>0</v>
      </c>
      <c r="BJ269" s="2" t="s">
        <v>87</v>
      </c>
      <c r="BK269" s="140">
        <f t="shared" si="79"/>
        <v>0</v>
      </c>
      <c r="BL269" s="2" t="s">
        <v>344</v>
      </c>
      <c r="BM269" s="139" t="s">
        <v>6749</v>
      </c>
    </row>
    <row r="270" spans="2:65" s="16" customFormat="1" ht="16.5" customHeight="1" x14ac:dyDescent="0.2">
      <c r="B270" s="17"/>
      <c r="C270" s="128">
        <v>123</v>
      </c>
      <c r="D270" s="128" t="s">
        <v>339</v>
      </c>
      <c r="E270" s="129" t="s">
        <v>7096</v>
      </c>
      <c r="F270" s="130" t="s">
        <v>7097</v>
      </c>
      <c r="G270" s="131" t="s">
        <v>4460</v>
      </c>
      <c r="H270" s="132">
        <v>306</v>
      </c>
      <c r="I270" s="133"/>
      <c r="J270" s="134">
        <f t="shared" ref="J270:J301" si="80">ROUND(I270*H270,2)</f>
        <v>0</v>
      </c>
      <c r="K270" s="130"/>
      <c r="L270" s="17"/>
      <c r="M270" s="135"/>
      <c r="N270" s="136" t="s">
        <v>45</v>
      </c>
      <c r="P270" s="137">
        <f t="shared" ref="P270:P301" si="81">O270*H270</f>
        <v>0</v>
      </c>
      <c r="Q270" s="137">
        <v>0</v>
      </c>
      <c r="R270" s="137">
        <f t="shared" ref="R270:R301" si="82">Q270*H270</f>
        <v>0</v>
      </c>
      <c r="S270" s="137">
        <v>0</v>
      </c>
      <c r="T270" s="138">
        <f t="shared" ref="T270:T301" si="83">S270*H270</f>
        <v>0</v>
      </c>
      <c r="AR270" s="139" t="s">
        <v>344</v>
      </c>
      <c r="AT270" s="139" t="s">
        <v>339</v>
      </c>
      <c r="AU270" s="139" t="s">
        <v>87</v>
      </c>
      <c r="AY270" s="2" t="s">
        <v>337</v>
      </c>
      <c r="BE270" s="140">
        <f t="shared" ref="BE270:BE301" si="84">IF(N270="základní",J270,0)</f>
        <v>0</v>
      </c>
      <c r="BF270" s="140">
        <f t="shared" ref="BF270:BF301" si="85">IF(N270="snížená",J270,0)</f>
        <v>0</v>
      </c>
      <c r="BG270" s="140">
        <f t="shared" ref="BG270:BG301" si="86">IF(N270="zákl. přenesená",J270,0)</f>
        <v>0</v>
      </c>
      <c r="BH270" s="140">
        <f t="shared" ref="BH270:BH301" si="87">IF(N270="sníž. přenesená",J270,0)</f>
        <v>0</v>
      </c>
      <c r="BI270" s="140">
        <f t="shared" ref="BI270:BI301" si="88">IF(N270="nulová",J270,0)</f>
        <v>0</v>
      </c>
      <c r="BJ270" s="2" t="s">
        <v>87</v>
      </c>
      <c r="BK270" s="140">
        <f t="shared" ref="BK270:BK301" si="89">ROUND(I270*H270,2)</f>
        <v>0</v>
      </c>
      <c r="BL270" s="2" t="s">
        <v>344</v>
      </c>
      <c r="BM270" s="139" t="s">
        <v>7098</v>
      </c>
    </row>
    <row r="271" spans="2:65" s="16" customFormat="1" ht="16.5" customHeight="1" x14ac:dyDescent="0.2">
      <c r="B271" s="17"/>
      <c r="C271" s="128">
        <v>124</v>
      </c>
      <c r="D271" s="128" t="s">
        <v>339</v>
      </c>
      <c r="E271" s="129" t="s">
        <v>7099</v>
      </c>
      <c r="F271" s="130" t="s">
        <v>7100</v>
      </c>
      <c r="G271" s="131" t="s">
        <v>4460</v>
      </c>
      <c r="H271" s="132">
        <v>2</v>
      </c>
      <c r="I271" s="133"/>
      <c r="J271" s="134">
        <f t="shared" si="80"/>
        <v>0</v>
      </c>
      <c r="K271" s="130"/>
      <c r="L271" s="17"/>
      <c r="M271" s="135"/>
      <c r="N271" s="136" t="s">
        <v>45</v>
      </c>
      <c r="P271" s="137">
        <f t="shared" si="81"/>
        <v>0</v>
      </c>
      <c r="Q271" s="137">
        <v>0</v>
      </c>
      <c r="R271" s="137">
        <f t="shared" si="82"/>
        <v>0</v>
      </c>
      <c r="S271" s="137">
        <v>0</v>
      </c>
      <c r="T271" s="138">
        <f t="shared" si="83"/>
        <v>0</v>
      </c>
      <c r="AR271" s="139" t="s">
        <v>344</v>
      </c>
      <c r="AT271" s="139" t="s">
        <v>339</v>
      </c>
      <c r="AU271" s="139" t="s">
        <v>87</v>
      </c>
      <c r="AY271" s="2" t="s">
        <v>337</v>
      </c>
      <c r="BE271" s="140">
        <f t="shared" si="84"/>
        <v>0</v>
      </c>
      <c r="BF271" s="140">
        <f t="shared" si="85"/>
        <v>0</v>
      </c>
      <c r="BG271" s="140">
        <f t="shared" si="86"/>
        <v>0</v>
      </c>
      <c r="BH271" s="140">
        <f t="shared" si="87"/>
        <v>0</v>
      </c>
      <c r="BI271" s="140">
        <f t="shared" si="88"/>
        <v>0</v>
      </c>
      <c r="BJ271" s="2" t="s">
        <v>87</v>
      </c>
      <c r="BK271" s="140">
        <f t="shared" si="89"/>
        <v>0</v>
      </c>
      <c r="BL271" s="2" t="s">
        <v>344</v>
      </c>
      <c r="BM271" s="139" t="s">
        <v>6750</v>
      </c>
    </row>
    <row r="272" spans="2:65" s="16" customFormat="1" ht="16.5" customHeight="1" x14ac:dyDescent="0.2">
      <c r="B272" s="17"/>
      <c r="C272" s="128">
        <v>125</v>
      </c>
      <c r="D272" s="128" t="s">
        <v>339</v>
      </c>
      <c r="E272" s="129" t="s">
        <v>7101</v>
      </c>
      <c r="F272" s="130" t="s">
        <v>7102</v>
      </c>
      <c r="G272" s="131" t="s">
        <v>4460</v>
      </c>
      <c r="H272" s="132">
        <v>47</v>
      </c>
      <c r="I272" s="133"/>
      <c r="J272" s="134">
        <f t="shared" si="80"/>
        <v>0</v>
      </c>
      <c r="K272" s="130"/>
      <c r="L272" s="17"/>
      <c r="M272" s="135"/>
      <c r="N272" s="136" t="s">
        <v>45</v>
      </c>
      <c r="P272" s="137">
        <f t="shared" si="81"/>
        <v>0</v>
      </c>
      <c r="Q272" s="137">
        <v>0</v>
      </c>
      <c r="R272" s="137">
        <f t="shared" si="82"/>
        <v>0</v>
      </c>
      <c r="S272" s="137">
        <v>0</v>
      </c>
      <c r="T272" s="138">
        <f t="shared" si="83"/>
        <v>0</v>
      </c>
      <c r="AR272" s="139" t="s">
        <v>344</v>
      </c>
      <c r="AT272" s="139" t="s">
        <v>339</v>
      </c>
      <c r="AU272" s="139" t="s">
        <v>87</v>
      </c>
      <c r="AY272" s="2" t="s">
        <v>337</v>
      </c>
      <c r="BE272" s="140">
        <f t="shared" si="84"/>
        <v>0</v>
      </c>
      <c r="BF272" s="140">
        <f t="shared" si="85"/>
        <v>0</v>
      </c>
      <c r="BG272" s="140">
        <f t="shared" si="86"/>
        <v>0</v>
      </c>
      <c r="BH272" s="140">
        <f t="shared" si="87"/>
        <v>0</v>
      </c>
      <c r="BI272" s="140">
        <f t="shared" si="88"/>
        <v>0</v>
      </c>
      <c r="BJ272" s="2" t="s">
        <v>87</v>
      </c>
      <c r="BK272" s="140">
        <f t="shared" si="89"/>
        <v>0</v>
      </c>
      <c r="BL272" s="2" t="s">
        <v>344</v>
      </c>
      <c r="BM272" s="139" t="s">
        <v>6753</v>
      </c>
    </row>
    <row r="273" spans="2:65" s="16" customFormat="1" ht="16.5" customHeight="1" x14ac:dyDescent="0.2">
      <c r="B273" s="17"/>
      <c r="C273" s="128">
        <v>126</v>
      </c>
      <c r="D273" s="128" t="s">
        <v>339</v>
      </c>
      <c r="E273" s="129" t="s">
        <v>7103</v>
      </c>
      <c r="F273" s="130" t="s">
        <v>7104</v>
      </c>
      <c r="G273" s="131" t="s">
        <v>4460</v>
      </c>
      <c r="H273" s="132">
        <v>151</v>
      </c>
      <c r="I273" s="133"/>
      <c r="J273" s="134">
        <f t="shared" si="80"/>
        <v>0</v>
      </c>
      <c r="K273" s="130"/>
      <c r="L273" s="17"/>
      <c r="M273" s="135"/>
      <c r="N273" s="136" t="s">
        <v>45</v>
      </c>
      <c r="P273" s="137">
        <f t="shared" si="81"/>
        <v>0</v>
      </c>
      <c r="Q273" s="137">
        <v>0</v>
      </c>
      <c r="R273" s="137">
        <f t="shared" si="82"/>
        <v>0</v>
      </c>
      <c r="S273" s="137">
        <v>0</v>
      </c>
      <c r="T273" s="138">
        <f t="shared" si="83"/>
        <v>0</v>
      </c>
      <c r="AR273" s="139" t="s">
        <v>344</v>
      </c>
      <c r="AT273" s="139" t="s">
        <v>339</v>
      </c>
      <c r="AU273" s="139" t="s">
        <v>87</v>
      </c>
      <c r="AY273" s="2" t="s">
        <v>337</v>
      </c>
      <c r="BE273" s="140">
        <f t="shared" si="84"/>
        <v>0</v>
      </c>
      <c r="BF273" s="140">
        <f t="shared" si="85"/>
        <v>0</v>
      </c>
      <c r="BG273" s="140">
        <f t="shared" si="86"/>
        <v>0</v>
      </c>
      <c r="BH273" s="140">
        <f t="shared" si="87"/>
        <v>0</v>
      </c>
      <c r="BI273" s="140">
        <f t="shared" si="88"/>
        <v>0</v>
      </c>
      <c r="BJ273" s="2" t="s">
        <v>87</v>
      </c>
      <c r="BK273" s="140">
        <f t="shared" si="89"/>
        <v>0</v>
      </c>
      <c r="BL273" s="2" t="s">
        <v>344</v>
      </c>
      <c r="BM273" s="139" t="s">
        <v>7105</v>
      </c>
    </row>
    <row r="274" spans="2:65" s="16" customFormat="1" ht="16.5" customHeight="1" x14ac:dyDescent="0.2">
      <c r="B274" s="17"/>
      <c r="C274" s="128">
        <v>127</v>
      </c>
      <c r="D274" s="128" t="s">
        <v>339</v>
      </c>
      <c r="E274" s="129" t="s">
        <v>7106</v>
      </c>
      <c r="F274" s="130" t="s">
        <v>7107</v>
      </c>
      <c r="G274" s="131" t="s">
        <v>4460</v>
      </c>
      <c r="H274" s="132">
        <v>22</v>
      </c>
      <c r="I274" s="133"/>
      <c r="J274" s="134">
        <f t="shared" si="80"/>
        <v>0</v>
      </c>
      <c r="K274" s="130"/>
      <c r="L274" s="17"/>
      <c r="M274" s="135"/>
      <c r="N274" s="136" t="s">
        <v>45</v>
      </c>
      <c r="P274" s="137">
        <f t="shared" si="81"/>
        <v>0</v>
      </c>
      <c r="Q274" s="137">
        <v>0</v>
      </c>
      <c r="R274" s="137">
        <f t="shared" si="82"/>
        <v>0</v>
      </c>
      <c r="S274" s="137">
        <v>0</v>
      </c>
      <c r="T274" s="138">
        <f t="shared" si="83"/>
        <v>0</v>
      </c>
      <c r="AR274" s="139" t="s">
        <v>344</v>
      </c>
      <c r="AT274" s="139" t="s">
        <v>339</v>
      </c>
      <c r="AU274" s="139" t="s">
        <v>87</v>
      </c>
      <c r="AY274" s="2" t="s">
        <v>337</v>
      </c>
      <c r="BE274" s="140">
        <f t="shared" si="84"/>
        <v>0</v>
      </c>
      <c r="BF274" s="140">
        <f t="shared" si="85"/>
        <v>0</v>
      </c>
      <c r="BG274" s="140">
        <f t="shared" si="86"/>
        <v>0</v>
      </c>
      <c r="BH274" s="140">
        <f t="shared" si="87"/>
        <v>0</v>
      </c>
      <c r="BI274" s="140">
        <f t="shared" si="88"/>
        <v>0</v>
      </c>
      <c r="BJ274" s="2" t="s">
        <v>87</v>
      </c>
      <c r="BK274" s="140">
        <f t="shared" si="89"/>
        <v>0</v>
      </c>
      <c r="BL274" s="2" t="s">
        <v>344</v>
      </c>
      <c r="BM274" s="139" t="s">
        <v>7108</v>
      </c>
    </row>
    <row r="275" spans="2:65" s="16" customFormat="1" ht="16.5" customHeight="1" x14ac:dyDescent="0.2">
      <c r="B275" s="17"/>
      <c r="C275" s="128">
        <v>128</v>
      </c>
      <c r="D275" s="128" t="s">
        <v>339</v>
      </c>
      <c r="E275" s="129" t="s">
        <v>7109</v>
      </c>
      <c r="F275" s="130" t="s">
        <v>7110</v>
      </c>
      <c r="G275" s="131" t="s">
        <v>4460</v>
      </c>
      <c r="H275" s="132">
        <v>85</v>
      </c>
      <c r="I275" s="133"/>
      <c r="J275" s="134">
        <f t="shared" si="80"/>
        <v>0</v>
      </c>
      <c r="K275" s="130"/>
      <c r="L275" s="17"/>
      <c r="M275" s="135"/>
      <c r="N275" s="136" t="s">
        <v>45</v>
      </c>
      <c r="P275" s="137">
        <f t="shared" si="81"/>
        <v>0</v>
      </c>
      <c r="Q275" s="137">
        <v>0</v>
      </c>
      <c r="R275" s="137">
        <f t="shared" si="82"/>
        <v>0</v>
      </c>
      <c r="S275" s="137">
        <v>0</v>
      </c>
      <c r="T275" s="138">
        <f t="shared" si="83"/>
        <v>0</v>
      </c>
      <c r="AR275" s="139" t="s">
        <v>344</v>
      </c>
      <c r="AT275" s="139" t="s">
        <v>339</v>
      </c>
      <c r="AU275" s="139" t="s">
        <v>87</v>
      </c>
      <c r="AY275" s="2" t="s">
        <v>337</v>
      </c>
      <c r="BE275" s="140">
        <f t="shared" si="84"/>
        <v>0</v>
      </c>
      <c r="BF275" s="140">
        <f t="shared" si="85"/>
        <v>0</v>
      </c>
      <c r="BG275" s="140">
        <f t="shared" si="86"/>
        <v>0</v>
      </c>
      <c r="BH275" s="140">
        <f t="shared" si="87"/>
        <v>0</v>
      </c>
      <c r="BI275" s="140">
        <f t="shared" si="88"/>
        <v>0</v>
      </c>
      <c r="BJ275" s="2" t="s">
        <v>87</v>
      </c>
      <c r="BK275" s="140">
        <f t="shared" si="89"/>
        <v>0</v>
      </c>
      <c r="BL275" s="2" t="s">
        <v>344</v>
      </c>
      <c r="BM275" s="139" t="s">
        <v>7111</v>
      </c>
    </row>
    <row r="276" spans="2:65" s="16" customFormat="1" ht="16.5" customHeight="1" x14ac:dyDescent="0.2">
      <c r="B276" s="17"/>
      <c r="C276" s="128">
        <v>129</v>
      </c>
      <c r="D276" s="128" t="s">
        <v>339</v>
      </c>
      <c r="E276" s="129" t="s">
        <v>7112</v>
      </c>
      <c r="F276" s="130" t="s">
        <v>7113</v>
      </c>
      <c r="G276" s="131" t="s">
        <v>4460</v>
      </c>
      <c r="H276" s="132">
        <v>96</v>
      </c>
      <c r="I276" s="133"/>
      <c r="J276" s="134">
        <f t="shared" si="80"/>
        <v>0</v>
      </c>
      <c r="K276" s="130"/>
      <c r="L276" s="17"/>
      <c r="M276" s="135"/>
      <c r="N276" s="136" t="s">
        <v>45</v>
      </c>
      <c r="P276" s="137">
        <f t="shared" si="81"/>
        <v>0</v>
      </c>
      <c r="Q276" s="137">
        <v>0</v>
      </c>
      <c r="R276" s="137">
        <f t="shared" si="82"/>
        <v>0</v>
      </c>
      <c r="S276" s="137">
        <v>0</v>
      </c>
      <c r="T276" s="138">
        <f t="shared" si="83"/>
        <v>0</v>
      </c>
      <c r="AR276" s="139" t="s">
        <v>344</v>
      </c>
      <c r="AT276" s="139" t="s">
        <v>339</v>
      </c>
      <c r="AU276" s="139" t="s">
        <v>87</v>
      </c>
      <c r="AY276" s="2" t="s">
        <v>337</v>
      </c>
      <c r="BE276" s="140">
        <f t="shared" si="84"/>
        <v>0</v>
      </c>
      <c r="BF276" s="140">
        <f t="shared" si="85"/>
        <v>0</v>
      </c>
      <c r="BG276" s="140">
        <f t="shared" si="86"/>
        <v>0</v>
      </c>
      <c r="BH276" s="140">
        <f t="shared" si="87"/>
        <v>0</v>
      </c>
      <c r="BI276" s="140">
        <f t="shared" si="88"/>
        <v>0</v>
      </c>
      <c r="BJ276" s="2" t="s">
        <v>87</v>
      </c>
      <c r="BK276" s="140">
        <f t="shared" si="89"/>
        <v>0</v>
      </c>
      <c r="BL276" s="2" t="s">
        <v>344</v>
      </c>
      <c r="BM276" s="139" t="s">
        <v>7114</v>
      </c>
    </row>
    <row r="277" spans="2:65" s="16" customFormat="1" ht="16.5" customHeight="1" x14ac:dyDescent="0.2">
      <c r="B277" s="17"/>
      <c r="C277" s="128">
        <v>130</v>
      </c>
      <c r="D277" s="128" t="s">
        <v>339</v>
      </c>
      <c r="E277" s="129" t="s">
        <v>7115</v>
      </c>
      <c r="F277" s="130" t="s">
        <v>7116</v>
      </c>
      <c r="G277" s="131" t="s">
        <v>4460</v>
      </c>
      <c r="H277" s="132">
        <v>6</v>
      </c>
      <c r="I277" s="133"/>
      <c r="J277" s="134">
        <f t="shared" si="80"/>
        <v>0</v>
      </c>
      <c r="K277" s="130"/>
      <c r="L277" s="17"/>
      <c r="M277" s="135"/>
      <c r="N277" s="136" t="s">
        <v>45</v>
      </c>
      <c r="P277" s="137">
        <f t="shared" si="81"/>
        <v>0</v>
      </c>
      <c r="Q277" s="137">
        <v>0</v>
      </c>
      <c r="R277" s="137">
        <f t="shared" si="82"/>
        <v>0</v>
      </c>
      <c r="S277" s="137">
        <v>0</v>
      </c>
      <c r="T277" s="138">
        <f t="shared" si="83"/>
        <v>0</v>
      </c>
      <c r="AR277" s="139" t="s">
        <v>344</v>
      </c>
      <c r="AT277" s="139" t="s">
        <v>339</v>
      </c>
      <c r="AU277" s="139" t="s">
        <v>87</v>
      </c>
      <c r="AY277" s="2" t="s">
        <v>337</v>
      </c>
      <c r="BE277" s="140">
        <f t="shared" si="84"/>
        <v>0</v>
      </c>
      <c r="BF277" s="140">
        <f t="shared" si="85"/>
        <v>0</v>
      </c>
      <c r="BG277" s="140">
        <f t="shared" si="86"/>
        <v>0</v>
      </c>
      <c r="BH277" s="140">
        <f t="shared" si="87"/>
        <v>0</v>
      </c>
      <c r="BI277" s="140">
        <f t="shared" si="88"/>
        <v>0</v>
      </c>
      <c r="BJ277" s="2" t="s">
        <v>87</v>
      </c>
      <c r="BK277" s="140">
        <f t="shared" si="89"/>
        <v>0</v>
      </c>
      <c r="BL277" s="2" t="s">
        <v>344</v>
      </c>
      <c r="BM277" s="139" t="s">
        <v>7117</v>
      </c>
    </row>
    <row r="278" spans="2:65" s="16" customFormat="1" ht="16.5" customHeight="1" x14ac:dyDescent="0.2">
      <c r="B278" s="17"/>
      <c r="C278" s="128">
        <v>131</v>
      </c>
      <c r="D278" s="128" t="s">
        <v>339</v>
      </c>
      <c r="E278" s="129" t="s">
        <v>7118</v>
      </c>
      <c r="F278" s="130" t="s">
        <v>7119</v>
      </c>
      <c r="G278" s="131" t="s">
        <v>4460</v>
      </c>
      <c r="H278" s="132">
        <v>11</v>
      </c>
      <c r="I278" s="133"/>
      <c r="J278" s="134">
        <f t="shared" si="80"/>
        <v>0</v>
      </c>
      <c r="K278" s="130"/>
      <c r="L278" s="17"/>
      <c r="M278" s="135"/>
      <c r="N278" s="136" t="s">
        <v>45</v>
      </c>
      <c r="P278" s="137">
        <f t="shared" si="81"/>
        <v>0</v>
      </c>
      <c r="Q278" s="137">
        <v>0</v>
      </c>
      <c r="R278" s="137">
        <f t="shared" si="82"/>
        <v>0</v>
      </c>
      <c r="S278" s="137">
        <v>0</v>
      </c>
      <c r="T278" s="138">
        <f t="shared" si="83"/>
        <v>0</v>
      </c>
      <c r="AR278" s="139" t="s">
        <v>344</v>
      </c>
      <c r="AT278" s="139" t="s">
        <v>339</v>
      </c>
      <c r="AU278" s="139" t="s">
        <v>87</v>
      </c>
      <c r="AY278" s="2" t="s">
        <v>337</v>
      </c>
      <c r="BE278" s="140">
        <f t="shared" si="84"/>
        <v>0</v>
      </c>
      <c r="BF278" s="140">
        <f t="shared" si="85"/>
        <v>0</v>
      </c>
      <c r="BG278" s="140">
        <f t="shared" si="86"/>
        <v>0</v>
      </c>
      <c r="BH278" s="140">
        <f t="shared" si="87"/>
        <v>0</v>
      </c>
      <c r="BI278" s="140">
        <f t="shared" si="88"/>
        <v>0</v>
      </c>
      <c r="BJ278" s="2" t="s">
        <v>87</v>
      </c>
      <c r="BK278" s="140">
        <f t="shared" si="89"/>
        <v>0</v>
      </c>
      <c r="BL278" s="2" t="s">
        <v>344</v>
      </c>
      <c r="BM278" s="139" t="s">
        <v>7120</v>
      </c>
    </row>
    <row r="279" spans="2:65" s="16" customFormat="1" ht="16.5" customHeight="1" x14ac:dyDescent="0.2">
      <c r="B279" s="17"/>
      <c r="C279" s="128">
        <v>132</v>
      </c>
      <c r="D279" s="128" t="s">
        <v>339</v>
      </c>
      <c r="E279" s="129" t="s">
        <v>7121</v>
      </c>
      <c r="F279" s="130" t="s">
        <v>7122</v>
      </c>
      <c r="G279" s="131" t="s">
        <v>4460</v>
      </c>
      <c r="H279" s="132">
        <v>1538</v>
      </c>
      <c r="I279" s="133"/>
      <c r="J279" s="134">
        <f t="shared" si="80"/>
        <v>0</v>
      </c>
      <c r="K279" s="130"/>
      <c r="L279" s="17"/>
      <c r="M279" s="135"/>
      <c r="N279" s="136" t="s">
        <v>45</v>
      </c>
      <c r="P279" s="137">
        <f t="shared" si="81"/>
        <v>0</v>
      </c>
      <c r="Q279" s="137">
        <v>0</v>
      </c>
      <c r="R279" s="137">
        <f t="shared" si="82"/>
        <v>0</v>
      </c>
      <c r="S279" s="137">
        <v>0</v>
      </c>
      <c r="T279" s="138">
        <f t="shared" si="83"/>
        <v>0</v>
      </c>
      <c r="AR279" s="139" t="s">
        <v>344</v>
      </c>
      <c r="AT279" s="139" t="s">
        <v>339</v>
      </c>
      <c r="AU279" s="139" t="s">
        <v>87</v>
      </c>
      <c r="AY279" s="2" t="s">
        <v>337</v>
      </c>
      <c r="BE279" s="140">
        <f t="shared" si="84"/>
        <v>0</v>
      </c>
      <c r="BF279" s="140">
        <f t="shared" si="85"/>
        <v>0</v>
      </c>
      <c r="BG279" s="140">
        <f t="shared" si="86"/>
        <v>0</v>
      </c>
      <c r="BH279" s="140">
        <f t="shared" si="87"/>
        <v>0</v>
      </c>
      <c r="BI279" s="140">
        <f t="shared" si="88"/>
        <v>0</v>
      </c>
      <c r="BJ279" s="2" t="s">
        <v>87</v>
      </c>
      <c r="BK279" s="140">
        <f t="shared" si="89"/>
        <v>0</v>
      </c>
      <c r="BL279" s="2" t="s">
        <v>344</v>
      </c>
      <c r="BM279" s="139" t="s">
        <v>7123</v>
      </c>
    </row>
    <row r="280" spans="2:65" s="16" customFormat="1" ht="16.5" customHeight="1" x14ac:dyDescent="0.2">
      <c r="B280" s="17"/>
      <c r="C280" s="128">
        <v>133</v>
      </c>
      <c r="D280" s="128" t="s">
        <v>339</v>
      </c>
      <c r="E280" s="129" t="s">
        <v>7124</v>
      </c>
      <c r="F280" s="130" t="s">
        <v>7125</v>
      </c>
      <c r="G280" s="131" t="s">
        <v>4460</v>
      </c>
      <c r="H280" s="132">
        <v>13</v>
      </c>
      <c r="I280" s="133"/>
      <c r="J280" s="134">
        <f t="shared" si="80"/>
        <v>0</v>
      </c>
      <c r="K280" s="130"/>
      <c r="L280" s="17"/>
      <c r="M280" s="135"/>
      <c r="N280" s="136" t="s">
        <v>45</v>
      </c>
      <c r="P280" s="137">
        <f t="shared" si="81"/>
        <v>0</v>
      </c>
      <c r="Q280" s="137">
        <v>0</v>
      </c>
      <c r="R280" s="137">
        <f t="shared" si="82"/>
        <v>0</v>
      </c>
      <c r="S280" s="137">
        <v>0</v>
      </c>
      <c r="T280" s="138">
        <f t="shared" si="83"/>
        <v>0</v>
      </c>
      <c r="AR280" s="139" t="s">
        <v>344</v>
      </c>
      <c r="AT280" s="139" t="s">
        <v>339</v>
      </c>
      <c r="AU280" s="139" t="s">
        <v>87</v>
      </c>
      <c r="AY280" s="2" t="s">
        <v>337</v>
      </c>
      <c r="BE280" s="140">
        <f t="shared" si="84"/>
        <v>0</v>
      </c>
      <c r="BF280" s="140">
        <f t="shared" si="85"/>
        <v>0</v>
      </c>
      <c r="BG280" s="140">
        <f t="shared" si="86"/>
        <v>0</v>
      </c>
      <c r="BH280" s="140">
        <f t="shared" si="87"/>
        <v>0</v>
      </c>
      <c r="BI280" s="140">
        <f t="shared" si="88"/>
        <v>0</v>
      </c>
      <c r="BJ280" s="2" t="s">
        <v>87</v>
      </c>
      <c r="BK280" s="140">
        <f t="shared" si="89"/>
        <v>0</v>
      </c>
      <c r="BL280" s="2" t="s">
        <v>344</v>
      </c>
      <c r="BM280" s="139" t="s">
        <v>7126</v>
      </c>
    </row>
    <row r="281" spans="2:65" s="16" customFormat="1" ht="16.5" customHeight="1" x14ac:dyDescent="0.2">
      <c r="B281" s="17"/>
      <c r="C281" s="128">
        <v>134</v>
      </c>
      <c r="D281" s="128" t="s">
        <v>339</v>
      </c>
      <c r="E281" s="129" t="s">
        <v>7127</v>
      </c>
      <c r="F281" s="130" t="s">
        <v>7128</v>
      </c>
      <c r="G281" s="131" t="s">
        <v>4460</v>
      </c>
      <c r="H281" s="132">
        <v>1</v>
      </c>
      <c r="I281" s="133"/>
      <c r="J281" s="134">
        <f t="shared" si="80"/>
        <v>0</v>
      </c>
      <c r="K281" s="130"/>
      <c r="L281" s="17"/>
      <c r="M281" s="135"/>
      <c r="N281" s="136" t="s">
        <v>45</v>
      </c>
      <c r="P281" s="137">
        <f t="shared" si="81"/>
        <v>0</v>
      </c>
      <c r="Q281" s="137">
        <v>0</v>
      </c>
      <c r="R281" s="137">
        <f t="shared" si="82"/>
        <v>0</v>
      </c>
      <c r="S281" s="137">
        <v>0</v>
      </c>
      <c r="T281" s="138">
        <f t="shared" si="83"/>
        <v>0</v>
      </c>
      <c r="AR281" s="139" t="s">
        <v>344</v>
      </c>
      <c r="AT281" s="139" t="s">
        <v>339</v>
      </c>
      <c r="AU281" s="139" t="s">
        <v>87</v>
      </c>
      <c r="AY281" s="2" t="s">
        <v>337</v>
      </c>
      <c r="BE281" s="140">
        <f t="shared" si="84"/>
        <v>0</v>
      </c>
      <c r="BF281" s="140">
        <f t="shared" si="85"/>
        <v>0</v>
      </c>
      <c r="BG281" s="140">
        <f t="shared" si="86"/>
        <v>0</v>
      </c>
      <c r="BH281" s="140">
        <f t="shared" si="87"/>
        <v>0</v>
      </c>
      <c r="BI281" s="140">
        <f t="shared" si="88"/>
        <v>0</v>
      </c>
      <c r="BJ281" s="2" t="s">
        <v>87</v>
      </c>
      <c r="BK281" s="140">
        <f t="shared" si="89"/>
        <v>0</v>
      </c>
      <c r="BL281" s="2" t="s">
        <v>344</v>
      </c>
      <c r="BM281" s="139" t="s">
        <v>7129</v>
      </c>
    </row>
    <row r="282" spans="2:65" s="16" customFormat="1" ht="16.5" customHeight="1" x14ac:dyDescent="0.2">
      <c r="B282" s="17"/>
      <c r="C282" s="128">
        <v>135</v>
      </c>
      <c r="D282" s="128" t="s">
        <v>339</v>
      </c>
      <c r="E282" s="129" t="s">
        <v>7130</v>
      </c>
      <c r="F282" s="130" t="s">
        <v>7131</v>
      </c>
      <c r="G282" s="131" t="s">
        <v>4460</v>
      </c>
      <c r="H282" s="132">
        <v>4</v>
      </c>
      <c r="I282" s="133"/>
      <c r="J282" s="134">
        <f t="shared" si="80"/>
        <v>0</v>
      </c>
      <c r="K282" s="130"/>
      <c r="L282" s="17"/>
      <c r="M282" s="135"/>
      <c r="N282" s="136" t="s">
        <v>45</v>
      </c>
      <c r="P282" s="137">
        <f t="shared" si="81"/>
        <v>0</v>
      </c>
      <c r="Q282" s="137">
        <v>0</v>
      </c>
      <c r="R282" s="137">
        <f t="shared" si="82"/>
        <v>0</v>
      </c>
      <c r="S282" s="137">
        <v>0</v>
      </c>
      <c r="T282" s="138">
        <f t="shared" si="83"/>
        <v>0</v>
      </c>
      <c r="AR282" s="139" t="s">
        <v>344</v>
      </c>
      <c r="AT282" s="139" t="s">
        <v>339</v>
      </c>
      <c r="AU282" s="139" t="s">
        <v>87</v>
      </c>
      <c r="AY282" s="2" t="s">
        <v>337</v>
      </c>
      <c r="BE282" s="140">
        <f t="shared" si="84"/>
        <v>0</v>
      </c>
      <c r="BF282" s="140">
        <f t="shared" si="85"/>
        <v>0</v>
      </c>
      <c r="BG282" s="140">
        <f t="shared" si="86"/>
        <v>0</v>
      </c>
      <c r="BH282" s="140">
        <f t="shared" si="87"/>
        <v>0</v>
      </c>
      <c r="BI282" s="140">
        <f t="shared" si="88"/>
        <v>0</v>
      </c>
      <c r="BJ282" s="2" t="s">
        <v>87</v>
      </c>
      <c r="BK282" s="140">
        <f t="shared" si="89"/>
        <v>0</v>
      </c>
      <c r="BL282" s="2" t="s">
        <v>344</v>
      </c>
      <c r="BM282" s="139" t="s">
        <v>7132</v>
      </c>
    </row>
    <row r="283" spans="2:65" s="16" customFormat="1" ht="16.5" customHeight="1" x14ac:dyDescent="0.2">
      <c r="B283" s="17"/>
      <c r="C283" s="128">
        <v>136</v>
      </c>
      <c r="D283" s="128" t="s">
        <v>339</v>
      </c>
      <c r="E283" s="129" t="s">
        <v>7133</v>
      </c>
      <c r="F283" s="130" t="s">
        <v>7134</v>
      </c>
      <c r="G283" s="131" t="s">
        <v>4460</v>
      </c>
      <c r="H283" s="132">
        <v>79</v>
      </c>
      <c r="I283" s="133"/>
      <c r="J283" s="134">
        <f t="shared" si="80"/>
        <v>0</v>
      </c>
      <c r="K283" s="130"/>
      <c r="L283" s="17"/>
      <c r="M283" s="135"/>
      <c r="N283" s="136" t="s">
        <v>45</v>
      </c>
      <c r="P283" s="137">
        <f t="shared" si="81"/>
        <v>0</v>
      </c>
      <c r="Q283" s="137">
        <v>0</v>
      </c>
      <c r="R283" s="137">
        <f t="shared" si="82"/>
        <v>0</v>
      </c>
      <c r="S283" s="137">
        <v>0</v>
      </c>
      <c r="T283" s="138">
        <f t="shared" si="83"/>
        <v>0</v>
      </c>
      <c r="AR283" s="139" t="s">
        <v>344</v>
      </c>
      <c r="AT283" s="139" t="s">
        <v>339</v>
      </c>
      <c r="AU283" s="139" t="s">
        <v>87</v>
      </c>
      <c r="AY283" s="2" t="s">
        <v>337</v>
      </c>
      <c r="BE283" s="140">
        <f t="shared" si="84"/>
        <v>0</v>
      </c>
      <c r="BF283" s="140">
        <f t="shared" si="85"/>
        <v>0</v>
      </c>
      <c r="BG283" s="140">
        <f t="shared" si="86"/>
        <v>0</v>
      </c>
      <c r="BH283" s="140">
        <f t="shared" si="87"/>
        <v>0</v>
      </c>
      <c r="BI283" s="140">
        <f t="shared" si="88"/>
        <v>0</v>
      </c>
      <c r="BJ283" s="2" t="s">
        <v>87</v>
      </c>
      <c r="BK283" s="140">
        <f t="shared" si="89"/>
        <v>0</v>
      </c>
      <c r="BL283" s="2" t="s">
        <v>344</v>
      </c>
      <c r="BM283" s="139" t="s">
        <v>7135</v>
      </c>
    </row>
    <row r="284" spans="2:65" s="16" customFormat="1" ht="16.5" customHeight="1" x14ac:dyDescent="0.2">
      <c r="B284" s="17"/>
      <c r="C284" s="128">
        <v>137</v>
      </c>
      <c r="D284" s="128" t="s">
        <v>339</v>
      </c>
      <c r="E284" s="129" t="s">
        <v>7136</v>
      </c>
      <c r="F284" s="130" t="s">
        <v>7137</v>
      </c>
      <c r="G284" s="131" t="s">
        <v>4460</v>
      </c>
      <c r="H284" s="132">
        <v>4</v>
      </c>
      <c r="I284" s="133"/>
      <c r="J284" s="134">
        <f t="shared" si="80"/>
        <v>0</v>
      </c>
      <c r="K284" s="130"/>
      <c r="L284" s="17"/>
      <c r="M284" s="135"/>
      <c r="N284" s="136" t="s">
        <v>45</v>
      </c>
      <c r="P284" s="137">
        <f t="shared" si="81"/>
        <v>0</v>
      </c>
      <c r="Q284" s="137">
        <v>0</v>
      </c>
      <c r="R284" s="137">
        <f t="shared" si="82"/>
        <v>0</v>
      </c>
      <c r="S284" s="137">
        <v>0</v>
      </c>
      <c r="T284" s="138">
        <f t="shared" si="83"/>
        <v>0</v>
      </c>
      <c r="AR284" s="139" t="s">
        <v>344</v>
      </c>
      <c r="AT284" s="139" t="s">
        <v>339</v>
      </c>
      <c r="AU284" s="139" t="s">
        <v>87</v>
      </c>
      <c r="AY284" s="2" t="s">
        <v>337</v>
      </c>
      <c r="BE284" s="140">
        <f t="shared" si="84"/>
        <v>0</v>
      </c>
      <c r="BF284" s="140">
        <f t="shared" si="85"/>
        <v>0</v>
      </c>
      <c r="BG284" s="140">
        <f t="shared" si="86"/>
        <v>0</v>
      </c>
      <c r="BH284" s="140">
        <f t="shared" si="87"/>
        <v>0</v>
      </c>
      <c r="BI284" s="140">
        <f t="shared" si="88"/>
        <v>0</v>
      </c>
      <c r="BJ284" s="2" t="s">
        <v>87</v>
      </c>
      <c r="BK284" s="140">
        <f t="shared" si="89"/>
        <v>0</v>
      </c>
      <c r="BL284" s="2" t="s">
        <v>344</v>
      </c>
      <c r="BM284" s="139" t="s">
        <v>7138</v>
      </c>
    </row>
    <row r="285" spans="2:65" s="16" customFormat="1" ht="16.5" customHeight="1" x14ac:dyDescent="0.2">
      <c r="B285" s="17"/>
      <c r="C285" s="128">
        <v>138</v>
      </c>
      <c r="D285" s="128" t="s">
        <v>339</v>
      </c>
      <c r="E285" s="129" t="s">
        <v>7139</v>
      </c>
      <c r="F285" s="130" t="s">
        <v>7140</v>
      </c>
      <c r="G285" s="131" t="s">
        <v>4460</v>
      </c>
      <c r="H285" s="132">
        <v>154</v>
      </c>
      <c r="I285" s="133"/>
      <c r="J285" s="134">
        <f t="shared" si="80"/>
        <v>0</v>
      </c>
      <c r="K285" s="130"/>
      <c r="L285" s="17"/>
      <c r="M285" s="135"/>
      <c r="N285" s="136" t="s">
        <v>45</v>
      </c>
      <c r="P285" s="137">
        <f t="shared" si="81"/>
        <v>0</v>
      </c>
      <c r="Q285" s="137">
        <v>0</v>
      </c>
      <c r="R285" s="137">
        <f t="shared" si="82"/>
        <v>0</v>
      </c>
      <c r="S285" s="137">
        <v>0</v>
      </c>
      <c r="T285" s="138">
        <f t="shared" si="83"/>
        <v>0</v>
      </c>
      <c r="AR285" s="139" t="s">
        <v>344</v>
      </c>
      <c r="AT285" s="139" t="s">
        <v>339</v>
      </c>
      <c r="AU285" s="139" t="s">
        <v>87</v>
      </c>
      <c r="AY285" s="2" t="s">
        <v>337</v>
      </c>
      <c r="BE285" s="140">
        <f t="shared" si="84"/>
        <v>0</v>
      </c>
      <c r="BF285" s="140">
        <f t="shared" si="85"/>
        <v>0</v>
      </c>
      <c r="BG285" s="140">
        <f t="shared" si="86"/>
        <v>0</v>
      </c>
      <c r="BH285" s="140">
        <f t="shared" si="87"/>
        <v>0</v>
      </c>
      <c r="BI285" s="140">
        <f t="shared" si="88"/>
        <v>0</v>
      </c>
      <c r="BJ285" s="2" t="s">
        <v>87</v>
      </c>
      <c r="BK285" s="140">
        <f t="shared" si="89"/>
        <v>0</v>
      </c>
      <c r="BL285" s="2" t="s">
        <v>344</v>
      </c>
      <c r="BM285" s="139" t="s">
        <v>7141</v>
      </c>
    </row>
    <row r="286" spans="2:65" s="16" customFormat="1" ht="16.5" customHeight="1" x14ac:dyDescent="0.2">
      <c r="B286" s="17"/>
      <c r="C286" s="128">
        <v>139</v>
      </c>
      <c r="D286" s="128" t="s">
        <v>339</v>
      </c>
      <c r="E286" s="129" t="s">
        <v>7142</v>
      </c>
      <c r="F286" s="130" t="s">
        <v>7143</v>
      </c>
      <c r="G286" s="131" t="s">
        <v>4460</v>
      </c>
      <c r="H286" s="132">
        <v>154</v>
      </c>
      <c r="I286" s="133"/>
      <c r="J286" s="134">
        <f t="shared" si="80"/>
        <v>0</v>
      </c>
      <c r="K286" s="130"/>
      <c r="L286" s="17"/>
      <c r="M286" s="135"/>
      <c r="N286" s="136" t="s">
        <v>45</v>
      </c>
      <c r="P286" s="137">
        <f t="shared" si="81"/>
        <v>0</v>
      </c>
      <c r="Q286" s="137">
        <v>0</v>
      </c>
      <c r="R286" s="137">
        <f t="shared" si="82"/>
        <v>0</v>
      </c>
      <c r="S286" s="137">
        <v>0</v>
      </c>
      <c r="T286" s="138">
        <f t="shared" si="83"/>
        <v>0</v>
      </c>
      <c r="AR286" s="139" t="s">
        <v>344</v>
      </c>
      <c r="AT286" s="139" t="s">
        <v>339</v>
      </c>
      <c r="AU286" s="139" t="s">
        <v>87</v>
      </c>
      <c r="AY286" s="2" t="s">
        <v>337</v>
      </c>
      <c r="BE286" s="140">
        <f t="shared" si="84"/>
        <v>0</v>
      </c>
      <c r="BF286" s="140">
        <f t="shared" si="85"/>
        <v>0</v>
      </c>
      <c r="BG286" s="140">
        <f t="shared" si="86"/>
        <v>0</v>
      </c>
      <c r="BH286" s="140">
        <f t="shared" si="87"/>
        <v>0</v>
      </c>
      <c r="BI286" s="140">
        <f t="shared" si="88"/>
        <v>0</v>
      </c>
      <c r="BJ286" s="2" t="s">
        <v>87</v>
      </c>
      <c r="BK286" s="140">
        <f t="shared" si="89"/>
        <v>0</v>
      </c>
      <c r="BL286" s="2" t="s">
        <v>344</v>
      </c>
      <c r="BM286" s="139" t="s">
        <v>7144</v>
      </c>
    </row>
    <row r="287" spans="2:65" s="16" customFormat="1" ht="16.5" customHeight="1" x14ac:dyDescent="0.2">
      <c r="B287" s="17"/>
      <c r="C287" s="128">
        <v>140</v>
      </c>
      <c r="D287" s="128" t="s">
        <v>339</v>
      </c>
      <c r="E287" s="129" t="s">
        <v>7145</v>
      </c>
      <c r="F287" s="130" t="s">
        <v>7146</v>
      </c>
      <c r="G287" s="131" t="s">
        <v>4460</v>
      </c>
      <c r="H287" s="132">
        <v>20</v>
      </c>
      <c r="I287" s="133"/>
      <c r="J287" s="134">
        <f t="shared" si="80"/>
        <v>0</v>
      </c>
      <c r="K287" s="130"/>
      <c r="L287" s="17"/>
      <c r="M287" s="135"/>
      <c r="N287" s="136" t="s">
        <v>45</v>
      </c>
      <c r="P287" s="137">
        <f t="shared" si="81"/>
        <v>0</v>
      </c>
      <c r="Q287" s="137">
        <v>0</v>
      </c>
      <c r="R287" s="137">
        <f t="shared" si="82"/>
        <v>0</v>
      </c>
      <c r="S287" s="137">
        <v>0</v>
      </c>
      <c r="T287" s="138">
        <f t="shared" si="83"/>
        <v>0</v>
      </c>
      <c r="AR287" s="139" t="s">
        <v>344</v>
      </c>
      <c r="AT287" s="139" t="s">
        <v>339</v>
      </c>
      <c r="AU287" s="139" t="s">
        <v>87</v>
      </c>
      <c r="AY287" s="2" t="s">
        <v>337</v>
      </c>
      <c r="BE287" s="140">
        <f t="shared" si="84"/>
        <v>0</v>
      </c>
      <c r="BF287" s="140">
        <f t="shared" si="85"/>
        <v>0</v>
      </c>
      <c r="BG287" s="140">
        <f t="shared" si="86"/>
        <v>0</v>
      </c>
      <c r="BH287" s="140">
        <f t="shared" si="87"/>
        <v>0</v>
      </c>
      <c r="BI287" s="140">
        <f t="shared" si="88"/>
        <v>0</v>
      </c>
      <c r="BJ287" s="2" t="s">
        <v>87</v>
      </c>
      <c r="BK287" s="140">
        <f t="shared" si="89"/>
        <v>0</v>
      </c>
      <c r="BL287" s="2" t="s">
        <v>344</v>
      </c>
      <c r="BM287" s="139" t="s">
        <v>7147</v>
      </c>
    </row>
    <row r="288" spans="2:65" s="16" customFormat="1" ht="16.5" customHeight="1" x14ac:dyDescent="0.2">
      <c r="B288" s="17"/>
      <c r="C288" s="128">
        <v>141</v>
      </c>
      <c r="D288" s="128" t="s">
        <v>339</v>
      </c>
      <c r="E288" s="129" t="s">
        <v>7148</v>
      </c>
      <c r="F288" s="130" t="s">
        <v>7143</v>
      </c>
      <c r="G288" s="131" t="s">
        <v>4460</v>
      </c>
      <c r="H288" s="132">
        <v>20</v>
      </c>
      <c r="I288" s="133"/>
      <c r="J288" s="134">
        <f t="shared" si="80"/>
        <v>0</v>
      </c>
      <c r="K288" s="130"/>
      <c r="L288" s="17"/>
      <c r="M288" s="135"/>
      <c r="N288" s="136" t="s">
        <v>45</v>
      </c>
      <c r="P288" s="137">
        <f t="shared" si="81"/>
        <v>0</v>
      </c>
      <c r="Q288" s="137">
        <v>0</v>
      </c>
      <c r="R288" s="137">
        <f t="shared" si="82"/>
        <v>0</v>
      </c>
      <c r="S288" s="137">
        <v>0</v>
      </c>
      <c r="T288" s="138">
        <f t="shared" si="83"/>
        <v>0</v>
      </c>
      <c r="AR288" s="139" t="s">
        <v>344</v>
      </c>
      <c r="AT288" s="139" t="s">
        <v>339</v>
      </c>
      <c r="AU288" s="139" t="s">
        <v>87</v>
      </c>
      <c r="AY288" s="2" t="s">
        <v>337</v>
      </c>
      <c r="BE288" s="140">
        <f t="shared" si="84"/>
        <v>0</v>
      </c>
      <c r="BF288" s="140">
        <f t="shared" si="85"/>
        <v>0</v>
      </c>
      <c r="BG288" s="140">
        <f t="shared" si="86"/>
        <v>0</v>
      </c>
      <c r="BH288" s="140">
        <f t="shared" si="87"/>
        <v>0</v>
      </c>
      <c r="BI288" s="140">
        <f t="shared" si="88"/>
        <v>0</v>
      </c>
      <c r="BJ288" s="2" t="s">
        <v>87</v>
      </c>
      <c r="BK288" s="140">
        <f t="shared" si="89"/>
        <v>0</v>
      </c>
      <c r="BL288" s="2" t="s">
        <v>344</v>
      </c>
      <c r="BM288" s="139" t="s">
        <v>7149</v>
      </c>
    </row>
    <row r="289" spans="2:65" s="16" customFormat="1" ht="16.5" customHeight="1" x14ac:dyDescent="0.2">
      <c r="B289" s="17"/>
      <c r="C289" s="128">
        <v>142</v>
      </c>
      <c r="D289" s="128" t="s">
        <v>339</v>
      </c>
      <c r="E289" s="129" t="s">
        <v>7150</v>
      </c>
      <c r="F289" s="130" t="s">
        <v>7151</v>
      </c>
      <c r="G289" s="131" t="s">
        <v>4460</v>
      </c>
      <c r="H289" s="132">
        <v>52</v>
      </c>
      <c r="I289" s="133"/>
      <c r="J289" s="134">
        <f t="shared" si="80"/>
        <v>0</v>
      </c>
      <c r="K289" s="130"/>
      <c r="L289" s="17"/>
      <c r="M289" s="135"/>
      <c r="N289" s="136" t="s">
        <v>45</v>
      </c>
      <c r="P289" s="137">
        <f t="shared" si="81"/>
        <v>0</v>
      </c>
      <c r="Q289" s="137">
        <v>0</v>
      </c>
      <c r="R289" s="137">
        <f t="shared" si="82"/>
        <v>0</v>
      </c>
      <c r="S289" s="137">
        <v>0</v>
      </c>
      <c r="T289" s="138">
        <f t="shared" si="83"/>
        <v>0</v>
      </c>
      <c r="AR289" s="139" t="s">
        <v>344</v>
      </c>
      <c r="AT289" s="139" t="s">
        <v>339</v>
      </c>
      <c r="AU289" s="139" t="s">
        <v>87</v>
      </c>
      <c r="AY289" s="2" t="s">
        <v>337</v>
      </c>
      <c r="BE289" s="140">
        <f t="shared" si="84"/>
        <v>0</v>
      </c>
      <c r="BF289" s="140">
        <f t="shared" si="85"/>
        <v>0</v>
      </c>
      <c r="BG289" s="140">
        <f t="shared" si="86"/>
        <v>0</v>
      </c>
      <c r="BH289" s="140">
        <f t="shared" si="87"/>
        <v>0</v>
      </c>
      <c r="BI289" s="140">
        <f t="shared" si="88"/>
        <v>0</v>
      </c>
      <c r="BJ289" s="2" t="s">
        <v>87</v>
      </c>
      <c r="BK289" s="140">
        <f t="shared" si="89"/>
        <v>0</v>
      </c>
      <c r="BL289" s="2" t="s">
        <v>344</v>
      </c>
      <c r="BM289" s="139" t="s">
        <v>7152</v>
      </c>
    </row>
    <row r="290" spans="2:65" s="16" customFormat="1" ht="16.5" customHeight="1" x14ac:dyDescent="0.2">
      <c r="B290" s="17"/>
      <c r="C290" s="128">
        <v>143</v>
      </c>
      <c r="D290" s="128" t="s">
        <v>339</v>
      </c>
      <c r="E290" s="129" t="s">
        <v>7153</v>
      </c>
      <c r="F290" s="130" t="s">
        <v>7143</v>
      </c>
      <c r="G290" s="131" t="s">
        <v>4460</v>
      </c>
      <c r="H290" s="132">
        <v>52</v>
      </c>
      <c r="I290" s="133"/>
      <c r="J290" s="134">
        <f t="shared" si="80"/>
        <v>0</v>
      </c>
      <c r="K290" s="130"/>
      <c r="L290" s="17"/>
      <c r="M290" s="135"/>
      <c r="N290" s="136" t="s">
        <v>45</v>
      </c>
      <c r="P290" s="137">
        <f t="shared" si="81"/>
        <v>0</v>
      </c>
      <c r="Q290" s="137">
        <v>0</v>
      </c>
      <c r="R290" s="137">
        <f t="shared" si="82"/>
        <v>0</v>
      </c>
      <c r="S290" s="137">
        <v>0</v>
      </c>
      <c r="T290" s="138">
        <f t="shared" si="83"/>
        <v>0</v>
      </c>
      <c r="AR290" s="139" t="s">
        <v>344</v>
      </c>
      <c r="AT290" s="139" t="s">
        <v>339</v>
      </c>
      <c r="AU290" s="139" t="s">
        <v>87</v>
      </c>
      <c r="AY290" s="2" t="s">
        <v>337</v>
      </c>
      <c r="BE290" s="140">
        <f t="shared" si="84"/>
        <v>0</v>
      </c>
      <c r="BF290" s="140">
        <f t="shared" si="85"/>
        <v>0</v>
      </c>
      <c r="BG290" s="140">
        <f t="shared" si="86"/>
        <v>0</v>
      </c>
      <c r="BH290" s="140">
        <f t="shared" si="87"/>
        <v>0</v>
      </c>
      <c r="BI290" s="140">
        <f t="shared" si="88"/>
        <v>0</v>
      </c>
      <c r="BJ290" s="2" t="s">
        <v>87</v>
      </c>
      <c r="BK290" s="140">
        <f t="shared" si="89"/>
        <v>0</v>
      </c>
      <c r="BL290" s="2" t="s">
        <v>344</v>
      </c>
      <c r="BM290" s="139" t="s">
        <v>7154</v>
      </c>
    </row>
    <row r="291" spans="2:65" s="16" customFormat="1" ht="16.5" customHeight="1" x14ac:dyDescent="0.2">
      <c r="B291" s="17"/>
      <c r="C291" s="128">
        <v>144</v>
      </c>
      <c r="D291" s="128" t="s">
        <v>339</v>
      </c>
      <c r="E291" s="129" t="s">
        <v>7155</v>
      </c>
      <c r="F291" s="130" t="s">
        <v>7156</v>
      </c>
      <c r="G291" s="131" t="s">
        <v>4460</v>
      </c>
      <c r="H291" s="132">
        <v>22</v>
      </c>
      <c r="I291" s="133"/>
      <c r="J291" s="134">
        <f t="shared" si="80"/>
        <v>0</v>
      </c>
      <c r="K291" s="130"/>
      <c r="L291" s="17"/>
      <c r="M291" s="135"/>
      <c r="N291" s="136" t="s">
        <v>45</v>
      </c>
      <c r="P291" s="137">
        <f t="shared" si="81"/>
        <v>0</v>
      </c>
      <c r="Q291" s="137">
        <v>0</v>
      </c>
      <c r="R291" s="137">
        <f t="shared" si="82"/>
        <v>0</v>
      </c>
      <c r="S291" s="137">
        <v>0</v>
      </c>
      <c r="T291" s="138">
        <f t="shared" si="83"/>
        <v>0</v>
      </c>
      <c r="AR291" s="139" t="s">
        <v>344</v>
      </c>
      <c r="AT291" s="139" t="s">
        <v>339</v>
      </c>
      <c r="AU291" s="139" t="s">
        <v>87</v>
      </c>
      <c r="AY291" s="2" t="s">
        <v>337</v>
      </c>
      <c r="BE291" s="140">
        <f t="shared" si="84"/>
        <v>0</v>
      </c>
      <c r="BF291" s="140">
        <f t="shared" si="85"/>
        <v>0</v>
      </c>
      <c r="BG291" s="140">
        <f t="shared" si="86"/>
        <v>0</v>
      </c>
      <c r="BH291" s="140">
        <f t="shared" si="87"/>
        <v>0</v>
      </c>
      <c r="BI291" s="140">
        <f t="shared" si="88"/>
        <v>0</v>
      </c>
      <c r="BJ291" s="2" t="s">
        <v>87</v>
      </c>
      <c r="BK291" s="140">
        <f t="shared" si="89"/>
        <v>0</v>
      </c>
      <c r="BL291" s="2" t="s">
        <v>344</v>
      </c>
      <c r="BM291" s="139" t="s">
        <v>7157</v>
      </c>
    </row>
    <row r="292" spans="2:65" s="16" customFormat="1" ht="16.5" customHeight="1" x14ac:dyDescent="0.2">
      <c r="B292" s="17"/>
      <c r="C292" s="128">
        <v>145</v>
      </c>
      <c r="D292" s="128" t="s">
        <v>339</v>
      </c>
      <c r="E292" s="129" t="s">
        <v>7158</v>
      </c>
      <c r="F292" s="130" t="s">
        <v>7159</v>
      </c>
      <c r="G292" s="131" t="s">
        <v>4460</v>
      </c>
      <c r="H292" s="132">
        <v>17</v>
      </c>
      <c r="I292" s="133"/>
      <c r="J292" s="134">
        <f t="shared" si="80"/>
        <v>0</v>
      </c>
      <c r="K292" s="130"/>
      <c r="L292" s="17"/>
      <c r="M292" s="135"/>
      <c r="N292" s="136" t="s">
        <v>45</v>
      </c>
      <c r="P292" s="137">
        <f t="shared" si="81"/>
        <v>0</v>
      </c>
      <c r="Q292" s="137">
        <v>0</v>
      </c>
      <c r="R292" s="137">
        <f t="shared" si="82"/>
        <v>0</v>
      </c>
      <c r="S292" s="137">
        <v>0</v>
      </c>
      <c r="T292" s="138">
        <f t="shared" si="83"/>
        <v>0</v>
      </c>
      <c r="AR292" s="139" t="s">
        <v>344</v>
      </c>
      <c r="AT292" s="139" t="s">
        <v>339</v>
      </c>
      <c r="AU292" s="139" t="s">
        <v>87</v>
      </c>
      <c r="AY292" s="2" t="s">
        <v>337</v>
      </c>
      <c r="BE292" s="140">
        <f t="shared" si="84"/>
        <v>0</v>
      </c>
      <c r="BF292" s="140">
        <f t="shared" si="85"/>
        <v>0</v>
      </c>
      <c r="BG292" s="140">
        <f t="shared" si="86"/>
        <v>0</v>
      </c>
      <c r="BH292" s="140">
        <f t="shared" si="87"/>
        <v>0</v>
      </c>
      <c r="BI292" s="140">
        <f t="shared" si="88"/>
        <v>0</v>
      </c>
      <c r="BJ292" s="2" t="s">
        <v>87</v>
      </c>
      <c r="BK292" s="140">
        <f t="shared" si="89"/>
        <v>0</v>
      </c>
      <c r="BL292" s="2" t="s">
        <v>344</v>
      </c>
      <c r="BM292" s="139" t="s">
        <v>7160</v>
      </c>
    </row>
    <row r="293" spans="2:65" s="16" customFormat="1" ht="16.5" customHeight="1" x14ac:dyDescent="0.2">
      <c r="B293" s="17"/>
      <c r="C293" s="128">
        <v>146</v>
      </c>
      <c r="D293" s="128" t="s">
        <v>339</v>
      </c>
      <c r="E293" s="129" t="s">
        <v>7161</v>
      </c>
      <c r="F293" s="130" t="s">
        <v>7162</v>
      </c>
      <c r="G293" s="131" t="s">
        <v>4460</v>
      </c>
      <c r="H293" s="132">
        <v>16</v>
      </c>
      <c r="I293" s="133"/>
      <c r="J293" s="134">
        <f t="shared" si="80"/>
        <v>0</v>
      </c>
      <c r="K293" s="130"/>
      <c r="L293" s="17"/>
      <c r="M293" s="135"/>
      <c r="N293" s="136" t="s">
        <v>45</v>
      </c>
      <c r="P293" s="137">
        <f t="shared" si="81"/>
        <v>0</v>
      </c>
      <c r="Q293" s="137">
        <v>0</v>
      </c>
      <c r="R293" s="137">
        <f t="shared" si="82"/>
        <v>0</v>
      </c>
      <c r="S293" s="137">
        <v>0</v>
      </c>
      <c r="T293" s="138">
        <f t="shared" si="83"/>
        <v>0</v>
      </c>
      <c r="AR293" s="139" t="s">
        <v>344</v>
      </c>
      <c r="AT293" s="139" t="s">
        <v>339</v>
      </c>
      <c r="AU293" s="139" t="s">
        <v>87</v>
      </c>
      <c r="AY293" s="2" t="s">
        <v>337</v>
      </c>
      <c r="BE293" s="140">
        <f t="shared" si="84"/>
        <v>0</v>
      </c>
      <c r="BF293" s="140">
        <f t="shared" si="85"/>
        <v>0</v>
      </c>
      <c r="BG293" s="140">
        <f t="shared" si="86"/>
        <v>0</v>
      </c>
      <c r="BH293" s="140">
        <f t="shared" si="87"/>
        <v>0</v>
      </c>
      <c r="BI293" s="140">
        <f t="shared" si="88"/>
        <v>0</v>
      </c>
      <c r="BJ293" s="2" t="s">
        <v>87</v>
      </c>
      <c r="BK293" s="140">
        <f t="shared" si="89"/>
        <v>0</v>
      </c>
      <c r="BL293" s="2" t="s">
        <v>344</v>
      </c>
      <c r="BM293" s="139" t="s">
        <v>7163</v>
      </c>
    </row>
    <row r="294" spans="2:65" s="16" customFormat="1" ht="16.5" customHeight="1" x14ac:dyDescent="0.2">
      <c r="B294" s="17"/>
      <c r="C294" s="128">
        <v>147</v>
      </c>
      <c r="D294" s="128" t="s">
        <v>339</v>
      </c>
      <c r="E294" s="129" t="s">
        <v>7164</v>
      </c>
      <c r="F294" s="130" t="s">
        <v>7165</v>
      </c>
      <c r="G294" s="131" t="s">
        <v>4460</v>
      </c>
      <c r="H294" s="132">
        <v>10</v>
      </c>
      <c r="I294" s="133"/>
      <c r="J294" s="134">
        <f t="shared" si="80"/>
        <v>0</v>
      </c>
      <c r="K294" s="130"/>
      <c r="L294" s="17"/>
      <c r="M294" s="135"/>
      <c r="N294" s="136" t="s">
        <v>45</v>
      </c>
      <c r="P294" s="137">
        <f t="shared" si="81"/>
        <v>0</v>
      </c>
      <c r="Q294" s="137">
        <v>0</v>
      </c>
      <c r="R294" s="137">
        <f t="shared" si="82"/>
        <v>0</v>
      </c>
      <c r="S294" s="137">
        <v>0</v>
      </c>
      <c r="T294" s="138">
        <f t="shared" si="83"/>
        <v>0</v>
      </c>
      <c r="AR294" s="139" t="s">
        <v>344</v>
      </c>
      <c r="AT294" s="139" t="s">
        <v>339</v>
      </c>
      <c r="AU294" s="139" t="s">
        <v>87</v>
      </c>
      <c r="AY294" s="2" t="s">
        <v>337</v>
      </c>
      <c r="BE294" s="140">
        <f t="shared" si="84"/>
        <v>0</v>
      </c>
      <c r="BF294" s="140">
        <f t="shared" si="85"/>
        <v>0</v>
      </c>
      <c r="BG294" s="140">
        <f t="shared" si="86"/>
        <v>0</v>
      </c>
      <c r="BH294" s="140">
        <f t="shared" si="87"/>
        <v>0</v>
      </c>
      <c r="BI294" s="140">
        <f t="shared" si="88"/>
        <v>0</v>
      </c>
      <c r="BJ294" s="2" t="s">
        <v>87</v>
      </c>
      <c r="BK294" s="140">
        <f t="shared" si="89"/>
        <v>0</v>
      </c>
      <c r="BL294" s="2" t="s">
        <v>344</v>
      </c>
      <c r="BM294" s="139" t="s">
        <v>7166</v>
      </c>
    </row>
    <row r="295" spans="2:65" s="16" customFormat="1" ht="16.5" customHeight="1" x14ac:dyDescent="0.2">
      <c r="B295" s="17"/>
      <c r="C295" s="128">
        <v>148</v>
      </c>
      <c r="D295" s="128" t="s">
        <v>339</v>
      </c>
      <c r="E295" s="129" t="s">
        <v>7167</v>
      </c>
      <c r="F295" s="130" t="s">
        <v>7168</v>
      </c>
      <c r="G295" s="131" t="s">
        <v>4460</v>
      </c>
      <c r="H295" s="132">
        <v>4</v>
      </c>
      <c r="I295" s="133"/>
      <c r="J295" s="134">
        <f t="shared" si="80"/>
        <v>0</v>
      </c>
      <c r="K295" s="130"/>
      <c r="L295" s="17"/>
      <c r="M295" s="135"/>
      <c r="N295" s="136" t="s">
        <v>45</v>
      </c>
      <c r="P295" s="137">
        <f t="shared" si="81"/>
        <v>0</v>
      </c>
      <c r="Q295" s="137">
        <v>0</v>
      </c>
      <c r="R295" s="137">
        <f t="shared" si="82"/>
        <v>0</v>
      </c>
      <c r="S295" s="137">
        <v>0</v>
      </c>
      <c r="T295" s="138">
        <f t="shared" si="83"/>
        <v>0</v>
      </c>
      <c r="AR295" s="139" t="s">
        <v>344</v>
      </c>
      <c r="AT295" s="139" t="s">
        <v>339</v>
      </c>
      <c r="AU295" s="139" t="s">
        <v>87</v>
      </c>
      <c r="AY295" s="2" t="s">
        <v>337</v>
      </c>
      <c r="BE295" s="140">
        <f t="shared" si="84"/>
        <v>0</v>
      </c>
      <c r="BF295" s="140">
        <f t="shared" si="85"/>
        <v>0</v>
      </c>
      <c r="BG295" s="140">
        <f t="shared" si="86"/>
        <v>0</v>
      </c>
      <c r="BH295" s="140">
        <f t="shared" si="87"/>
        <v>0</v>
      </c>
      <c r="BI295" s="140">
        <f t="shared" si="88"/>
        <v>0</v>
      </c>
      <c r="BJ295" s="2" t="s">
        <v>87</v>
      </c>
      <c r="BK295" s="140">
        <f t="shared" si="89"/>
        <v>0</v>
      </c>
      <c r="BL295" s="2" t="s">
        <v>344</v>
      </c>
      <c r="BM295" s="139" t="s">
        <v>7169</v>
      </c>
    </row>
    <row r="296" spans="2:65" s="16" customFormat="1" ht="16.5" customHeight="1" x14ac:dyDescent="0.2">
      <c r="B296" s="17"/>
      <c r="C296" s="128">
        <v>149</v>
      </c>
      <c r="D296" s="128" t="s">
        <v>339</v>
      </c>
      <c r="E296" s="129" t="s">
        <v>7170</v>
      </c>
      <c r="F296" s="130" t="s">
        <v>7171</v>
      </c>
      <c r="G296" s="131" t="s">
        <v>4460</v>
      </c>
      <c r="H296" s="132">
        <v>9</v>
      </c>
      <c r="I296" s="133"/>
      <c r="J296" s="134">
        <f t="shared" si="80"/>
        <v>0</v>
      </c>
      <c r="K296" s="130"/>
      <c r="L296" s="17"/>
      <c r="M296" s="135"/>
      <c r="N296" s="136" t="s">
        <v>45</v>
      </c>
      <c r="P296" s="137">
        <f t="shared" si="81"/>
        <v>0</v>
      </c>
      <c r="Q296" s="137">
        <v>0</v>
      </c>
      <c r="R296" s="137">
        <f t="shared" si="82"/>
        <v>0</v>
      </c>
      <c r="S296" s="137">
        <v>0</v>
      </c>
      <c r="T296" s="138">
        <f t="shared" si="83"/>
        <v>0</v>
      </c>
      <c r="AR296" s="139" t="s">
        <v>344</v>
      </c>
      <c r="AT296" s="139" t="s">
        <v>339</v>
      </c>
      <c r="AU296" s="139" t="s">
        <v>87</v>
      </c>
      <c r="AY296" s="2" t="s">
        <v>337</v>
      </c>
      <c r="BE296" s="140">
        <f t="shared" si="84"/>
        <v>0</v>
      </c>
      <c r="BF296" s="140">
        <f t="shared" si="85"/>
        <v>0</v>
      </c>
      <c r="BG296" s="140">
        <f t="shared" si="86"/>
        <v>0</v>
      </c>
      <c r="BH296" s="140">
        <f t="shared" si="87"/>
        <v>0</v>
      </c>
      <c r="BI296" s="140">
        <f t="shared" si="88"/>
        <v>0</v>
      </c>
      <c r="BJ296" s="2" t="s">
        <v>87</v>
      </c>
      <c r="BK296" s="140">
        <f t="shared" si="89"/>
        <v>0</v>
      </c>
      <c r="BL296" s="2" t="s">
        <v>344</v>
      </c>
      <c r="BM296" s="139" t="s">
        <v>7172</v>
      </c>
    </row>
    <row r="297" spans="2:65" s="16" customFormat="1" ht="16.5" customHeight="1" x14ac:dyDescent="0.2">
      <c r="B297" s="17"/>
      <c r="C297" s="128">
        <v>150</v>
      </c>
      <c r="D297" s="128" t="s">
        <v>339</v>
      </c>
      <c r="E297" s="129" t="s">
        <v>7173</v>
      </c>
      <c r="F297" s="130" t="s">
        <v>7174</v>
      </c>
      <c r="G297" s="131" t="s">
        <v>4460</v>
      </c>
      <c r="H297" s="132">
        <v>198</v>
      </c>
      <c r="I297" s="133"/>
      <c r="J297" s="134">
        <f t="shared" si="80"/>
        <v>0</v>
      </c>
      <c r="K297" s="130"/>
      <c r="L297" s="17"/>
      <c r="M297" s="135"/>
      <c r="N297" s="136" t="s">
        <v>45</v>
      </c>
      <c r="P297" s="137">
        <f t="shared" si="81"/>
        <v>0</v>
      </c>
      <c r="Q297" s="137">
        <v>0</v>
      </c>
      <c r="R297" s="137">
        <f t="shared" si="82"/>
        <v>0</v>
      </c>
      <c r="S297" s="137">
        <v>0</v>
      </c>
      <c r="T297" s="138">
        <f t="shared" si="83"/>
        <v>0</v>
      </c>
      <c r="AR297" s="139" t="s">
        <v>344</v>
      </c>
      <c r="AT297" s="139" t="s">
        <v>339</v>
      </c>
      <c r="AU297" s="139" t="s">
        <v>87</v>
      </c>
      <c r="AY297" s="2" t="s">
        <v>337</v>
      </c>
      <c r="BE297" s="140">
        <f t="shared" si="84"/>
        <v>0</v>
      </c>
      <c r="BF297" s="140">
        <f t="shared" si="85"/>
        <v>0</v>
      </c>
      <c r="BG297" s="140">
        <f t="shared" si="86"/>
        <v>0</v>
      </c>
      <c r="BH297" s="140">
        <f t="shared" si="87"/>
        <v>0</v>
      </c>
      <c r="BI297" s="140">
        <f t="shared" si="88"/>
        <v>0</v>
      </c>
      <c r="BJ297" s="2" t="s">
        <v>87</v>
      </c>
      <c r="BK297" s="140">
        <f t="shared" si="89"/>
        <v>0</v>
      </c>
      <c r="BL297" s="2" t="s">
        <v>344</v>
      </c>
      <c r="BM297" s="139" t="s">
        <v>7175</v>
      </c>
    </row>
    <row r="298" spans="2:65" s="16" customFormat="1" ht="16.5" customHeight="1" x14ac:dyDescent="0.2">
      <c r="B298" s="17"/>
      <c r="C298" s="128">
        <v>151</v>
      </c>
      <c r="D298" s="128" t="s">
        <v>339</v>
      </c>
      <c r="E298" s="129" t="s">
        <v>7176</v>
      </c>
      <c r="F298" s="130" t="s">
        <v>7177</v>
      </c>
      <c r="G298" s="131" t="s">
        <v>4460</v>
      </c>
      <c r="H298" s="132">
        <v>12</v>
      </c>
      <c r="I298" s="133"/>
      <c r="J298" s="134">
        <f t="shared" si="80"/>
        <v>0</v>
      </c>
      <c r="K298" s="130"/>
      <c r="L298" s="17"/>
      <c r="M298" s="135"/>
      <c r="N298" s="136" t="s">
        <v>45</v>
      </c>
      <c r="P298" s="137">
        <f t="shared" si="81"/>
        <v>0</v>
      </c>
      <c r="Q298" s="137">
        <v>0</v>
      </c>
      <c r="R298" s="137">
        <f t="shared" si="82"/>
        <v>0</v>
      </c>
      <c r="S298" s="137">
        <v>0</v>
      </c>
      <c r="T298" s="138">
        <f t="shared" si="83"/>
        <v>0</v>
      </c>
      <c r="AR298" s="139" t="s">
        <v>344</v>
      </c>
      <c r="AT298" s="139" t="s">
        <v>339</v>
      </c>
      <c r="AU298" s="139" t="s">
        <v>87</v>
      </c>
      <c r="AY298" s="2" t="s">
        <v>337</v>
      </c>
      <c r="BE298" s="140">
        <f t="shared" si="84"/>
        <v>0</v>
      </c>
      <c r="BF298" s="140">
        <f t="shared" si="85"/>
        <v>0</v>
      </c>
      <c r="BG298" s="140">
        <f t="shared" si="86"/>
        <v>0</v>
      </c>
      <c r="BH298" s="140">
        <f t="shared" si="87"/>
        <v>0</v>
      </c>
      <c r="BI298" s="140">
        <f t="shared" si="88"/>
        <v>0</v>
      </c>
      <c r="BJ298" s="2" t="s">
        <v>87</v>
      </c>
      <c r="BK298" s="140">
        <f t="shared" si="89"/>
        <v>0</v>
      </c>
      <c r="BL298" s="2" t="s">
        <v>344</v>
      </c>
      <c r="BM298" s="139" t="s">
        <v>7178</v>
      </c>
    </row>
    <row r="299" spans="2:65" s="16" customFormat="1" ht="16.5" customHeight="1" x14ac:dyDescent="0.2">
      <c r="B299" s="17"/>
      <c r="C299" s="128">
        <v>152</v>
      </c>
      <c r="D299" s="128" t="s">
        <v>339</v>
      </c>
      <c r="E299" s="129" t="s">
        <v>7179</v>
      </c>
      <c r="F299" s="130" t="s">
        <v>7180</v>
      </c>
      <c r="G299" s="131" t="s">
        <v>4460</v>
      </c>
      <c r="H299" s="132">
        <v>32</v>
      </c>
      <c r="I299" s="133"/>
      <c r="J299" s="134">
        <f t="shared" si="80"/>
        <v>0</v>
      </c>
      <c r="K299" s="130"/>
      <c r="L299" s="17"/>
      <c r="M299" s="135"/>
      <c r="N299" s="136" t="s">
        <v>45</v>
      </c>
      <c r="P299" s="137">
        <f t="shared" si="81"/>
        <v>0</v>
      </c>
      <c r="Q299" s="137">
        <v>0</v>
      </c>
      <c r="R299" s="137">
        <f t="shared" si="82"/>
        <v>0</v>
      </c>
      <c r="S299" s="137">
        <v>0</v>
      </c>
      <c r="T299" s="138">
        <f t="shared" si="83"/>
        <v>0</v>
      </c>
      <c r="AR299" s="139" t="s">
        <v>344</v>
      </c>
      <c r="AT299" s="139" t="s">
        <v>339</v>
      </c>
      <c r="AU299" s="139" t="s">
        <v>87</v>
      </c>
      <c r="AY299" s="2" t="s">
        <v>337</v>
      </c>
      <c r="BE299" s="140">
        <f t="shared" si="84"/>
        <v>0</v>
      </c>
      <c r="BF299" s="140">
        <f t="shared" si="85"/>
        <v>0</v>
      </c>
      <c r="BG299" s="140">
        <f t="shared" si="86"/>
        <v>0</v>
      </c>
      <c r="BH299" s="140">
        <f t="shared" si="87"/>
        <v>0</v>
      </c>
      <c r="BI299" s="140">
        <f t="shared" si="88"/>
        <v>0</v>
      </c>
      <c r="BJ299" s="2" t="s">
        <v>87</v>
      </c>
      <c r="BK299" s="140">
        <f t="shared" si="89"/>
        <v>0</v>
      </c>
      <c r="BL299" s="2" t="s">
        <v>344</v>
      </c>
      <c r="BM299" s="139" t="s">
        <v>7181</v>
      </c>
    </row>
    <row r="300" spans="2:65" s="16" customFormat="1" ht="16.5" customHeight="1" x14ac:dyDescent="0.2">
      <c r="B300" s="17"/>
      <c r="C300" s="128">
        <v>153</v>
      </c>
      <c r="D300" s="128" t="s">
        <v>339</v>
      </c>
      <c r="E300" s="129" t="s">
        <v>7182</v>
      </c>
      <c r="F300" s="130" t="s">
        <v>7183</v>
      </c>
      <c r="G300" s="131" t="s">
        <v>4460</v>
      </c>
      <c r="H300" s="132">
        <v>62</v>
      </c>
      <c r="I300" s="133"/>
      <c r="J300" s="134">
        <f t="shared" si="80"/>
        <v>0</v>
      </c>
      <c r="K300" s="130"/>
      <c r="L300" s="17"/>
      <c r="M300" s="135"/>
      <c r="N300" s="136" t="s">
        <v>45</v>
      </c>
      <c r="P300" s="137">
        <f t="shared" si="81"/>
        <v>0</v>
      </c>
      <c r="Q300" s="137">
        <v>0</v>
      </c>
      <c r="R300" s="137">
        <f t="shared" si="82"/>
        <v>0</v>
      </c>
      <c r="S300" s="137">
        <v>0</v>
      </c>
      <c r="T300" s="138">
        <f t="shared" si="83"/>
        <v>0</v>
      </c>
      <c r="AR300" s="139" t="s">
        <v>344</v>
      </c>
      <c r="AT300" s="139" t="s">
        <v>339</v>
      </c>
      <c r="AU300" s="139" t="s">
        <v>87</v>
      </c>
      <c r="AY300" s="2" t="s">
        <v>337</v>
      </c>
      <c r="BE300" s="140">
        <f t="shared" si="84"/>
        <v>0</v>
      </c>
      <c r="BF300" s="140">
        <f t="shared" si="85"/>
        <v>0</v>
      </c>
      <c r="BG300" s="140">
        <f t="shared" si="86"/>
        <v>0</v>
      </c>
      <c r="BH300" s="140">
        <f t="shared" si="87"/>
        <v>0</v>
      </c>
      <c r="BI300" s="140">
        <f t="shared" si="88"/>
        <v>0</v>
      </c>
      <c r="BJ300" s="2" t="s">
        <v>87</v>
      </c>
      <c r="BK300" s="140">
        <f t="shared" si="89"/>
        <v>0</v>
      </c>
      <c r="BL300" s="2" t="s">
        <v>344</v>
      </c>
      <c r="BM300" s="139" t="s">
        <v>7184</v>
      </c>
    </row>
    <row r="301" spans="2:65" s="16" customFormat="1" ht="16.5" customHeight="1" x14ac:dyDescent="0.2">
      <c r="B301" s="17"/>
      <c r="C301" s="128">
        <v>154</v>
      </c>
      <c r="D301" s="128" t="s">
        <v>339</v>
      </c>
      <c r="E301" s="129" t="s">
        <v>7185</v>
      </c>
      <c r="F301" s="130" t="s">
        <v>7186</v>
      </c>
      <c r="G301" s="131" t="s">
        <v>4460</v>
      </c>
      <c r="H301" s="132">
        <v>115</v>
      </c>
      <c r="I301" s="133"/>
      <c r="J301" s="134">
        <f t="shared" si="80"/>
        <v>0</v>
      </c>
      <c r="K301" s="130"/>
      <c r="L301" s="17"/>
      <c r="M301" s="135"/>
      <c r="N301" s="136" t="s">
        <v>45</v>
      </c>
      <c r="P301" s="137">
        <f t="shared" si="81"/>
        <v>0</v>
      </c>
      <c r="Q301" s="137">
        <v>0</v>
      </c>
      <c r="R301" s="137">
        <f t="shared" si="82"/>
        <v>0</v>
      </c>
      <c r="S301" s="137">
        <v>0</v>
      </c>
      <c r="T301" s="138">
        <f t="shared" si="83"/>
        <v>0</v>
      </c>
      <c r="AR301" s="139" t="s">
        <v>344</v>
      </c>
      <c r="AT301" s="139" t="s">
        <v>339</v>
      </c>
      <c r="AU301" s="139" t="s">
        <v>87</v>
      </c>
      <c r="AY301" s="2" t="s">
        <v>337</v>
      </c>
      <c r="BE301" s="140">
        <f t="shared" si="84"/>
        <v>0</v>
      </c>
      <c r="BF301" s="140">
        <f t="shared" si="85"/>
        <v>0</v>
      </c>
      <c r="BG301" s="140">
        <f t="shared" si="86"/>
        <v>0</v>
      </c>
      <c r="BH301" s="140">
        <f t="shared" si="87"/>
        <v>0</v>
      </c>
      <c r="BI301" s="140">
        <f t="shared" si="88"/>
        <v>0</v>
      </c>
      <c r="BJ301" s="2" t="s">
        <v>87</v>
      </c>
      <c r="BK301" s="140">
        <f t="shared" si="89"/>
        <v>0</v>
      </c>
      <c r="BL301" s="2" t="s">
        <v>344</v>
      </c>
      <c r="BM301" s="139" t="s">
        <v>7187</v>
      </c>
    </row>
    <row r="302" spans="2:65" s="16" customFormat="1" ht="16.5" customHeight="1" x14ac:dyDescent="0.2">
      <c r="B302" s="17"/>
      <c r="C302" s="128">
        <v>155</v>
      </c>
      <c r="D302" s="128" t="s">
        <v>339</v>
      </c>
      <c r="E302" s="129" t="s">
        <v>7188</v>
      </c>
      <c r="F302" s="130" t="s">
        <v>7189</v>
      </c>
      <c r="G302" s="131" t="s">
        <v>4460</v>
      </c>
      <c r="H302" s="132">
        <v>54</v>
      </c>
      <c r="I302" s="133"/>
      <c r="J302" s="134">
        <f t="shared" ref="J302:J333" si="90">ROUND(I302*H302,2)</f>
        <v>0</v>
      </c>
      <c r="K302" s="130"/>
      <c r="L302" s="17"/>
      <c r="M302" s="135"/>
      <c r="N302" s="136" t="s">
        <v>45</v>
      </c>
      <c r="P302" s="137">
        <f t="shared" ref="P302:P333" si="91">O302*H302</f>
        <v>0</v>
      </c>
      <c r="Q302" s="137">
        <v>0</v>
      </c>
      <c r="R302" s="137">
        <f t="shared" ref="R302:R333" si="92">Q302*H302</f>
        <v>0</v>
      </c>
      <c r="S302" s="137">
        <v>0</v>
      </c>
      <c r="T302" s="138">
        <f t="shared" ref="T302:T333" si="93">S302*H302</f>
        <v>0</v>
      </c>
      <c r="AR302" s="139" t="s">
        <v>344</v>
      </c>
      <c r="AT302" s="139" t="s">
        <v>339</v>
      </c>
      <c r="AU302" s="139" t="s">
        <v>87</v>
      </c>
      <c r="AY302" s="2" t="s">
        <v>337</v>
      </c>
      <c r="BE302" s="140">
        <f t="shared" ref="BE302:BE333" si="94">IF(N302="základní",J302,0)</f>
        <v>0</v>
      </c>
      <c r="BF302" s="140">
        <f t="shared" ref="BF302:BF333" si="95">IF(N302="snížená",J302,0)</f>
        <v>0</v>
      </c>
      <c r="BG302" s="140">
        <f t="shared" ref="BG302:BG333" si="96">IF(N302="zákl. přenesená",J302,0)</f>
        <v>0</v>
      </c>
      <c r="BH302" s="140">
        <f t="shared" ref="BH302:BH333" si="97">IF(N302="sníž. přenesená",J302,0)</f>
        <v>0</v>
      </c>
      <c r="BI302" s="140">
        <f t="shared" ref="BI302:BI333" si="98">IF(N302="nulová",J302,0)</f>
        <v>0</v>
      </c>
      <c r="BJ302" s="2" t="s">
        <v>87</v>
      </c>
      <c r="BK302" s="140">
        <f t="shared" ref="BK302:BK333" si="99">ROUND(I302*H302,2)</f>
        <v>0</v>
      </c>
      <c r="BL302" s="2" t="s">
        <v>344</v>
      </c>
      <c r="BM302" s="139" t="s">
        <v>7190</v>
      </c>
    </row>
    <row r="303" spans="2:65" s="16" customFormat="1" ht="16.5" customHeight="1" x14ac:dyDescent="0.2">
      <c r="B303" s="17"/>
      <c r="C303" s="128">
        <v>156</v>
      </c>
      <c r="D303" s="128" t="s">
        <v>339</v>
      </c>
      <c r="E303" s="129" t="s">
        <v>7191</v>
      </c>
      <c r="F303" s="130" t="s">
        <v>7192</v>
      </c>
      <c r="G303" s="131" t="s">
        <v>4460</v>
      </c>
      <c r="H303" s="132">
        <v>88</v>
      </c>
      <c r="I303" s="133"/>
      <c r="J303" s="134">
        <f t="shared" si="90"/>
        <v>0</v>
      </c>
      <c r="K303" s="130"/>
      <c r="L303" s="17"/>
      <c r="M303" s="135"/>
      <c r="N303" s="136" t="s">
        <v>45</v>
      </c>
      <c r="P303" s="137">
        <f t="shared" si="91"/>
        <v>0</v>
      </c>
      <c r="Q303" s="137">
        <v>0</v>
      </c>
      <c r="R303" s="137">
        <f t="shared" si="92"/>
        <v>0</v>
      </c>
      <c r="S303" s="137">
        <v>0</v>
      </c>
      <c r="T303" s="138">
        <f t="shared" si="93"/>
        <v>0</v>
      </c>
      <c r="AR303" s="139" t="s">
        <v>344</v>
      </c>
      <c r="AT303" s="139" t="s">
        <v>339</v>
      </c>
      <c r="AU303" s="139" t="s">
        <v>87</v>
      </c>
      <c r="AY303" s="2" t="s">
        <v>337</v>
      </c>
      <c r="BE303" s="140">
        <f t="shared" si="94"/>
        <v>0</v>
      </c>
      <c r="BF303" s="140">
        <f t="shared" si="95"/>
        <v>0</v>
      </c>
      <c r="BG303" s="140">
        <f t="shared" si="96"/>
        <v>0</v>
      </c>
      <c r="BH303" s="140">
        <f t="shared" si="97"/>
        <v>0</v>
      </c>
      <c r="BI303" s="140">
        <f t="shared" si="98"/>
        <v>0</v>
      </c>
      <c r="BJ303" s="2" t="s">
        <v>87</v>
      </c>
      <c r="BK303" s="140">
        <f t="shared" si="99"/>
        <v>0</v>
      </c>
      <c r="BL303" s="2" t="s">
        <v>344</v>
      </c>
      <c r="BM303" s="139" t="s">
        <v>7193</v>
      </c>
    </row>
    <row r="304" spans="2:65" s="16" customFormat="1" ht="16.5" customHeight="1" x14ac:dyDescent="0.2">
      <c r="B304" s="17"/>
      <c r="C304" s="128">
        <v>157</v>
      </c>
      <c r="D304" s="128" t="s">
        <v>339</v>
      </c>
      <c r="E304" s="129" t="s">
        <v>7194</v>
      </c>
      <c r="F304" s="130" t="s">
        <v>7195</v>
      </c>
      <c r="G304" s="131" t="s">
        <v>4460</v>
      </c>
      <c r="H304" s="132">
        <v>66</v>
      </c>
      <c r="I304" s="133"/>
      <c r="J304" s="134">
        <f t="shared" si="90"/>
        <v>0</v>
      </c>
      <c r="K304" s="130"/>
      <c r="L304" s="17"/>
      <c r="M304" s="135"/>
      <c r="N304" s="136" t="s">
        <v>45</v>
      </c>
      <c r="P304" s="137">
        <f t="shared" si="91"/>
        <v>0</v>
      </c>
      <c r="Q304" s="137">
        <v>0</v>
      </c>
      <c r="R304" s="137">
        <f t="shared" si="92"/>
        <v>0</v>
      </c>
      <c r="S304" s="137">
        <v>0</v>
      </c>
      <c r="T304" s="138">
        <f t="shared" si="93"/>
        <v>0</v>
      </c>
      <c r="AR304" s="139" t="s">
        <v>344</v>
      </c>
      <c r="AT304" s="139" t="s">
        <v>339</v>
      </c>
      <c r="AU304" s="139" t="s">
        <v>87</v>
      </c>
      <c r="AY304" s="2" t="s">
        <v>337</v>
      </c>
      <c r="BE304" s="140">
        <f t="shared" si="94"/>
        <v>0</v>
      </c>
      <c r="BF304" s="140">
        <f t="shared" si="95"/>
        <v>0</v>
      </c>
      <c r="BG304" s="140">
        <f t="shared" si="96"/>
        <v>0</v>
      </c>
      <c r="BH304" s="140">
        <f t="shared" si="97"/>
        <v>0</v>
      </c>
      <c r="BI304" s="140">
        <f t="shared" si="98"/>
        <v>0</v>
      </c>
      <c r="BJ304" s="2" t="s">
        <v>87</v>
      </c>
      <c r="BK304" s="140">
        <f t="shared" si="99"/>
        <v>0</v>
      </c>
      <c r="BL304" s="2" t="s">
        <v>344</v>
      </c>
      <c r="BM304" s="139" t="s">
        <v>7196</v>
      </c>
    </row>
    <row r="305" spans="2:65" s="16" customFormat="1" ht="16.5" customHeight="1" x14ac:dyDescent="0.2">
      <c r="B305" s="17"/>
      <c r="C305" s="128">
        <v>158</v>
      </c>
      <c r="D305" s="128" t="s">
        <v>339</v>
      </c>
      <c r="E305" s="129" t="s">
        <v>7197</v>
      </c>
      <c r="F305" s="130" t="s">
        <v>7198</v>
      </c>
      <c r="G305" s="131" t="s">
        <v>4460</v>
      </c>
      <c r="H305" s="132">
        <v>14</v>
      </c>
      <c r="I305" s="133"/>
      <c r="J305" s="134">
        <f t="shared" si="90"/>
        <v>0</v>
      </c>
      <c r="K305" s="130"/>
      <c r="L305" s="17"/>
      <c r="M305" s="135"/>
      <c r="N305" s="136" t="s">
        <v>45</v>
      </c>
      <c r="P305" s="137">
        <f t="shared" si="91"/>
        <v>0</v>
      </c>
      <c r="Q305" s="137">
        <v>0</v>
      </c>
      <c r="R305" s="137">
        <f t="shared" si="92"/>
        <v>0</v>
      </c>
      <c r="S305" s="137">
        <v>0</v>
      </c>
      <c r="T305" s="138">
        <f t="shared" si="93"/>
        <v>0</v>
      </c>
      <c r="AR305" s="139" t="s">
        <v>344</v>
      </c>
      <c r="AT305" s="139" t="s">
        <v>339</v>
      </c>
      <c r="AU305" s="139" t="s">
        <v>87</v>
      </c>
      <c r="AY305" s="2" t="s">
        <v>337</v>
      </c>
      <c r="BE305" s="140">
        <f t="shared" si="94"/>
        <v>0</v>
      </c>
      <c r="BF305" s="140">
        <f t="shared" si="95"/>
        <v>0</v>
      </c>
      <c r="BG305" s="140">
        <f t="shared" si="96"/>
        <v>0</v>
      </c>
      <c r="BH305" s="140">
        <f t="shared" si="97"/>
        <v>0</v>
      </c>
      <c r="BI305" s="140">
        <f t="shared" si="98"/>
        <v>0</v>
      </c>
      <c r="BJ305" s="2" t="s">
        <v>87</v>
      </c>
      <c r="BK305" s="140">
        <f t="shared" si="99"/>
        <v>0</v>
      </c>
      <c r="BL305" s="2" t="s">
        <v>344</v>
      </c>
      <c r="BM305" s="139" t="s">
        <v>7199</v>
      </c>
    </row>
    <row r="306" spans="2:65" s="16" customFormat="1" ht="16.5" customHeight="1" x14ac:dyDescent="0.2">
      <c r="B306" s="17"/>
      <c r="C306" s="128">
        <v>159</v>
      </c>
      <c r="D306" s="128" t="s">
        <v>339</v>
      </c>
      <c r="E306" s="129" t="s">
        <v>7200</v>
      </c>
      <c r="F306" s="130" t="s">
        <v>7201</v>
      </c>
      <c r="G306" s="131" t="s">
        <v>4460</v>
      </c>
      <c r="H306" s="132">
        <v>10</v>
      </c>
      <c r="I306" s="133"/>
      <c r="J306" s="134">
        <f t="shared" si="90"/>
        <v>0</v>
      </c>
      <c r="K306" s="130"/>
      <c r="L306" s="17"/>
      <c r="M306" s="135"/>
      <c r="N306" s="136" t="s">
        <v>45</v>
      </c>
      <c r="P306" s="137">
        <f t="shared" si="91"/>
        <v>0</v>
      </c>
      <c r="Q306" s="137">
        <v>0</v>
      </c>
      <c r="R306" s="137">
        <f t="shared" si="92"/>
        <v>0</v>
      </c>
      <c r="S306" s="137">
        <v>0</v>
      </c>
      <c r="T306" s="138">
        <f t="shared" si="93"/>
        <v>0</v>
      </c>
      <c r="AR306" s="139" t="s">
        <v>344</v>
      </c>
      <c r="AT306" s="139" t="s">
        <v>339</v>
      </c>
      <c r="AU306" s="139" t="s">
        <v>87</v>
      </c>
      <c r="AY306" s="2" t="s">
        <v>337</v>
      </c>
      <c r="BE306" s="140">
        <f t="shared" si="94"/>
        <v>0</v>
      </c>
      <c r="BF306" s="140">
        <f t="shared" si="95"/>
        <v>0</v>
      </c>
      <c r="BG306" s="140">
        <f t="shared" si="96"/>
        <v>0</v>
      </c>
      <c r="BH306" s="140">
        <f t="shared" si="97"/>
        <v>0</v>
      </c>
      <c r="BI306" s="140">
        <f t="shared" si="98"/>
        <v>0</v>
      </c>
      <c r="BJ306" s="2" t="s">
        <v>87</v>
      </c>
      <c r="BK306" s="140">
        <f t="shared" si="99"/>
        <v>0</v>
      </c>
      <c r="BL306" s="2" t="s">
        <v>344</v>
      </c>
      <c r="BM306" s="139" t="s">
        <v>7202</v>
      </c>
    </row>
    <row r="307" spans="2:65" s="16" customFormat="1" ht="16.5" customHeight="1" x14ac:dyDescent="0.2">
      <c r="B307" s="17"/>
      <c r="C307" s="128">
        <v>160</v>
      </c>
      <c r="D307" s="128" t="s">
        <v>339</v>
      </c>
      <c r="E307" s="129" t="s">
        <v>7203</v>
      </c>
      <c r="F307" s="130" t="s">
        <v>7204</v>
      </c>
      <c r="G307" s="131" t="s">
        <v>4460</v>
      </c>
      <c r="H307" s="132">
        <v>60</v>
      </c>
      <c r="I307" s="133"/>
      <c r="J307" s="134">
        <f t="shared" si="90"/>
        <v>0</v>
      </c>
      <c r="K307" s="130"/>
      <c r="L307" s="17"/>
      <c r="M307" s="135"/>
      <c r="N307" s="136" t="s">
        <v>45</v>
      </c>
      <c r="P307" s="137">
        <f t="shared" si="91"/>
        <v>0</v>
      </c>
      <c r="Q307" s="137">
        <v>0</v>
      </c>
      <c r="R307" s="137">
        <f t="shared" si="92"/>
        <v>0</v>
      </c>
      <c r="S307" s="137">
        <v>0</v>
      </c>
      <c r="T307" s="138">
        <f t="shared" si="93"/>
        <v>0</v>
      </c>
      <c r="AR307" s="139" t="s">
        <v>344</v>
      </c>
      <c r="AT307" s="139" t="s">
        <v>339</v>
      </c>
      <c r="AU307" s="139" t="s">
        <v>87</v>
      </c>
      <c r="AY307" s="2" t="s">
        <v>337</v>
      </c>
      <c r="BE307" s="140">
        <f t="shared" si="94"/>
        <v>0</v>
      </c>
      <c r="BF307" s="140">
        <f t="shared" si="95"/>
        <v>0</v>
      </c>
      <c r="BG307" s="140">
        <f t="shared" si="96"/>
        <v>0</v>
      </c>
      <c r="BH307" s="140">
        <f t="shared" si="97"/>
        <v>0</v>
      </c>
      <c r="BI307" s="140">
        <f t="shared" si="98"/>
        <v>0</v>
      </c>
      <c r="BJ307" s="2" t="s">
        <v>87</v>
      </c>
      <c r="BK307" s="140">
        <f t="shared" si="99"/>
        <v>0</v>
      </c>
      <c r="BL307" s="2" t="s">
        <v>344</v>
      </c>
      <c r="BM307" s="139" t="s">
        <v>7205</v>
      </c>
    </row>
    <row r="308" spans="2:65" s="16" customFormat="1" ht="16.5" customHeight="1" x14ac:dyDescent="0.2">
      <c r="B308" s="17"/>
      <c r="C308" s="128">
        <v>161</v>
      </c>
      <c r="D308" s="128" t="s">
        <v>339</v>
      </c>
      <c r="E308" s="129" t="s">
        <v>7206</v>
      </c>
      <c r="F308" s="130" t="s">
        <v>7207</v>
      </c>
      <c r="G308" s="131" t="s">
        <v>4460</v>
      </c>
      <c r="H308" s="132">
        <v>1</v>
      </c>
      <c r="I308" s="133"/>
      <c r="J308" s="134">
        <f t="shared" si="90"/>
        <v>0</v>
      </c>
      <c r="K308" s="130"/>
      <c r="L308" s="17"/>
      <c r="M308" s="135"/>
      <c r="N308" s="136" t="s">
        <v>45</v>
      </c>
      <c r="P308" s="137">
        <f t="shared" si="91"/>
        <v>0</v>
      </c>
      <c r="Q308" s="137">
        <v>0</v>
      </c>
      <c r="R308" s="137">
        <f t="shared" si="92"/>
        <v>0</v>
      </c>
      <c r="S308" s="137">
        <v>0</v>
      </c>
      <c r="T308" s="138">
        <f t="shared" si="93"/>
        <v>0</v>
      </c>
      <c r="AR308" s="139" t="s">
        <v>344</v>
      </c>
      <c r="AT308" s="139" t="s">
        <v>339</v>
      </c>
      <c r="AU308" s="139" t="s">
        <v>87</v>
      </c>
      <c r="AY308" s="2" t="s">
        <v>337</v>
      </c>
      <c r="BE308" s="140">
        <f t="shared" si="94"/>
        <v>0</v>
      </c>
      <c r="BF308" s="140">
        <f t="shared" si="95"/>
        <v>0</v>
      </c>
      <c r="BG308" s="140">
        <f t="shared" si="96"/>
        <v>0</v>
      </c>
      <c r="BH308" s="140">
        <f t="shared" si="97"/>
        <v>0</v>
      </c>
      <c r="BI308" s="140">
        <f t="shared" si="98"/>
        <v>0</v>
      </c>
      <c r="BJ308" s="2" t="s">
        <v>87</v>
      </c>
      <c r="BK308" s="140">
        <f t="shared" si="99"/>
        <v>0</v>
      </c>
      <c r="BL308" s="2" t="s">
        <v>344</v>
      </c>
      <c r="BM308" s="139" t="s">
        <v>7208</v>
      </c>
    </row>
    <row r="309" spans="2:65" s="16" customFormat="1" ht="16.5" customHeight="1" x14ac:dyDescent="0.2">
      <c r="B309" s="17"/>
      <c r="C309" s="128">
        <v>162</v>
      </c>
      <c r="D309" s="128" t="s">
        <v>339</v>
      </c>
      <c r="E309" s="129" t="s">
        <v>7209</v>
      </c>
      <c r="F309" s="130" t="s">
        <v>7210</v>
      </c>
      <c r="G309" s="131" t="s">
        <v>724</v>
      </c>
      <c r="H309" s="132">
        <v>14.7</v>
      </c>
      <c r="I309" s="133"/>
      <c r="J309" s="134">
        <f t="shared" si="90"/>
        <v>0</v>
      </c>
      <c r="K309" s="130"/>
      <c r="L309" s="17"/>
      <c r="M309" s="135"/>
      <c r="N309" s="136" t="s">
        <v>45</v>
      </c>
      <c r="P309" s="137">
        <f t="shared" si="91"/>
        <v>0</v>
      </c>
      <c r="Q309" s="137">
        <v>0</v>
      </c>
      <c r="R309" s="137">
        <f t="shared" si="92"/>
        <v>0</v>
      </c>
      <c r="S309" s="137">
        <v>0</v>
      </c>
      <c r="T309" s="138">
        <f t="shared" si="93"/>
        <v>0</v>
      </c>
      <c r="AR309" s="139" t="s">
        <v>344</v>
      </c>
      <c r="AT309" s="139" t="s">
        <v>339</v>
      </c>
      <c r="AU309" s="139" t="s">
        <v>87</v>
      </c>
      <c r="AY309" s="2" t="s">
        <v>337</v>
      </c>
      <c r="BE309" s="140">
        <f t="shared" si="94"/>
        <v>0</v>
      </c>
      <c r="BF309" s="140">
        <f t="shared" si="95"/>
        <v>0</v>
      </c>
      <c r="BG309" s="140">
        <f t="shared" si="96"/>
        <v>0</v>
      </c>
      <c r="BH309" s="140">
        <f t="shared" si="97"/>
        <v>0</v>
      </c>
      <c r="BI309" s="140">
        <f t="shared" si="98"/>
        <v>0</v>
      </c>
      <c r="BJ309" s="2" t="s">
        <v>87</v>
      </c>
      <c r="BK309" s="140">
        <f t="shared" si="99"/>
        <v>0</v>
      </c>
      <c r="BL309" s="2" t="s">
        <v>344</v>
      </c>
      <c r="BM309" s="139" t="s">
        <v>7211</v>
      </c>
    </row>
    <row r="310" spans="2:65" s="16" customFormat="1" ht="16.5" customHeight="1" x14ac:dyDescent="0.2">
      <c r="B310" s="17"/>
      <c r="C310" s="128">
        <v>163</v>
      </c>
      <c r="D310" s="128" t="s">
        <v>339</v>
      </c>
      <c r="E310" s="129" t="s">
        <v>7212</v>
      </c>
      <c r="F310" s="130" t="s">
        <v>7213</v>
      </c>
      <c r="G310" s="131" t="s">
        <v>724</v>
      </c>
      <c r="H310" s="132">
        <v>210</v>
      </c>
      <c r="I310" s="133"/>
      <c r="J310" s="134">
        <f t="shared" si="90"/>
        <v>0</v>
      </c>
      <c r="K310" s="130"/>
      <c r="L310" s="17"/>
      <c r="M310" s="135"/>
      <c r="N310" s="136" t="s">
        <v>45</v>
      </c>
      <c r="P310" s="137">
        <f t="shared" si="91"/>
        <v>0</v>
      </c>
      <c r="Q310" s="137">
        <v>0</v>
      </c>
      <c r="R310" s="137">
        <f t="shared" si="92"/>
        <v>0</v>
      </c>
      <c r="S310" s="137">
        <v>0</v>
      </c>
      <c r="T310" s="138">
        <f t="shared" si="93"/>
        <v>0</v>
      </c>
      <c r="AR310" s="139" t="s">
        <v>344</v>
      </c>
      <c r="AT310" s="139" t="s">
        <v>339</v>
      </c>
      <c r="AU310" s="139" t="s">
        <v>87</v>
      </c>
      <c r="AY310" s="2" t="s">
        <v>337</v>
      </c>
      <c r="BE310" s="140">
        <f t="shared" si="94"/>
        <v>0</v>
      </c>
      <c r="BF310" s="140">
        <f t="shared" si="95"/>
        <v>0</v>
      </c>
      <c r="BG310" s="140">
        <f t="shared" si="96"/>
        <v>0</v>
      </c>
      <c r="BH310" s="140">
        <f t="shared" si="97"/>
        <v>0</v>
      </c>
      <c r="BI310" s="140">
        <f t="shared" si="98"/>
        <v>0</v>
      </c>
      <c r="BJ310" s="2" t="s">
        <v>87</v>
      </c>
      <c r="BK310" s="140">
        <f t="shared" si="99"/>
        <v>0</v>
      </c>
      <c r="BL310" s="2" t="s">
        <v>344</v>
      </c>
      <c r="BM310" s="139" t="s">
        <v>7214</v>
      </c>
    </row>
    <row r="311" spans="2:65" s="16" customFormat="1" ht="16.5" customHeight="1" x14ac:dyDescent="0.2">
      <c r="B311" s="17"/>
      <c r="C311" s="128">
        <v>164</v>
      </c>
      <c r="D311" s="128" t="s">
        <v>339</v>
      </c>
      <c r="E311" s="129" t="s">
        <v>7215</v>
      </c>
      <c r="F311" s="130" t="s">
        <v>7216</v>
      </c>
      <c r="G311" s="131" t="s">
        <v>724</v>
      </c>
      <c r="H311" s="132">
        <v>546</v>
      </c>
      <c r="I311" s="133"/>
      <c r="J311" s="134">
        <f t="shared" si="90"/>
        <v>0</v>
      </c>
      <c r="K311" s="130"/>
      <c r="L311" s="17"/>
      <c r="M311" s="135"/>
      <c r="N311" s="136" t="s">
        <v>45</v>
      </c>
      <c r="P311" s="137">
        <f t="shared" si="91"/>
        <v>0</v>
      </c>
      <c r="Q311" s="137">
        <v>0</v>
      </c>
      <c r="R311" s="137">
        <f t="shared" si="92"/>
        <v>0</v>
      </c>
      <c r="S311" s="137">
        <v>0</v>
      </c>
      <c r="T311" s="138">
        <f t="shared" si="93"/>
        <v>0</v>
      </c>
      <c r="AR311" s="139" t="s">
        <v>344</v>
      </c>
      <c r="AT311" s="139" t="s">
        <v>339</v>
      </c>
      <c r="AU311" s="139" t="s">
        <v>87</v>
      </c>
      <c r="AY311" s="2" t="s">
        <v>337</v>
      </c>
      <c r="BE311" s="140">
        <f t="shared" si="94"/>
        <v>0</v>
      </c>
      <c r="BF311" s="140">
        <f t="shared" si="95"/>
        <v>0</v>
      </c>
      <c r="BG311" s="140">
        <f t="shared" si="96"/>
        <v>0</v>
      </c>
      <c r="BH311" s="140">
        <f t="shared" si="97"/>
        <v>0</v>
      </c>
      <c r="BI311" s="140">
        <f t="shared" si="98"/>
        <v>0</v>
      </c>
      <c r="BJ311" s="2" t="s">
        <v>87</v>
      </c>
      <c r="BK311" s="140">
        <f t="shared" si="99"/>
        <v>0</v>
      </c>
      <c r="BL311" s="2" t="s">
        <v>344</v>
      </c>
      <c r="BM311" s="139" t="s">
        <v>7217</v>
      </c>
    </row>
    <row r="312" spans="2:65" s="16" customFormat="1" ht="16.5" customHeight="1" x14ac:dyDescent="0.2">
      <c r="B312" s="17"/>
      <c r="C312" s="128">
        <v>165</v>
      </c>
      <c r="D312" s="128" t="s">
        <v>339</v>
      </c>
      <c r="E312" s="129" t="s">
        <v>7218</v>
      </c>
      <c r="F312" s="130" t="s">
        <v>7219</v>
      </c>
      <c r="G312" s="131" t="s">
        <v>4460</v>
      </c>
      <c r="H312" s="132">
        <v>30</v>
      </c>
      <c r="I312" s="133"/>
      <c r="J312" s="134">
        <f t="shared" si="90"/>
        <v>0</v>
      </c>
      <c r="K312" s="130"/>
      <c r="L312" s="17"/>
      <c r="M312" s="135"/>
      <c r="N312" s="136" t="s">
        <v>45</v>
      </c>
      <c r="P312" s="137">
        <f t="shared" si="91"/>
        <v>0</v>
      </c>
      <c r="Q312" s="137">
        <v>0</v>
      </c>
      <c r="R312" s="137">
        <f t="shared" si="92"/>
        <v>0</v>
      </c>
      <c r="S312" s="137">
        <v>0</v>
      </c>
      <c r="T312" s="138">
        <f t="shared" si="93"/>
        <v>0</v>
      </c>
      <c r="AR312" s="139" t="s">
        <v>344</v>
      </c>
      <c r="AT312" s="139" t="s">
        <v>339</v>
      </c>
      <c r="AU312" s="139" t="s">
        <v>87</v>
      </c>
      <c r="AY312" s="2" t="s">
        <v>337</v>
      </c>
      <c r="BE312" s="140">
        <f t="shared" si="94"/>
        <v>0</v>
      </c>
      <c r="BF312" s="140">
        <f t="shared" si="95"/>
        <v>0</v>
      </c>
      <c r="BG312" s="140">
        <f t="shared" si="96"/>
        <v>0</v>
      </c>
      <c r="BH312" s="140">
        <f t="shared" si="97"/>
        <v>0</v>
      </c>
      <c r="BI312" s="140">
        <f t="shared" si="98"/>
        <v>0</v>
      </c>
      <c r="BJ312" s="2" t="s">
        <v>87</v>
      </c>
      <c r="BK312" s="140">
        <f t="shared" si="99"/>
        <v>0</v>
      </c>
      <c r="BL312" s="2" t="s">
        <v>344</v>
      </c>
      <c r="BM312" s="139" t="s">
        <v>7220</v>
      </c>
    </row>
    <row r="313" spans="2:65" s="16" customFormat="1" ht="16.5" customHeight="1" x14ac:dyDescent="0.2">
      <c r="B313" s="17"/>
      <c r="C313" s="128">
        <v>166</v>
      </c>
      <c r="D313" s="128" t="s">
        <v>339</v>
      </c>
      <c r="E313" s="129" t="s">
        <v>7221</v>
      </c>
      <c r="F313" s="130" t="s">
        <v>7222</v>
      </c>
      <c r="G313" s="131" t="s">
        <v>4460</v>
      </c>
      <c r="H313" s="132">
        <v>8</v>
      </c>
      <c r="I313" s="133"/>
      <c r="J313" s="134">
        <f t="shared" si="90"/>
        <v>0</v>
      </c>
      <c r="K313" s="130"/>
      <c r="L313" s="17"/>
      <c r="M313" s="135"/>
      <c r="N313" s="136" t="s">
        <v>45</v>
      </c>
      <c r="P313" s="137">
        <f t="shared" si="91"/>
        <v>0</v>
      </c>
      <c r="Q313" s="137">
        <v>0</v>
      </c>
      <c r="R313" s="137">
        <f t="shared" si="92"/>
        <v>0</v>
      </c>
      <c r="S313" s="137">
        <v>0</v>
      </c>
      <c r="T313" s="138">
        <f t="shared" si="93"/>
        <v>0</v>
      </c>
      <c r="AR313" s="139" t="s">
        <v>344</v>
      </c>
      <c r="AT313" s="139" t="s">
        <v>339</v>
      </c>
      <c r="AU313" s="139" t="s">
        <v>87</v>
      </c>
      <c r="AY313" s="2" t="s">
        <v>337</v>
      </c>
      <c r="BE313" s="140">
        <f t="shared" si="94"/>
        <v>0</v>
      </c>
      <c r="BF313" s="140">
        <f t="shared" si="95"/>
        <v>0</v>
      </c>
      <c r="BG313" s="140">
        <f t="shared" si="96"/>
        <v>0</v>
      </c>
      <c r="BH313" s="140">
        <f t="shared" si="97"/>
        <v>0</v>
      </c>
      <c r="BI313" s="140">
        <f t="shared" si="98"/>
        <v>0</v>
      </c>
      <c r="BJ313" s="2" t="s">
        <v>87</v>
      </c>
      <c r="BK313" s="140">
        <f t="shared" si="99"/>
        <v>0</v>
      </c>
      <c r="BL313" s="2" t="s">
        <v>344</v>
      </c>
      <c r="BM313" s="139" t="s">
        <v>7223</v>
      </c>
    </row>
    <row r="314" spans="2:65" s="16" customFormat="1" ht="16.5" customHeight="1" x14ac:dyDescent="0.2">
      <c r="B314" s="17"/>
      <c r="C314" s="128">
        <v>167</v>
      </c>
      <c r="D314" s="128" t="s">
        <v>339</v>
      </c>
      <c r="E314" s="129" t="s">
        <v>7224</v>
      </c>
      <c r="F314" s="130" t="s">
        <v>7225</v>
      </c>
      <c r="G314" s="131" t="s">
        <v>4460</v>
      </c>
      <c r="H314" s="132">
        <v>24</v>
      </c>
      <c r="I314" s="133"/>
      <c r="J314" s="134">
        <f t="shared" si="90"/>
        <v>0</v>
      </c>
      <c r="K314" s="130"/>
      <c r="L314" s="17"/>
      <c r="M314" s="135"/>
      <c r="N314" s="136" t="s">
        <v>45</v>
      </c>
      <c r="P314" s="137">
        <f t="shared" si="91"/>
        <v>0</v>
      </c>
      <c r="Q314" s="137">
        <v>0</v>
      </c>
      <c r="R314" s="137">
        <f t="shared" si="92"/>
        <v>0</v>
      </c>
      <c r="S314" s="137">
        <v>0</v>
      </c>
      <c r="T314" s="138">
        <f t="shared" si="93"/>
        <v>0</v>
      </c>
      <c r="AR314" s="139" t="s">
        <v>344</v>
      </c>
      <c r="AT314" s="139" t="s">
        <v>339</v>
      </c>
      <c r="AU314" s="139" t="s">
        <v>87</v>
      </c>
      <c r="AY314" s="2" t="s">
        <v>337</v>
      </c>
      <c r="BE314" s="140">
        <f t="shared" si="94"/>
        <v>0</v>
      </c>
      <c r="BF314" s="140">
        <f t="shared" si="95"/>
        <v>0</v>
      </c>
      <c r="BG314" s="140">
        <f t="shared" si="96"/>
        <v>0</v>
      </c>
      <c r="BH314" s="140">
        <f t="shared" si="97"/>
        <v>0</v>
      </c>
      <c r="BI314" s="140">
        <f t="shared" si="98"/>
        <v>0</v>
      </c>
      <c r="BJ314" s="2" t="s">
        <v>87</v>
      </c>
      <c r="BK314" s="140">
        <f t="shared" si="99"/>
        <v>0</v>
      </c>
      <c r="BL314" s="2" t="s">
        <v>344</v>
      </c>
      <c r="BM314" s="139" t="s">
        <v>7226</v>
      </c>
    </row>
    <row r="315" spans="2:65" s="16" customFormat="1" ht="16.5" customHeight="1" x14ac:dyDescent="0.2">
      <c r="B315" s="17"/>
      <c r="C315" s="128">
        <v>168</v>
      </c>
      <c r="D315" s="128" t="s">
        <v>339</v>
      </c>
      <c r="E315" s="129" t="s">
        <v>7227</v>
      </c>
      <c r="F315" s="130" t="s">
        <v>7228</v>
      </c>
      <c r="G315" s="131" t="s">
        <v>4460</v>
      </c>
      <c r="H315" s="132">
        <v>40</v>
      </c>
      <c r="I315" s="133"/>
      <c r="J315" s="134">
        <f t="shared" si="90"/>
        <v>0</v>
      </c>
      <c r="K315" s="130"/>
      <c r="L315" s="17"/>
      <c r="M315" s="135"/>
      <c r="N315" s="136" t="s">
        <v>45</v>
      </c>
      <c r="P315" s="137">
        <f t="shared" si="91"/>
        <v>0</v>
      </c>
      <c r="Q315" s="137">
        <v>0</v>
      </c>
      <c r="R315" s="137">
        <f t="shared" si="92"/>
        <v>0</v>
      </c>
      <c r="S315" s="137">
        <v>0</v>
      </c>
      <c r="T315" s="138">
        <f t="shared" si="93"/>
        <v>0</v>
      </c>
      <c r="AR315" s="139" t="s">
        <v>344</v>
      </c>
      <c r="AT315" s="139" t="s">
        <v>339</v>
      </c>
      <c r="AU315" s="139" t="s">
        <v>87</v>
      </c>
      <c r="AY315" s="2" t="s">
        <v>337</v>
      </c>
      <c r="BE315" s="140">
        <f t="shared" si="94"/>
        <v>0</v>
      </c>
      <c r="BF315" s="140">
        <f t="shared" si="95"/>
        <v>0</v>
      </c>
      <c r="BG315" s="140">
        <f t="shared" si="96"/>
        <v>0</v>
      </c>
      <c r="BH315" s="140">
        <f t="shared" si="97"/>
        <v>0</v>
      </c>
      <c r="BI315" s="140">
        <f t="shared" si="98"/>
        <v>0</v>
      </c>
      <c r="BJ315" s="2" t="s">
        <v>87</v>
      </c>
      <c r="BK315" s="140">
        <f t="shared" si="99"/>
        <v>0</v>
      </c>
      <c r="BL315" s="2" t="s">
        <v>344</v>
      </c>
      <c r="BM315" s="139" t="s">
        <v>7229</v>
      </c>
    </row>
    <row r="316" spans="2:65" s="16" customFormat="1" ht="16.5" customHeight="1" x14ac:dyDescent="0.2">
      <c r="B316" s="17"/>
      <c r="C316" s="128">
        <v>169</v>
      </c>
      <c r="D316" s="128" t="s">
        <v>339</v>
      </c>
      <c r="E316" s="129" t="s">
        <v>7230</v>
      </c>
      <c r="F316" s="130" t="s">
        <v>7231</v>
      </c>
      <c r="G316" s="131" t="s">
        <v>4460</v>
      </c>
      <c r="H316" s="132">
        <v>8</v>
      </c>
      <c r="I316" s="133"/>
      <c r="J316" s="134">
        <f t="shared" si="90"/>
        <v>0</v>
      </c>
      <c r="K316" s="130"/>
      <c r="L316" s="17"/>
      <c r="M316" s="135"/>
      <c r="N316" s="136" t="s">
        <v>45</v>
      </c>
      <c r="P316" s="137">
        <f t="shared" si="91"/>
        <v>0</v>
      </c>
      <c r="Q316" s="137">
        <v>0</v>
      </c>
      <c r="R316" s="137">
        <f t="shared" si="92"/>
        <v>0</v>
      </c>
      <c r="S316" s="137">
        <v>0</v>
      </c>
      <c r="T316" s="138">
        <f t="shared" si="93"/>
        <v>0</v>
      </c>
      <c r="AR316" s="139" t="s">
        <v>344</v>
      </c>
      <c r="AT316" s="139" t="s">
        <v>339</v>
      </c>
      <c r="AU316" s="139" t="s">
        <v>87</v>
      </c>
      <c r="AY316" s="2" t="s">
        <v>337</v>
      </c>
      <c r="BE316" s="140">
        <f t="shared" si="94"/>
        <v>0</v>
      </c>
      <c r="BF316" s="140">
        <f t="shared" si="95"/>
        <v>0</v>
      </c>
      <c r="BG316" s="140">
        <f t="shared" si="96"/>
        <v>0</v>
      </c>
      <c r="BH316" s="140">
        <f t="shared" si="97"/>
        <v>0</v>
      </c>
      <c r="BI316" s="140">
        <f t="shared" si="98"/>
        <v>0</v>
      </c>
      <c r="BJ316" s="2" t="s">
        <v>87</v>
      </c>
      <c r="BK316" s="140">
        <f t="shared" si="99"/>
        <v>0</v>
      </c>
      <c r="BL316" s="2" t="s">
        <v>344</v>
      </c>
      <c r="BM316" s="139" t="s">
        <v>7232</v>
      </c>
    </row>
    <row r="317" spans="2:65" s="16" customFormat="1" ht="16.5" customHeight="1" x14ac:dyDescent="0.2">
      <c r="B317" s="17"/>
      <c r="C317" s="128">
        <v>170</v>
      </c>
      <c r="D317" s="128" t="s">
        <v>339</v>
      </c>
      <c r="E317" s="129" t="s">
        <v>7233</v>
      </c>
      <c r="F317" s="130" t="s">
        <v>7234</v>
      </c>
      <c r="G317" s="131" t="s">
        <v>4460</v>
      </c>
      <c r="H317" s="132">
        <v>8</v>
      </c>
      <c r="I317" s="133"/>
      <c r="J317" s="134">
        <f t="shared" si="90"/>
        <v>0</v>
      </c>
      <c r="K317" s="130"/>
      <c r="L317" s="17"/>
      <c r="M317" s="135"/>
      <c r="N317" s="136" t="s">
        <v>45</v>
      </c>
      <c r="P317" s="137">
        <f t="shared" si="91"/>
        <v>0</v>
      </c>
      <c r="Q317" s="137">
        <v>0</v>
      </c>
      <c r="R317" s="137">
        <f t="shared" si="92"/>
        <v>0</v>
      </c>
      <c r="S317" s="137">
        <v>0</v>
      </c>
      <c r="T317" s="138">
        <f t="shared" si="93"/>
        <v>0</v>
      </c>
      <c r="AR317" s="139" t="s">
        <v>344</v>
      </c>
      <c r="AT317" s="139" t="s">
        <v>339</v>
      </c>
      <c r="AU317" s="139" t="s">
        <v>87</v>
      </c>
      <c r="AY317" s="2" t="s">
        <v>337</v>
      </c>
      <c r="BE317" s="140">
        <f t="shared" si="94"/>
        <v>0</v>
      </c>
      <c r="BF317" s="140">
        <f t="shared" si="95"/>
        <v>0</v>
      </c>
      <c r="BG317" s="140">
        <f t="shared" si="96"/>
        <v>0</v>
      </c>
      <c r="BH317" s="140">
        <f t="shared" si="97"/>
        <v>0</v>
      </c>
      <c r="BI317" s="140">
        <f t="shared" si="98"/>
        <v>0</v>
      </c>
      <c r="BJ317" s="2" t="s">
        <v>87</v>
      </c>
      <c r="BK317" s="140">
        <f t="shared" si="99"/>
        <v>0</v>
      </c>
      <c r="BL317" s="2" t="s">
        <v>344</v>
      </c>
      <c r="BM317" s="139" t="s">
        <v>7235</v>
      </c>
    </row>
    <row r="318" spans="2:65" s="16" customFormat="1" ht="16.5" customHeight="1" x14ac:dyDescent="0.2">
      <c r="B318" s="17"/>
      <c r="C318" s="128">
        <v>171</v>
      </c>
      <c r="D318" s="128" t="s">
        <v>339</v>
      </c>
      <c r="E318" s="129" t="s">
        <v>7236</v>
      </c>
      <c r="F318" s="130" t="s">
        <v>7237</v>
      </c>
      <c r="G318" s="131" t="s">
        <v>7010</v>
      </c>
      <c r="H318" s="132">
        <v>1</v>
      </c>
      <c r="I318" s="133"/>
      <c r="J318" s="134">
        <f t="shared" si="90"/>
        <v>0</v>
      </c>
      <c r="K318" s="130"/>
      <c r="L318" s="17"/>
      <c r="M318" s="135"/>
      <c r="N318" s="136" t="s">
        <v>45</v>
      </c>
      <c r="P318" s="137">
        <f t="shared" si="91"/>
        <v>0</v>
      </c>
      <c r="Q318" s="137">
        <v>0</v>
      </c>
      <c r="R318" s="137">
        <f t="shared" si="92"/>
        <v>0</v>
      </c>
      <c r="S318" s="137">
        <v>0</v>
      </c>
      <c r="T318" s="138">
        <f t="shared" si="93"/>
        <v>0</v>
      </c>
      <c r="AR318" s="139" t="s">
        <v>344</v>
      </c>
      <c r="AT318" s="139" t="s">
        <v>339</v>
      </c>
      <c r="AU318" s="139" t="s">
        <v>87</v>
      </c>
      <c r="AY318" s="2" t="s">
        <v>337</v>
      </c>
      <c r="BE318" s="140">
        <f t="shared" si="94"/>
        <v>0</v>
      </c>
      <c r="BF318" s="140">
        <f t="shared" si="95"/>
        <v>0</v>
      </c>
      <c r="BG318" s="140">
        <f t="shared" si="96"/>
        <v>0</v>
      </c>
      <c r="BH318" s="140">
        <f t="shared" si="97"/>
        <v>0</v>
      </c>
      <c r="BI318" s="140">
        <f t="shared" si="98"/>
        <v>0</v>
      </c>
      <c r="BJ318" s="2" t="s">
        <v>87</v>
      </c>
      <c r="BK318" s="140">
        <f t="shared" si="99"/>
        <v>0</v>
      </c>
      <c r="BL318" s="2" t="s">
        <v>344</v>
      </c>
      <c r="BM318" s="139" t="s">
        <v>7238</v>
      </c>
    </row>
    <row r="319" spans="2:65" s="16" customFormat="1" ht="16.5" customHeight="1" x14ac:dyDescent="0.2">
      <c r="B319" s="17"/>
      <c r="C319" s="128">
        <v>172</v>
      </c>
      <c r="D319" s="128" t="s">
        <v>339</v>
      </c>
      <c r="E319" s="129" t="s">
        <v>7239</v>
      </c>
      <c r="F319" s="130" t="s">
        <v>7240</v>
      </c>
      <c r="G319" s="131" t="s">
        <v>4460</v>
      </c>
      <c r="H319" s="132">
        <v>8</v>
      </c>
      <c r="I319" s="133"/>
      <c r="J319" s="134">
        <f t="shared" si="90"/>
        <v>0</v>
      </c>
      <c r="K319" s="130"/>
      <c r="L319" s="17"/>
      <c r="M319" s="135"/>
      <c r="N319" s="136" t="s">
        <v>45</v>
      </c>
      <c r="P319" s="137">
        <f t="shared" si="91"/>
        <v>0</v>
      </c>
      <c r="Q319" s="137">
        <v>0</v>
      </c>
      <c r="R319" s="137">
        <f t="shared" si="92"/>
        <v>0</v>
      </c>
      <c r="S319" s="137">
        <v>0</v>
      </c>
      <c r="T319" s="138">
        <f t="shared" si="93"/>
        <v>0</v>
      </c>
      <c r="AR319" s="139" t="s">
        <v>344</v>
      </c>
      <c r="AT319" s="139" t="s">
        <v>339</v>
      </c>
      <c r="AU319" s="139" t="s">
        <v>87</v>
      </c>
      <c r="AY319" s="2" t="s">
        <v>337</v>
      </c>
      <c r="BE319" s="140">
        <f t="shared" si="94"/>
        <v>0</v>
      </c>
      <c r="BF319" s="140">
        <f t="shared" si="95"/>
        <v>0</v>
      </c>
      <c r="BG319" s="140">
        <f t="shared" si="96"/>
        <v>0</v>
      </c>
      <c r="BH319" s="140">
        <f t="shared" si="97"/>
        <v>0</v>
      </c>
      <c r="BI319" s="140">
        <f t="shared" si="98"/>
        <v>0</v>
      </c>
      <c r="BJ319" s="2" t="s">
        <v>87</v>
      </c>
      <c r="BK319" s="140">
        <f t="shared" si="99"/>
        <v>0</v>
      </c>
      <c r="BL319" s="2" t="s">
        <v>344</v>
      </c>
      <c r="BM319" s="139" t="s">
        <v>7241</v>
      </c>
    </row>
    <row r="320" spans="2:65" s="16" customFormat="1" ht="16.5" customHeight="1" x14ac:dyDescent="0.2">
      <c r="B320" s="17"/>
      <c r="C320" s="128">
        <v>173</v>
      </c>
      <c r="D320" s="128" t="s">
        <v>339</v>
      </c>
      <c r="E320" s="129" t="s">
        <v>7242</v>
      </c>
      <c r="F320" s="130" t="s">
        <v>7243</v>
      </c>
      <c r="G320" s="131" t="s">
        <v>4460</v>
      </c>
      <c r="H320" s="132">
        <v>80</v>
      </c>
      <c r="I320" s="133"/>
      <c r="J320" s="134">
        <f t="shared" si="90"/>
        <v>0</v>
      </c>
      <c r="K320" s="130"/>
      <c r="L320" s="17"/>
      <c r="M320" s="135"/>
      <c r="N320" s="136" t="s">
        <v>45</v>
      </c>
      <c r="P320" s="137">
        <f t="shared" si="91"/>
        <v>0</v>
      </c>
      <c r="Q320" s="137">
        <v>0</v>
      </c>
      <c r="R320" s="137">
        <f t="shared" si="92"/>
        <v>0</v>
      </c>
      <c r="S320" s="137">
        <v>0</v>
      </c>
      <c r="T320" s="138">
        <f t="shared" si="93"/>
        <v>0</v>
      </c>
      <c r="AR320" s="139" t="s">
        <v>344</v>
      </c>
      <c r="AT320" s="139" t="s">
        <v>339</v>
      </c>
      <c r="AU320" s="139" t="s">
        <v>87</v>
      </c>
      <c r="AY320" s="2" t="s">
        <v>337</v>
      </c>
      <c r="BE320" s="140">
        <f t="shared" si="94"/>
        <v>0</v>
      </c>
      <c r="BF320" s="140">
        <f t="shared" si="95"/>
        <v>0</v>
      </c>
      <c r="BG320" s="140">
        <f t="shared" si="96"/>
        <v>0</v>
      </c>
      <c r="BH320" s="140">
        <f t="shared" si="97"/>
        <v>0</v>
      </c>
      <c r="BI320" s="140">
        <f t="shared" si="98"/>
        <v>0</v>
      </c>
      <c r="BJ320" s="2" t="s">
        <v>87</v>
      </c>
      <c r="BK320" s="140">
        <f t="shared" si="99"/>
        <v>0</v>
      </c>
      <c r="BL320" s="2" t="s">
        <v>344</v>
      </c>
      <c r="BM320" s="139" t="s">
        <v>7244</v>
      </c>
    </row>
    <row r="321" spans="2:65" s="16" customFormat="1" ht="16.5" customHeight="1" x14ac:dyDescent="0.2">
      <c r="B321" s="17"/>
      <c r="C321" s="128">
        <v>174</v>
      </c>
      <c r="D321" s="128" t="s">
        <v>339</v>
      </c>
      <c r="E321" s="129" t="s">
        <v>7245</v>
      </c>
      <c r="F321" s="130" t="s">
        <v>7246</v>
      </c>
      <c r="G321" s="131" t="s">
        <v>4460</v>
      </c>
      <c r="H321" s="132">
        <v>40</v>
      </c>
      <c r="I321" s="133"/>
      <c r="J321" s="134">
        <f t="shared" si="90"/>
        <v>0</v>
      </c>
      <c r="K321" s="130"/>
      <c r="L321" s="17"/>
      <c r="M321" s="135"/>
      <c r="N321" s="136" t="s">
        <v>45</v>
      </c>
      <c r="P321" s="137">
        <f t="shared" si="91"/>
        <v>0</v>
      </c>
      <c r="Q321" s="137">
        <v>0</v>
      </c>
      <c r="R321" s="137">
        <f t="shared" si="92"/>
        <v>0</v>
      </c>
      <c r="S321" s="137">
        <v>0</v>
      </c>
      <c r="T321" s="138">
        <f t="shared" si="93"/>
        <v>0</v>
      </c>
      <c r="AR321" s="139" t="s">
        <v>344</v>
      </c>
      <c r="AT321" s="139" t="s">
        <v>339</v>
      </c>
      <c r="AU321" s="139" t="s">
        <v>87</v>
      </c>
      <c r="AY321" s="2" t="s">
        <v>337</v>
      </c>
      <c r="BE321" s="140">
        <f t="shared" si="94"/>
        <v>0</v>
      </c>
      <c r="BF321" s="140">
        <f t="shared" si="95"/>
        <v>0</v>
      </c>
      <c r="BG321" s="140">
        <f t="shared" si="96"/>
        <v>0</v>
      </c>
      <c r="BH321" s="140">
        <f t="shared" si="97"/>
        <v>0</v>
      </c>
      <c r="BI321" s="140">
        <f t="shared" si="98"/>
        <v>0</v>
      </c>
      <c r="BJ321" s="2" t="s">
        <v>87</v>
      </c>
      <c r="BK321" s="140">
        <f t="shared" si="99"/>
        <v>0</v>
      </c>
      <c r="BL321" s="2" t="s">
        <v>344</v>
      </c>
      <c r="BM321" s="139" t="s">
        <v>7247</v>
      </c>
    </row>
    <row r="322" spans="2:65" s="16" customFormat="1" ht="16.5" customHeight="1" x14ac:dyDescent="0.2">
      <c r="B322" s="17"/>
      <c r="C322" s="128">
        <v>175</v>
      </c>
      <c r="D322" s="128" t="s">
        <v>339</v>
      </c>
      <c r="E322" s="129" t="s">
        <v>7248</v>
      </c>
      <c r="F322" s="130" t="s">
        <v>7249</v>
      </c>
      <c r="G322" s="131" t="s">
        <v>4460</v>
      </c>
      <c r="H322" s="132">
        <v>48</v>
      </c>
      <c r="I322" s="133"/>
      <c r="J322" s="134">
        <f t="shared" si="90"/>
        <v>0</v>
      </c>
      <c r="K322" s="130"/>
      <c r="L322" s="17"/>
      <c r="M322" s="135"/>
      <c r="N322" s="136" t="s">
        <v>45</v>
      </c>
      <c r="P322" s="137">
        <f t="shared" si="91"/>
        <v>0</v>
      </c>
      <c r="Q322" s="137">
        <v>0</v>
      </c>
      <c r="R322" s="137">
        <f t="shared" si="92"/>
        <v>0</v>
      </c>
      <c r="S322" s="137">
        <v>0</v>
      </c>
      <c r="T322" s="138">
        <f t="shared" si="93"/>
        <v>0</v>
      </c>
      <c r="AR322" s="139" t="s">
        <v>344</v>
      </c>
      <c r="AT322" s="139" t="s">
        <v>339</v>
      </c>
      <c r="AU322" s="139" t="s">
        <v>87</v>
      </c>
      <c r="AY322" s="2" t="s">
        <v>337</v>
      </c>
      <c r="BE322" s="140">
        <f t="shared" si="94"/>
        <v>0</v>
      </c>
      <c r="BF322" s="140">
        <f t="shared" si="95"/>
        <v>0</v>
      </c>
      <c r="BG322" s="140">
        <f t="shared" si="96"/>
        <v>0</v>
      </c>
      <c r="BH322" s="140">
        <f t="shared" si="97"/>
        <v>0</v>
      </c>
      <c r="BI322" s="140">
        <f t="shared" si="98"/>
        <v>0</v>
      </c>
      <c r="BJ322" s="2" t="s">
        <v>87</v>
      </c>
      <c r="BK322" s="140">
        <f t="shared" si="99"/>
        <v>0</v>
      </c>
      <c r="BL322" s="2" t="s">
        <v>344</v>
      </c>
      <c r="BM322" s="139" t="s">
        <v>7250</v>
      </c>
    </row>
    <row r="323" spans="2:65" s="16" customFormat="1" ht="16.5" customHeight="1" x14ac:dyDescent="0.2">
      <c r="B323" s="17"/>
      <c r="C323" s="128">
        <v>176</v>
      </c>
      <c r="D323" s="128" t="s">
        <v>339</v>
      </c>
      <c r="E323" s="129" t="s">
        <v>7251</v>
      </c>
      <c r="F323" s="130" t="s">
        <v>7252</v>
      </c>
      <c r="G323" s="131" t="s">
        <v>4460</v>
      </c>
      <c r="H323" s="132">
        <v>24</v>
      </c>
      <c r="I323" s="133"/>
      <c r="J323" s="134">
        <f t="shared" si="90"/>
        <v>0</v>
      </c>
      <c r="K323" s="130"/>
      <c r="L323" s="17"/>
      <c r="M323" s="135"/>
      <c r="N323" s="136" t="s">
        <v>45</v>
      </c>
      <c r="P323" s="137">
        <f t="shared" si="91"/>
        <v>0</v>
      </c>
      <c r="Q323" s="137">
        <v>0</v>
      </c>
      <c r="R323" s="137">
        <f t="shared" si="92"/>
        <v>0</v>
      </c>
      <c r="S323" s="137">
        <v>0</v>
      </c>
      <c r="T323" s="138">
        <f t="shared" si="93"/>
        <v>0</v>
      </c>
      <c r="AR323" s="139" t="s">
        <v>344</v>
      </c>
      <c r="AT323" s="139" t="s">
        <v>339</v>
      </c>
      <c r="AU323" s="139" t="s">
        <v>87</v>
      </c>
      <c r="AY323" s="2" t="s">
        <v>337</v>
      </c>
      <c r="BE323" s="140">
        <f t="shared" si="94"/>
        <v>0</v>
      </c>
      <c r="BF323" s="140">
        <f t="shared" si="95"/>
        <v>0</v>
      </c>
      <c r="BG323" s="140">
        <f t="shared" si="96"/>
        <v>0</v>
      </c>
      <c r="BH323" s="140">
        <f t="shared" si="97"/>
        <v>0</v>
      </c>
      <c r="BI323" s="140">
        <f t="shared" si="98"/>
        <v>0</v>
      </c>
      <c r="BJ323" s="2" t="s">
        <v>87</v>
      </c>
      <c r="BK323" s="140">
        <f t="shared" si="99"/>
        <v>0</v>
      </c>
      <c r="BL323" s="2" t="s">
        <v>344</v>
      </c>
      <c r="BM323" s="139" t="s">
        <v>7253</v>
      </c>
    </row>
    <row r="324" spans="2:65" s="16" customFormat="1" ht="16.5" customHeight="1" x14ac:dyDescent="0.2">
      <c r="B324" s="17"/>
      <c r="C324" s="128">
        <v>177</v>
      </c>
      <c r="D324" s="128" t="s">
        <v>339</v>
      </c>
      <c r="E324" s="129" t="s">
        <v>7254</v>
      </c>
      <c r="F324" s="130" t="s">
        <v>7255</v>
      </c>
      <c r="G324" s="131" t="s">
        <v>4460</v>
      </c>
      <c r="H324" s="132">
        <v>8</v>
      </c>
      <c r="I324" s="133"/>
      <c r="J324" s="134">
        <f t="shared" si="90"/>
        <v>0</v>
      </c>
      <c r="K324" s="130"/>
      <c r="L324" s="17"/>
      <c r="M324" s="135"/>
      <c r="N324" s="136" t="s">
        <v>45</v>
      </c>
      <c r="P324" s="137">
        <f t="shared" si="91"/>
        <v>0</v>
      </c>
      <c r="Q324" s="137">
        <v>0</v>
      </c>
      <c r="R324" s="137">
        <f t="shared" si="92"/>
        <v>0</v>
      </c>
      <c r="S324" s="137">
        <v>0</v>
      </c>
      <c r="T324" s="138">
        <f t="shared" si="93"/>
        <v>0</v>
      </c>
      <c r="AR324" s="139" t="s">
        <v>344</v>
      </c>
      <c r="AT324" s="139" t="s">
        <v>339</v>
      </c>
      <c r="AU324" s="139" t="s">
        <v>87</v>
      </c>
      <c r="AY324" s="2" t="s">
        <v>337</v>
      </c>
      <c r="BE324" s="140">
        <f t="shared" si="94"/>
        <v>0</v>
      </c>
      <c r="BF324" s="140">
        <f t="shared" si="95"/>
        <v>0</v>
      </c>
      <c r="BG324" s="140">
        <f t="shared" si="96"/>
        <v>0</v>
      </c>
      <c r="BH324" s="140">
        <f t="shared" si="97"/>
        <v>0</v>
      </c>
      <c r="BI324" s="140">
        <f t="shared" si="98"/>
        <v>0</v>
      </c>
      <c r="BJ324" s="2" t="s">
        <v>87</v>
      </c>
      <c r="BK324" s="140">
        <f t="shared" si="99"/>
        <v>0</v>
      </c>
      <c r="BL324" s="2" t="s">
        <v>344</v>
      </c>
      <c r="BM324" s="139" t="s">
        <v>7256</v>
      </c>
    </row>
    <row r="325" spans="2:65" s="16" customFormat="1" ht="16.5" customHeight="1" x14ac:dyDescent="0.2">
      <c r="B325" s="17"/>
      <c r="C325" s="128">
        <v>178</v>
      </c>
      <c r="D325" s="128" t="s">
        <v>339</v>
      </c>
      <c r="E325" s="129" t="s">
        <v>7257</v>
      </c>
      <c r="F325" s="130" t="s">
        <v>7258</v>
      </c>
      <c r="G325" s="131" t="s">
        <v>4460</v>
      </c>
      <c r="H325" s="132">
        <v>8</v>
      </c>
      <c r="I325" s="133"/>
      <c r="J325" s="134">
        <f t="shared" si="90"/>
        <v>0</v>
      </c>
      <c r="K325" s="130"/>
      <c r="L325" s="17"/>
      <c r="M325" s="135"/>
      <c r="N325" s="136" t="s">
        <v>45</v>
      </c>
      <c r="P325" s="137">
        <f t="shared" si="91"/>
        <v>0</v>
      </c>
      <c r="Q325" s="137">
        <v>0</v>
      </c>
      <c r="R325" s="137">
        <f t="shared" si="92"/>
        <v>0</v>
      </c>
      <c r="S325" s="137">
        <v>0</v>
      </c>
      <c r="T325" s="138">
        <f t="shared" si="93"/>
        <v>0</v>
      </c>
      <c r="AR325" s="139" t="s">
        <v>344</v>
      </c>
      <c r="AT325" s="139" t="s">
        <v>339</v>
      </c>
      <c r="AU325" s="139" t="s">
        <v>87</v>
      </c>
      <c r="AY325" s="2" t="s">
        <v>337</v>
      </c>
      <c r="BE325" s="140">
        <f t="shared" si="94"/>
        <v>0</v>
      </c>
      <c r="BF325" s="140">
        <f t="shared" si="95"/>
        <v>0</v>
      </c>
      <c r="BG325" s="140">
        <f t="shared" si="96"/>
        <v>0</v>
      </c>
      <c r="BH325" s="140">
        <f t="shared" si="97"/>
        <v>0</v>
      </c>
      <c r="BI325" s="140">
        <f t="shared" si="98"/>
        <v>0</v>
      </c>
      <c r="BJ325" s="2" t="s">
        <v>87</v>
      </c>
      <c r="BK325" s="140">
        <f t="shared" si="99"/>
        <v>0</v>
      </c>
      <c r="BL325" s="2" t="s">
        <v>344</v>
      </c>
      <c r="BM325" s="139" t="s">
        <v>7259</v>
      </c>
    </row>
    <row r="326" spans="2:65" s="16" customFormat="1" ht="16.5" customHeight="1" x14ac:dyDescent="0.2">
      <c r="B326" s="17"/>
      <c r="C326" s="128">
        <v>179</v>
      </c>
      <c r="D326" s="128" t="s">
        <v>339</v>
      </c>
      <c r="E326" s="129" t="s">
        <v>7260</v>
      </c>
      <c r="F326" s="130" t="s">
        <v>7261</v>
      </c>
      <c r="G326" s="131" t="s">
        <v>4460</v>
      </c>
      <c r="H326" s="132">
        <v>8</v>
      </c>
      <c r="I326" s="133"/>
      <c r="J326" s="134">
        <f t="shared" si="90"/>
        <v>0</v>
      </c>
      <c r="K326" s="130"/>
      <c r="L326" s="17"/>
      <c r="M326" s="135"/>
      <c r="N326" s="136" t="s">
        <v>45</v>
      </c>
      <c r="P326" s="137">
        <f t="shared" si="91"/>
        <v>0</v>
      </c>
      <c r="Q326" s="137">
        <v>0</v>
      </c>
      <c r="R326" s="137">
        <f t="shared" si="92"/>
        <v>0</v>
      </c>
      <c r="S326" s="137">
        <v>0</v>
      </c>
      <c r="T326" s="138">
        <f t="shared" si="93"/>
        <v>0</v>
      </c>
      <c r="AR326" s="139" t="s">
        <v>344</v>
      </c>
      <c r="AT326" s="139" t="s">
        <v>339</v>
      </c>
      <c r="AU326" s="139" t="s">
        <v>87</v>
      </c>
      <c r="AY326" s="2" t="s">
        <v>337</v>
      </c>
      <c r="BE326" s="140">
        <f t="shared" si="94"/>
        <v>0</v>
      </c>
      <c r="BF326" s="140">
        <f t="shared" si="95"/>
        <v>0</v>
      </c>
      <c r="BG326" s="140">
        <f t="shared" si="96"/>
        <v>0</v>
      </c>
      <c r="BH326" s="140">
        <f t="shared" si="97"/>
        <v>0</v>
      </c>
      <c r="BI326" s="140">
        <f t="shared" si="98"/>
        <v>0</v>
      </c>
      <c r="BJ326" s="2" t="s">
        <v>87</v>
      </c>
      <c r="BK326" s="140">
        <f t="shared" si="99"/>
        <v>0</v>
      </c>
      <c r="BL326" s="2" t="s">
        <v>344</v>
      </c>
      <c r="BM326" s="139" t="s">
        <v>7262</v>
      </c>
    </row>
    <row r="327" spans="2:65" s="16" customFormat="1" ht="16.5" customHeight="1" x14ac:dyDescent="0.2">
      <c r="B327" s="17"/>
      <c r="C327" s="128">
        <v>180</v>
      </c>
      <c r="D327" s="128" t="s">
        <v>339</v>
      </c>
      <c r="E327" s="129" t="s">
        <v>7263</v>
      </c>
      <c r="F327" s="130" t="s">
        <v>7264</v>
      </c>
      <c r="G327" s="131" t="s">
        <v>4460</v>
      </c>
      <c r="H327" s="132">
        <v>300</v>
      </c>
      <c r="I327" s="133"/>
      <c r="J327" s="134">
        <f t="shared" si="90"/>
        <v>0</v>
      </c>
      <c r="K327" s="130"/>
      <c r="L327" s="17"/>
      <c r="M327" s="135"/>
      <c r="N327" s="136" t="s">
        <v>45</v>
      </c>
      <c r="P327" s="137">
        <f t="shared" si="91"/>
        <v>0</v>
      </c>
      <c r="Q327" s="137">
        <v>0</v>
      </c>
      <c r="R327" s="137">
        <f t="shared" si="92"/>
        <v>0</v>
      </c>
      <c r="S327" s="137">
        <v>0</v>
      </c>
      <c r="T327" s="138">
        <f t="shared" si="93"/>
        <v>0</v>
      </c>
      <c r="AR327" s="139" t="s">
        <v>344</v>
      </c>
      <c r="AT327" s="139" t="s">
        <v>339</v>
      </c>
      <c r="AU327" s="139" t="s">
        <v>87</v>
      </c>
      <c r="AY327" s="2" t="s">
        <v>337</v>
      </c>
      <c r="BE327" s="140">
        <f t="shared" si="94"/>
        <v>0</v>
      </c>
      <c r="BF327" s="140">
        <f t="shared" si="95"/>
        <v>0</v>
      </c>
      <c r="BG327" s="140">
        <f t="shared" si="96"/>
        <v>0</v>
      </c>
      <c r="BH327" s="140">
        <f t="shared" si="97"/>
        <v>0</v>
      </c>
      <c r="BI327" s="140">
        <f t="shared" si="98"/>
        <v>0</v>
      </c>
      <c r="BJ327" s="2" t="s">
        <v>87</v>
      </c>
      <c r="BK327" s="140">
        <f t="shared" si="99"/>
        <v>0</v>
      </c>
      <c r="BL327" s="2" t="s">
        <v>344</v>
      </c>
      <c r="BM327" s="139" t="s">
        <v>7265</v>
      </c>
    </row>
    <row r="328" spans="2:65" s="16" customFormat="1" ht="16.5" customHeight="1" x14ac:dyDescent="0.2">
      <c r="B328" s="17"/>
      <c r="C328" s="128">
        <v>181</v>
      </c>
      <c r="D328" s="128" t="s">
        <v>339</v>
      </c>
      <c r="E328" s="129" t="s">
        <v>7266</v>
      </c>
      <c r="F328" s="130" t="s">
        <v>7267</v>
      </c>
      <c r="G328" s="131" t="s">
        <v>4460</v>
      </c>
      <c r="H328" s="132">
        <v>300</v>
      </c>
      <c r="I328" s="133"/>
      <c r="J328" s="134">
        <f t="shared" si="90"/>
        <v>0</v>
      </c>
      <c r="K328" s="130"/>
      <c r="L328" s="17"/>
      <c r="M328" s="135"/>
      <c r="N328" s="136" t="s">
        <v>45</v>
      </c>
      <c r="P328" s="137">
        <f t="shared" si="91"/>
        <v>0</v>
      </c>
      <c r="Q328" s="137">
        <v>0</v>
      </c>
      <c r="R328" s="137">
        <f t="shared" si="92"/>
        <v>0</v>
      </c>
      <c r="S328" s="137">
        <v>0</v>
      </c>
      <c r="T328" s="138">
        <f t="shared" si="93"/>
        <v>0</v>
      </c>
      <c r="AR328" s="139" t="s">
        <v>344</v>
      </c>
      <c r="AT328" s="139" t="s">
        <v>339</v>
      </c>
      <c r="AU328" s="139" t="s">
        <v>87</v>
      </c>
      <c r="AY328" s="2" t="s">
        <v>337</v>
      </c>
      <c r="BE328" s="140">
        <f t="shared" si="94"/>
        <v>0</v>
      </c>
      <c r="BF328" s="140">
        <f t="shared" si="95"/>
        <v>0</v>
      </c>
      <c r="BG328" s="140">
        <f t="shared" si="96"/>
        <v>0</v>
      </c>
      <c r="BH328" s="140">
        <f t="shared" si="97"/>
        <v>0</v>
      </c>
      <c r="BI328" s="140">
        <f t="shared" si="98"/>
        <v>0</v>
      </c>
      <c r="BJ328" s="2" t="s">
        <v>87</v>
      </c>
      <c r="BK328" s="140">
        <f t="shared" si="99"/>
        <v>0</v>
      </c>
      <c r="BL328" s="2" t="s">
        <v>344</v>
      </c>
      <c r="BM328" s="139" t="s">
        <v>7268</v>
      </c>
    </row>
    <row r="329" spans="2:65" s="16" customFormat="1" ht="16.5" customHeight="1" x14ac:dyDescent="0.2">
      <c r="B329" s="17"/>
      <c r="C329" s="128">
        <v>182</v>
      </c>
      <c r="D329" s="128" t="s">
        <v>339</v>
      </c>
      <c r="E329" s="129" t="s">
        <v>7269</v>
      </c>
      <c r="F329" s="130" t="s">
        <v>7270</v>
      </c>
      <c r="G329" s="131" t="s">
        <v>4460</v>
      </c>
      <c r="H329" s="132">
        <v>150</v>
      </c>
      <c r="I329" s="133"/>
      <c r="J329" s="134">
        <f t="shared" si="90"/>
        <v>0</v>
      </c>
      <c r="K329" s="130"/>
      <c r="L329" s="17"/>
      <c r="M329" s="135"/>
      <c r="N329" s="136" t="s">
        <v>45</v>
      </c>
      <c r="P329" s="137">
        <f t="shared" si="91"/>
        <v>0</v>
      </c>
      <c r="Q329" s="137">
        <v>0</v>
      </c>
      <c r="R329" s="137">
        <f t="shared" si="92"/>
        <v>0</v>
      </c>
      <c r="S329" s="137">
        <v>0</v>
      </c>
      <c r="T329" s="138">
        <f t="shared" si="93"/>
        <v>0</v>
      </c>
      <c r="AR329" s="139" t="s">
        <v>344</v>
      </c>
      <c r="AT329" s="139" t="s">
        <v>339</v>
      </c>
      <c r="AU329" s="139" t="s">
        <v>87</v>
      </c>
      <c r="AY329" s="2" t="s">
        <v>337</v>
      </c>
      <c r="BE329" s="140">
        <f t="shared" si="94"/>
        <v>0</v>
      </c>
      <c r="BF329" s="140">
        <f t="shared" si="95"/>
        <v>0</v>
      </c>
      <c r="BG329" s="140">
        <f t="shared" si="96"/>
        <v>0</v>
      </c>
      <c r="BH329" s="140">
        <f t="shared" si="97"/>
        <v>0</v>
      </c>
      <c r="BI329" s="140">
        <f t="shared" si="98"/>
        <v>0</v>
      </c>
      <c r="BJ329" s="2" t="s">
        <v>87</v>
      </c>
      <c r="BK329" s="140">
        <f t="shared" si="99"/>
        <v>0</v>
      </c>
      <c r="BL329" s="2" t="s">
        <v>344</v>
      </c>
      <c r="BM329" s="139" t="s">
        <v>7271</v>
      </c>
    </row>
    <row r="330" spans="2:65" s="16" customFormat="1" ht="16.5" customHeight="1" x14ac:dyDescent="0.2">
      <c r="B330" s="17"/>
      <c r="C330" s="128">
        <v>183</v>
      </c>
      <c r="D330" s="128" t="s">
        <v>339</v>
      </c>
      <c r="E330" s="129" t="s">
        <v>7272</v>
      </c>
      <c r="F330" s="130" t="s">
        <v>7273</v>
      </c>
      <c r="G330" s="131" t="s">
        <v>4460</v>
      </c>
      <c r="H330" s="132">
        <v>8</v>
      </c>
      <c r="I330" s="133"/>
      <c r="J330" s="134">
        <f t="shared" si="90"/>
        <v>0</v>
      </c>
      <c r="K330" s="130"/>
      <c r="L330" s="17"/>
      <c r="M330" s="135"/>
      <c r="N330" s="136" t="s">
        <v>45</v>
      </c>
      <c r="P330" s="137">
        <f t="shared" si="91"/>
        <v>0</v>
      </c>
      <c r="Q330" s="137">
        <v>0</v>
      </c>
      <c r="R330" s="137">
        <f t="shared" si="92"/>
        <v>0</v>
      </c>
      <c r="S330" s="137">
        <v>0</v>
      </c>
      <c r="T330" s="138">
        <f t="shared" si="93"/>
        <v>0</v>
      </c>
      <c r="AR330" s="139" t="s">
        <v>344</v>
      </c>
      <c r="AT330" s="139" t="s">
        <v>339</v>
      </c>
      <c r="AU330" s="139" t="s">
        <v>87</v>
      </c>
      <c r="AY330" s="2" t="s">
        <v>337</v>
      </c>
      <c r="BE330" s="140">
        <f t="shared" si="94"/>
        <v>0</v>
      </c>
      <c r="BF330" s="140">
        <f t="shared" si="95"/>
        <v>0</v>
      </c>
      <c r="BG330" s="140">
        <f t="shared" si="96"/>
        <v>0</v>
      </c>
      <c r="BH330" s="140">
        <f t="shared" si="97"/>
        <v>0</v>
      </c>
      <c r="BI330" s="140">
        <f t="shared" si="98"/>
        <v>0</v>
      </c>
      <c r="BJ330" s="2" t="s">
        <v>87</v>
      </c>
      <c r="BK330" s="140">
        <f t="shared" si="99"/>
        <v>0</v>
      </c>
      <c r="BL330" s="2" t="s">
        <v>344</v>
      </c>
      <c r="BM330" s="139" t="s">
        <v>7274</v>
      </c>
    </row>
    <row r="331" spans="2:65" s="16" customFormat="1" ht="16.5" customHeight="1" x14ac:dyDescent="0.2">
      <c r="B331" s="17"/>
      <c r="C331" s="128">
        <v>184</v>
      </c>
      <c r="D331" s="128" t="s">
        <v>339</v>
      </c>
      <c r="E331" s="129" t="s">
        <v>7275</v>
      </c>
      <c r="F331" s="130" t="s">
        <v>7276</v>
      </c>
      <c r="G331" s="131" t="s">
        <v>4460</v>
      </c>
      <c r="H331" s="132">
        <v>32</v>
      </c>
      <c r="I331" s="133"/>
      <c r="J331" s="134">
        <f t="shared" si="90"/>
        <v>0</v>
      </c>
      <c r="K331" s="130"/>
      <c r="L331" s="17"/>
      <c r="M331" s="135"/>
      <c r="N331" s="136" t="s">
        <v>45</v>
      </c>
      <c r="P331" s="137">
        <f t="shared" si="91"/>
        <v>0</v>
      </c>
      <c r="Q331" s="137">
        <v>0</v>
      </c>
      <c r="R331" s="137">
        <f t="shared" si="92"/>
        <v>0</v>
      </c>
      <c r="S331" s="137">
        <v>0</v>
      </c>
      <c r="T331" s="138">
        <f t="shared" si="93"/>
        <v>0</v>
      </c>
      <c r="AR331" s="139" t="s">
        <v>344</v>
      </c>
      <c r="AT331" s="139" t="s">
        <v>339</v>
      </c>
      <c r="AU331" s="139" t="s">
        <v>87</v>
      </c>
      <c r="AY331" s="2" t="s">
        <v>337</v>
      </c>
      <c r="BE331" s="140">
        <f t="shared" si="94"/>
        <v>0</v>
      </c>
      <c r="BF331" s="140">
        <f t="shared" si="95"/>
        <v>0</v>
      </c>
      <c r="BG331" s="140">
        <f t="shared" si="96"/>
        <v>0</v>
      </c>
      <c r="BH331" s="140">
        <f t="shared" si="97"/>
        <v>0</v>
      </c>
      <c r="BI331" s="140">
        <f t="shared" si="98"/>
        <v>0</v>
      </c>
      <c r="BJ331" s="2" t="s">
        <v>87</v>
      </c>
      <c r="BK331" s="140">
        <f t="shared" si="99"/>
        <v>0</v>
      </c>
      <c r="BL331" s="2" t="s">
        <v>344</v>
      </c>
      <c r="BM331" s="139" t="s">
        <v>7277</v>
      </c>
    </row>
    <row r="332" spans="2:65" s="16" customFormat="1" ht="16.5" customHeight="1" x14ac:dyDescent="0.2">
      <c r="B332" s="17"/>
      <c r="C332" s="128">
        <v>185</v>
      </c>
      <c r="D332" s="128" t="s">
        <v>339</v>
      </c>
      <c r="E332" s="129" t="s">
        <v>7278</v>
      </c>
      <c r="F332" s="130" t="s">
        <v>7279</v>
      </c>
      <c r="G332" s="131" t="s">
        <v>4460</v>
      </c>
      <c r="H332" s="132">
        <v>8</v>
      </c>
      <c r="I332" s="133"/>
      <c r="J332" s="134">
        <f t="shared" si="90"/>
        <v>0</v>
      </c>
      <c r="K332" s="130"/>
      <c r="L332" s="17"/>
      <c r="M332" s="135"/>
      <c r="N332" s="136" t="s">
        <v>45</v>
      </c>
      <c r="P332" s="137">
        <f t="shared" si="91"/>
        <v>0</v>
      </c>
      <c r="Q332" s="137">
        <v>0</v>
      </c>
      <c r="R332" s="137">
        <f t="shared" si="92"/>
        <v>0</v>
      </c>
      <c r="S332" s="137">
        <v>0</v>
      </c>
      <c r="T332" s="138">
        <f t="shared" si="93"/>
        <v>0</v>
      </c>
      <c r="AR332" s="139" t="s">
        <v>344</v>
      </c>
      <c r="AT332" s="139" t="s">
        <v>339</v>
      </c>
      <c r="AU332" s="139" t="s">
        <v>87</v>
      </c>
      <c r="AY332" s="2" t="s">
        <v>337</v>
      </c>
      <c r="BE332" s="140">
        <f t="shared" si="94"/>
        <v>0</v>
      </c>
      <c r="BF332" s="140">
        <f t="shared" si="95"/>
        <v>0</v>
      </c>
      <c r="BG332" s="140">
        <f t="shared" si="96"/>
        <v>0</v>
      </c>
      <c r="BH332" s="140">
        <f t="shared" si="97"/>
        <v>0</v>
      </c>
      <c r="BI332" s="140">
        <f t="shared" si="98"/>
        <v>0</v>
      </c>
      <c r="BJ332" s="2" t="s">
        <v>87</v>
      </c>
      <c r="BK332" s="140">
        <f t="shared" si="99"/>
        <v>0</v>
      </c>
      <c r="BL332" s="2" t="s">
        <v>344</v>
      </c>
      <c r="BM332" s="139" t="s">
        <v>7280</v>
      </c>
    </row>
    <row r="333" spans="2:65" s="16" customFormat="1" ht="16.5" customHeight="1" x14ac:dyDescent="0.2">
      <c r="B333" s="17"/>
      <c r="C333" s="128">
        <v>186</v>
      </c>
      <c r="D333" s="128" t="s">
        <v>339</v>
      </c>
      <c r="E333" s="129" t="s">
        <v>7281</v>
      </c>
      <c r="F333" s="130" t="s">
        <v>7282</v>
      </c>
      <c r="G333" s="131" t="s">
        <v>4460</v>
      </c>
      <c r="H333" s="132">
        <v>16</v>
      </c>
      <c r="I333" s="133"/>
      <c r="J333" s="134">
        <f t="shared" si="90"/>
        <v>0</v>
      </c>
      <c r="K333" s="130"/>
      <c r="L333" s="17"/>
      <c r="M333" s="135"/>
      <c r="N333" s="136" t="s">
        <v>45</v>
      </c>
      <c r="P333" s="137">
        <f t="shared" si="91"/>
        <v>0</v>
      </c>
      <c r="Q333" s="137">
        <v>0</v>
      </c>
      <c r="R333" s="137">
        <f t="shared" si="92"/>
        <v>0</v>
      </c>
      <c r="S333" s="137">
        <v>0</v>
      </c>
      <c r="T333" s="138">
        <f t="shared" si="93"/>
        <v>0</v>
      </c>
      <c r="AR333" s="139" t="s">
        <v>344</v>
      </c>
      <c r="AT333" s="139" t="s">
        <v>339</v>
      </c>
      <c r="AU333" s="139" t="s">
        <v>87</v>
      </c>
      <c r="AY333" s="2" t="s">
        <v>337</v>
      </c>
      <c r="BE333" s="140">
        <f t="shared" si="94"/>
        <v>0</v>
      </c>
      <c r="BF333" s="140">
        <f t="shared" si="95"/>
        <v>0</v>
      </c>
      <c r="BG333" s="140">
        <f t="shared" si="96"/>
        <v>0</v>
      </c>
      <c r="BH333" s="140">
        <f t="shared" si="97"/>
        <v>0</v>
      </c>
      <c r="BI333" s="140">
        <f t="shared" si="98"/>
        <v>0</v>
      </c>
      <c r="BJ333" s="2" t="s">
        <v>87</v>
      </c>
      <c r="BK333" s="140">
        <f t="shared" si="99"/>
        <v>0</v>
      </c>
      <c r="BL333" s="2" t="s">
        <v>344</v>
      </c>
      <c r="BM333" s="139" t="s">
        <v>7283</v>
      </c>
    </row>
    <row r="334" spans="2:65" s="16" customFormat="1" ht="16.5" customHeight="1" x14ac:dyDescent="0.2">
      <c r="B334" s="17"/>
      <c r="C334" s="128">
        <v>187</v>
      </c>
      <c r="D334" s="128" t="s">
        <v>339</v>
      </c>
      <c r="E334" s="129" t="s">
        <v>7284</v>
      </c>
      <c r="F334" s="130" t="s">
        <v>7285</v>
      </c>
      <c r="G334" s="131" t="s">
        <v>4460</v>
      </c>
      <c r="H334" s="132">
        <v>8</v>
      </c>
      <c r="I334" s="133"/>
      <c r="J334" s="134">
        <f t="shared" ref="J334:J365" si="100">ROUND(I334*H334,2)</f>
        <v>0</v>
      </c>
      <c r="K334" s="130"/>
      <c r="L334" s="17"/>
      <c r="M334" s="135"/>
      <c r="N334" s="136" t="s">
        <v>45</v>
      </c>
      <c r="P334" s="137">
        <f t="shared" ref="P334:P365" si="101">O334*H334</f>
        <v>0</v>
      </c>
      <c r="Q334" s="137">
        <v>0</v>
      </c>
      <c r="R334" s="137">
        <f t="shared" ref="R334:R365" si="102">Q334*H334</f>
        <v>0</v>
      </c>
      <c r="S334" s="137">
        <v>0</v>
      </c>
      <c r="T334" s="138">
        <f t="shared" ref="T334:T365" si="103">S334*H334</f>
        <v>0</v>
      </c>
      <c r="AR334" s="139" t="s">
        <v>344</v>
      </c>
      <c r="AT334" s="139" t="s">
        <v>339</v>
      </c>
      <c r="AU334" s="139" t="s">
        <v>87</v>
      </c>
      <c r="AY334" s="2" t="s">
        <v>337</v>
      </c>
      <c r="BE334" s="140">
        <f t="shared" ref="BE334:BE365" si="104">IF(N334="základní",J334,0)</f>
        <v>0</v>
      </c>
      <c r="BF334" s="140">
        <f t="shared" ref="BF334:BF365" si="105">IF(N334="snížená",J334,0)</f>
        <v>0</v>
      </c>
      <c r="BG334" s="140">
        <f t="shared" ref="BG334:BG365" si="106">IF(N334="zákl. přenesená",J334,0)</f>
        <v>0</v>
      </c>
      <c r="BH334" s="140">
        <f t="shared" ref="BH334:BH365" si="107">IF(N334="sníž. přenesená",J334,0)</f>
        <v>0</v>
      </c>
      <c r="BI334" s="140">
        <f t="shared" ref="BI334:BI365" si="108">IF(N334="nulová",J334,0)</f>
        <v>0</v>
      </c>
      <c r="BJ334" s="2" t="s">
        <v>87</v>
      </c>
      <c r="BK334" s="140">
        <f t="shared" ref="BK334:BK365" si="109">ROUND(I334*H334,2)</f>
        <v>0</v>
      </c>
      <c r="BL334" s="2" t="s">
        <v>344</v>
      </c>
      <c r="BM334" s="139" t="s">
        <v>7286</v>
      </c>
    </row>
    <row r="335" spans="2:65" s="16" customFormat="1" ht="16.5" customHeight="1" x14ac:dyDescent="0.2">
      <c r="B335" s="17"/>
      <c r="C335" s="128">
        <v>188</v>
      </c>
      <c r="D335" s="128" t="s">
        <v>339</v>
      </c>
      <c r="E335" s="129" t="s">
        <v>7287</v>
      </c>
      <c r="F335" s="130" t="s">
        <v>7288</v>
      </c>
      <c r="G335" s="131" t="s">
        <v>4460</v>
      </c>
      <c r="H335" s="132">
        <v>40</v>
      </c>
      <c r="I335" s="133"/>
      <c r="J335" s="134">
        <f t="shared" si="100"/>
        <v>0</v>
      </c>
      <c r="K335" s="130"/>
      <c r="L335" s="17"/>
      <c r="M335" s="135"/>
      <c r="N335" s="136" t="s">
        <v>45</v>
      </c>
      <c r="P335" s="137">
        <f t="shared" si="101"/>
        <v>0</v>
      </c>
      <c r="Q335" s="137">
        <v>0</v>
      </c>
      <c r="R335" s="137">
        <f t="shared" si="102"/>
        <v>0</v>
      </c>
      <c r="S335" s="137">
        <v>0</v>
      </c>
      <c r="T335" s="138">
        <f t="shared" si="103"/>
        <v>0</v>
      </c>
      <c r="AR335" s="139" t="s">
        <v>344</v>
      </c>
      <c r="AT335" s="139" t="s">
        <v>339</v>
      </c>
      <c r="AU335" s="139" t="s">
        <v>87</v>
      </c>
      <c r="AY335" s="2" t="s">
        <v>337</v>
      </c>
      <c r="BE335" s="140">
        <f t="shared" si="104"/>
        <v>0</v>
      </c>
      <c r="BF335" s="140">
        <f t="shared" si="105"/>
        <v>0</v>
      </c>
      <c r="BG335" s="140">
        <f t="shared" si="106"/>
        <v>0</v>
      </c>
      <c r="BH335" s="140">
        <f t="shared" si="107"/>
        <v>0</v>
      </c>
      <c r="BI335" s="140">
        <f t="shared" si="108"/>
        <v>0</v>
      </c>
      <c r="BJ335" s="2" t="s">
        <v>87</v>
      </c>
      <c r="BK335" s="140">
        <f t="shared" si="109"/>
        <v>0</v>
      </c>
      <c r="BL335" s="2" t="s">
        <v>344</v>
      </c>
      <c r="BM335" s="139" t="s">
        <v>7289</v>
      </c>
    </row>
    <row r="336" spans="2:65" s="16" customFormat="1" ht="16.5" customHeight="1" x14ac:dyDescent="0.2">
      <c r="B336" s="17"/>
      <c r="C336" s="128">
        <v>189</v>
      </c>
      <c r="D336" s="128" t="s">
        <v>339</v>
      </c>
      <c r="E336" s="129" t="s">
        <v>7290</v>
      </c>
      <c r="F336" s="130" t="s">
        <v>7291</v>
      </c>
      <c r="G336" s="131" t="s">
        <v>4460</v>
      </c>
      <c r="H336" s="132">
        <v>40</v>
      </c>
      <c r="I336" s="133"/>
      <c r="J336" s="134">
        <f t="shared" si="100"/>
        <v>0</v>
      </c>
      <c r="K336" s="130"/>
      <c r="L336" s="17"/>
      <c r="M336" s="135"/>
      <c r="N336" s="136" t="s">
        <v>45</v>
      </c>
      <c r="P336" s="137">
        <f t="shared" si="101"/>
        <v>0</v>
      </c>
      <c r="Q336" s="137">
        <v>0</v>
      </c>
      <c r="R336" s="137">
        <f t="shared" si="102"/>
        <v>0</v>
      </c>
      <c r="S336" s="137">
        <v>0</v>
      </c>
      <c r="T336" s="138">
        <f t="shared" si="103"/>
        <v>0</v>
      </c>
      <c r="AR336" s="139" t="s">
        <v>344</v>
      </c>
      <c r="AT336" s="139" t="s">
        <v>339</v>
      </c>
      <c r="AU336" s="139" t="s">
        <v>87</v>
      </c>
      <c r="AY336" s="2" t="s">
        <v>337</v>
      </c>
      <c r="BE336" s="140">
        <f t="shared" si="104"/>
        <v>0</v>
      </c>
      <c r="BF336" s="140">
        <f t="shared" si="105"/>
        <v>0</v>
      </c>
      <c r="BG336" s="140">
        <f t="shared" si="106"/>
        <v>0</v>
      </c>
      <c r="BH336" s="140">
        <f t="shared" si="107"/>
        <v>0</v>
      </c>
      <c r="BI336" s="140">
        <f t="shared" si="108"/>
        <v>0</v>
      </c>
      <c r="BJ336" s="2" t="s">
        <v>87</v>
      </c>
      <c r="BK336" s="140">
        <f t="shared" si="109"/>
        <v>0</v>
      </c>
      <c r="BL336" s="2" t="s">
        <v>344</v>
      </c>
      <c r="BM336" s="139" t="s">
        <v>7292</v>
      </c>
    </row>
    <row r="337" spans="2:65" s="16" customFormat="1" ht="16.5" customHeight="1" x14ac:dyDescent="0.2">
      <c r="B337" s="17"/>
      <c r="C337" s="128">
        <v>190</v>
      </c>
      <c r="D337" s="128" t="s">
        <v>339</v>
      </c>
      <c r="E337" s="129" t="s">
        <v>7293</v>
      </c>
      <c r="F337" s="130" t="s">
        <v>7294</v>
      </c>
      <c r="G337" s="131" t="s">
        <v>4460</v>
      </c>
      <c r="H337" s="132">
        <v>157.5</v>
      </c>
      <c r="I337" s="133"/>
      <c r="J337" s="134">
        <f t="shared" si="100"/>
        <v>0</v>
      </c>
      <c r="K337" s="130"/>
      <c r="L337" s="17"/>
      <c r="M337" s="135"/>
      <c r="N337" s="136" t="s">
        <v>45</v>
      </c>
      <c r="P337" s="137">
        <f t="shared" si="101"/>
        <v>0</v>
      </c>
      <c r="Q337" s="137">
        <v>0</v>
      </c>
      <c r="R337" s="137">
        <f t="shared" si="102"/>
        <v>0</v>
      </c>
      <c r="S337" s="137">
        <v>0</v>
      </c>
      <c r="T337" s="138">
        <f t="shared" si="103"/>
        <v>0</v>
      </c>
      <c r="AR337" s="139" t="s">
        <v>344</v>
      </c>
      <c r="AT337" s="139" t="s">
        <v>339</v>
      </c>
      <c r="AU337" s="139" t="s">
        <v>87</v>
      </c>
      <c r="AY337" s="2" t="s">
        <v>337</v>
      </c>
      <c r="BE337" s="140">
        <f t="shared" si="104"/>
        <v>0</v>
      </c>
      <c r="BF337" s="140">
        <f t="shared" si="105"/>
        <v>0</v>
      </c>
      <c r="BG337" s="140">
        <f t="shared" si="106"/>
        <v>0</v>
      </c>
      <c r="BH337" s="140">
        <f t="shared" si="107"/>
        <v>0</v>
      </c>
      <c r="BI337" s="140">
        <f t="shared" si="108"/>
        <v>0</v>
      </c>
      <c r="BJ337" s="2" t="s">
        <v>87</v>
      </c>
      <c r="BK337" s="140">
        <f t="shared" si="109"/>
        <v>0</v>
      </c>
      <c r="BL337" s="2" t="s">
        <v>344</v>
      </c>
      <c r="BM337" s="139" t="s">
        <v>7295</v>
      </c>
    </row>
    <row r="338" spans="2:65" s="16" customFormat="1" ht="16.5" customHeight="1" x14ac:dyDescent="0.2">
      <c r="B338" s="17"/>
      <c r="C338" s="128">
        <v>191</v>
      </c>
      <c r="D338" s="128" t="s">
        <v>339</v>
      </c>
      <c r="E338" s="129" t="s">
        <v>7296</v>
      </c>
      <c r="F338" s="130" t="s">
        <v>7297</v>
      </c>
      <c r="G338" s="131" t="s">
        <v>4460</v>
      </c>
      <c r="H338" s="132">
        <v>42</v>
      </c>
      <c r="I338" s="133"/>
      <c r="J338" s="134">
        <f t="shared" si="100"/>
        <v>0</v>
      </c>
      <c r="K338" s="130"/>
      <c r="L338" s="17"/>
      <c r="M338" s="135"/>
      <c r="N338" s="136" t="s">
        <v>45</v>
      </c>
      <c r="P338" s="137">
        <f t="shared" si="101"/>
        <v>0</v>
      </c>
      <c r="Q338" s="137">
        <v>0</v>
      </c>
      <c r="R338" s="137">
        <f t="shared" si="102"/>
        <v>0</v>
      </c>
      <c r="S338" s="137">
        <v>0</v>
      </c>
      <c r="T338" s="138">
        <f t="shared" si="103"/>
        <v>0</v>
      </c>
      <c r="AR338" s="139" t="s">
        <v>344</v>
      </c>
      <c r="AT338" s="139" t="s">
        <v>339</v>
      </c>
      <c r="AU338" s="139" t="s">
        <v>87</v>
      </c>
      <c r="AY338" s="2" t="s">
        <v>337</v>
      </c>
      <c r="BE338" s="140">
        <f t="shared" si="104"/>
        <v>0</v>
      </c>
      <c r="BF338" s="140">
        <f t="shared" si="105"/>
        <v>0</v>
      </c>
      <c r="BG338" s="140">
        <f t="shared" si="106"/>
        <v>0</v>
      </c>
      <c r="BH338" s="140">
        <f t="shared" si="107"/>
        <v>0</v>
      </c>
      <c r="BI338" s="140">
        <f t="shared" si="108"/>
        <v>0</v>
      </c>
      <c r="BJ338" s="2" t="s">
        <v>87</v>
      </c>
      <c r="BK338" s="140">
        <f t="shared" si="109"/>
        <v>0</v>
      </c>
      <c r="BL338" s="2" t="s">
        <v>344</v>
      </c>
      <c r="BM338" s="139" t="s">
        <v>7298</v>
      </c>
    </row>
    <row r="339" spans="2:65" s="16" customFormat="1" ht="16.5" customHeight="1" x14ac:dyDescent="0.2">
      <c r="B339" s="17"/>
      <c r="C339" s="128">
        <v>192</v>
      </c>
      <c r="D339" s="128" t="s">
        <v>339</v>
      </c>
      <c r="E339" s="129" t="s">
        <v>7299</v>
      </c>
      <c r="F339" s="130" t="s">
        <v>7300</v>
      </c>
      <c r="G339" s="131" t="s">
        <v>4460</v>
      </c>
      <c r="H339" s="132">
        <v>42</v>
      </c>
      <c r="I339" s="133"/>
      <c r="J339" s="134">
        <f t="shared" si="100"/>
        <v>0</v>
      </c>
      <c r="K339" s="130"/>
      <c r="L339" s="17"/>
      <c r="M339" s="135"/>
      <c r="N339" s="136" t="s">
        <v>45</v>
      </c>
      <c r="P339" s="137">
        <f t="shared" si="101"/>
        <v>0</v>
      </c>
      <c r="Q339" s="137">
        <v>0</v>
      </c>
      <c r="R339" s="137">
        <f t="shared" si="102"/>
        <v>0</v>
      </c>
      <c r="S339" s="137">
        <v>0</v>
      </c>
      <c r="T339" s="138">
        <f t="shared" si="103"/>
        <v>0</v>
      </c>
      <c r="AR339" s="139" t="s">
        <v>344</v>
      </c>
      <c r="AT339" s="139" t="s">
        <v>339</v>
      </c>
      <c r="AU339" s="139" t="s">
        <v>87</v>
      </c>
      <c r="AY339" s="2" t="s">
        <v>337</v>
      </c>
      <c r="BE339" s="140">
        <f t="shared" si="104"/>
        <v>0</v>
      </c>
      <c r="BF339" s="140">
        <f t="shared" si="105"/>
        <v>0</v>
      </c>
      <c r="BG339" s="140">
        <f t="shared" si="106"/>
        <v>0</v>
      </c>
      <c r="BH339" s="140">
        <f t="shared" si="107"/>
        <v>0</v>
      </c>
      <c r="BI339" s="140">
        <f t="shared" si="108"/>
        <v>0</v>
      </c>
      <c r="BJ339" s="2" t="s">
        <v>87</v>
      </c>
      <c r="BK339" s="140">
        <f t="shared" si="109"/>
        <v>0</v>
      </c>
      <c r="BL339" s="2" t="s">
        <v>344</v>
      </c>
      <c r="BM339" s="139" t="s">
        <v>7301</v>
      </c>
    </row>
    <row r="340" spans="2:65" s="16" customFormat="1" ht="24.2" customHeight="1" x14ac:dyDescent="0.2">
      <c r="B340" s="17"/>
      <c r="C340" s="128">
        <v>193</v>
      </c>
      <c r="D340" s="128" t="s">
        <v>339</v>
      </c>
      <c r="E340" s="129" t="s">
        <v>7302</v>
      </c>
      <c r="F340" s="130" t="s">
        <v>7303</v>
      </c>
      <c r="G340" s="131" t="s">
        <v>724</v>
      </c>
      <c r="H340" s="132">
        <v>370</v>
      </c>
      <c r="I340" s="133"/>
      <c r="J340" s="134">
        <f t="shared" si="100"/>
        <v>0</v>
      </c>
      <c r="K340" s="130"/>
      <c r="L340" s="17"/>
      <c r="M340" s="135"/>
      <c r="N340" s="136" t="s">
        <v>45</v>
      </c>
      <c r="P340" s="137">
        <f t="shared" si="101"/>
        <v>0</v>
      </c>
      <c r="Q340" s="137">
        <v>0</v>
      </c>
      <c r="R340" s="137">
        <f t="shared" si="102"/>
        <v>0</v>
      </c>
      <c r="S340" s="137">
        <v>0</v>
      </c>
      <c r="T340" s="138">
        <f t="shared" si="103"/>
        <v>0</v>
      </c>
      <c r="AR340" s="139" t="s">
        <v>344</v>
      </c>
      <c r="AT340" s="139" t="s">
        <v>339</v>
      </c>
      <c r="AU340" s="139" t="s">
        <v>87</v>
      </c>
      <c r="AY340" s="2" t="s">
        <v>337</v>
      </c>
      <c r="BE340" s="140">
        <f t="shared" si="104"/>
        <v>0</v>
      </c>
      <c r="BF340" s="140">
        <f t="shared" si="105"/>
        <v>0</v>
      </c>
      <c r="BG340" s="140">
        <f t="shared" si="106"/>
        <v>0</v>
      </c>
      <c r="BH340" s="140">
        <f t="shared" si="107"/>
        <v>0</v>
      </c>
      <c r="BI340" s="140">
        <f t="shared" si="108"/>
        <v>0</v>
      </c>
      <c r="BJ340" s="2" t="s">
        <v>87</v>
      </c>
      <c r="BK340" s="140">
        <f t="shared" si="109"/>
        <v>0</v>
      </c>
      <c r="BL340" s="2" t="s">
        <v>344</v>
      </c>
      <c r="BM340" s="139" t="s">
        <v>7304</v>
      </c>
    </row>
    <row r="341" spans="2:65" s="16" customFormat="1" ht="16.5" customHeight="1" x14ac:dyDescent="0.2">
      <c r="B341" s="17"/>
      <c r="C341" s="128">
        <v>194</v>
      </c>
      <c r="D341" s="128" t="s">
        <v>339</v>
      </c>
      <c r="E341" s="129" t="s">
        <v>7305</v>
      </c>
      <c r="F341" s="130" t="s">
        <v>7306</v>
      </c>
      <c r="G341" s="131" t="s">
        <v>724</v>
      </c>
      <c r="H341" s="132">
        <v>630</v>
      </c>
      <c r="I341" s="133"/>
      <c r="J341" s="134">
        <f t="shared" si="100"/>
        <v>0</v>
      </c>
      <c r="K341" s="130"/>
      <c r="L341" s="17"/>
      <c r="M341" s="135"/>
      <c r="N341" s="136" t="s">
        <v>45</v>
      </c>
      <c r="P341" s="137">
        <f t="shared" si="101"/>
        <v>0</v>
      </c>
      <c r="Q341" s="137">
        <v>0</v>
      </c>
      <c r="R341" s="137">
        <f t="shared" si="102"/>
        <v>0</v>
      </c>
      <c r="S341" s="137">
        <v>0</v>
      </c>
      <c r="T341" s="138">
        <f t="shared" si="103"/>
        <v>0</v>
      </c>
      <c r="AR341" s="139" t="s">
        <v>344</v>
      </c>
      <c r="AT341" s="139" t="s">
        <v>339</v>
      </c>
      <c r="AU341" s="139" t="s">
        <v>87</v>
      </c>
      <c r="AY341" s="2" t="s">
        <v>337</v>
      </c>
      <c r="BE341" s="140">
        <f t="shared" si="104"/>
        <v>0</v>
      </c>
      <c r="BF341" s="140">
        <f t="shared" si="105"/>
        <v>0</v>
      </c>
      <c r="BG341" s="140">
        <f t="shared" si="106"/>
        <v>0</v>
      </c>
      <c r="BH341" s="140">
        <f t="shared" si="107"/>
        <v>0</v>
      </c>
      <c r="BI341" s="140">
        <f t="shared" si="108"/>
        <v>0</v>
      </c>
      <c r="BJ341" s="2" t="s">
        <v>87</v>
      </c>
      <c r="BK341" s="140">
        <f t="shared" si="109"/>
        <v>0</v>
      </c>
      <c r="BL341" s="2" t="s">
        <v>344</v>
      </c>
      <c r="BM341" s="139" t="s">
        <v>7307</v>
      </c>
    </row>
    <row r="342" spans="2:65" s="16" customFormat="1" ht="16.5" customHeight="1" x14ac:dyDescent="0.2">
      <c r="B342" s="17"/>
      <c r="C342" s="128">
        <v>195</v>
      </c>
      <c r="D342" s="128" t="s">
        <v>339</v>
      </c>
      <c r="E342" s="129" t="s">
        <v>7308</v>
      </c>
      <c r="F342" s="130" t="s">
        <v>7309</v>
      </c>
      <c r="G342" s="131" t="s">
        <v>724</v>
      </c>
      <c r="H342" s="132">
        <v>420</v>
      </c>
      <c r="I342" s="133"/>
      <c r="J342" s="134">
        <f t="shared" si="100"/>
        <v>0</v>
      </c>
      <c r="K342" s="130"/>
      <c r="L342" s="17"/>
      <c r="M342" s="135"/>
      <c r="N342" s="136" t="s">
        <v>45</v>
      </c>
      <c r="P342" s="137">
        <f t="shared" si="101"/>
        <v>0</v>
      </c>
      <c r="Q342" s="137">
        <v>0</v>
      </c>
      <c r="R342" s="137">
        <f t="shared" si="102"/>
        <v>0</v>
      </c>
      <c r="S342" s="137">
        <v>0</v>
      </c>
      <c r="T342" s="138">
        <f t="shared" si="103"/>
        <v>0</v>
      </c>
      <c r="AR342" s="139" t="s">
        <v>344</v>
      </c>
      <c r="AT342" s="139" t="s">
        <v>339</v>
      </c>
      <c r="AU342" s="139" t="s">
        <v>87</v>
      </c>
      <c r="AY342" s="2" t="s">
        <v>337</v>
      </c>
      <c r="BE342" s="140">
        <f t="shared" si="104"/>
        <v>0</v>
      </c>
      <c r="BF342" s="140">
        <f t="shared" si="105"/>
        <v>0</v>
      </c>
      <c r="BG342" s="140">
        <f t="shared" si="106"/>
        <v>0</v>
      </c>
      <c r="BH342" s="140">
        <f t="shared" si="107"/>
        <v>0</v>
      </c>
      <c r="BI342" s="140">
        <f t="shared" si="108"/>
        <v>0</v>
      </c>
      <c r="BJ342" s="2" t="s">
        <v>87</v>
      </c>
      <c r="BK342" s="140">
        <f t="shared" si="109"/>
        <v>0</v>
      </c>
      <c r="BL342" s="2" t="s">
        <v>344</v>
      </c>
      <c r="BM342" s="139" t="s">
        <v>7310</v>
      </c>
    </row>
    <row r="343" spans="2:65" s="16" customFormat="1" ht="16.5" customHeight="1" x14ac:dyDescent="0.2">
      <c r="B343" s="17"/>
      <c r="C343" s="128">
        <v>196</v>
      </c>
      <c r="D343" s="128" t="s">
        <v>339</v>
      </c>
      <c r="E343" s="129" t="s">
        <v>7311</v>
      </c>
      <c r="F343" s="130" t="s">
        <v>7312</v>
      </c>
      <c r="G343" s="131" t="s">
        <v>724</v>
      </c>
      <c r="H343" s="132">
        <v>168</v>
      </c>
      <c r="I343" s="133"/>
      <c r="J343" s="134">
        <f t="shared" si="100"/>
        <v>0</v>
      </c>
      <c r="K343" s="130"/>
      <c r="L343" s="17"/>
      <c r="M343" s="135"/>
      <c r="N343" s="136" t="s">
        <v>45</v>
      </c>
      <c r="P343" s="137">
        <f t="shared" si="101"/>
        <v>0</v>
      </c>
      <c r="Q343" s="137">
        <v>0</v>
      </c>
      <c r="R343" s="137">
        <f t="shared" si="102"/>
        <v>0</v>
      </c>
      <c r="S343" s="137">
        <v>0</v>
      </c>
      <c r="T343" s="138">
        <f t="shared" si="103"/>
        <v>0</v>
      </c>
      <c r="AR343" s="139" t="s">
        <v>344</v>
      </c>
      <c r="AT343" s="139" t="s">
        <v>339</v>
      </c>
      <c r="AU343" s="139" t="s">
        <v>87</v>
      </c>
      <c r="AY343" s="2" t="s">
        <v>337</v>
      </c>
      <c r="BE343" s="140">
        <f t="shared" si="104"/>
        <v>0</v>
      </c>
      <c r="BF343" s="140">
        <f t="shared" si="105"/>
        <v>0</v>
      </c>
      <c r="BG343" s="140">
        <f t="shared" si="106"/>
        <v>0</v>
      </c>
      <c r="BH343" s="140">
        <f t="shared" si="107"/>
        <v>0</v>
      </c>
      <c r="BI343" s="140">
        <f t="shared" si="108"/>
        <v>0</v>
      </c>
      <c r="BJ343" s="2" t="s">
        <v>87</v>
      </c>
      <c r="BK343" s="140">
        <f t="shared" si="109"/>
        <v>0</v>
      </c>
      <c r="BL343" s="2" t="s">
        <v>344</v>
      </c>
      <c r="BM343" s="139" t="s">
        <v>7313</v>
      </c>
    </row>
    <row r="344" spans="2:65" s="16" customFormat="1" ht="16.5" customHeight="1" x14ac:dyDescent="0.2">
      <c r="B344" s="17"/>
      <c r="C344" s="128">
        <v>197</v>
      </c>
      <c r="D344" s="128" t="s">
        <v>339</v>
      </c>
      <c r="E344" s="129" t="s">
        <v>7314</v>
      </c>
      <c r="F344" s="130" t="s">
        <v>6953</v>
      </c>
      <c r="G344" s="131" t="s">
        <v>724</v>
      </c>
      <c r="H344" s="132">
        <v>168</v>
      </c>
      <c r="I344" s="133"/>
      <c r="J344" s="134">
        <f t="shared" si="100"/>
        <v>0</v>
      </c>
      <c r="K344" s="130"/>
      <c r="L344" s="17"/>
      <c r="M344" s="135"/>
      <c r="N344" s="136" t="s">
        <v>45</v>
      </c>
      <c r="P344" s="137">
        <f t="shared" si="101"/>
        <v>0</v>
      </c>
      <c r="Q344" s="137">
        <v>0</v>
      </c>
      <c r="R344" s="137">
        <f t="shared" si="102"/>
        <v>0</v>
      </c>
      <c r="S344" s="137">
        <v>0</v>
      </c>
      <c r="T344" s="138">
        <f t="shared" si="103"/>
        <v>0</v>
      </c>
      <c r="AR344" s="139" t="s">
        <v>344</v>
      </c>
      <c r="AT344" s="139" t="s">
        <v>339</v>
      </c>
      <c r="AU344" s="139" t="s">
        <v>87</v>
      </c>
      <c r="AY344" s="2" t="s">
        <v>337</v>
      </c>
      <c r="BE344" s="140">
        <f t="shared" si="104"/>
        <v>0</v>
      </c>
      <c r="BF344" s="140">
        <f t="shared" si="105"/>
        <v>0</v>
      </c>
      <c r="BG344" s="140">
        <f t="shared" si="106"/>
        <v>0</v>
      </c>
      <c r="BH344" s="140">
        <f t="shared" si="107"/>
        <v>0</v>
      </c>
      <c r="BI344" s="140">
        <f t="shared" si="108"/>
        <v>0</v>
      </c>
      <c r="BJ344" s="2" t="s">
        <v>87</v>
      </c>
      <c r="BK344" s="140">
        <f t="shared" si="109"/>
        <v>0</v>
      </c>
      <c r="BL344" s="2" t="s">
        <v>344</v>
      </c>
      <c r="BM344" s="139" t="s">
        <v>7315</v>
      </c>
    </row>
    <row r="345" spans="2:65" s="16" customFormat="1" ht="16.5" customHeight="1" x14ac:dyDescent="0.2">
      <c r="B345" s="17"/>
      <c r="C345" s="128">
        <v>198</v>
      </c>
      <c r="D345" s="128" t="s">
        <v>339</v>
      </c>
      <c r="E345" s="129" t="s">
        <v>7316</v>
      </c>
      <c r="F345" s="130" t="s">
        <v>7317</v>
      </c>
      <c r="G345" s="131" t="s">
        <v>724</v>
      </c>
      <c r="H345" s="132">
        <v>525</v>
      </c>
      <c r="I345" s="133"/>
      <c r="J345" s="134">
        <f t="shared" si="100"/>
        <v>0</v>
      </c>
      <c r="K345" s="130"/>
      <c r="L345" s="17"/>
      <c r="M345" s="135"/>
      <c r="N345" s="136" t="s">
        <v>45</v>
      </c>
      <c r="P345" s="137">
        <f t="shared" si="101"/>
        <v>0</v>
      </c>
      <c r="Q345" s="137">
        <v>0</v>
      </c>
      <c r="R345" s="137">
        <f t="shared" si="102"/>
        <v>0</v>
      </c>
      <c r="S345" s="137">
        <v>0</v>
      </c>
      <c r="T345" s="138">
        <f t="shared" si="103"/>
        <v>0</v>
      </c>
      <c r="AR345" s="139" t="s">
        <v>344</v>
      </c>
      <c r="AT345" s="139" t="s">
        <v>339</v>
      </c>
      <c r="AU345" s="139" t="s">
        <v>87</v>
      </c>
      <c r="AY345" s="2" t="s">
        <v>337</v>
      </c>
      <c r="BE345" s="140">
        <f t="shared" si="104"/>
        <v>0</v>
      </c>
      <c r="BF345" s="140">
        <f t="shared" si="105"/>
        <v>0</v>
      </c>
      <c r="BG345" s="140">
        <f t="shared" si="106"/>
        <v>0</v>
      </c>
      <c r="BH345" s="140">
        <f t="shared" si="107"/>
        <v>0</v>
      </c>
      <c r="BI345" s="140">
        <f t="shared" si="108"/>
        <v>0</v>
      </c>
      <c r="BJ345" s="2" t="s">
        <v>87</v>
      </c>
      <c r="BK345" s="140">
        <f t="shared" si="109"/>
        <v>0</v>
      </c>
      <c r="BL345" s="2" t="s">
        <v>344</v>
      </c>
      <c r="BM345" s="139" t="s">
        <v>7318</v>
      </c>
    </row>
    <row r="346" spans="2:65" s="16" customFormat="1" ht="16.5" customHeight="1" x14ac:dyDescent="0.2">
      <c r="B346" s="17"/>
      <c r="C346" s="128">
        <v>199</v>
      </c>
      <c r="D346" s="128" t="s">
        <v>339</v>
      </c>
      <c r="E346" s="129" t="s">
        <v>7319</v>
      </c>
      <c r="F346" s="130" t="s">
        <v>6957</v>
      </c>
      <c r="G346" s="131" t="s">
        <v>724</v>
      </c>
      <c r="H346" s="132">
        <v>21</v>
      </c>
      <c r="I346" s="133"/>
      <c r="J346" s="134">
        <f t="shared" si="100"/>
        <v>0</v>
      </c>
      <c r="K346" s="130"/>
      <c r="L346" s="17"/>
      <c r="M346" s="135"/>
      <c r="N346" s="136" t="s">
        <v>45</v>
      </c>
      <c r="P346" s="137">
        <f t="shared" si="101"/>
        <v>0</v>
      </c>
      <c r="Q346" s="137">
        <v>0</v>
      </c>
      <c r="R346" s="137">
        <f t="shared" si="102"/>
        <v>0</v>
      </c>
      <c r="S346" s="137">
        <v>0</v>
      </c>
      <c r="T346" s="138">
        <f t="shared" si="103"/>
        <v>0</v>
      </c>
      <c r="AR346" s="139" t="s">
        <v>344</v>
      </c>
      <c r="AT346" s="139" t="s">
        <v>339</v>
      </c>
      <c r="AU346" s="139" t="s">
        <v>87</v>
      </c>
      <c r="AY346" s="2" t="s">
        <v>337</v>
      </c>
      <c r="BE346" s="140">
        <f t="shared" si="104"/>
        <v>0</v>
      </c>
      <c r="BF346" s="140">
        <f t="shared" si="105"/>
        <v>0</v>
      </c>
      <c r="BG346" s="140">
        <f t="shared" si="106"/>
        <v>0</v>
      </c>
      <c r="BH346" s="140">
        <f t="shared" si="107"/>
        <v>0</v>
      </c>
      <c r="BI346" s="140">
        <f t="shared" si="108"/>
        <v>0</v>
      </c>
      <c r="BJ346" s="2" t="s">
        <v>87</v>
      </c>
      <c r="BK346" s="140">
        <f t="shared" si="109"/>
        <v>0</v>
      </c>
      <c r="BL346" s="2" t="s">
        <v>344</v>
      </c>
      <c r="BM346" s="139" t="s">
        <v>7320</v>
      </c>
    </row>
    <row r="347" spans="2:65" s="16" customFormat="1" ht="16.5" customHeight="1" x14ac:dyDescent="0.2">
      <c r="B347" s="17"/>
      <c r="C347" s="128">
        <v>200</v>
      </c>
      <c r="D347" s="128" t="s">
        <v>339</v>
      </c>
      <c r="E347" s="129" t="s">
        <v>7321</v>
      </c>
      <c r="F347" s="130" t="s">
        <v>7322</v>
      </c>
      <c r="G347" s="131" t="s">
        <v>724</v>
      </c>
      <c r="H347" s="132">
        <v>126</v>
      </c>
      <c r="I347" s="133"/>
      <c r="J347" s="134">
        <f t="shared" si="100"/>
        <v>0</v>
      </c>
      <c r="K347" s="130"/>
      <c r="L347" s="17"/>
      <c r="M347" s="135"/>
      <c r="N347" s="136" t="s">
        <v>45</v>
      </c>
      <c r="P347" s="137">
        <f t="shared" si="101"/>
        <v>0</v>
      </c>
      <c r="Q347" s="137">
        <v>0</v>
      </c>
      <c r="R347" s="137">
        <f t="shared" si="102"/>
        <v>0</v>
      </c>
      <c r="S347" s="137">
        <v>0</v>
      </c>
      <c r="T347" s="138">
        <f t="shared" si="103"/>
        <v>0</v>
      </c>
      <c r="AR347" s="139" t="s">
        <v>344</v>
      </c>
      <c r="AT347" s="139" t="s">
        <v>339</v>
      </c>
      <c r="AU347" s="139" t="s">
        <v>87</v>
      </c>
      <c r="AY347" s="2" t="s">
        <v>337</v>
      </c>
      <c r="BE347" s="140">
        <f t="shared" si="104"/>
        <v>0</v>
      </c>
      <c r="BF347" s="140">
        <f t="shared" si="105"/>
        <v>0</v>
      </c>
      <c r="BG347" s="140">
        <f t="shared" si="106"/>
        <v>0</v>
      </c>
      <c r="BH347" s="140">
        <f t="shared" si="107"/>
        <v>0</v>
      </c>
      <c r="BI347" s="140">
        <f t="shared" si="108"/>
        <v>0</v>
      </c>
      <c r="BJ347" s="2" t="s">
        <v>87</v>
      </c>
      <c r="BK347" s="140">
        <f t="shared" si="109"/>
        <v>0</v>
      </c>
      <c r="BL347" s="2" t="s">
        <v>344</v>
      </c>
      <c r="BM347" s="139" t="s">
        <v>7323</v>
      </c>
    </row>
    <row r="348" spans="2:65" s="16" customFormat="1" ht="16.5" customHeight="1" x14ac:dyDescent="0.2">
      <c r="B348" s="17"/>
      <c r="C348" s="128">
        <v>201</v>
      </c>
      <c r="D348" s="128" t="s">
        <v>339</v>
      </c>
      <c r="E348" s="129" t="s">
        <v>7324</v>
      </c>
      <c r="F348" s="130" t="s">
        <v>7325</v>
      </c>
      <c r="G348" s="131" t="s">
        <v>724</v>
      </c>
      <c r="H348" s="132">
        <v>168</v>
      </c>
      <c r="I348" s="133"/>
      <c r="J348" s="134">
        <f t="shared" si="100"/>
        <v>0</v>
      </c>
      <c r="K348" s="130"/>
      <c r="L348" s="17"/>
      <c r="M348" s="135"/>
      <c r="N348" s="136" t="s">
        <v>45</v>
      </c>
      <c r="P348" s="137">
        <f t="shared" si="101"/>
        <v>0</v>
      </c>
      <c r="Q348" s="137">
        <v>0</v>
      </c>
      <c r="R348" s="137">
        <f t="shared" si="102"/>
        <v>0</v>
      </c>
      <c r="S348" s="137">
        <v>0</v>
      </c>
      <c r="T348" s="138">
        <f t="shared" si="103"/>
        <v>0</v>
      </c>
      <c r="AR348" s="139" t="s">
        <v>344</v>
      </c>
      <c r="AT348" s="139" t="s">
        <v>339</v>
      </c>
      <c r="AU348" s="139" t="s">
        <v>87</v>
      </c>
      <c r="AY348" s="2" t="s">
        <v>337</v>
      </c>
      <c r="BE348" s="140">
        <f t="shared" si="104"/>
        <v>0</v>
      </c>
      <c r="BF348" s="140">
        <f t="shared" si="105"/>
        <v>0</v>
      </c>
      <c r="BG348" s="140">
        <f t="shared" si="106"/>
        <v>0</v>
      </c>
      <c r="BH348" s="140">
        <f t="shared" si="107"/>
        <v>0</v>
      </c>
      <c r="BI348" s="140">
        <f t="shared" si="108"/>
        <v>0</v>
      </c>
      <c r="BJ348" s="2" t="s">
        <v>87</v>
      </c>
      <c r="BK348" s="140">
        <f t="shared" si="109"/>
        <v>0</v>
      </c>
      <c r="BL348" s="2" t="s">
        <v>344</v>
      </c>
      <c r="BM348" s="139" t="s">
        <v>7326</v>
      </c>
    </row>
    <row r="349" spans="2:65" s="16" customFormat="1" ht="16.5" customHeight="1" x14ac:dyDescent="0.2">
      <c r="B349" s="17"/>
      <c r="C349" s="128">
        <v>202</v>
      </c>
      <c r="D349" s="128" t="s">
        <v>339</v>
      </c>
      <c r="E349" s="129" t="s">
        <v>7327</v>
      </c>
      <c r="F349" s="130" t="s">
        <v>7328</v>
      </c>
      <c r="G349" s="131" t="s">
        <v>724</v>
      </c>
      <c r="H349" s="132">
        <v>105</v>
      </c>
      <c r="I349" s="133"/>
      <c r="J349" s="134">
        <f t="shared" si="100"/>
        <v>0</v>
      </c>
      <c r="K349" s="130"/>
      <c r="L349" s="17"/>
      <c r="M349" s="135"/>
      <c r="N349" s="136" t="s">
        <v>45</v>
      </c>
      <c r="P349" s="137">
        <f t="shared" si="101"/>
        <v>0</v>
      </c>
      <c r="Q349" s="137">
        <v>0</v>
      </c>
      <c r="R349" s="137">
        <f t="shared" si="102"/>
        <v>0</v>
      </c>
      <c r="S349" s="137">
        <v>0</v>
      </c>
      <c r="T349" s="138">
        <f t="shared" si="103"/>
        <v>0</v>
      </c>
      <c r="AR349" s="139" t="s">
        <v>344</v>
      </c>
      <c r="AT349" s="139" t="s">
        <v>339</v>
      </c>
      <c r="AU349" s="139" t="s">
        <v>87</v>
      </c>
      <c r="AY349" s="2" t="s">
        <v>337</v>
      </c>
      <c r="BE349" s="140">
        <f t="shared" si="104"/>
        <v>0</v>
      </c>
      <c r="BF349" s="140">
        <f t="shared" si="105"/>
        <v>0</v>
      </c>
      <c r="BG349" s="140">
        <f t="shared" si="106"/>
        <v>0</v>
      </c>
      <c r="BH349" s="140">
        <f t="shared" si="107"/>
        <v>0</v>
      </c>
      <c r="BI349" s="140">
        <f t="shared" si="108"/>
        <v>0</v>
      </c>
      <c r="BJ349" s="2" t="s">
        <v>87</v>
      </c>
      <c r="BK349" s="140">
        <f t="shared" si="109"/>
        <v>0</v>
      </c>
      <c r="BL349" s="2" t="s">
        <v>344</v>
      </c>
      <c r="BM349" s="139" t="s">
        <v>7329</v>
      </c>
    </row>
    <row r="350" spans="2:65" s="16" customFormat="1" ht="16.5" customHeight="1" x14ac:dyDescent="0.2">
      <c r="B350" s="17"/>
      <c r="C350" s="128">
        <v>203</v>
      </c>
      <c r="D350" s="128" t="s">
        <v>339</v>
      </c>
      <c r="E350" s="129" t="s">
        <v>7330</v>
      </c>
      <c r="F350" s="130" t="s">
        <v>7331</v>
      </c>
      <c r="G350" s="131" t="s">
        <v>724</v>
      </c>
      <c r="H350" s="132">
        <v>157.5</v>
      </c>
      <c r="I350" s="133"/>
      <c r="J350" s="134">
        <f t="shared" si="100"/>
        <v>0</v>
      </c>
      <c r="K350" s="130"/>
      <c r="L350" s="17"/>
      <c r="M350" s="135"/>
      <c r="N350" s="136" t="s">
        <v>45</v>
      </c>
      <c r="P350" s="137">
        <f t="shared" si="101"/>
        <v>0</v>
      </c>
      <c r="Q350" s="137">
        <v>0</v>
      </c>
      <c r="R350" s="137">
        <f t="shared" si="102"/>
        <v>0</v>
      </c>
      <c r="S350" s="137">
        <v>0</v>
      </c>
      <c r="T350" s="138">
        <f t="shared" si="103"/>
        <v>0</v>
      </c>
      <c r="AR350" s="139" t="s">
        <v>344</v>
      </c>
      <c r="AT350" s="139" t="s">
        <v>339</v>
      </c>
      <c r="AU350" s="139" t="s">
        <v>87</v>
      </c>
      <c r="AY350" s="2" t="s">
        <v>337</v>
      </c>
      <c r="BE350" s="140">
        <f t="shared" si="104"/>
        <v>0</v>
      </c>
      <c r="BF350" s="140">
        <f t="shared" si="105"/>
        <v>0</v>
      </c>
      <c r="BG350" s="140">
        <f t="shared" si="106"/>
        <v>0</v>
      </c>
      <c r="BH350" s="140">
        <f t="shared" si="107"/>
        <v>0</v>
      </c>
      <c r="BI350" s="140">
        <f t="shared" si="108"/>
        <v>0</v>
      </c>
      <c r="BJ350" s="2" t="s">
        <v>87</v>
      </c>
      <c r="BK350" s="140">
        <f t="shared" si="109"/>
        <v>0</v>
      </c>
      <c r="BL350" s="2" t="s">
        <v>344</v>
      </c>
      <c r="BM350" s="139" t="s">
        <v>7332</v>
      </c>
    </row>
    <row r="351" spans="2:65" s="16" customFormat="1" ht="16.5" customHeight="1" x14ac:dyDescent="0.2">
      <c r="B351" s="17"/>
      <c r="C351" s="128">
        <v>204</v>
      </c>
      <c r="D351" s="128" t="s">
        <v>339</v>
      </c>
      <c r="E351" s="129" t="s">
        <v>7333</v>
      </c>
      <c r="F351" s="130" t="s">
        <v>7334</v>
      </c>
      <c r="G351" s="131" t="s">
        <v>724</v>
      </c>
      <c r="H351" s="132">
        <v>42</v>
      </c>
      <c r="I351" s="133"/>
      <c r="J351" s="134">
        <f t="shared" si="100"/>
        <v>0</v>
      </c>
      <c r="K351" s="130"/>
      <c r="L351" s="17"/>
      <c r="M351" s="135"/>
      <c r="N351" s="136" t="s">
        <v>45</v>
      </c>
      <c r="P351" s="137">
        <f t="shared" si="101"/>
        <v>0</v>
      </c>
      <c r="Q351" s="137">
        <v>0</v>
      </c>
      <c r="R351" s="137">
        <f t="shared" si="102"/>
        <v>0</v>
      </c>
      <c r="S351" s="137">
        <v>0</v>
      </c>
      <c r="T351" s="138">
        <f t="shared" si="103"/>
        <v>0</v>
      </c>
      <c r="AR351" s="139" t="s">
        <v>344</v>
      </c>
      <c r="AT351" s="139" t="s">
        <v>339</v>
      </c>
      <c r="AU351" s="139" t="s">
        <v>87</v>
      </c>
      <c r="AY351" s="2" t="s">
        <v>337</v>
      </c>
      <c r="BE351" s="140">
        <f t="shared" si="104"/>
        <v>0</v>
      </c>
      <c r="BF351" s="140">
        <f t="shared" si="105"/>
        <v>0</v>
      </c>
      <c r="BG351" s="140">
        <f t="shared" si="106"/>
        <v>0</v>
      </c>
      <c r="BH351" s="140">
        <f t="shared" si="107"/>
        <v>0</v>
      </c>
      <c r="BI351" s="140">
        <f t="shared" si="108"/>
        <v>0</v>
      </c>
      <c r="BJ351" s="2" t="s">
        <v>87</v>
      </c>
      <c r="BK351" s="140">
        <f t="shared" si="109"/>
        <v>0</v>
      </c>
      <c r="BL351" s="2" t="s">
        <v>344</v>
      </c>
      <c r="BM351" s="139" t="s">
        <v>7335</v>
      </c>
    </row>
    <row r="352" spans="2:65" s="16" customFormat="1" ht="16.5" customHeight="1" x14ac:dyDescent="0.2">
      <c r="B352" s="17"/>
      <c r="C352" s="128">
        <v>205</v>
      </c>
      <c r="D352" s="128" t="s">
        <v>339</v>
      </c>
      <c r="E352" s="129" t="s">
        <v>7336</v>
      </c>
      <c r="F352" s="130" t="s">
        <v>7337</v>
      </c>
      <c r="G352" s="131" t="s">
        <v>724</v>
      </c>
      <c r="H352" s="132">
        <v>10.5</v>
      </c>
      <c r="I352" s="133"/>
      <c r="J352" s="134">
        <f t="shared" si="100"/>
        <v>0</v>
      </c>
      <c r="K352" s="130"/>
      <c r="L352" s="17"/>
      <c r="M352" s="135"/>
      <c r="N352" s="136" t="s">
        <v>45</v>
      </c>
      <c r="P352" s="137">
        <f t="shared" si="101"/>
        <v>0</v>
      </c>
      <c r="Q352" s="137">
        <v>0</v>
      </c>
      <c r="R352" s="137">
        <f t="shared" si="102"/>
        <v>0</v>
      </c>
      <c r="S352" s="137">
        <v>0</v>
      </c>
      <c r="T352" s="138">
        <f t="shared" si="103"/>
        <v>0</v>
      </c>
      <c r="AR352" s="139" t="s">
        <v>344</v>
      </c>
      <c r="AT352" s="139" t="s">
        <v>339</v>
      </c>
      <c r="AU352" s="139" t="s">
        <v>87</v>
      </c>
      <c r="AY352" s="2" t="s">
        <v>337</v>
      </c>
      <c r="BE352" s="140">
        <f t="shared" si="104"/>
        <v>0</v>
      </c>
      <c r="BF352" s="140">
        <f t="shared" si="105"/>
        <v>0</v>
      </c>
      <c r="BG352" s="140">
        <f t="shared" si="106"/>
        <v>0</v>
      </c>
      <c r="BH352" s="140">
        <f t="shared" si="107"/>
        <v>0</v>
      </c>
      <c r="BI352" s="140">
        <f t="shared" si="108"/>
        <v>0</v>
      </c>
      <c r="BJ352" s="2" t="s">
        <v>87</v>
      </c>
      <c r="BK352" s="140">
        <f t="shared" si="109"/>
        <v>0</v>
      </c>
      <c r="BL352" s="2" t="s">
        <v>344</v>
      </c>
      <c r="BM352" s="139" t="s">
        <v>7338</v>
      </c>
    </row>
    <row r="353" spans="2:65" s="16" customFormat="1" ht="16.5" customHeight="1" x14ac:dyDescent="0.2">
      <c r="B353" s="17"/>
      <c r="C353" s="128">
        <v>206</v>
      </c>
      <c r="D353" s="128" t="s">
        <v>339</v>
      </c>
      <c r="E353" s="129" t="s">
        <v>7339</v>
      </c>
      <c r="F353" s="130" t="s">
        <v>7340</v>
      </c>
      <c r="G353" s="131" t="s">
        <v>724</v>
      </c>
      <c r="H353" s="132">
        <v>3004.05</v>
      </c>
      <c r="I353" s="133"/>
      <c r="J353" s="134">
        <f t="shared" si="100"/>
        <v>0</v>
      </c>
      <c r="K353" s="130"/>
      <c r="L353" s="17"/>
      <c r="M353" s="135"/>
      <c r="N353" s="136" t="s">
        <v>45</v>
      </c>
      <c r="P353" s="137">
        <f t="shared" si="101"/>
        <v>0</v>
      </c>
      <c r="Q353" s="137">
        <v>0</v>
      </c>
      <c r="R353" s="137">
        <f t="shared" si="102"/>
        <v>0</v>
      </c>
      <c r="S353" s="137">
        <v>0</v>
      </c>
      <c r="T353" s="138">
        <f t="shared" si="103"/>
        <v>0</v>
      </c>
      <c r="AR353" s="139" t="s">
        <v>344</v>
      </c>
      <c r="AT353" s="139" t="s">
        <v>339</v>
      </c>
      <c r="AU353" s="139" t="s">
        <v>87</v>
      </c>
      <c r="AY353" s="2" t="s">
        <v>337</v>
      </c>
      <c r="BE353" s="140">
        <f t="shared" si="104"/>
        <v>0</v>
      </c>
      <c r="BF353" s="140">
        <f t="shared" si="105"/>
        <v>0</v>
      </c>
      <c r="BG353" s="140">
        <f t="shared" si="106"/>
        <v>0</v>
      </c>
      <c r="BH353" s="140">
        <f t="shared" si="107"/>
        <v>0</v>
      </c>
      <c r="BI353" s="140">
        <f t="shared" si="108"/>
        <v>0</v>
      </c>
      <c r="BJ353" s="2" t="s">
        <v>87</v>
      </c>
      <c r="BK353" s="140">
        <f t="shared" si="109"/>
        <v>0</v>
      </c>
      <c r="BL353" s="2" t="s">
        <v>344</v>
      </c>
      <c r="BM353" s="139" t="s">
        <v>7341</v>
      </c>
    </row>
    <row r="354" spans="2:65" s="16" customFormat="1" ht="16.5" customHeight="1" x14ac:dyDescent="0.2">
      <c r="B354" s="17"/>
      <c r="C354" s="128">
        <v>207</v>
      </c>
      <c r="D354" s="128" t="s">
        <v>339</v>
      </c>
      <c r="E354" s="129" t="s">
        <v>7342</v>
      </c>
      <c r="F354" s="130" t="s">
        <v>7343</v>
      </c>
      <c r="G354" s="131" t="s">
        <v>724</v>
      </c>
      <c r="H354" s="132">
        <v>2268</v>
      </c>
      <c r="I354" s="133"/>
      <c r="J354" s="134">
        <f t="shared" si="100"/>
        <v>0</v>
      </c>
      <c r="K354" s="130"/>
      <c r="L354" s="17"/>
      <c r="M354" s="135"/>
      <c r="N354" s="136" t="s">
        <v>45</v>
      </c>
      <c r="P354" s="137">
        <f t="shared" si="101"/>
        <v>0</v>
      </c>
      <c r="Q354" s="137">
        <v>0</v>
      </c>
      <c r="R354" s="137">
        <f t="shared" si="102"/>
        <v>0</v>
      </c>
      <c r="S354" s="137">
        <v>0</v>
      </c>
      <c r="T354" s="138">
        <f t="shared" si="103"/>
        <v>0</v>
      </c>
      <c r="AR354" s="139" t="s">
        <v>344</v>
      </c>
      <c r="AT354" s="139" t="s">
        <v>339</v>
      </c>
      <c r="AU354" s="139" t="s">
        <v>87</v>
      </c>
      <c r="AY354" s="2" t="s">
        <v>337</v>
      </c>
      <c r="BE354" s="140">
        <f t="shared" si="104"/>
        <v>0</v>
      </c>
      <c r="BF354" s="140">
        <f t="shared" si="105"/>
        <v>0</v>
      </c>
      <c r="BG354" s="140">
        <f t="shared" si="106"/>
        <v>0</v>
      </c>
      <c r="BH354" s="140">
        <f t="shared" si="107"/>
        <v>0</v>
      </c>
      <c r="BI354" s="140">
        <f t="shared" si="108"/>
        <v>0</v>
      </c>
      <c r="BJ354" s="2" t="s">
        <v>87</v>
      </c>
      <c r="BK354" s="140">
        <f t="shared" si="109"/>
        <v>0</v>
      </c>
      <c r="BL354" s="2" t="s">
        <v>344</v>
      </c>
      <c r="BM354" s="139" t="s">
        <v>7344</v>
      </c>
    </row>
    <row r="355" spans="2:65" s="16" customFormat="1" ht="16.5" customHeight="1" x14ac:dyDescent="0.2">
      <c r="B355" s="17"/>
      <c r="C355" s="128">
        <v>208</v>
      </c>
      <c r="D355" s="128" t="s">
        <v>339</v>
      </c>
      <c r="E355" s="129" t="s">
        <v>7345</v>
      </c>
      <c r="F355" s="130" t="s">
        <v>7346</v>
      </c>
      <c r="G355" s="131" t="s">
        <v>724</v>
      </c>
      <c r="H355" s="132">
        <v>200</v>
      </c>
      <c r="I355" s="133"/>
      <c r="J355" s="134">
        <f t="shared" si="100"/>
        <v>0</v>
      </c>
      <c r="K355" s="130"/>
      <c r="L355" s="17"/>
      <c r="M355" s="135"/>
      <c r="N355" s="136" t="s">
        <v>45</v>
      </c>
      <c r="P355" s="137">
        <f t="shared" si="101"/>
        <v>0</v>
      </c>
      <c r="Q355" s="137">
        <v>0</v>
      </c>
      <c r="R355" s="137">
        <f t="shared" si="102"/>
        <v>0</v>
      </c>
      <c r="S355" s="137">
        <v>0</v>
      </c>
      <c r="T355" s="138">
        <f t="shared" si="103"/>
        <v>0</v>
      </c>
      <c r="AR355" s="139" t="s">
        <v>344</v>
      </c>
      <c r="AT355" s="139" t="s">
        <v>339</v>
      </c>
      <c r="AU355" s="139" t="s">
        <v>87</v>
      </c>
      <c r="AY355" s="2" t="s">
        <v>337</v>
      </c>
      <c r="BE355" s="140">
        <f t="shared" si="104"/>
        <v>0</v>
      </c>
      <c r="BF355" s="140">
        <f t="shared" si="105"/>
        <v>0</v>
      </c>
      <c r="BG355" s="140">
        <f t="shared" si="106"/>
        <v>0</v>
      </c>
      <c r="BH355" s="140">
        <f t="shared" si="107"/>
        <v>0</v>
      </c>
      <c r="BI355" s="140">
        <f t="shared" si="108"/>
        <v>0</v>
      </c>
      <c r="BJ355" s="2" t="s">
        <v>87</v>
      </c>
      <c r="BK355" s="140">
        <f t="shared" si="109"/>
        <v>0</v>
      </c>
      <c r="BL355" s="2" t="s">
        <v>344</v>
      </c>
      <c r="BM355" s="139" t="s">
        <v>7347</v>
      </c>
    </row>
    <row r="356" spans="2:65" s="16" customFormat="1" ht="16.5" customHeight="1" x14ac:dyDescent="0.2">
      <c r="B356" s="17"/>
      <c r="C356" s="128">
        <v>209</v>
      </c>
      <c r="D356" s="128" t="s">
        <v>339</v>
      </c>
      <c r="E356" s="129" t="s">
        <v>7348</v>
      </c>
      <c r="F356" s="130" t="s">
        <v>7349</v>
      </c>
      <c r="G356" s="131" t="s">
        <v>724</v>
      </c>
      <c r="H356" s="132">
        <v>1575</v>
      </c>
      <c r="I356" s="133"/>
      <c r="J356" s="134">
        <f t="shared" si="100"/>
        <v>0</v>
      </c>
      <c r="K356" s="130"/>
      <c r="L356" s="17"/>
      <c r="M356" s="135"/>
      <c r="N356" s="136" t="s">
        <v>45</v>
      </c>
      <c r="P356" s="137">
        <f t="shared" si="101"/>
        <v>0</v>
      </c>
      <c r="Q356" s="137">
        <v>0</v>
      </c>
      <c r="R356" s="137">
        <f t="shared" si="102"/>
        <v>0</v>
      </c>
      <c r="S356" s="137">
        <v>0</v>
      </c>
      <c r="T356" s="138">
        <f t="shared" si="103"/>
        <v>0</v>
      </c>
      <c r="AR356" s="139" t="s">
        <v>344</v>
      </c>
      <c r="AT356" s="139" t="s">
        <v>339</v>
      </c>
      <c r="AU356" s="139" t="s">
        <v>87</v>
      </c>
      <c r="AY356" s="2" t="s">
        <v>337</v>
      </c>
      <c r="BE356" s="140">
        <f t="shared" si="104"/>
        <v>0</v>
      </c>
      <c r="BF356" s="140">
        <f t="shared" si="105"/>
        <v>0</v>
      </c>
      <c r="BG356" s="140">
        <f t="shared" si="106"/>
        <v>0</v>
      </c>
      <c r="BH356" s="140">
        <f t="shared" si="107"/>
        <v>0</v>
      </c>
      <c r="BI356" s="140">
        <f t="shared" si="108"/>
        <v>0</v>
      </c>
      <c r="BJ356" s="2" t="s">
        <v>87</v>
      </c>
      <c r="BK356" s="140">
        <f t="shared" si="109"/>
        <v>0</v>
      </c>
      <c r="BL356" s="2" t="s">
        <v>344</v>
      </c>
      <c r="BM356" s="139" t="s">
        <v>7350</v>
      </c>
    </row>
    <row r="357" spans="2:65" s="16" customFormat="1" ht="16.5" customHeight="1" x14ac:dyDescent="0.2">
      <c r="B357" s="17"/>
      <c r="C357" s="128">
        <v>210</v>
      </c>
      <c r="D357" s="128" t="s">
        <v>339</v>
      </c>
      <c r="E357" s="129" t="s">
        <v>7351</v>
      </c>
      <c r="F357" s="130" t="s">
        <v>7352</v>
      </c>
      <c r="G357" s="131" t="s">
        <v>724</v>
      </c>
      <c r="H357" s="132">
        <v>11806.2</v>
      </c>
      <c r="I357" s="133"/>
      <c r="J357" s="134">
        <f t="shared" si="100"/>
        <v>0</v>
      </c>
      <c r="K357" s="130"/>
      <c r="L357" s="17"/>
      <c r="M357" s="135"/>
      <c r="N357" s="136" t="s">
        <v>45</v>
      </c>
      <c r="P357" s="137">
        <f t="shared" si="101"/>
        <v>0</v>
      </c>
      <c r="Q357" s="137">
        <v>0</v>
      </c>
      <c r="R357" s="137">
        <f t="shared" si="102"/>
        <v>0</v>
      </c>
      <c r="S357" s="137">
        <v>0</v>
      </c>
      <c r="T357" s="138">
        <f t="shared" si="103"/>
        <v>0</v>
      </c>
      <c r="AR357" s="139" t="s">
        <v>344</v>
      </c>
      <c r="AT357" s="139" t="s">
        <v>339</v>
      </c>
      <c r="AU357" s="139" t="s">
        <v>87</v>
      </c>
      <c r="AY357" s="2" t="s">
        <v>337</v>
      </c>
      <c r="BE357" s="140">
        <f t="shared" si="104"/>
        <v>0</v>
      </c>
      <c r="BF357" s="140">
        <f t="shared" si="105"/>
        <v>0</v>
      </c>
      <c r="BG357" s="140">
        <f t="shared" si="106"/>
        <v>0</v>
      </c>
      <c r="BH357" s="140">
        <f t="shared" si="107"/>
        <v>0</v>
      </c>
      <c r="BI357" s="140">
        <f t="shared" si="108"/>
        <v>0</v>
      </c>
      <c r="BJ357" s="2" t="s">
        <v>87</v>
      </c>
      <c r="BK357" s="140">
        <f t="shared" si="109"/>
        <v>0</v>
      </c>
      <c r="BL357" s="2" t="s">
        <v>344</v>
      </c>
      <c r="BM357" s="139" t="s">
        <v>7353</v>
      </c>
    </row>
    <row r="358" spans="2:65" s="16" customFormat="1" ht="16.5" customHeight="1" x14ac:dyDescent="0.2">
      <c r="B358" s="17"/>
      <c r="C358" s="128">
        <v>211</v>
      </c>
      <c r="D358" s="128" t="s">
        <v>339</v>
      </c>
      <c r="E358" s="129" t="s">
        <v>7354</v>
      </c>
      <c r="F358" s="130" t="s">
        <v>7355</v>
      </c>
      <c r="G358" s="131" t="s">
        <v>724</v>
      </c>
      <c r="H358" s="132">
        <v>3150</v>
      </c>
      <c r="I358" s="133"/>
      <c r="J358" s="134">
        <f t="shared" si="100"/>
        <v>0</v>
      </c>
      <c r="K358" s="130"/>
      <c r="L358" s="17"/>
      <c r="M358" s="135"/>
      <c r="N358" s="136" t="s">
        <v>45</v>
      </c>
      <c r="P358" s="137">
        <f t="shared" si="101"/>
        <v>0</v>
      </c>
      <c r="Q358" s="137">
        <v>0</v>
      </c>
      <c r="R358" s="137">
        <f t="shared" si="102"/>
        <v>0</v>
      </c>
      <c r="S358" s="137">
        <v>0</v>
      </c>
      <c r="T358" s="138">
        <f t="shared" si="103"/>
        <v>0</v>
      </c>
      <c r="AR358" s="139" t="s">
        <v>344</v>
      </c>
      <c r="AT358" s="139" t="s">
        <v>339</v>
      </c>
      <c r="AU358" s="139" t="s">
        <v>87</v>
      </c>
      <c r="AY358" s="2" t="s">
        <v>337</v>
      </c>
      <c r="BE358" s="140">
        <f t="shared" si="104"/>
        <v>0</v>
      </c>
      <c r="BF358" s="140">
        <f t="shared" si="105"/>
        <v>0</v>
      </c>
      <c r="BG358" s="140">
        <f t="shared" si="106"/>
        <v>0</v>
      </c>
      <c r="BH358" s="140">
        <f t="shared" si="107"/>
        <v>0</v>
      </c>
      <c r="BI358" s="140">
        <f t="shared" si="108"/>
        <v>0</v>
      </c>
      <c r="BJ358" s="2" t="s">
        <v>87</v>
      </c>
      <c r="BK358" s="140">
        <f t="shared" si="109"/>
        <v>0</v>
      </c>
      <c r="BL358" s="2" t="s">
        <v>344</v>
      </c>
      <c r="BM358" s="139" t="s">
        <v>7356</v>
      </c>
    </row>
    <row r="359" spans="2:65" s="16" customFormat="1" ht="16.5" customHeight="1" x14ac:dyDescent="0.2">
      <c r="B359" s="17"/>
      <c r="C359" s="128">
        <v>212</v>
      </c>
      <c r="D359" s="128" t="s">
        <v>339</v>
      </c>
      <c r="E359" s="129" t="s">
        <v>7357</v>
      </c>
      <c r="F359" s="130" t="s">
        <v>7358</v>
      </c>
      <c r="G359" s="131" t="s">
        <v>724</v>
      </c>
      <c r="H359" s="132">
        <v>1197</v>
      </c>
      <c r="I359" s="133"/>
      <c r="J359" s="134">
        <f t="shared" si="100"/>
        <v>0</v>
      </c>
      <c r="K359" s="130"/>
      <c r="L359" s="17"/>
      <c r="M359" s="135"/>
      <c r="N359" s="136" t="s">
        <v>45</v>
      </c>
      <c r="P359" s="137">
        <f t="shared" si="101"/>
        <v>0</v>
      </c>
      <c r="Q359" s="137">
        <v>0</v>
      </c>
      <c r="R359" s="137">
        <f t="shared" si="102"/>
        <v>0</v>
      </c>
      <c r="S359" s="137">
        <v>0</v>
      </c>
      <c r="T359" s="138">
        <f t="shared" si="103"/>
        <v>0</v>
      </c>
      <c r="AR359" s="139" t="s">
        <v>344</v>
      </c>
      <c r="AT359" s="139" t="s">
        <v>339</v>
      </c>
      <c r="AU359" s="139" t="s">
        <v>87</v>
      </c>
      <c r="AY359" s="2" t="s">
        <v>337</v>
      </c>
      <c r="BE359" s="140">
        <f t="shared" si="104"/>
        <v>0</v>
      </c>
      <c r="BF359" s="140">
        <f t="shared" si="105"/>
        <v>0</v>
      </c>
      <c r="BG359" s="140">
        <f t="shared" si="106"/>
        <v>0</v>
      </c>
      <c r="BH359" s="140">
        <f t="shared" si="107"/>
        <v>0</v>
      </c>
      <c r="BI359" s="140">
        <f t="shared" si="108"/>
        <v>0</v>
      </c>
      <c r="BJ359" s="2" t="s">
        <v>87</v>
      </c>
      <c r="BK359" s="140">
        <f t="shared" si="109"/>
        <v>0</v>
      </c>
      <c r="BL359" s="2" t="s">
        <v>344</v>
      </c>
      <c r="BM359" s="139" t="s">
        <v>7359</v>
      </c>
    </row>
    <row r="360" spans="2:65" s="16" customFormat="1" ht="16.5" customHeight="1" x14ac:dyDescent="0.2">
      <c r="B360" s="17"/>
      <c r="C360" s="128">
        <v>213</v>
      </c>
      <c r="D360" s="128" t="s">
        <v>339</v>
      </c>
      <c r="E360" s="129" t="s">
        <v>7360</v>
      </c>
      <c r="F360" s="130" t="s">
        <v>7361</v>
      </c>
      <c r="G360" s="131" t="s">
        <v>724</v>
      </c>
      <c r="H360" s="132">
        <v>10416</v>
      </c>
      <c r="I360" s="133"/>
      <c r="J360" s="134">
        <f t="shared" si="100"/>
        <v>0</v>
      </c>
      <c r="K360" s="130"/>
      <c r="L360" s="17"/>
      <c r="M360" s="135"/>
      <c r="N360" s="136" t="s">
        <v>45</v>
      </c>
      <c r="P360" s="137">
        <f t="shared" si="101"/>
        <v>0</v>
      </c>
      <c r="Q360" s="137">
        <v>0</v>
      </c>
      <c r="R360" s="137">
        <f t="shared" si="102"/>
        <v>0</v>
      </c>
      <c r="S360" s="137">
        <v>0</v>
      </c>
      <c r="T360" s="138">
        <f t="shared" si="103"/>
        <v>0</v>
      </c>
      <c r="AR360" s="139" t="s">
        <v>344</v>
      </c>
      <c r="AT360" s="139" t="s">
        <v>339</v>
      </c>
      <c r="AU360" s="139" t="s">
        <v>87</v>
      </c>
      <c r="AY360" s="2" t="s">
        <v>337</v>
      </c>
      <c r="BE360" s="140">
        <f t="shared" si="104"/>
        <v>0</v>
      </c>
      <c r="BF360" s="140">
        <f t="shared" si="105"/>
        <v>0</v>
      </c>
      <c r="BG360" s="140">
        <f t="shared" si="106"/>
        <v>0</v>
      </c>
      <c r="BH360" s="140">
        <f t="shared" si="107"/>
        <v>0</v>
      </c>
      <c r="BI360" s="140">
        <f t="shared" si="108"/>
        <v>0</v>
      </c>
      <c r="BJ360" s="2" t="s">
        <v>87</v>
      </c>
      <c r="BK360" s="140">
        <f t="shared" si="109"/>
        <v>0</v>
      </c>
      <c r="BL360" s="2" t="s">
        <v>344</v>
      </c>
      <c r="BM360" s="139" t="s">
        <v>7362</v>
      </c>
    </row>
    <row r="361" spans="2:65" s="16" customFormat="1" ht="16.5" customHeight="1" x14ac:dyDescent="0.2">
      <c r="B361" s="17"/>
      <c r="C361" s="128">
        <v>214</v>
      </c>
      <c r="D361" s="128" t="s">
        <v>339</v>
      </c>
      <c r="E361" s="129" t="s">
        <v>7363</v>
      </c>
      <c r="F361" s="130" t="s">
        <v>7364</v>
      </c>
      <c r="G361" s="131" t="s">
        <v>724</v>
      </c>
      <c r="H361" s="132">
        <v>686.7</v>
      </c>
      <c r="I361" s="133"/>
      <c r="J361" s="134">
        <f t="shared" si="100"/>
        <v>0</v>
      </c>
      <c r="K361" s="130"/>
      <c r="L361" s="17"/>
      <c r="M361" s="135"/>
      <c r="N361" s="136" t="s">
        <v>45</v>
      </c>
      <c r="P361" s="137">
        <f t="shared" si="101"/>
        <v>0</v>
      </c>
      <c r="Q361" s="137">
        <v>0</v>
      </c>
      <c r="R361" s="137">
        <f t="shared" si="102"/>
        <v>0</v>
      </c>
      <c r="S361" s="137">
        <v>0</v>
      </c>
      <c r="T361" s="138">
        <f t="shared" si="103"/>
        <v>0</v>
      </c>
      <c r="AR361" s="139" t="s">
        <v>344</v>
      </c>
      <c r="AT361" s="139" t="s">
        <v>339</v>
      </c>
      <c r="AU361" s="139" t="s">
        <v>87</v>
      </c>
      <c r="AY361" s="2" t="s">
        <v>337</v>
      </c>
      <c r="BE361" s="140">
        <f t="shared" si="104"/>
        <v>0</v>
      </c>
      <c r="BF361" s="140">
        <f t="shared" si="105"/>
        <v>0</v>
      </c>
      <c r="BG361" s="140">
        <f t="shared" si="106"/>
        <v>0</v>
      </c>
      <c r="BH361" s="140">
        <f t="shared" si="107"/>
        <v>0</v>
      </c>
      <c r="BI361" s="140">
        <f t="shared" si="108"/>
        <v>0</v>
      </c>
      <c r="BJ361" s="2" t="s">
        <v>87</v>
      </c>
      <c r="BK361" s="140">
        <f t="shared" si="109"/>
        <v>0</v>
      </c>
      <c r="BL361" s="2" t="s">
        <v>344</v>
      </c>
      <c r="BM361" s="139" t="s">
        <v>7365</v>
      </c>
    </row>
    <row r="362" spans="2:65" s="16" customFormat="1" ht="16.5" customHeight="1" x14ac:dyDescent="0.2">
      <c r="B362" s="17"/>
      <c r="C362" s="128">
        <v>215</v>
      </c>
      <c r="D362" s="128" t="s">
        <v>339</v>
      </c>
      <c r="E362" s="129" t="s">
        <v>7366</v>
      </c>
      <c r="F362" s="130" t="s">
        <v>7367</v>
      </c>
      <c r="G362" s="131" t="s">
        <v>724</v>
      </c>
      <c r="H362" s="132">
        <v>900</v>
      </c>
      <c r="I362" s="133"/>
      <c r="J362" s="134">
        <f t="shared" si="100"/>
        <v>0</v>
      </c>
      <c r="K362" s="130"/>
      <c r="L362" s="17"/>
      <c r="M362" s="135"/>
      <c r="N362" s="136" t="s">
        <v>45</v>
      </c>
      <c r="P362" s="137">
        <f t="shared" si="101"/>
        <v>0</v>
      </c>
      <c r="Q362" s="137">
        <v>0</v>
      </c>
      <c r="R362" s="137">
        <f t="shared" si="102"/>
        <v>0</v>
      </c>
      <c r="S362" s="137">
        <v>0</v>
      </c>
      <c r="T362" s="138">
        <f t="shared" si="103"/>
        <v>0</v>
      </c>
      <c r="AR362" s="139" t="s">
        <v>344</v>
      </c>
      <c r="AT362" s="139" t="s">
        <v>339</v>
      </c>
      <c r="AU362" s="139" t="s">
        <v>87</v>
      </c>
      <c r="AY362" s="2" t="s">
        <v>337</v>
      </c>
      <c r="BE362" s="140">
        <f t="shared" si="104"/>
        <v>0</v>
      </c>
      <c r="BF362" s="140">
        <f t="shared" si="105"/>
        <v>0</v>
      </c>
      <c r="BG362" s="140">
        <f t="shared" si="106"/>
        <v>0</v>
      </c>
      <c r="BH362" s="140">
        <f t="shared" si="107"/>
        <v>0</v>
      </c>
      <c r="BI362" s="140">
        <f t="shared" si="108"/>
        <v>0</v>
      </c>
      <c r="BJ362" s="2" t="s">
        <v>87</v>
      </c>
      <c r="BK362" s="140">
        <f t="shared" si="109"/>
        <v>0</v>
      </c>
      <c r="BL362" s="2" t="s">
        <v>344</v>
      </c>
      <c r="BM362" s="139" t="s">
        <v>7368</v>
      </c>
    </row>
    <row r="363" spans="2:65" s="16" customFormat="1" ht="16.5" customHeight="1" x14ac:dyDescent="0.2">
      <c r="B363" s="17"/>
      <c r="C363" s="128">
        <v>216</v>
      </c>
      <c r="D363" s="128" t="s">
        <v>339</v>
      </c>
      <c r="E363" s="129" t="s">
        <v>7369</v>
      </c>
      <c r="F363" s="130" t="s">
        <v>7370</v>
      </c>
      <c r="G363" s="131" t="s">
        <v>724</v>
      </c>
      <c r="H363" s="132">
        <v>63</v>
      </c>
      <c r="I363" s="133"/>
      <c r="J363" s="134">
        <f t="shared" si="100"/>
        <v>0</v>
      </c>
      <c r="K363" s="130"/>
      <c r="L363" s="17"/>
      <c r="M363" s="135"/>
      <c r="N363" s="136" t="s">
        <v>45</v>
      </c>
      <c r="P363" s="137">
        <f t="shared" si="101"/>
        <v>0</v>
      </c>
      <c r="Q363" s="137">
        <v>0</v>
      </c>
      <c r="R363" s="137">
        <f t="shared" si="102"/>
        <v>0</v>
      </c>
      <c r="S363" s="137">
        <v>0</v>
      </c>
      <c r="T363" s="138">
        <f t="shared" si="103"/>
        <v>0</v>
      </c>
      <c r="AR363" s="139" t="s">
        <v>344</v>
      </c>
      <c r="AT363" s="139" t="s">
        <v>339</v>
      </c>
      <c r="AU363" s="139" t="s">
        <v>87</v>
      </c>
      <c r="AY363" s="2" t="s">
        <v>337</v>
      </c>
      <c r="BE363" s="140">
        <f t="shared" si="104"/>
        <v>0</v>
      </c>
      <c r="BF363" s="140">
        <f t="shared" si="105"/>
        <v>0</v>
      </c>
      <c r="BG363" s="140">
        <f t="shared" si="106"/>
        <v>0</v>
      </c>
      <c r="BH363" s="140">
        <f t="shared" si="107"/>
        <v>0</v>
      </c>
      <c r="BI363" s="140">
        <f t="shared" si="108"/>
        <v>0</v>
      </c>
      <c r="BJ363" s="2" t="s">
        <v>87</v>
      </c>
      <c r="BK363" s="140">
        <f t="shared" si="109"/>
        <v>0</v>
      </c>
      <c r="BL363" s="2" t="s">
        <v>344</v>
      </c>
      <c r="BM363" s="139" t="s">
        <v>7371</v>
      </c>
    </row>
    <row r="364" spans="2:65" s="16" customFormat="1" ht="16.5" customHeight="1" x14ac:dyDescent="0.2">
      <c r="B364" s="17"/>
      <c r="C364" s="128">
        <v>217</v>
      </c>
      <c r="D364" s="128" t="s">
        <v>339</v>
      </c>
      <c r="E364" s="129" t="s">
        <v>7372</v>
      </c>
      <c r="F364" s="130" t="s">
        <v>7373</v>
      </c>
      <c r="G364" s="131" t="s">
        <v>724</v>
      </c>
      <c r="H364" s="132">
        <v>252</v>
      </c>
      <c r="I364" s="133"/>
      <c r="J364" s="134">
        <f t="shared" si="100"/>
        <v>0</v>
      </c>
      <c r="K364" s="130"/>
      <c r="L364" s="17"/>
      <c r="M364" s="135"/>
      <c r="N364" s="136" t="s">
        <v>45</v>
      </c>
      <c r="P364" s="137">
        <f t="shared" si="101"/>
        <v>0</v>
      </c>
      <c r="Q364" s="137">
        <v>0</v>
      </c>
      <c r="R364" s="137">
        <f t="shared" si="102"/>
        <v>0</v>
      </c>
      <c r="S364" s="137">
        <v>0</v>
      </c>
      <c r="T364" s="138">
        <f t="shared" si="103"/>
        <v>0</v>
      </c>
      <c r="AR364" s="139" t="s">
        <v>344</v>
      </c>
      <c r="AT364" s="139" t="s">
        <v>339</v>
      </c>
      <c r="AU364" s="139" t="s">
        <v>87</v>
      </c>
      <c r="AY364" s="2" t="s">
        <v>337</v>
      </c>
      <c r="BE364" s="140">
        <f t="shared" si="104"/>
        <v>0</v>
      </c>
      <c r="BF364" s="140">
        <f t="shared" si="105"/>
        <v>0</v>
      </c>
      <c r="BG364" s="140">
        <f t="shared" si="106"/>
        <v>0</v>
      </c>
      <c r="BH364" s="140">
        <f t="shared" si="107"/>
        <v>0</v>
      </c>
      <c r="BI364" s="140">
        <f t="shared" si="108"/>
        <v>0</v>
      </c>
      <c r="BJ364" s="2" t="s">
        <v>87</v>
      </c>
      <c r="BK364" s="140">
        <f t="shared" si="109"/>
        <v>0</v>
      </c>
      <c r="BL364" s="2" t="s">
        <v>344</v>
      </c>
      <c r="BM364" s="139" t="s">
        <v>7374</v>
      </c>
    </row>
    <row r="365" spans="2:65" s="16" customFormat="1" ht="16.5" customHeight="1" x14ac:dyDescent="0.2">
      <c r="B365" s="17"/>
      <c r="C365" s="128">
        <v>218</v>
      </c>
      <c r="D365" s="128" t="s">
        <v>339</v>
      </c>
      <c r="E365" s="129" t="s">
        <v>7375</v>
      </c>
      <c r="F365" s="130" t="s">
        <v>7376</v>
      </c>
      <c r="G365" s="131" t="s">
        <v>724</v>
      </c>
      <c r="H365" s="132">
        <v>525</v>
      </c>
      <c r="I365" s="133"/>
      <c r="J365" s="134">
        <f t="shared" si="100"/>
        <v>0</v>
      </c>
      <c r="K365" s="130"/>
      <c r="L365" s="17"/>
      <c r="M365" s="135"/>
      <c r="N365" s="136" t="s">
        <v>45</v>
      </c>
      <c r="P365" s="137">
        <f t="shared" si="101"/>
        <v>0</v>
      </c>
      <c r="Q365" s="137">
        <v>0</v>
      </c>
      <c r="R365" s="137">
        <f t="shared" si="102"/>
        <v>0</v>
      </c>
      <c r="S365" s="137">
        <v>0</v>
      </c>
      <c r="T365" s="138">
        <f t="shared" si="103"/>
        <v>0</v>
      </c>
      <c r="AR365" s="139" t="s">
        <v>344</v>
      </c>
      <c r="AT365" s="139" t="s">
        <v>339</v>
      </c>
      <c r="AU365" s="139" t="s">
        <v>87</v>
      </c>
      <c r="AY365" s="2" t="s">
        <v>337</v>
      </c>
      <c r="BE365" s="140">
        <f t="shared" si="104"/>
        <v>0</v>
      </c>
      <c r="BF365" s="140">
        <f t="shared" si="105"/>
        <v>0</v>
      </c>
      <c r="BG365" s="140">
        <f t="shared" si="106"/>
        <v>0</v>
      </c>
      <c r="BH365" s="140">
        <f t="shared" si="107"/>
        <v>0</v>
      </c>
      <c r="BI365" s="140">
        <f t="shared" si="108"/>
        <v>0</v>
      </c>
      <c r="BJ365" s="2" t="s">
        <v>87</v>
      </c>
      <c r="BK365" s="140">
        <f t="shared" si="109"/>
        <v>0</v>
      </c>
      <c r="BL365" s="2" t="s">
        <v>344</v>
      </c>
      <c r="BM365" s="139" t="s">
        <v>7377</v>
      </c>
    </row>
    <row r="366" spans="2:65" s="16" customFormat="1" ht="16.5" customHeight="1" x14ac:dyDescent="0.2">
      <c r="B366" s="17"/>
      <c r="C366" s="128">
        <v>219</v>
      </c>
      <c r="D366" s="128" t="s">
        <v>339</v>
      </c>
      <c r="E366" s="129" t="s">
        <v>7378</v>
      </c>
      <c r="F366" s="130" t="s">
        <v>7379</v>
      </c>
      <c r="G366" s="131" t="s">
        <v>724</v>
      </c>
      <c r="H366" s="132">
        <v>100.8</v>
      </c>
      <c r="I366" s="133"/>
      <c r="J366" s="134">
        <f t="shared" ref="J366:J371" si="110">ROUND(I366*H366,2)</f>
        <v>0</v>
      </c>
      <c r="K366" s="130"/>
      <c r="L366" s="17"/>
      <c r="M366" s="135"/>
      <c r="N366" s="136" t="s">
        <v>45</v>
      </c>
      <c r="P366" s="137">
        <f t="shared" ref="P366:P373" si="111">O366*H366</f>
        <v>0</v>
      </c>
      <c r="Q366" s="137">
        <v>0</v>
      </c>
      <c r="R366" s="137">
        <f t="shared" ref="R366:R373" si="112">Q366*H366</f>
        <v>0</v>
      </c>
      <c r="S366" s="137">
        <v>0</v>
      </c>
      <c r="T366" s="138">
        <f t="shared" ref="T366:T373" si="113">S366*H366</f>
        <v>0</v>
      </c>
      <c r="AR366" s="139" t="s">
        <v>344</v>
      </c>
      <c r="AT366" s="139" t="s">
        <v>339</v>
      </c>
      <c r="AU366" s="139" t="s">
        <v>87</v>
      </c>
      <c r="AY366" s="2" t="s">
        <v>337</v>
      </c>
      <c r="BE366" s="140">
        <f t="shared" ref="BE366:BE373" si="114">IF(N366="základní",J366,0)</f>
        <v>0</v>
      </c>
      <c r="BF366" s="140">
        <f t="shared" ref="BF366:BF373" si="115">IF(N366="snížená",J366,0)</f>
        <v>0</v>
      </c>
      <c r="BG366" s="140">
        <f t="shared" ref="BG366:BG373" si="116">IF(N366="zákl. přenesená",J366,0)</f>
        <v>0</v>
      </c>
      <c r="BH366" s="140">
        <f t="shared" ref="BH366:BH373" si="117">IF(N366="sníž. přenesená",J366,0)</f>
        <v>0</v>
      </c>
      <c r="BI366" s="140">
        <f t="shared" ref="BI366:BI373" si="118">IF(N366="nulová",J366,0)</f>
        <v>0</v>
      </c>
      <c r="BJ366" s="2" t="s">
        <v>87</v>
      </c>
      <c r="BK366" s="140">
        <f t="shared" ref="BK366:BK373" si="119">ROUND(I366*H366,2)</f>
        <v>0</v>
      </c>
      <c r="BL366" s="2" t="s">
        <v>344</v>
      </c>
      <c r="BM366" s="139" t="s">
        <v>7380</v>
      </c>
    </row>
    <row r="367" spans="2:65" s="16" customFormat="1" ht="16.5" customHeight="1" x14ac:dyDescent="0.2">
      <c r="B367" s="17"/>
      <c r="C367" s="128">
        <v>220</v>
      </c>
      <c r="D367" s="128" t="s">
        <v>339</v>
      </c>
      <c r="E367" s="129" t="s">
        <v>7381</v>
      </c>
      <c r="F367" s="130" t="s">
        <v>7382</v>
      </c>
      <c r="G367" s="131" t="s">
        <v>724</v>
      </c>
      <c r="H367" s="132">
        <v>25.2</v>
      </c>
      <c r="I367" s="133"/>
      <c r="J367" s="134">
        <f t="shared" si="110"/>
        <v>0</v>
      </c>
      <c r="K367" s="130"/>
      <c r="L367" s="17"/>
      <c r="M367" s="135"/>
      <c r="N367" s="136" t="s">
        <v>45</v>
      </c>
      <c r="P367" s="137">
        <f t="shared" si="111"/>
        <v>0</v>
      </c>
      <c r="Q367" s="137">
        <v>0</v>
      </c>
      <c r="R367" s="137">
        <f t="shared" si="112"/>
        <v>0</v>
      </c>
      <c r="S367" s="137">
        <v>0</v>
      </c>
      <c r="T367" s="138">
        <f t="shared" si="113"/>
        <v>0</v>
      </c>
      <c r="AR367" s="139" t="s">
        <v>344</v>
      </c>
      <c r="AT367" s="139" t="s">
        <v>339</v>
      </c>
      <c r="AU367" s="139" t="s">
        <v>87</v>
      </c>
      <c r="AY367" s="2" t="s">
        <v>337</v>
      </c>
      <c r="BE367" s="140">
        <f t="shared" si="114"/>
        <v>0</v>
      </c>
      <c r="BF367" s="140">
        <f t="shared" si="115"/>
        <v>0</v>
      </c>
      <c r="BG367" s="140">
        <f t="shared" si="116"/>
        <v>0</v>
      </c>
      <c r="BH367" s="140">
        <f t="shared" si="117"/>
        <v>0</v>
      </c>
      <c r="BI367" s="140">
        <f t="shared" si="118"/>
        <v>0</v>
      </c>
      <c r="BJ367" s="2" t="s">
        <v>87</v>
      </c>
      <c r="BK367" s="140">
        <f t="shared" si="119"/>
        <v>0</v>
      </c>
      <c r="BL367" s="2" t="s">
        <v>344</v>
      </c>
      <c r="BM367" s="139" t="s">
        <v>7383</v>
      </c>
    </row>
    <row r="368" spans="2:65" s="16" customFormat="1" ht="16.5" customHeight="1" x14ac:dyDescent="0.2">
      <c r="B368" s="17"/>
      <c r="C368" s="128">
        <v>221</v>
      </c>
      <c r="D368" s="128" t="s">
        <v>339</v>
      </c>
      <c r="E368" s="129" t="s">
        <v>7384</v>
      </c>
      <c r="F368" s="130" t="s">
        <v>7385</v>
      </c>
      <c r="G368" s="131" t="s">
        <v>4460</v>
      </c>
      <c r="H368" s="132">
        <v>60</v>
      </c>
      <c r="I368" s="133"/>
      <c r="J368" s="134">
        <f t="shared" si="110"/>
        <v>0</v>
      </c>
      <c r="K368" s="130"/>
      <c r="L368" s="17"/>
      <c r="M368" s="135"/>
      <c r="N368" s="136" t="s">
        <v>45</v>
      </c>
      <c r="P368" s="137">
        <f t="shared" si="111"/>
        <v>0</v>
      </c>
      <c r="Q368" s="137">
        <v>0</v>
      </c>
      <c r="R368" s="137">
        <f t="shared" si="112"/>
        <v>0</v>
      </c>
      <c r="S368" s="137">
        <v>0</v>
      </c>
      <c r="T368" s="138">
        <f t="shared" si="113"/>
        <v>0</v>
      </c>
      <c r="AR368" s="139" t="s">
        <v>344</v>
      </c>
      <c r="AT368" s="139" t="s">
        <v>339</v>
      </c>
      <c r="AU368" s="139" t="s">
        <v>87</v>
      </c>
      <c r="AY368" s="2" t="s">
        <v>337</v>
      </c>
      <c r="BE368" s="140">
        <f t="shared" si="114"/>
        <v>0</v>
      </c>
      <c r="BF368" s="140">
        <f t="shared" si="115"/>
        <v>0</v>
      </c>
      <c r="BG368" s="140">
        <f t="shared" si="116"/>
        <v>0</v>
      </c>
      <c r="BH368" s="140">
        <f t="shared" si="117"/>
        <v>0</v>
      </c>
      <c r="BI368" s="140">
        <f t="shared" si="118"/>
        <v>0</v>
      </c>
      <c r="BJ368" s="2" t="s">
        <v>87</v>
      </c>
      <c r="BK368" s="140">
        <f t="shared" si="119"/>
        <v>0</v>
      </c>
      <c r="BL368" s="2" t="s">
        <v>344</v>
      </c>
      <c r="BM368" s="139" t="s">
        <v>7386</v>
      </c>
    </row>
    <row r="369" spans="2:65" s="16" customFormat="1" ht="16.5" customHeight="1" x14ac:dyDescent="0.2">
      <c r="B369" s="17"/>
      <c r="C369" s="128">
        <v>222</v>
      </c>
      <c r="D369" s="128" t="s">
        <v>339</v>
      </c>
      <c r="E369" s="129" t="s">
        <v>7387</v>
      </c>
      <c r="F369" s="130" t="s">
        <v>7388</v>
      </c>
      <c r="G369" s="131" t="s">
        <v>4460</v>
      </c>
      <c r="H369" s="132">
        <v>50</v>
      </c>
      <c r="I369" s="133"/>
      <c r="J369" s="134">
        <f t="shared" si="110"/>
        <v>0</v>
      </c>
      <c r="K369" s="130"/>
      <c r="L369" s="17"/>
      <c r="M369" s="135"/>
      <c r="N369" s="136" t="s">
        <v>45</v>
      </c>
      <c r="P369" s="137">
        <f t="shared" si="111"/>
        <v>0</v>
      </c>
      <c r="Q369" s="137">
        <v>0</v>
      </c>
      <c r="R369" s="137">
        <f t="shared" si="112"/>
        <v>0</v>
      </c>
      <c r="S369" s="137">
        <v>0</v>
      </c>
      <c r="T369" s="138">
        <f t="shared" si="113"/>
        <v>0</v>
      </c>
      <c r="AR369" s="139" t="s">
        <v>344</v>
      </c>
      <c r="AT369" s="139" t="s">
        <v>339</v>
      </c>
      <c r="AU369" s="139" t="s">
        <v>87</v>
      </c>
      <c r="AY369" s="2" t="s">
        <v>337</v>
      </c>
      <c r="BE369" s="140">
        <f t="shared" si="114"/>
        <v>0</v>
      </c>
      <c r="BF369" s="140">
        <f t="shared" si="115"/>
        <v>0</v>
      </c>
      <c r="BG369" s="140">
        <f t="shared" si="116"/>
        <v>0</v>
      </c>
      <c r="BH369" s="140">
        <f t="shared" si="117"/>
        <v>0</v>
      </c>
      <c r="BI369" s="140">
        <f t="shared" si="118"/>
        <v>0</v>
      </c>
      <c r="BJ369" s="2" t="s">
        <v>87</v>
      </c>
      <c r="BK369" s="140">
        <f t="shared" si="119"/>
        <v>0</v>
      </c>
      <c r="BL369" s="2" t="s">
        <v>344</v>
      </c>
      <c r="BM369" s="139" t="s">
        <v>7389</v>
      </c>
    </row>
    <row r="370" spans="2:65" s="16" customFormat="1" ht="16.5" customHeight="1" x14ac:dyDescent="0.2">
      <c r="B370" s="17"/>
      <c r="C370" s="128">
        <v>223</v>
      </c>
      <c r="D370" s="128" t="s">
        <v>339</v>
      </c>
      <c r="E370" s="129" t="s">
        <v>7390</v>
      </c>
      <c r="F370" s="130" t="s">
        <v>7391</v>
      </c>
      <c r="G370" s="131" t="s">
        <v>4460</v>
      </c>
      <c r="H370" s="132">
        <v>20</v>
      </c>
      <c r="I370" s="133"/>
      <c r="J370" s="134">
        <f t="shared" si="110"/>
        <v>0</v>
      </c>
      <c r="K370" s="130"/>
      <c r="L370" s="17"/>
      <c r="M370" s="135"/>
      <c r="N370" s="136" t="s">
        <v>45</v>
      </c>
      <c r="P370" s="137">
        <f t="shared" si="111"/>
        <v>0</v>
      </c>
      <c r="Q370" s="137">
        <v>0</v>
      </c>
      <c r="R370" s="137">
        <f t="shared" si="112"/>
        <v>0</v>
      </c>
      <c r="S370" s="137">
        <v>0</v>
      </c>
      <c r="T370" s="138">
        <f t="shared" si="113"/>
        <v>0</v>
      </c>
      <c r="AR370" s="139" t="s">
        <v>344</v>
      </c>
      <c r="AT370" s="139" t="s">
        <v>339</v>
      </c>
      <c r="AU370" s="139" t="s">
        <v>87</v>
      </c>
      <c r="AY370" s="2" t="s">
        <v>337</v>
      </c>
      <c r="BE370" s="140">
        <f t="shared" si="114"/>
        <v>0</v>
      </c>
      <c r="BF370" s="140">
        <f t="shared" si="115"/>
        <v>0</v>
      </c>
      <c r="BG370" s="140">
        <f t="shared" si="116"/>
        <v>0</v>
      </c>
      <c r="BH370" s="140">
        <f t="shared" si="117"/>
        <v>0</v>
      </c>
      <c r="BI370" s="140">
        <f t="shared" si="118"/>
        <v>0</v>
      </c>
      <c r="BJ370" s="2" t="s">
        <v>87</v>
      </c>
      <c r="BK370" s="140">
        <f t="shared" si="119"/>
        <v>0</v>
      </c>
      <c r="BL370" s="2" t="s">
        <v>344</v>
      </c>
      <c r="BM370" s="139" t="s">
        <v>7392</v>
      </c>
    </row>
    <row r="371" spans="2:65" s="16" customFormat="1" ht="16.5" customHeight="1" x14ac:dyDescent="0.2">
      <c r="B371" s="17"/>
      <c r="C371" s="128">
        <v>224</v>
      </c>
      <c r="D371" s="128" t="s">
        <v>339</v>
      </c>
      <c r="E371" s="129" t="s">
        <v>7393</v>
      </c>
      <c r="F371" s="130" t="s">
        <v>7394</v>
      </c>
      <c r="G371" s="131" t="s">
        <v>4460</v>
      </c>
      <c r="H371" s="132">
        <v>40</v>
      </c>
      <c r="I371" s="133"/>
      <c r="J371" s="134">
        <f t="shared" si="110"/>
        <v>0</v>
      </c>
      <c r="K371" s="130"/>
      <c r="L371" s="17"/>
      <c r="M371" s="135"/>
      <c r="N371" s="136" t="s">
        <v>45</v>
      </c>
      <c r="P371" s="137">
        <f t="shared" si="111"/>
        <v>0</v>
      </c>
      <c r="Q371" s="137">
        <v>0</v>
      </c>
      <c r="R371" s="137">
        <f t="shared" si="112"/>
        <v>0</v>
      </c>
      <c r="S371" s="137">
        <v>0</v>
      </c>
      <c r="T371" s="138">
        <f t="shared" si="113"/>
        <v>0</v>
      </c>
      <c r="AR371" s="139" t="s">
        <v>344</v>
      </c>
      <c r="AT371" s="139" t="s">
        <v>339</v>
      </c>
      <c r="AU371" s="139" t="s">
        <v>87</v>
      </c>
      <c r="AY371" s="2" t="s">
        <v>337</v>
      </c>
      <c r="BE371" s="140">
        <f t="shared" si="114"/>
        <v>0</v>
      </c>
      <c r="BF371" s="140">
        <f t="shared" si="115"/>
        <v>0</v>
      </c>
      <c r="BG371" s="140">
        <f t="shared" si="116"/>
        <v>0</v>
      </c>
      <c r="BH371" s="140">
        <f t="shared" si="117"/>
        <v>0</v>
      </c>
      <c r="BI371" s="140">
        <f t="shared" si="118"/>
        <v>0</v>
      </c>
      <c r="BJ371" s="2" t="s">
        <v>87</v>
      </c>
      <c r="BK371" s="140">
        <f t="shared" si="119"/>
        <v>0</v>
      </c>
      <c r="BL371" s="2" t="s">
        <v>344</v>
      </c>
      <c r="BM371" s="139" t="s">
        <v>7395</v>
      </c>
    </row>
    <row r="372" spans="2:65" s="16" customFormat="1" ht="16.5" customHeight="1" x14ac:dyDescent="0.2">
      <c r="B372" s="17"/>
      <c r="C372" s="128">
        <v>225</v>
      </c>
      <c r="D372" s="128" t="s">
        <v>339</v>
      </c>
      <c r="E372" s="129" t="s">
        <v>7396</v>
      </c>
      <c r="F372" s="130" t="s">
        <v>7397</v>
      </c>
      <c r="G372" s="131" t="s">
        <v>7010</v>
      </c>
      <c r="H372" s="132">
        <v>1</v>
      </c>
      <c r="I372" s="133"/>
      <c r="J372" s="134">
        <f t="shared" ref="J372" si="120">ROUND(I372*H372,2)</f>
        <v>0</v>
      </c>
      <c r="K372" s="130"/>
      <c r="L372" s="17"/>
      <c r="M372" s="135"/>
      <c r="N372" s="136" t="s">
        <v>45</v>
      </c>
      <c r="P372" s="137">
        <f t="shared" ref="P372" si="121">O372*H372</f>
        <v>0</v>
      </c>
      <c r="Q372" s="137">
        <v>0</v>
      </c>
      <c r="R372" s="137">
        <f t="shared" ref="R372" si="122">Q372*H372</f>
        <v>0</v>
      </c>
      <c r="S372" s="137">
        <v>0</v>
      </c>
      <c r="T372" s="138">
        <f t="shared" ref="T372" si="123">S372*H372</f>
        <v>0</v>
      </c>
      <c r="AR372" s="139" t="s">
        <v>344</v>
      </c>
      <c r="AT372" s="139" t="s">
        <v>339</v>
      </c>
      <c r="AU372" s="139" t="s">
        <v>87</v>
      </c>
      <c r="AY372" s="2" t="s">
        <v>337</v>
      </c>
      <c r="BE372" s="140">
        <f t="shared" ref="BE372" si="124">IF(N372="základní",J372,0)</f>
        <v>0</v>
      </c>
      <c r="BF372" s="140">
        <f t="shared" ref="BF372" si="125">IF(N372="snížená",J372,0)</f>
        <v>0</v>
      </c>
      <c r="BG372" s="140">
        <f t="shared" ref="BG372" si="126">IF(N372="zákl. přenesená",J372,0)</f>
        <v>0</v>
      </c>
      <c r="BH372" s="140">
        <f t="shared" ref="BH372" si="127">IF(N372="sníž. přenesená",J372,0)</f>
        <v>0</v>
      </c>
      <c r="BI372" s="140">
        <f t="shared" ref="BI372" si="128">IF(N372="nulová",J372,0)</f>
        <v>0</v>
      </c>
      <c r="BJ372" s="2" t="s">
        <v>87</v>
      </c>
      <c r="BK372" s="140">
        <f t="shared" ref="BK372" si="129">ROUND(I372*H372,2)</f>
        <v>0</v>
      </c>
      <c r="BL372" s="2" t="s">
        <v>344</v>
      </c>
      <c r="BM372" s="139" t="s">
        <v>7398</v>
      </c>
    </row>
    <row r="373" spans="2:65" s="16" customFormat="1" ht="16.5" customHeight="1" x14ac:dyDescent="0.2">
      <c r="B373" s="17"/>
      <c r="C373" s="289" t="s">
        <v>9268</v>
      </c>
      <c r="D373" s="289" t="s">
        <v>339</v>
      </c>
      <c r="E373" s="290" t="s">
        <v>9252</v>
      </c>
      <c r="F373" s="291" t="s">
        <v>9253</v>
      </c>
      <c r="G373" s="292" t="s">
        <v>724</v>
      </c>
      <c r="H373" s="288">
        <v>120</v>
      </c>
      <c r="I373" s="294"/>
      <c r="J373" s="295">
        <f>ROUND(I373*H373,2)</f>
        <v>0</v>
      </c>
      <c r="K373" s="130"/>
      <c r="L373" s="293" t="s">
        <v>9256</v>
      </c>
      <c r="M373" s="135"/>
      <c r="N373" s="136" t="s">
        <v>45</v>
      </c>
      <c r="P373" s="137">
        <f t="shared" si="111"/>
        <v>0</v>
      </c>
      <c r="Q373" s="137">
        <v>0</v>
      </c>
      <c r="R373" s="137">
        <f t="shared" si="112"/>
        <v>0</v>
      </c>
      <c r="S373" s="137">
        <v>0</v>
      </c>
      <c r="T373" s="138">
        <f t="shared" si="113"/>
        <v>0</v>
      </c>
      <c r="AR373" s="139" t="s">
        <v>344</v>
      </c>
      <c r="AT373" s="139" t="s">
        <v>339</v>
      </c>
      <c r="AU373" s="139" t="s">
        <v>87</v>
      </c>
      <c r="AY373" s="2" t="s">
        <v>337</v>
      </c>
      <c r="BE373" s="140">
        <f t="shared" si="114"/>
        <v>0</v>
      </c>
      <c r="BF373" s="140">
        <f t="shared" si="115"/>
        <v>0</v>
      </c>
      <c r="BG373" s="140">
        <f t="shared" si="116"/>
        <v>0</v>
      </c>
      <c r="BH373" s="140">
        <f t="shared" si="117"/>
        <v>0</v>
      </c>
      <c r="BI373" s="140">
        <f t="shared" si="118"/>
        <v>0</v>
      </c>
      <c r="BJ373" s="2" t="s">
        <v>87</v>
      </c>
      <c r="BK373" s="140">
        <f t="shared" si="119"/>
        <v>0</v>
      </c>
      <c r="BL373" s="2" t="s">
        <v>344</v>
      </c>
      <c r="BM373" s="139" t="s">
        <v>7398</v>
      </c>
    </row>
    <row r="374" spans="2:65" s="116" customFormat="1" ht="25.9" customHeight="1" x14ac:dyDescent="0.2">
      <c r="B374" s="117"/>
      <c r="D374" s="118" t="s">
        <v>79</v>
      </c>
      <c r="E374" s="119" t="s">
        <v>1125</v>
      </c>
      <c r="F374" s="119" t="s">
        <v>7399</v>
      </c>
      <c r="J374" s="120">
        <f>BK374</f>
        <v>0</v>
      </c>
      <c r="L374" s="117"/>
      <c r="M374" s="121"/>
      <c r="P374" s="122">
        <f>P375</f>
        <v>0</v>
      </c>
      <c r="R374" s="122">
        <f>R375</f>
        <v>0</v>
      </c>
      <c r="T374" s="123">
        <f>T375</f>
        <v>0</v>
      </c>
      <c r="AR374" s="118" t="s">
        <v>87</v>
      </c>
      <c r="AT374" s="124" t="s">
        <v>79</v>
      </c>
      <c r="AU374" s="124" t="s">
        <v>80</v>
      </c>
      <c r="AY374" s="118" t="s">
        <v>337</v>
      </c>
      <c r="BK374" s="125">
        <f>BK375</f>
        <v>0</v>
      </c>
    </row>
    <row r="375" spans="2:65" s="16" customFormat="1" ht="16.5" customHeight="1" x14ac:dyDescent="0.2">
      <c r="B375" s="17"/>
      <c r="C375" s="128">
        <v>226</v>
      </c>
      <c r="D375" s="128" t="s">
        <v>339</v>
      </c>
      <c r="E375" s="129" t="s">
        <v>7400</v>
      </c>
      <c r="F375" s="130" t="s">
        <v>7399</v>
      </c>
      <c r="G375" s="131" t="s">
        <v>7010</v>
      </c>
      <c r="H375" s="132">
        <v>1</v>
      </c>
      <c r="I375" s="133"/>
      <c r="J375" s="134">
        <f>ROUND(I375*H375,2)</f>
        <v>0</v>
      </c>
      <c r="K375" s="130"/>
      <c r="L375" s="17"/>
      <c r="M375" s="187"/>
      <c r="N375" s="188" t="s">
        <v>45</v>
      </c>
      <c r="O375" s="189"/>
      <c r="P375" s="190">
        <f>O375*H375</f>
        <v>0</v>
      </c>
      <c r="Q375" s="190">
        <v>0</v>
      </c>
      <c r="R375" s="190">
        <f>Q375*H375</f>
        <v>0</v>
      </c>
      <c r="S375" s="190">
        <v>0</v>
      </c>
      <c r="T375" s="191">
        <f>S375*H375</f>
        <v>0</v>
      </c>
      <c r="AR375" s="139" t="s">
        <v>344</v>
      </c>
      <c r="AT375" s="139" t="s">
        <v>339</v>
      </c>
      <c r="AU375" s="139" t="s">
        <v>87</v>
      </c>
      <c r="AY375" s="2" t="s">
        <v>337</v>
      </c>
      <c r="BE375" s="140">
        <f>IF(N375="základní",J375,0)</f>
        <v>0</v>
      </c>
      <c r="BF375" s="140">
        <f>IF(N375="snížená",J375,0)</f>
        <v>0</v>
      </c>
      <c r="BG375" s="140">
        <f>IF(N375="zákl. přenesená",J375,0)</f>
        <v>0</v>
      </c>
      <c r="BH375" s="140">
        <f>IF(N375="sníž. přenesená",J375,0)</f>
        <v>0</v>
      </c>
      <c r="BI375" s="140">
        <f>IF(N375="nulová",J375,0)</f>
        <v>0</v>
      </c>
      <c r="BJ375" s="2" t="s">
        <v>87</v>
      </c>
      <c r="BK375" s="140">
        <f>ROUND(I375*H375,2)</f>
        <v>0</v>
      </c>
      <c r="BL375" s="2" t="s">
        <v>344</v>
      </c>
      <c r="BM375" s="139" t="s">
        <v>7401</v>
      </c>
    </row>
    <row r="376" spans="2:65" s="16" customFormat="1" ht="6.95" customHeight="1" x14ac:dyDescent="0.2">
      <c r="B376" s="30"/>
      <c r="C376" s="19"/>
      <c r="D376" s="19"/>
      <c r="E376" s="19"/>
      <c r="F376" s="19"/>
      <c r="G376" s="19"/>
      <c r="H376" s="19"/>
      <c r="I376" s="19"/>
      <c r="J376" s="19"/>
      <c r="K376" s="19"/>
      <c r="L376" s="17"/>
    </row>
  </sheetData>
  <sheetProtection algorithmName="SHA-512" hashValue="hdji5HprvB7HC2kazPy+MAlJeeecOCFSPzpXxC8ByPTxuUlxCcTqqeRZkEpR6kVyA2ZiN3d/FMYJSWYtGETTLg==" saltValue="rYCDzRICfURpUdW3VJSDMw==" spinCount="100000" sheet="1" objects="1" scenarios="1" formatCells="0" formatColumns="0" formatRows="0" autoFilter="0"/>
  <autoFilter ref="C138:K375" xr:uid="{00000000-0009-0000-0000-000011000000}"/>
  <mergeCells count="15"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  <mergeCell ref="E22:H22"/>
    <mergeCell ref="L2:V2"/>
    <mergeCell ref="E7:H7"/>
    <mergeCell ref="E9:H9"/>
    <mergeCell ref="E11:H11"/>
    <mergeCell ref="E13:H13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9"/>
  <dimension ref="B2:BM227"/>
  <sheetViews>
    <sheetView showGridLines="0" topLeftCell="A170" workbookViewId="0">
      <selection activeCell="X235" sqref="X235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6.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1" width="20.83203125" customWidth="1"/>
    <col min="12" max="12" width="15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154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6831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7402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/>
      <c r="L24" s="17"/>
    </row>
    <row r="25" spans="2:12" s="16" customFormat="1" ht="18" hidden="1" customHeight="1" x14ac:dyDescent="0.2">
      <c r="B25" s="17"/>
      <c r="E25" s="10" t="s">
        <v>6833</v>
      </c>
      <c r="I25" s="12" t="s">
        <v>26</v>
      </c>
      <c r="J25" s="10"/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/>
      <c r="L27" s="17"/>
    </row>
    <row r="28" spans="2:12" s="16" customFormat="1" ht="18" hidden="1" customHeight="1" x14ac:dyDescent="0.2">
      <c r="B28" s="17"/>
      <c r="E28" s="10" t="s">
        <v>6833</v>
      </c>
      <c r="I28" s="12" t="s">
        <v>26</v>
      </c>
      <c r="J28" s="10"/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47.25" hidden="1" customHeight="1" x14ac:dyDescent="0.2">
      <c r="B31" s="82"/>
      <c r="E31" s="304" t="s">
        <v>6834</v>
      </c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ROUND((SUM(BE139:BE226)),  2)</f>
        <v>0</v>
      </c>
      <c r="I37" s="86">
        <v>0.21</v>
      </c>
      <c r="J37" s="73">
        <f>ROUND(((SUM(BE139:BE226))*I37),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ROUND((SUM(BF139:BF226)),  2)</f>
        <v>0</v>
      </c>
      <c r="I38" s="86">
        <v>0.12</v>
      </c>
      <c r="J38" s="73">
        <f>ROUND(((SUM(BF139:BF226))*I38),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ROUND((SUM(BG139:BG226)),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ROUND((SUM(BH139:BH226)),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ROUND((SUM(BI139:BI226)),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6831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SLA - Slaboproud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Karel Sommer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Karel Sommer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7403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98" customFormat="1" ht="24.95" customHeight="1" x14ac:dyDescent="0.2">
      <c r="B102" s="99"/>
      <c r="D102" s="100" t="s">
        <v>7404</v>
      </c>
      <c r="E102" s="101"/>
      <c r="F102" s="101"/>
      <c r="G102" s="101"/>
      <c r="H102" s="101"/>
      <c r="I102" s="101"/>
      <c r="J102" s="102">
        <f>J147</f>
        <v>0</v>
      </c>
      <c r="L102" s="99"/>
    </row>
    <row r="103" spans="2:47" s="98" customFormat="1" ht="24.95" customHeight="1" x14ac:dyDescent="0.2">
      <c r="B103" s="99"/>
      <c r="D103" s="100" t="s">
        <v>7405</v>
      </c>
      <c r="E103" s="101"/>
      <c r="F103" s="101"/>
      <c r="G103" s="101"/>
      <c r="H103" s="101"/>
      <c r="I103" s="101"/>
      <c r="J103" s="102">
        <f>J170</f>
        <v>0</v>
      </c>
      <c r="L103" s="99"/>
    </row>
    <row r="104" spans="2:47" s="98" customFormat="1" ht="24.95" customHeight="1" x14ac:dyDescent="0.2">
      <c r="B104" s="99"/>
      <c r="D104" s="100" t="s">
        <v>7406</v>
      </c>
      <c r="E104" s="101"/>
      <c r="F104" s="101"/>
      <c r="G104" s="101"/>
      <c r="H104" s="101"/>
      <c r="I104" s="101"/>
      <c r="J104" s="102">
        <f>J184</f>
        <v>0</v>
      </c>
      <c r="L104" s="99"/>
    </row>
    <row r="105" spans="2:47" s="98" customFormat="1" ht="24.95" customHeight="1" x14ac:dyDescent="0.2">
      <c r="B105" s="99"/>
      <c r="D105" s="100" t="s">
        <v>6840</v>
      </c>
      <c r="E105" s="101"/>
      <c r="F105" s="101"/>
      <c r="G105" s="101"/>
      <c r="H105" s="101"/>
      <c r="I105" s="101"/>
      <c r="J105" s="102">
        <f>J225</f>
        <v>0</v>
      </c>
      <c r="L105" s="99"/>
    </row>
    <row r="106" spans="2:47" s="16" customFormat="1" ht="21.75" customHeight="1" x14ac:dyDescent="0.2">
      <c r="B106" s="17"/>
      <c r="L106" s="17"/>
    </row>
    <row r="107" spans="2:47" s="16" customFormat="1" ht="6.95" customHeight="1" x14ac:dyDescent="0.2">
      <c r="B107" s="30"/>
      <c r="C107" s="19"/>
      <c r="D107" s="19"/>
      <c r="E107" s="19"/>
      <c r="F107" s="19"/>
      <c r="G107" s="19"/>
      <c r="H107" s="19"/>
      <c r="I107" s="19"/>
      <c r="J107" s="19"/>
      <c r="K107" s="19"/>
      <c r="L107" s="17"/>
    </row>
    <row r="111" spans="2:47" ht="3" customHeight="1" x14ac:dyDescent="0.2"/>
    <row r="112" spans="2:47" ht="3" customHeight="1" x14ac:dyDescent="0.2"/>
    <row r="113" spans="2:12" ht="3" customHeight="1" x14ac:dyDescent="0.2"/>
    <row r="114" spans="2:12" ht="3" customHeight="1" x14ac:dyDescent="0.2"/>
    <row r="115" spans="2:12" ht="3" customHeight="1" x14ac:dyDescent="0.2"/>
    <row r="116" spans="2:12" ht="3" customHeight="1" x14ac:dyDescent="0.2"/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6831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SLA - Slaboproud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Karel Sommer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15" t="str">
        <f>E28</f>
        <v>Karel Sommer</v>
      </c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P140+P147+P170+P184+P225</f>
        <v>0</v>
      </c>
      <c r="Q139" s="39"/>
      <c r="R139" s="113">
        <f>R140+R147+R170+R184+R225</f>
        <v>0</v>
      </c>
      <c r="S139" s="39"/>
      <c r="T139" s="114">
        <f>T140+T147+T170+T184+T225</f>
        <v>0</v>
      </c>
      <c r="AT139" s="2" t="s">
        <v>79</v>
      </c>
      <c r="AU139" s="2" t="s">
        <v>303</v>
      </c>
      <c r="BK139" s="115">
        <f>BK140+BK147+BK170+BK184+BK225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87</v>
      </c>
      <c r="F140" s="119" t="s">
        <v>7407</v>
      </c>
      <c r="J140" s="120">
        <f>BK140</f>
        <v>0</v>
      </c>
      <c r="L140" s="117"/>
      <c r="M140" s="121"/>
      <c r="P140" s="122">
        <f>SUM(P141:P146)</f>
        <v>0</v>
      </c>
      <c r="R140" s="122">
        <f>SUM(R141:R146)</f>
        <v>0</v>
      </c>
      <c r="T140" s="123">
        <f>SUM(T141:T146)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SUM(BK141:BK146)</f>
        <v>0</v>
      </c>
    </row>
    <row r="141" spans="2:65" s="16" customFormat="1" ht="16.5" customHeight="1" x14ac:dyDescent="0.2">
      <c r="B141" s="17"/>
      <c r="C141" s="289">
        <v>1</v>
      </c>
      <c r="D141" s="289" t="s">
        <v>339</v>
      </c>
      <c r="E141" s="290" t="s">
        <v>6842</v>
      </c>
      <c r="F141" s="291" t="s">
        <v>6993</v>
      </c>
      <c r="G141" s="292" t="s">
        <v>724</v>
      </c>
      <c r="H141" s="288">
        <v>1300</v>
      </c>
      <c r="I141" s="294"/>
      <c r="J141" s="295">
        <f t="shared" ref="J141:J146" si="0">ROUND(I141*H141,2)</f>
        <v>0</v>
      </c>
      <c r="K141" s="291"/>
      <c r="L141" s="293" t="s">
        <v>9248</v>
      </c>
      <c r="M141" s="135"/>
      <c r="N141" s="136" t="s">
        <v>45</v>
      </c>
      <c r="P141" s="137">
        <f t="shared" ref="P141:P146" si="1">O141*H141</f>
        <v>0</v>
      </c>
      <c r="Q141" s="137">
        <v>0</v>
      </c>
      <c r="R141" s="137">
        <f t="shared" ref="R141:R146" si="2">Q141*H141</f>
        <v>0</v>
      </c>
      <c r="S141" s="137">
        <v>0</v>
      </c>
      <c r="T141" s="138">
        <f t="shared" ref="T141:T146" si="3"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 t="shared" ref="BE141:BE146" si="4">IF(N141="základní",J141,0)</f>
        <v>0</v>
      </c>
      <c r="BF141" s="140">
        <f t="shared" ref="BF141:BF146" si="5">IF(N141="snížená",J141,0)</f>
        <v>0</v>
      </c>
      <c r="BG141" s="140">
        <f t="shared" ref="BG141:BG146" si="6">IF(N141="zákl. přenesená",J141,0)</f>
        <v>0</v>
      </c>
      <c r="BH141" s="140">
        <f t="shared" ref="BH141:BH146" si="7">IF(N141="sníž. přenesená",J141,0)</f>
        <v>0</v>
      </c>
      <c r="BI141" s="140">
        <f t="shared" ref="BI141:BI146" si="8">IF(N141="nulová",J141,0)</f>
        <v>0</v>
      </c>
      <c r="BJ141" s="2" t="s">
        <v>87</v>
      </c>
      <c r="BK141" s="140">
        <f t="shared" ref="BK141:BK146" si="9">ROUND(I141*H141,2)</f>
        <v>0</v>
      </c>
      <c r="BL141" s="2" t="s">
        <v>344</v>
      </c>
      <c r="BM141" s="139" t="s">
        <v>90</v>
      </c>
    </row>
    <row r="142" spans="2:65" s="16" customFormat="1" ht="16.5" customHeight="1" x14ac:dyDescent="0.2">
      <c r="B142" s="17"/>
      <c r="C142" s="128">
        <v>2</v>
      </c>
      <c r="D142" s="128" t="s">
        <v>339</v>
      </c>
      <c r="E142" s="129" t="s">
        <v>6844</v>
      </c>
      <c r="F142" s="130" t="s">
        <v>6995</v>
      </c>
      <c r="G142" s="131" t="s">
        <v>4460</v>
      </c>
      <c r="H142" s="132">
        <v>260</v>
      </c>
      <c r="I142" s="133"/>
      <c r="J142" s="134">
        <f t="shared" si="0"/>
        <v>0</v>
      </c>
      <c r="K142" s="130"/>
      <c r="L142" s="17"/>
      <c r="M142" s="135"/>
      <c r="N142" s="136" t="s">
        <v>45</v>
      </c>
      <c r="P142" s="137">
        <f t="shared" si="1"/>
        <v>0</v>
      </c>
      <c r="Q142" s="137">
        <v>0</v>
      </c>
      <c r="R142" s="137">
        <f t="shared" si="2"/>
        <v>0</v>
      </c>
      <c r="S142" s="137">
        <v>0</v>
      </c>
      <c r="T142" s="138">
        <f t="shared" si="3"/>
        <v>0</v>
      </c>
      <c r="AR142" s="139" t="s">
        <v>344</v>
      </c>
      <c r="AT142" s="139" t="s">
        <v>339</v>
      </c>
      <c r="AU142" s="139" t="s">
        <v>87</v>
      </c>
      <c r="AY142" s="2" t="s">
        <v>337</v>
      </c>
      <c r="BE142" s="140">
        <f t="shared" si="4"/>
        <v>0</v>
      </c>
      <c r="BF142" s="140">
        <f t="shared" si="5"/>
        <v>0</v>
      </c>
      <c r="BG142" s="140">
        <f t="shared" si="6"/>
        <v>0</v>
      </c>
      <c r="BH142" s="140">
        <f t="shared" si="7"/>
        <v>0</v>
      </c>
      <c r="BI142" s="140">
        <f t="shared" si="8"/>
        <v>0</v>
      </c>
      <c r="BJ142" s="2" t="s">
        <v>87</v>
      </c>
      <c r="BK142" s="140">
        <f t="shared" si="9"/>
        <v>0</v>
      </c>
      <c r="BL142" s="2" t="s">
        <v>344</v>
      </c>
      <c r="BM142" s="139" t="s">
        <v>344</v>
      </c>
    </row>
    <row r="143" spans="2:65" s="16" customFormat="1" ht="16.5" customHeight="1" x14ac:dyDescent="0.2">
      <c r="B143" s="17"/>
      <c r="C143" s="128">
        <v>3</v>
      </c>
      <c r="D143" s="128" t="s">
        <v>339</v>
      </c>
      <c r="E143" s="129" t="s">
        <v>6846</v>
      </c>
      <c r="F143" s="130" t="s">
        <v>6997</v>
      </c>
      <c r="G143" s="131" t="s">
        <v>342</v>
      </c>
      <c r="H143" s="132">
        <v>1.8</v>
      </c>
      <c r="I143" s="133"/>
      <c r="J143" s="134">
        <f t="shared" si="0"/>
        <v>0</v>
      </c>
      <c r="K143" s="130"/>
      <c r="L143" s="17"/>
      <c r="M143" s="135"/>
      <c r="N143" s="136" t="s">
        <v>45</v>
      </c>
      <c r="P143" s="137">
        <f t="shared" si="1"/>
        <v>0</v>
      </c>
      <c r="Q143" s="137">
        <v>0</v>
      </c>
      <c r="R143" s="137">
        <f t="shared" si="2"/>
        <v>0</v>
      </c>
      <c r="S143" s="137">
        <v>0</v>
      </c>
      <c r="T143" s="138">
        <f t="shared" si="3"/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 t="shared" si="4"/>
        <v>0</v>
      </c>
      <c r="BF143" s="140">
        <f t="shared" si="5"/>
        <v>0</v>
      </c>
      <c r="BG143" s="140">
        <f t="shared" si="6"/>
        <v>0</v>
      </c>
      <c r="BH143" s="140">
        <f t="shared" si="7"/>
        <v>0</v>
      </c>
      <c r="BI143" s="140">
        <f t="shared" si="8"/>
        <v>0</v>
      </c>
      <c r="BJ143" s="2" t="s">
        <v>87</v>
      </c>
      <c r="BK143" s="140">
        <f t="shared" si="9"/>
        <v>0</v>
      </c>
      <c r="BL143" s="2" t="s">
        <v>344</v>
      </c>
      <c r="BM143" s="139" t="s">
        <v>430</v>
      </c>
    </row>
    <row r="144" spans="2:65" s="16" customFormat="1" ht="16.5" customHeight="1" x14ac:dyDescent="0.2">
      <c r="B144" s="17"/>
      <c r="C144" s="128">
        <v>4</v>
      </c>
      <c r="D144" s="128" t="s">
        <v>339</v>
      </c>
      <c r="E144" s="129" t="s">
        <v>6848</v>
      </c>
      <c r="F144" s="130" t="s">
        <v>7002</v>
      </c>
      <c r="G144" s="131" t="s">
        <v>4460</v>
      </c>
      <c r="H144" s="132">
        <v>1.8</v>
      </c>
      <c r="I144" s="133"/>
      <c r="J144" s="134">
        <f t="shared" si="0"/>
        <v>0</v>
      </c>
      <c r="K144" s="130"/>
      <c r="L144" s="17"/>
      <c r="M144" s="135"/>
      <c r="N144" s="136" t="s">
        <v>45</v>
      </c>
      <c r="P144" s="137">
        <f t="shared" si="1"/>
        <v>0</v>
      </c>
      <c r="Q144" s="137">
        <v>0</v>
      </c>
      <c r="R144" s="137">
        <f t="shared" si="2"/>
        <v>0</v>
      </c>
      <c r="S144" s="137">
        <v>0</v>
      </c>
      <c r="T144" s="138">
        <f t="shared" si="3"/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 t="shared" si="4"/>
        <v>0</v>
      </c>
      <c r="BF144" s="140">
        <f t="shared" si="5"/>
        <v>0</v>
      </c>
      <c r="BG144" s="140">
        <f t="shared" si="6"/>
        <v>0</v>
      </c>
      <c r="BH144" s="140">
        <f t="shared" si="7"/>
        <v>0</v>
      </c>
      <c r="BI144" s="140">
        <f t="shared" si="8"/>
        <v>0</v>
      </c>
      <c r="BJ144" s="2" t="s">
        <v>87</v>
      </c>
      <c r="BK144" s="140">
        <f t="shared" si="9"/>
        <v>0</v>
      </c>
      <c r="BL144" s="2" t="s">
        <v>344</v>
      </c>
      <c r="BM144" s="139" t="s">
        <v>446</v>
      </c>
    </row>
    <row r="145" spans="2:65" s="16" customFormat="1" ht="16.5" customHeight="1" x14ac:dyDescent="0.2">
      <c r="B145" s="17"/>
      <c r="C145" s="128">
        <v>5</v>
      </c>
      <c r="D145" s="128" t="s">
        <v>339</v>
      </c>
      <c r="E145" s="129" t="s">
        <v>6850</v>
      </c>
      <c r="F145" s="130" t="s">
        <v>7004</v>
      </c>
      <c r="G145" s="131" t="s">
        <v>4460</v>
      </c>
      <c r="H145" s="132">
        <v>200</v>
      </c>
      <c r="I145" s="133"/>
      <c r="J145" s="134">
        <f t="shared" si="0"/>
        <v>0</v>
      </c>
      <c r="K145" s="130"/>
      <c r="L145" s="17"/>
      <c r="M145" s="135"/>
      <c r="N145" s="136" t="s">
        <v>45</v>
      </c>
      <c r="P145" s="137">
        <f t="shared" si="1"/>
        <v>0</v>
      </c>
      <c r="Q145" s="137">
        <v>0</v>
      </c>
      <c r="R145" s="137">
        <f t="shared" si="2"/>
        <v>0</v>
      </c>
      <c r="S145" s="137">
        <v>0</v>
      </c>
      <c r="T145" s="138">
        <f t="shared" si="3"/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 t="shared" si="4"/>
        <v>0</v>
      </c>
      <c r="BF145" s="140">
        <f t="shared" si="5"/>
        <v>0</v>
      </c>
      <c r="BG145" s="140">
        <f t="shared" si="6"/>
        <v>0</v>
      </c>
      <c r="BH145" s="140">
        <f t="shared" si="7"/>
        <v>0</v>
      </c>
      <c r="BI145" s="140">
        <f t="shared" si="8"/>
        <v>0</v>
      </c>
      <c r="BJ145" s="2" t="s">
        <v>87</v>
      </c>
      <c r="BK145" s="140">
        <f t="shared" si="9"/>
        <v>0</v>
      </c>
      <c r="BL145" s="2" t="s">
        <v>344</v>
      </c>
      <c r="BM145" s="139" t="s">
        <v>457</v>
      </c>
    </row>
    <row r="146" spans="2:65" s="16" customFormat="1" ht="16.5" customHeight="1" x14ac:dyDescent="0.2">
      <c r="B146" s="17"/>
      <c r="C146" s="128">
        <v>6</v>
      </c>
      <c r="D146" s="128" t="s">
        <v>339</v>
      </c>
      <c r="E146" s="129" t="s">
        <v>6852</v>
      </c>
      <c r="F146" s="130" t="s">
        <v>7006</v>
      </c>
      <c r="G146" s="131" t="s">
        <v>4460</v>
      </c>
      <c r="H146" s="132">
        <v>60</v>
      </c>
      <c r="I146" s="133"/>
      <c r="J146" s="134">
        <f t="shared" si="0"/>
        <v>0</v>
      </c>
      <c r="K146" s="130"/>
      <c r="L146" s="17"/>
      <c r="M146" s="135"/>
      <c r="N146" s="136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344</v>
      </c>
      <c r="AT146" s="139" t="s">
        <v>339</v>
      </c>
      <c r="AU146" s="139" t="s">
        <v>87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344</v>
      </c>
      <c r="BM146" s="139" t="s">
        <v>7</v>
      </c>
    </row>
    <row r="147" spans="2:65" s="116" customFormat="1" ht="25.9" customHeight="1" x14ac:dyDescent="0.2">
      <c r="B147" s="117"/>
      <c r="D147" s="118" t="s">
        <v>79</v>
      </c>
      <c r="E147" s="119" t="s">
        <v>90</v>
      </c>
      <c r="F147" s="119" t="s">
        <v>6841</v>
      </c>
      <c r="J147" s="120">
        <f>BK147</f>
        <v>0</v>
      </c>
      <c r="L147" s="117"/>
      <c r="M147" s="121"/>
      <c r="P147" s="122">
        <f>SUM(P148:P169)</f>
        <v>0</v>
      </c>
      <c r="R147" s="122">
        <f>SUM(R148:R169)</f>
        <v>0</v>
      </c>
      <c r="T147" s="123">
        <f>SUM(T148:T169)</f>
        <v>0</v>
      </c>
      <c r="AR147" s="118" t="s">
        <v>87</v>
      </c>
      <c r="AT147" s="124" t="s">
        <v>79</v>
      </c>
      <c r="AU147" s="124" t="s">
        <v>80</v>
      </c>
      <c r="AY147" s="118" t="s">
        <v>337</v>
      </c>
      <c r="BK147" s="125">
        <f>SUM(BK148:BK169)</f>
        <v>0</v>
      </c>
    </row>
    <row r="148" spans="2:65" s="16" customFormat="1" ht="16.5" customHeight="1" x14ac:dyDescent="0.2">
      <c r="B148" s="17"/>
      <c r="C148" s="128">
        <v>7</v>
      </c>
      <c r="D148" s="128" t="s">
        <v>339</v>
      </c>
      <c r="E148" s="129" t="s">
        <v>6969</v>
      </c>
      <c r="F148" s="130" t="s">
        <v>7408</v>
      </c>
      <c r="G148" s="131" t="s">
        <v>724</v>
      </c>
      <c r="H148" s="132">
        <v>350</v>
      </c>
      <c r="I148" s="133"/>
      <c r="J148" s="134">
        <f t="shared" ref="J148:J169" si="10">ROUND(I148*H148,2)</f>
        <v>0</v>
      </c>
      <c r="K148" s="130"/>
      <c r="L148" s="17"/>
      <c r="M148" s="135"/>
      <c r="N148" s="136" t="s">
        <v>45</v>
      </c>
      <c r="P148" s="137">
        <f t="shared" ref="P148:P169" si="11">O148*H148</f>
        <v>0</v>
      </c>
      <c r="Q148" s="137">
        <v>0</v>
      </c>
      <c r="R148" s="137">
        <f t="shared" ref="R148:R169" si="12">Q148*H148</f>
        <v>0</v>
      </c>
      <c r="S148" s="137">
        <v>0</v>
      </c>
      <c r="T148" s="138">
        <f t="shared" ref="T148:T169" si="13">S148*H148</f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 t="shared" ref="BE148:BE169" si="14">IF(N148="základní",J148,0)</f>
        <v>0</v>
      </c>
      <c r="BF148" s="140">
        <f t="shared" ref="BF148:BF169" si="15">IF(N148="snížená",J148,0)</f>
        <v>0</v>
      </c>
      <c r="BG148" s="140">
        <f t="shared" ref="BG148:BG169" si="16">IF(N148="zákl. přenesená",J148,0)</f>
        <v>0</v>
      </c>
      <c r="BH148" s="140">
        <f t="shared" ref="BH148:BH169" si="17">IF(N148="sníž. přenesená",J148,0)</f>
        <v>0</v>
      </c>
      <c r="BI148" s="140">
        <f t="shared" ref="BI148:BI169" si="18">IF(N148="nulová",J148,0)</f>
        <v>0</v>
      </c>
      <c r="BJ148" s="2" t="s">
        <v>87</v>
      </c>
      <c r="BK148" s="140">
        <f t="shared" ref="BK148:BK169" si="19">ROUND(I148*H148,2)</f>
        <v>0</v>
      </c>
      <c r="BL148" s="2" t="s">
        <v>344</v>
      </c>
      <c r="BM148" s="139" t="s">
        <v>480</v>
      </c>
    </row>
    <row r="149" spans="2:65" s="16" customFormat="1" ht="16.5" customHeight="1" x14ac:dyDescent="0.2">
      <c r="B149" s="17"/>
      <c r="C149" s="128">
        <v>8</v>
      </c>
      <c r="D149" s="128" t="s">
        <v>339</v>
      </c>
      <c r="E149" s="129" t="s">
        <v>6971</v>
      </c>
      <c r="F149" s="130" t="s">
        <v>7409</v>
      </c>
      <c r="G149" s="131" t="s">
        <v>724</v>
      </c>
      <c r="H149" s="132">
        <v>300</v>
      </c>
      <c r="I149" s="133"/>
      <c r="J149" s="134">
        <f t="shared" si="10"/>
        <v>0</v>
      </c>
      <c r="K149" s="130"/>
      <c r="L149" s="17"/>
      <c r="M149" s="135"/>
      <c r="N149" s="136" t="s">
        <v>45</v>
      </c>
      <c r="P149" s="137">
        <f t="shared" si="11"/>
        <v>0</v>
      </c>
      <c r="Q149" s="137">
        <v>0</v>
      </c>
      <c r="R149" s="137">
        <f t="shared" si="12"/>
        <v>0</v>
      </c>
      <c r="S149" s="137">
        <v>0</v>
      </c>
      <c r="T149" s="138">
        <f t="shared" si="13"/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 t="shared" si="14"/>
        <v>0</v>
      </c>
      <c r="BF149" s="140">
        <f t="shared" si="15"/>
        <v>0</v>
      </c>
      <c r="BG149" s="140">
        <f t="shared" si="16"/>
        <v>0</v>
      </c>
      <c r="BH149" s="140">
        <f t="shared" si="17"/>
        <v>0</v>
      </c>
      <c r="BI149" s="140">
        <f t="shared" si="18"/>
        <v>0</v>
      </c>
      <c r="BJ149" s="2" t="s">
        <v>87</v>
      </c>
      <c r="BK149" s="140">
        <f t="shared" si="19"/>
        <v>0</v>
      </c>
      <c r="BL149" s="2" t="s">
        <v>344</v>
      </c>
      <c r="BM149" s="139" t="s">
        <v>496</v>
      </c>
    </row>
    <row r="150" spans="2:65" s="16" customFormat="1" ht="16.5" customHeight="1" x14ac:dyDescent="0.2">
      <c r="B150" s="17"/>
      <c r="C150" s="128">
        <v>9</v>
      </c>
      <c r="D150" s="128" t="s">
        <v>339</v>
      </c>
      <c r="E150" s="129" t="s">
        <v>6973</v>
      </c>
      <c r="F150" s="130" t="s">
        <v>7410</v>
      </c>
      <c r="G150" s="131" t="s">
        <v>724</v>
      </c>
      <c r="H150" s="132">
        <v>250</v>
      </c>
      <c r="I150" s="133"/>
      <c r="J150" s="134">
        <f t="shared" si="10"/>
        <v>0</v>
      </c>
      <c r="K150" s="130"/>
      <c r="L150" s="17"/>
      <c r="M150" s="135"/>
      <c r="N150" s="136" t="s">
        <v>45</v>
      </c>
      <c r="P150" s="137">
        <f t="shared" si="11"/>
        <v>0</v>
      </c>
      <c r="Q150" s="137">
        <v>0</v>
      </c>
      <c r="R150" s="137">
        <f t="shared" si="12"/>
        <v>0</v>
      </c>
      <c r="S150" s="137">
        <v>0</v>
      </c>
      <c r="T150" s="138">
        <f t="shared" si="13"/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 t="shared" si="14"/>
        <v>0</v>
      </c>
      <c r="BF150" s="140">
        <f t="shared" si="15"/>
        <v>0</v>
      </c>
      <c r="BG150" s="140">
        <f t="shared" si="16"/>
        <v>0</v>
      </c>
      <c r="BH150" s="140">
        <f t="shared" si="17"/>
        <v>0</v>
      </c>
      <c r="BI150" s="140">
        <f t="shared" si="18"/>
        <v>0</v>
      </c>
      <c r="BJ150" s="2" t="s">
        <v>87</v>
      </c>
      <c r="BK150" s="140">
        <f t="shared" si="19"/>
        <v>0</v>
      </c>
      <c r="BL150" s="2" t="s">
        <v>344</v>
      </c>
      <c r="BM150" s="139" t="s">
        <v>2547</v>
      </c>
    </row>
    <row r="151" spans="2:65" s="16" customFormat="1" ht="16.5" customHeight="1" x14ac:dyDescent="0.2">
      <c r="B151" s="17"/>
      <c r="C151" s="128">
        <v>10</v>
      </c>
      <c r="D151" s="128" t="s">
        <v>339</v>
      </c>
      <c r="E151" s="129" t="s">
        <v>6975</v>
      </c>
      <c r="F151" s="130" t="s">
        <v>7411</v>
      </c>
      <c r="G151" s="131" t="s">
        <v>724</v>
      </c>
      <c r="H151" s="132">
        <v>150</v>
      </c>
      <c r="I151" s="133"/>
      <c r="J151" s="134">
        <f t="shared" si="10"/>
        <v>0</v>
      </c>
      <c r="K151" s="130"/>
      <c r="L151" s="17"/>
      <c r="M151" s="135"/>
      <c r="N151" s="136" t="s">
        <v>45</v>
      </c>
      <c r="P151" s="137">
        <f t="shared" si="11"/>
        <v>0</v>
      </c>
      <c r="Q151" s="137">
        <v>0</v>
      </c>
      <c r="R151" s="137">
        <f t="shared" si="12"/>
        <v>0</v>
      </c>
      <c r="S151" s="137">
        <v>0</v>
      </c>
      <c r="T151" s="138">
        <f t="shared" si="13"/>
        <v>0</v>
      </c>
      <c r="AR151" s="139" t="s">
        <v>344</v>
      </c>
      <c r="AT151" s="139" t="s">
        <v>339</v>
      </c>
      <c r="AU151" s="139" t="s">
        <v>87</v>
      </c>
      <c r="AY151" s="2" t="s">
        <v>337</v>
      </c>
      <c r="BE151" s="140">
        <f t="shared" si="14"/>
        <v>0</v>
      </c>
      <c r="BF151" s="140">
        <f t="shared" si="15"/>
        <v>0</v>
      </c>
      <c r="BG151" s="140">
        <f t="shared" si="16"/>
        <v>0</v>
      </c>
      <c r="BH151" s="140">
        <f t="shared" si="17"/>
        <v>0</v>
      </c>
      <c r="BI151" s="140">
        <f t="shared" si="18"/>
        <v>0</v>
      </c>
      <c r="BJ151" s="2" t="s">
        <v>87</v>
      </c>
      <c r="BK151" s="140">
        <f t="shared" si="19"/>
        <v>0</v>
      </c>
      <c r="BL151" s="2" t="s">
        <v>344</v>
      </c>
      <c r="BM151" s="139" t="s">
        <v>532</v>
      </c>
    </row>
    <row r="152" spans="2:65" s="16" customFormat="1" ht="16.5" customHeight="1" x14ac:dyDescent="0.2">
      <c r="B152" s="17"/>
      <c r="C152" s="128">
        <v>11</v>
      </c>
      <c r="D152" s="128" t="s">
        <v>339</v>
      </c>
      <c r="E152" s="129" t="s">
        <v>6977</v>
      </c>
      <c r="F152" s="130" t="s">
        <v>7412</v>
      </c>
      <c r="G152" s="131" t="s">
        <v>724</v>
      </c>
      <c r="H152" s="132">
        <v>250</v>
      </c>
      <c r="I152" s="133"/>
      <c r="J152" s="134">
        <f t="shared" si="10"/>
        <v>0</v>
      </c>
      <c r="K152" s="130"/>
      <c r="L152" s="17"/>
      <c r="M152" s="135"/>
      <c r="N152" s="136" t="s">
        <v>45</v>
      </c>
      <c r="P152" s="137">
        <f t="shared" si="11"/>
        <v>0</v>
      </c>
      <c r="Q152" s="137">
        <v>0</v>
      </c>
      <c r="R152" s="137">
        <f t="shared" si="12"/>
        <v>0</v>
      </c>
      <c r="S152" s="137">
        <v>0</v>
      </c>
      <c r="T152" s="138">
        <f t="shared" si="13"/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 t="shared" si="14"/>
        <v>0</v>
      </c>
      <c r="BF152" s="140">
        <f t="shared" si="15"/>
        <v>0</v>
      </c>
      <c r="BG152" s="140">
        <f t="shared" si="16"/>
        <v>0</v>
      </c>
      <c r="BH152" s="140">
        <f t="shared" si="17"/>
        <v>0</v>
      </c>
      <c r="BI152" s="140">
        <f t="shared" si="18"/>
        <v>0</v>
      </c>
      <c r="BJ152" s="2" t="s">
        <v>87</v>
      </c>
      <c r="BK152" s="140">
        <f t="shared" si="19"/>
        <v>0</v>
      </c>
      <c r="BL152" s="2" t="s">
        <v>344</v>
      </c>
      <c r="BM152" s="139" t="s">
        <v>543</v>
      </c>
    </row>
    <row r="153" spans="2:65" s="16" customFormat="1" ht="16.5" customHeight="1" x14ac:dyDescent="0.2">
      <c r="B153" s="17"/>
      <c r="C153" s="128">
        <v>12</v>
      </c>
      <c r="D153" s="128" t="s">
        <v>339</v>
      </c>
      <c r="E153" s="129" t="s">
        <v>6979</v>
      </c>
      <c r="F153" s="130" t="s">
        <v>7413</v>
      </c>
      <c r="G153" s="131" t="s">
        <v>4460</v>
      </c>
      <c r="H153" s="132">
        <v>3</v>
      </c>
      <c r="I153" s="133"/>
      <c r="J153" s="134">
        <f t="shared" si="10"/>
        <v>0</v>
      </c>
      <c r="K153" s="130"/>
      <c r="L153" s="17"/>
      <c r="M153" s="135"/>
      <c r="N153" s="136" t="s">
        <v>45</v>
      </c>
      <c r="P153" s="137">
        <f t="shared" si="11"/>
        <v>0</v>
      </c>
      <c r="Q153" s="137">
        <v>0</v>
      </c>
      <c r="R153" s="137">
        <f t="shared" si="12"/>
        <v>0</v>
      </c>
      <c r="S153" s="137">
        <v>0</v>
      </c>
      <c r="T153" s="138">
        <f t="shared" si="13"/>
        <v>0</v>
      </c>
      <c r="AR153" s="139" t="s">
        <v>344</v>
      </c>
      <c r="AT153" s="139" t="s">
        <v>339</v>
      </c>
      <c r="AU153" s="139" t="s">
        <v>87</v>
      </c>
      <c r="AY153" s="2" t="s">
        <v>337</v>
      </c>
      <c r="BE153" s="140">
        <f t="shared" si="14"/>
        <v>0</v>
      </c>
      <c r="BF153" s="140">
        <f t="shared" si="15"/>
        <v>0</v>
      </c>
      <c r="BG153" s="140">
        <f t="shared" si="16"/>
        <v>0</v>
      </c>
      <c r="BH153" s="140">
        <f t="shared" si="17"/>
        <v>0</v>
      </c>
      <c r="BI153" s="140">
        <f t="shared" si="18"/>
        <v>0</v>
      </c>
      <c r="BJ153" s="2" t="s">
        <v>87</v>
      </c>
      <c r="BK153" s="140">
        <f t="shared" si="19"/>
        <v>0</v>
      </c>
      <c r="BL153" s="2" t="s">
        <v>344</v>
      </c>
      <c r="BM153" s="139" t="s">
        <v>569</v>
      </c>
    </row>
    <row r="154" spans="2:65" s="16" customFormat="1" ht="16.5" customHeight="1" x14ac:dyDescent="0.2">
      <c r="B154" s="17"/>
      <c r="C154" s="128">
        <v>13</v>
      </c>
      <c r="D154" s="128" t="s">
        <v>339</v>
      </c>
      <c r="E154" s="129" t="s">
        <v>6981</v>
      </c>
      <c r="F154" s="130" t="s">
        <v>6859</v>
      </c>
      <c r="G154" s="131" t="s">
        <v>4460</v>
      </c>
      <c r="H154" s="132">
        <v>150</v>
      </c>
      <c r="I154" s="133"/>
      <c r="J154" s="134">
        <f t="shared" si="10"/>
        <v>0</v>
      </c>
      <c r="K154" s="130"/>
      <c r="L154" s="17"/>
      <c r="M154" s="135"/>
      <c r="N154" s="136" t="s">
        <v>45</v>
      </c>
      <c r="P154" s="137">
        <f t="shared" si="11"/>
        <v>0</v>
      </c>
      <c r="Q154" s="137">
        <v>0</v>
      </c>
      <c r="R154" s="137">
        <f t="shared" si="12"/>
        <v>0</v>
      </c>
      <c r="S154" s="137">
        <v>0</v>
      </c>
      <c r="T154" s="138">
        <f t="shared" si="13"/>
        <v>0</v>
      </c>
      <c r="AR154" s="139" t="s">
        <v>344</v>
      </c>
      <c r="AT154" s="139" t="s">
        <v>339</v>
      </c>
      <c r="AU154" s="139" t="s">
        <v>87</v>
      </c>
      <c r="AY154" s="2" t="s">
        <v>337</v>
      </c>
      <c r="BE154" s="140">
        <f t="shared" si="14"/>
        <v>0</v>
      </c>
      <c r="BF154" s="140">
        <f t="shared" si="15"/>
        <v>0</v>
      </c>
      <c r="BG154" s="140">
        <f t="shared" si="16"/>
        <v>0</v>
      </c>
      <c r="BH154" s="140">
        <f t="shared" si="17"/>
        <v>0</v>
      </c>
      <c r="BI154" s="140">
        <f t="shared" si="18"/>
        <v>0</v>
      </c>
      <c r="BJ154" s="2" t="s">
        <v>87</v>
      </c>
      <c r="BK154" s="140">
        <f t="shared" si="19"/>
        <v>0</v>
      </c>
      <c r="BL154" s="2" t="s">
        <v>344</v>
      </c>
      <c r="BM154" s="139" t="s">
        <v>577</v>
      </c>
    </row>
    <row r="155" spans="2:65" s="16" customFormat="1" ht="16.5" customHeight="1" x14ac:dyDescent="0.2">
      <c r="B155" s="17"/>
      <c r="C155" s="128">
        <v>14</v>
      </c>
      <c r="D155" s="128" t="s">
        <v>339</v>
      </c>
      <c r="E155" s="129" t="s">
        <v>6983</v>
      </c>
      <c r="F155" s="130" t="s">
        <v>6863</v>
      </c>
      <c r="G155" s="131" t="s">
        <v>4460</v>
      </c>
      <c r="H155" s="132">
        <v>110</v>
      </c>
      <c r="I155" s="133"/>
      <c r="J155" s="134">
        <f t="shared" si="10"/>
        <v>0</v>
      </c>
      <c r="K155" s="130"/>
      <c r="L155" s="17"/>
      <c r="M155" s="135"/>
      <c r="N155" s="136" t="s">
        <v>45</v>
      </c>
      <c r="P155" s="137">
        <f t="shared" si="11"/>
        <v>0</v>
      </c>
      <c r="Q155" s="137">
        <v>0</v>
      </c>
      <c r="R155" s="137">
        <f t="shared" si="12"/>
        <v>0</v>
      </c>
      <c r="S155" s="137">
        <v>0</v>
      </c>
      <c r="T155" s="138">
        <f t="shared" si="13"/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 t="shared" si="14"/>
        <v>0</v>
      </c>
      <c r="BF155" s="140">
        <f t="shared" si="15"/>
        <v>0</v>
      </c>
      <c r="BG155" s="140">
        <f t="shared" si="16"/>
        <v>0</v>
      </c>
      <c r="BH155" s="140">
        <f t="shared" si="17"/>
        <v>0</v>
      </c>
      <c r="BI155" s="140">
        <f t="shared" si="18"/>
        <v>0</v>
      </c>
      <c r="BJ155" s="2" t="s">
        <v>87</v>
      </c>
      <c r="BK155" s="140">
        <f t="shared" si="19"/>
        <v>0</v>
      </c>
      <c r="BL155" s="2" t="s">
        <v>344</v>
      </c>
      <c r="BM155" s="139" t="s">
        <v>591</v>
      </c>
    </row>
    <row r="156" spans="2:65" s="16" customFormat="1" ht="16.5" customHeight="1" x14ac:dyDescent="0.2">
      <c r="B156" s="17"/>
      <c r="C156" s="128">
        <v>15</v>
      </c>
      <c r="D156" s="128" t="s">
        <v>339</v>
      </c>
      <c r="E156" s="129" t="s">
        <v>6985</v>
      </c>
      <c r="F156" s="130" t="s">
        <v>7414</v>
      </c>
      <c r="G156" s="131" t="s">
        <v>724</v>
      </c>
      <c r="H156" s="132">
        <v>305</v>
      </c>
      <c r="I156" s="133"/>
      <c r="J156" s="134">
        <f t="shared" si="10"/>
        <v>0</v>
      </c>
      <c r="K156" s="130"/>
      <c r="L156" s="17"/>
      <c r="M156" s="135"/>
      <c r="N156" s="136" t="s">
        <v>45</v>
      </c>
      <c r="P156" s="137">
        <f t="shared" si="11"/>
        <v>0</v>
      </c>
      <c r="Q156" s="137">
        <v>0</v>
      </c>
      <c r="R156" s="137">
        <f t="shared" si="12"/>
        <v>0</v>
      </c>
      <c r="S156" s="137">
        <v>0</v>
      </c>
      <c r="T156" s="138">
        <f t="shared" si="13"/>
        <v>0</v>
      </c>
      <c r="AR156" s="139" t="s">
        <v>344</v>
      </c>
      <c r="AT156" s="139" t="s">
        <v>339</v>
      </c>
      <c r="AU156" s="139" t="s">
        <v>87</v>
      </c>
      <c r="AY156" s="2" t="s">
        <v>337</v>
      </c>
      <c r="BE156" s="140">
        <f t="shared" si="14"/>
        <v>0</v>
      </c>
      <c r="BF156" s="140">
        <f t="shared" si="15"/>
        <v>0</v>
      </c>
      <c r="BG156" s="140">
        <f t="shared" si="16"/>
        <v>0</v>
      </c>
      <c r="BH156" s="140">
        <f t="shared" si="17"/>
        <v>0</v>
      </c>
      <c r="BI156" s="140">
        <f t="shared" si="18"/>
        <v>0</v>
      </c>
      <c r="BJ156" s="2" t="s">
        <v>87</v>
      </c>
      <c r="BK156" s="140">
        <f t="shared" si="19"/>
        <v>0</v>
      </c>
      <c r="BL156" s="2" t="s">
        <v>344</v>
      </c>
      <c r="BM156" s="139" t="s">
        <v>614</v>
      </c>
    </row>
    <row r="157" spans="2:65" s="16" customFormat="1" ht="16.5" customHeight="1" x14ac:dyDescent="0.2">
      <c r="B157" s="17"/>
      <c r="C157" s="128">
        <v>16</v>
      </c>
      <c r="D157" s="128" t="s">
        <v>339</v>
      </c>
      <c r="E157" s="129" t="s">
        <v>6987</v>
      </c>
      <c r="F157" s="130" t="s">
        <v>7415</v>
      </c>
      <c r="G157" s="131" t="s">
        <v>7026</v>
      </c>
      <c r="H157" s="132">
        <v>48</v>
      </c>
      <c r="I157" s="133"/>
      <c r="J157" s="134">
        <f t="shared" si="10"/>
        <v>0</v>
      </c>
      <c r="K157" s="130"/>
      <c r="L157" s="17"/>
      <c r="M157" s="135"/>
      <c r="N157" s="136" t="s">
        <v>45</v>
      </c>
      <c r="P157" s="137">
        <f t="shared" si="11"/>
        <v>0</v>
      </c>
      <c r="Q157" s="137">
        <v>0</v>
      </c>
      <c r="R157" s="137">
        <f t="shared" si="12"/>
        <v>0</v>
      </c>
      <c r="S157" s="137">
        <v>0</v>
      </c>
      <c r="T157" s="138">
        <f t="shared" si="13"/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 t="shared" si="14"/>
        <v>0</v>
      </c>
      <c r="BF157" s="140">
        <f t="shared" si="15"/>
        <v>0</v>
      </c>
      <c r="BG157" s="140">
        <f t="shared" si="16"/>
        <v>0</v>
      </c>
      <c r="BH157" s="140">
        <f t="shared" si="17"/>
        <v>0</v>
      </c>
      <c r="BI157" s="140">
        <f t="shared" si="18"/>
        <v>0</v>
      </c>
      <c r="BJ157" s="2" t="s">
        <v>87</v>
      </c>
      <c r="BK157" s="140">
        <f t="shared" si="19"/>
        <v>0</v>
      </c>
      <c r="BL157" s="2" t="s">
        <v>344</v>
      </c>
      <c r="BM157" s="139" t="s">
        <v>621</v>
      </c>
    </row>
    <row r="158" spans="2:65" s="16" customFormat="1" ht="16.5" customHeight="1" x14ac:dyDescent="0.2">
      <c r="B158" s="17"/>
      <c r="C158" s="128">
        <v>17</v>
      </c>
      <c r="D158" s="128" t="s">
        <v>339</v>
      </c>
      <c r="E158" s="129" t="s">
        <v>7416</v>
      </c>
      <c r="F158" s="130" t="s">
        <v>7417</v>
      </c>
      <c r="G158" s="131" t="s">
        <v>4460</v>
      </c>
      <c r="H158" s="132">
        <v>49</v>
      </c>
      <c r="I158" s="133"/>
      <c r="J158" s="134">
        <f t="shared" si="10"/>
        <v>0</v>
      </c>
      <c r="K158" s="130"/>
      <c r="L158" s="17"/>
      <c r="M158" s="135"/>
      <c r="N158" s="136" t="s">
        <v>45</v>
      </c>
      <c r="P158" s="137">
        <f t="shared" si="11"/>
        <v>0</v>
      </c>
      <c r="Q158" s="137">
        <v>0</v>
      </c>
      <c r="R158" s="137">
        <f t="shared" si="12"/>
        <v>0</v>
      </c>
      <c r="S158" s="137">
        <v>0</v>
      </c>
      <c r="T158" s="138">
        <f t="shared" si="13"/>
        <v>0</v>
      </c>
      <c r="AR158" s="139" t="s">
        <v>344</v>
      </c>
      <c r="AT158" s="139" t="s">
        <v>339</v>
      </c>
      <c r="AU158" s="139" t="s">
        <v>87</v>
      </c>
      <c r="AY158" s="2" t="s">
        <v>337</v>
      </c>
      <c r="BE158" s="140">
        <f t="shared" si="14"/>
        <v>0</v>
      </c>
      <c r="BF158" s="140">
        <f t="shared" si="15"/>
        <v>0</v>
      </c>
      <c r="BG158" s="140">
        <f t="shared" si="16"/>
        <v>0</v>
      </c>
      <c r="BH158" s="140">
        <f t="shared" si="17"/>
        <v>0</v>
      </c>
      <c r="BI158" s="140">
        <f t="shared" si="18"/>
        <v>0</v>
      </c>
      <c r="BJ158" s="2" t="s">
        <v>87</v>
      </c>
      <c r="BK158" s="140">
        <f t="shared" si="19"/>
        <v>0</v>
      </c>
      <c r="BL158" s="2" t="s">
        <v>344</v>
      </c>
      <c r="BM158" s="139" t="s">
        <v>7418</v>
      </c>
    </row>
    <row r="159" spans="2:65" s="16" customFormat="1" ht="16.5" customHeight="1" x14ac:dyDescent="0.2">
      <c r="B159" s="17"/>
      <c r="C159" s="128">
        <v>18</v>
      </c>
      <c r="D159" s="128" t="s">
        <v>339</v>
      </c>
      <c r="E159" s="129" t="s">
        <v>7419</v>
      </c>
      <c r="F159" s="130" t="s">
        <v>7420</v>
      </c>
      <c r="G159" s="131" t="s">
        <v>4460</v>
      </c>
      <c r="H159" s="132">
        <v>48</v>
      </c>
      <c r="I159" s="133"/>
      <c r="J159" s="134">
        <f t="shared" si="10"/>
        <v>0</v>
      </c>
      <c r="K159" s="130"/>
      <c r="L159" s="17"/>
      <c r="M159" s="135"/>
      <c r="N159" s="136" t="s">
        <v>45</v>
      </c>
      <c r="P159" s="137">
        <f t="shared" si="11"/>
        <v>0</v>
      </c>
      <c r="Q159" s="137">
        <v>0</v>
      </c>
      <c r="R159" s="137">
        <f t="shared" si="12"/>
        <v>0</v>
      </c>
      <c r="S159" s="137">
        <v>0</v>
      </c>
      <c r="T159" s="138">
        <f t="shared" si="13"/>
        <v>0</v>
      </c>
      <c r="AR159" s="139" t="s">
        <v>344</v>
      </c>
      <c r="AT159" s="139" t="s">
        <v>339</v>
      </c>
      <c r="AU159" s="139" t="s">
        <v>87</v>
      </c>
      <c r="AY159" s="2" t="s">
        <v>337</v>
      </c>
      <c r="BE159" s="140">
        <f t="shared" si="14"/>
        <v>0</v>
      </c>
      <c r="BF159" s="140">
        <f t="shared" si="15"/>
        <v>0</v>
      </c>
      <c r="BG159" s="140">
        <f t="shared" si="16"/>
        <v>0</v>
      </c>
      <c r="BH159" s="140">
        <f t="shared" si="17"/>
        <v>0</v>
      </c>
      <c r="BI159" s="140">
        <f t="shared" si="18"/>
        <v>0</v>
      </c>
      <c r="BJ159" s="2" t="s">
        <v>87</v>
      </c>
      <c r="BK159" s="140">
        <f t="shared" si="19"/>
        <v>0</v>
      </c>
      <c r="BL159" s="2" t="s">
        <v>344</v>
      </c>
      <c r="BM159" s="139" t="s">
        <v>7421</v>
      </c>
    </row>
    <row r="160" spans="2:65" s="16" customFormat="1" ht="16.5" customHeight="1" x14ac:dyDescent="0.2">
      <c r="B160" s="17"/>
      <c r="C160" s="128">
        <v>19</v>
      </c>
      <c r="D160" s="128" t="s">
        <v>339</v>
      </c>
      <c r="E160" s="129" t="s">
        <v>7422</v>
      </c>
      <c r="F160" s="130" t="s">
        <v>7423</v>
      </c>
      <c r="G160" s="131" t="s">
        <v>4460</v>
      </c>
      <c r="H160" s="132">
        <v>1</v>
      </c>
      <c r="I160" s="133"/>
      <c r="J160" s="134">
        <f t="shared" si="10"/>
        <v>0</v>
      </c>
      <c r="K160" s="130"/>
      <c r="L160" s="17"/>
      <c r="M160" s="135"/>
      <c r="N160" s="136" t="s">
        <v>45</v>
      </c>
      <c r="P160" s="137">
        <f t="shared" si="11"/>
        <v>0</v>
      </c>
      <c r="Q160" s="137">
        <v>0</v>
      </c>
      <c r="R160" s="137">
        <f t="shared" si="12"/>
        <v>0</v>
      </c>
      <c r="S160" s="137">
        <v>0</v>
      </c>
      <c r="T160" s="138">
        <f t="shared" si="13"/>
        <v>0</v>
      </c>
      <c r="AR160" s="139" t="s">
        <v>344</v>
      </c>
      <c r="AT160" s="139" t="s">
        <v>339</v>
      </c>
      <c r="AU160" s="139" t="s">
        <v>87</v>
      </c>
      <c r="AY160" s="2" t="s">
        <v>337</v>
      </c>
      <c r="BE160" s="140">
        <f t="shared" si="14"/>
        <v>0</v>
      </c>
      <c r="BF160" s="140">
        <f t="shared" si="15"/>
        <v>0</v>
      </c>
      <c r="BG160" s="140">
        <f t="shared" si="16"/>
        <v>0</v>
      </c>
      <c r="BH160" s="140">
        <f t="shared" si="17"/>
        <v>0</v>
      </c>
      <c r="BI160" s="140">
        <f t="shared" si="18"/>
        <v>0</v>
      </c>
      <c r="BJ160" s="2" t="s">
        <v>87</v>
      </c>
      <c r="BK160" s="140">
        <f t="shared" si="19"/>
        <v>0</v>
      </c>
      <c r="BL160" s="2" t="s">
        <v>344</v>
      </c>
      <c r="BM160" s="139" t="s">
        <v>7424</v>
      </c>
    </row>
    <row r="161" spans="2:65" s="16" customFormat="1" ht="16.5" customHeight="1" x14ac:dyDescent="0.2">
      <c r="B161" s="17"/>
      <c r="C161" s="128">
        <v>20</v>
      </c>
      <c r="D161" s="128" t="s">
        <v>339</v>
      </c>
      <c r="E161" s="129" t="s">
        <v>7425</v>
      </c>
      <c r="F161" s="130" t="s">
        <v>7426</v>
      </c>
      <c r="G161" s="131" t="s">
        <v>4460</v>
      </c>
      <c r="H161" s="132">
        <v>49</v>
      </c>
      <c r="I161" s="133"/>
      <c r="J161" s="134">
        <f t="shared" si="10"/>
        <v>0</v>
      </c>
      <c r="K161" s="130"/>
      <c r="L161" s="17"/>
      <c r="M161" s="135"/>
      <c r="N161" s="136" t="s">
        <v>45</v>
      </c>
      <c r="P161" s="137">
        <f t="shared" si="11"/>
        <v>0</v>
      </c>
      <c r="Q161" s="137">
        <v>0</v>
      </c>
      <c r="R161" s="137">
        <f t="shared" si="12"/>
        <v>0</v>
      </c>
      <c r="S161" s="137">
        <v>0</v>
      </c>
      <c r="T161" s="138">
        <f t="shared" si="13"/>
        <v>0</v>
      </c>
      <c r="AR161" s="139" t="s">
        <v>344</v>
      </c>
      <c r="AT161" s="139" t="s">
        <v>339</v>
      </c>
      <c r="AU161" s="139" t="s">
        <v>87</v>
      </c>
      <c r="AY161" s="2" t="s">
        <v>337</v>
      </c>
      <c r="BE161" s="140">
        <f t="shared" si="14"/>
        <v>0</v>
      </c>
      <c r="BF161" s="140">
        <f t="shared" si="15"/>
        <v>0</v>
      </c>
      <c r="BG161" s="140">
        <f t="shared" si="16"/>
        <v>0</v>
      </c>
      <c r="BH161" s="140">
        <f t="shared" si="17"/>
        <v>0</v>
      </c>
      <c r="BI161" s="140">
        <f t="shared" si="18"/>
        <v>0</v>
      </c>
      <c r="BJ161" s="2" t="s">
        <v>87</v>
      </c>
      <c r="BK161" s="140">
        <f t="shared" si="19"/>
        <v>0</v>
      </c>
      <c r="BL161" s="2" t="s">
        <v>344</v>
      </c>
      <c r="BM161" s="139" t="s">
        <v>7427</v>
      </c>
    </row>
    <row r="162" spans="2:65" s="16" customFormat="1" ht="16.5" customHeight="1" x14ac:dyDescent="0.2">
      <c r="B162" s="17"/>
      <c r="C162" s="128">
        <v>21</v>
      </c>
      <c r="D162" s="128" t="s">
        <v>339</v>
      </c>
      <c r="E162" s="129" t="s">
        <v>7428</v>
      </c>
      <c r="F162" s="130" t="s">
        <v>7429</v>
      </c>
      <c r="G162" s="131" t="s">
        <v>4460</v>
      </c>
      <c r="H162" s="132">
        <v>56</v>
      </c>
      <c r="I162" s="133"/>
      <c r="J162" s="134">
        <f t="shared" si="10"/>
        <v>0</v>
      </c>
      <c r="K162" s="130"/>
      <c r="L162" s="17"/>
      <c r="M162" s="135"/>
      <c r="N162" s="136" t="s">
        <v>45</v>
      </c>
      <c r="P162" s="137">
        <f t="shared" si="11"/>
        <v>0</v>
      </c>
      <c r="Q162" s="137">
        <v>0</v>
      </c>
      <c r="R162" s="137">
        <f t="shared" si="12"/>
        <v>0</v>
      </c>
      <c r="S162" s="137">
        <v>0</v>
      </c>
      <c r="T162" s="138">
        <f t="shared" si="13"/>
        <v>0</v>
      </c>
      <c r="AR162" s="139" t="s">
        <v>344</v>
      </c>
      <c r="AT162" s="139" t="s">
        <v>339</v>
      </c>
      <c r="AU162" s="139" t="s">
        <v>87</v>
      </c>
      <c r="AY162" s="2" t="s">
        <v>337</v>
      </c>
      <c r="BE162" s="140">
        <f t="shared" si="14"/>
        <v>0</v>
      </c>
      <c r="BF162" s="140">
        <f t="shared" si="15"/>
        <v>0</v>
      </c>
      <c r="BG162" s="140">
        <f t="shared" si="16"/>
        <v>0</v>
      </c>
      <c r="BH162" s="140">
        <f t="shared" si="17"/>
        <v>0</v>
      </c>
      <c r="BI162" s="140">
        <f t="shared" si="18"/>
        <v>0</v>
      </c>
      <c r="BJ162" s="2" t="s">
        <v>87</v>
      </c>
      <c r="BK162" s="140">
        <f t="shared" si="19"/>
        <v>0</v>
      </c>
      <c r="BL162" s="2" t="s">
        <v>344</v>
      </c>
      <c r="BM162" s="139" t="s">
        <v>7430</v>
      </c>
    </row>
    <row r="163" spans="2:65" s="16" customFormat="1" ht="16.5" customHeight="1" x14ac:dyDescent="0.2">
      <c r="B163" s="17"/>
      <c r="C163" s="128">
        <v>22</v>
      </c>
      <c r="D163" s="128" t="s">
        <v>339</v>
      </c>
      <c r="E163" s="129" t="s">
        <v>7431</v>
      </c>
      <c r="F163" s="130" t="s">
        <v>7432</v>
      </c>
      <c r="G163" s="131" t="s">
        <v>724</v>
      </c>
      <c r="H163" s="132">
        <v>550</v>
      </c>
      <c r="I163" s="133"/>
      <c r="J163" s="134">
        <f t="shared" si="10"/>
        <v>0</v>
      </c>
      <c r="K163" s="130"/>
      <c r="L163" s="17"/>
      <c r="M163" s="135"/>
      <c r="N163" s="136" t="s">
        <v>45</v>
      </c>
      <c r="P163" s="137">
        <f t="shared" si="11"/>
        <v>0</v>
      </c>
      <c r="Q163" s="137">
        <v>0</v>
      </c>
      <c r="R163" s="137">
        <f t="shared" si="12"/>
        <v>0</v>
      </c>
      <c r="S163" s="137">
        <v>0</v>
      </c>
      <c r="T163" s="138">
        <f t="shared" si="13"/>
        <v>0</v>
      </c>
      <c r="AR163" s="139" t="s">
        <v>344</v>
      </c>
      <c r="AT163" s="139" t="s">
        <v>339</v>
      </c>
      <c r="AU163" s="139" t="s">
        <v>87</v>
      </c>
      <c r="AY163" s="2" t="s">
        <v>337</v>
      </c>
      <c r="BE163" s="140">
        <f t="shared" si="14"/>
        <v>0</v>
      </c>
      <c r="BF163" s="140">
        <f t="shared" si="15"/>
        <v>0</v>
      </c>
      <c r="BG163" s="140">
        <f t="shared" si="16"/>
        <v>0</v>
      </c>
      <c r="BH163" s="140">
        <f t="shared" si="17"/>
        <v>0</v>
      </c>
      <c r="BI163" s="140">
        <f t="shared" si="18"/>
        <v>0</v>
      </c>
      <c r="BJ163" s="2" t="s">
        <v>87</v>
      </c>
      <c r="BK163" s="140">
        <f t="shared" si="19"/>
        <v>0</v>
      </c>
      <c r="BL163" s="2" t="s">
        <v>344</v>
      </c>
      <c r="BM163" s="139" t="s">
        <v>685</v>
      </c>
    </row>
    <row r="164" spans="2:65" s="16" customFormat="1" ht="16.5" customHeight="1" x14ac:dyDescent="0.2">
      <c r="B164" s="17"/>
      <c r="C164" s="128">
        <v>23</v>
      </c>
      <c r="D164" s="128" t="s">
        <v>339</v>
      </c>
      <c r="E164" s="129" t="s">
        <v>7433</v>
      </c>
      <c r="F164" s="130" t="s">
        <v>7434</v>
      </c>
      <c r="G164" s="131" t="s">
        <v>724</v>
      </c>
      <c r="H164" s="132">
        <v>22110</v>
      </c>
      <c r="I164" s="133"/>
      <c r="J164" s="134">
        <f t="shared" si="10"/>
        <v>0</v>
      </c>
      <c r="K164" s="130"/>
      <c r="L164" s="17"/>
      <c r="M164" s="135"/>
      <c r="N164" s="136" t="s">
        <v>45</v>
      </c>
      <c r="P164" s="137">
        <f t="shared" si="11"/>
        <v>0</v>
      </c>
      <c r="Q164" s="137">
        <v>0</v>
      </c>
      <c r="R164" s="137">
        <f t="shared" si="12"/>
        <v>0</v>
      </c>
      <c r="S164" s="137">
        <v>0</v>
      </c>
      <c r="T164" s="138">
        <f t="shared" si="13"/>
        <v>0</v>
      </c>
      <c r="AR164" s="139" t="s">
        <v>344</v>
      </c>
      <c r="AT164" s="139" t="s">
        <v>339</v>
      </c>
      <c r="AU164" s="139" t="s">
        <v>87</v>
      </c>
      <c r="AY164" s="2" t="s">
        <v>337</v>
      </c>
      <c r="BE164" s="140">
        <f t="shared" si="14"/>
        <v>0</v>
      </c>
      <c r="BF164" s="140">
        <f t="shared" si="15"/>
        <v>0</v>
      </c>
      <c r="BG164" s="140">
        <f t="shared" si="16"/>
        <v>0</v>
      </c>
      <c r="BH164" s="140">
        <f t="shared" si="17"/>
        <v>0</v>
      </c>
      <c r="BI164" s="140">
        <f t="shared" si="18"/>
        <v>0</v>
      </c>
      <c r="BJ164" s="2" t="s">
        <v>87</v>
      </c>
      <c r="BK164" s="140">
        <f t="shared" si="19"/>
        <v>0</v>
      </c>
      <c r="BL164" s="2" t="s">
        <v>344</v>
      </c>
      <c r="BM164" s="139" t="s">
        <v>699</v>
      </c>
    </row>
    <row r="165" spans="2:65" s="16" customFormat="1" ht="16.5" customHeight="1" x14ac:dyDescent="0.2">
      <c r="B165" s="17"/>
      <c r="C165" s="128">
        <v>24</v>
      </c>
      <c r="D165" s="128" t="s">
        <v>339</v>
      </c>
      <c r="E165" s="129" t="s">
        <v>7435</v>
      </c>
      <c r="F165" s="130" t="s">
        <v>7436</v>
      </c>
      <c r="G165" s="131" t="s">
        <v>4460</v>
      </c>
      <c r="H165" s="132">
        <v>105</v>
      </c>
      <c r="I165" s="133"/>
      <c r="J165" s="134">
        <f t="shared" si="10"/>
        <v>0</v>
      </c>
      <c r="K165" s="130"/>
      <c r="L165" s="17"/>
      <c r="M165" s="135"/>
      <c r="N165" s="136" t="s">
        <v>45</v>
      </c>
      <c r="P165" s="137">
        <f t="shared" si="11"/>
        <v>0</v>
      </c>
      <c r="Q165" s="137">
        <v>0</v>
      </c>
      <c r="R165" s="137">
        <f t="shared" si="12"/>
        <v>0</v>
      </c>
      <c r="S165" s="137">
        <v>0</v>
      </c>
      <c r="T165" s="138">
        <f t="shared" si="13"/>
        <v>0</v>
      </c>
      <c r="AR165" s="139" t="s">
        <v>344</v>
      </c>
      <c r="AT165" s="139" t="s">
        <v>339</v>
      </c>
      <c r="AU165" s="139" t="s">
        <v>87</v>
      </c>
      <c r="AY165" s="2" t="s">
        <v>337</v>
      </c>
      <c r="BE165" s="140">
        <f t="shared" si="14"/>
        <v>0</v>
      </c>
      <c r="BF165" s="140">
        <f t="shared" si="15"/>
        <v>0</v>
      </c>
      <c r="BG165" s="140">
        <f t="shared" si="16"/>
        <v>0</v>
      </c>
      <c r="BH165" s="140">
        <f t="shared" si="17"/>
        <v>0</v>
      </c>
      <c r="BI165" s="140">
        <f t="shared" si="18"/>
        <v>0</v>
      </c>
      <c r="BJ165" s="2" t="s">
        <v>87</v>
      </c>
      <c r="BK165" s="140">
        <f t="shared" si="19"/>
        <v>0</v>
      </c>
      <c r="BL165" s="2" t="s">
        <v>344</v>
      </c>
      <c r="BM165" s="139" t="s">
        <v>708</v>
      </c>
    </row>
    <row r="166" spans="2:65" s="16" customFormat="1" ht="16.5" customHeight="1" x14ac:dyDescent="0.2">
      <c r="B166" s="17"/>
      <c r="C166" s="128">
        <v>25</v>
      </c>
      <c r="D166" s="128" t="s">
        <v>339</v>
      </c>
      <c r="E166" s="129" t="s">
        <v>7437</v>
      </c>
      <c r="F166" s="130" t="s">
        <v>7438</v>
      </c>
      <c r="G166" s="131" t="s">
        <v>4460</v>
      </c>
      <c r="H166" s="132">
        <v>1020</v>
      </c>
      <c r="I166" s="133"/>
      <c r="J166" s="134">
        <f t="shared" si="10"/>
        <v>0</v>
      </c>
      <c r="K166" s="130"/>
      <c r="L166" s="17"/>
      <c r="M166" s="135"/>
      <c r="N166" s="136" t="s">
        <v>45</v>
      </c>
      <c r="P166" s="137">
        <f t="shared" si="11"/>
        <v>0</v>
      </c>
      <c r="Q166" s="137">
        <v>0</v>
      </c>
      <c r="R166" s="137">
        <f t="shared" si="12"/>
        <v>0</v>
      </c>
      <c r="S166" s="137">
        <v>0</v>
      </c>
      <c r="T166" s="138">
        <f t="shared" si="13"/>
        <v>0</v>
      </c>
      <c r="AR166" s="139" t="s">
        <v>344</v>
      </c>
      <c r="AT166" s="139" t="s">
        <v>339</v>
      </c>
      <c r="AU166" s="139" t="s">
        <v>87</v>
      </c>
      <c r="AY166" s="2" t="s">
        <v>337</v>
      </c>
      <c r="BE166" s="140">
        <f t="shared" si="14"/>
        <v>0</v>
      </c>
      <c r="BF166" s="140">
        <f t="shared" si="15"/>
        <v>0</v>
      </c>
      <c r="BG166" s="140">
        <f t="shared" si="16"/>
        <v>0</v>
      </c>
      <c r="BH166" s="140">
        <f t="shared" si="17"/>
        <v>0</v>
      </c>
      <c r="BI166" s="140">
        <f t="shared" si="18"/>
        <v>0</v>
      </c>
      <c r="BJ166" s="2" t="s">
        <v>87</v>
      </c>
      <c r="BK166" s="140">
        <f t="shared" si="19"/>
        <v>0</v>
      </c>
      <c r="BL166" s="2" t="s">
        <v>344</v>
      </c>
      <c r="BM166" s="139" t="s">
        <v>733</v>
      </c>
    </row>
    <row r="167" spans="2:65" s="16" customFormat="1" ht="16.5" customHeight="1" x14ac:dyDescent="0.2">
      <c r="B167" s="17"/>
      <c r="C167" s="289">
        <v>26</v>
      </c>
      <c r="D167" s="289" t="s">
        <v>339</v>
      </c>
      <c r="E167" s="290" t="s">
        <v>7439</v>
      </c>
      <c r="F167" s="291" t="s">
        <v>9271</v>
      </c>
      <c r="G167" s="292" t="s">
        <v>724</v>
      </c>
      <c r="H167" s="288">
        <v>150</v>
      </c>
      <c r="I167" s="294"/>
      <c r="J167" s="295">
        <f t="shared" si="10"/>
        <v>0</v>
      </c>
      <c r="K167" s="130"/>
      <c r="L167" s="293" t="s">
        <v>9258</v>
      </c>
      <c r="M167" s="135"/>
      <c r="N167" s="136" t="s">
        <v>45</v>
      </c>
      <c r="P167" s="137">
        <f t="shared" si="11"/>
        <v>0</v>
      </c>
      <c r="Q167" s="137">
        <v>0</v>
      </c>
      <c r="R167" s="137">
        <f t="shared" si="12"/>
        <v>0</v>
      </c>
      <c r="S167" s="137">
        <v>0</v>
      </c>
      <c r="T167" s="138">
        <f t="shared" si="13"/>
        <v>0</v>
      </c>
      <c r="AR167" s="139" t="s">
        <v>344</v>
      </c>
      <c r="AT167" s="139" t="s">
        <v>339</v>
      </c>
      <c r="AU167" s="139" t="s">
        <v>87</v>
      </c>
      <c r="AY167" s="2" t="s">
        <v>337</v>
      </c>
      <c r="BE167" s="140">
        <f t="shared" si="14"/>
        <v>0</v>
      </c>
      <c r="BF167" s="140">
        <f t="shared" si="15"/>
        <v>0</v>
      </c>
      <c r="BG167" s="140">
        <f t="shared" si="16"/>
        <v>0</v>
      </c>
      <c r="BH167" s="140">
        <f t="shared" si="17"/>
        <v>0</v>
      </c>
      <c r="BI167" s="140">
        <f t="shared" si="18"/>
        <v>0</v>
      </c>
      <c r="BJ167" s="2" t="s">
        <v>87</v>
      </c>
      <c r="BK167" s="140">
        <f t="shared" si="19"/>
        <v>0</v>
      </c>
      <c r="BL167" s="2" t="s">
        <v>344</v>
      </c>
      <c r="BM167" s="139" t="s">
        <v>748</v>
      </c>
    </row>
    <row r="168" spans="2:65" s="16" customFormat="1" ht="16.5" customHeight="1" x14ac:dyDescent="0.2">
      <c r="B168" s="17"/>
      <c r="C168" s="289">
        <v>27</v>
      </c>
      <c r="D168" s="289" t="s">
        <v>339</v>
      </c>
      <c r="E168" s="290" t="s">
        <v>7440</v>
      </c>
      <c r="F168" s="291" t="s">
        <v>7441</v>
      </c>
      <c r="G168" s="292" t="s">
        <v>4460</v>
      </c>
      <c r="H168" s="288">
        <v>76</v>
      </c>
      <c r="I168" s="294"/>
      <c r="J168" s="295">
        <f t="shared" ref="J168" si="20">ROUND(I168*H168,2)</f>
        <v>0</v>
      </c>
      <c r="K168" s="130"/>
      <c r="L168" s="293" t="s">
        <v>9248</v>
      </c>
      <c r="M168" s="135"/>
      <c r="N168" s="136" t="s">
        <v>45</v>
      </c>
      <c r="P168" s="137">
        <f t="shared" ref="P168" si="21">O168*H168</f>
        <v>0</v>
      </c>
      <c r="Q168" s="137">
        <v>0</v>
      </c>
      <c r="R168" s="137">
        <f t="shared" ref="R168" si="22">Q168*H168</f>
        <v>0</v>
      </c>
      <c r="S168" s="137">
        <v>0</v>
      </c>
      <c r="T168" s="138">
        <f t="shared" ref="T168" si="23">S168*H168</f>
        <v>0</v>
      </c>
      <c r="AR168" s="139" t="s">
        <v>344</v>
      </c>
      <c r="AT168" s="139" t="s">
        <v>339</v>
      </c>
      <c r="AU168" s="139" t="s">
        <v>87</v>
      </c>
      <c r="AY168" s="2" t="s">
        <v>337</v>
      </c>
      <c r="BE168" s="140">
        <f t="shared" ref="BE168" si="24">IF(N168="základní",J168,0)</f>
        <v>0</v>
      </c>
      <c r="BF168" s="140">
        <f t="shared" ref="BF168" si="25">IF(N168="snížená",J168,0)</f>
        <v>0</v>
      </c>
      <c r="BG168" s="140">
        <f t="shared" ref="BG168" si="26">IF(N168="zákl. přenesená",J168,0)</f>
        <v>0</v>
      </c>
      <c r="BH168" s="140">
        <f t="shared" ref="BH168" si="27">IF(N168="sníž. přenesená",J168,0)</f>
        <v>0</v>
      </c>
      <c r="BI168" s="140">
        <f t="shared" ref="BI168" si="28">IF(N168="nulová",J168,0)</f>
        <v>0</v>
      </c>
      <c r="BJ168" s="2" t="s">
        <v>87</v>
      </c>
      <c r="BK168" s="140">
        <f t="shared" ref="BK168" si="29">ROUND(I168*H168,2)</f>
        <v>0</v>
      </c>
      <c r="BL168" s="2" t="s">
        <v>344</v>
      </c>
      <c r="BM168" s="139" t="s">
        <v>7442</v>
      </c>
    </row>
    <row r="169" spans="2:65" s="16" customFormat="1" ht="16.5" customHeight="1" x14ac:dyDescent="0.2">
      <c r="B169" s="17"/>
      <c r="C169" s="296" t="s">
        <v>9269</v>
      </c>
      <c r="D169" s="289" t="s">
        <v>339</v>
      </c>
      <c r="E169" s="290" t="s">
        <v>7440</v>
      </c>
      <c r="F169" s="291" t="s">
        <v>9260</v>
      </c>
      <c r="G169" s="292" t="s">
        <v>4460</v>
      </c>
      <c r="H169" s="288">
        <v>4</v>
      </c>
      <c r="I169" s="294"/>
      <c r="J169" s="295">
        <f t="shared" si="10"/>
        <v>0</v>
      </c>
      <c r="K169" s="130"/>
      <c r="L169" s="293" t="s">
        <v>9256</v>
      </c>
      <c r="M169" s="135"/>
      <c r="N169" s="136" t="s">
        <v>45</v>
      </c>
      <c r="P169" s="137">
        <f t="shared" si="11"/>
        <v>0</v>
      </c>
      <c r="Q169" s="137">
        <v>0</v>
      </c>
      <c r="R169" s="137">
        <f t="shared" si="12"/>
        <v>0</v>
      </c>
      <c r="S169" s="137">
        <v>0</v>
      </c>
      <c r="T169" s="138">
        <f t="shared" si="13"/>
        <v>0</v>
      </c>
      <c r="AR169" s="139" t="s">
        <v>344</v>
      </c>
      <c r="AT169" s="139" t="s">
        <v>339</v>
      </c>
      <c r="AU169" s="139" t="s">
        <v>87</v>
      </c>
      <c r="AY169" s="2" t="s">
        <v>337</v>
      </c>
      <c r="BE169" s="140">
        <f t="shared" si="14"/>
        <v>0</v>
      </c>
      <c r="BF169" s="140">
        <f t="shared" si="15"/>
        <v>0</v>
      </c>
      <c r="BG169" s="140">
        <f t="shared" si="16"/>
        <v>0</v>
      </c>
      <c r="BH169" s="140">
        <f t="shared" si="17"/>
        <v>0</v>
      </c>
      <c r="BI169" s="140">
        <f t="shared" si="18"/>
        <v>0</v>
      </c>
      <c r="BJ169" s="2" t="s">
        <v>87</v>
      </c>
      <c r="BK169" s="140">
        <f t="shared" si="19"/>
        <v>0</v>
      </c>
      <c r="BL169" s="2" t="s">
        <v>344</v>
      </c>
      <c r="BM169" s="139" t="s">
        <v>7442</v>
      </c>
    </row>
    <row r="170" spans="2:65" s="116" customFormat="1" ht="25.9" customHeight="1" x14ac:dyDescent="0.2">
      <c r="B170" s="117"/>
      <c r="D170" s="118" t="s">
        <v>79</v>
      </c>
      <c r="E170" s="119" t="s">
        <v>113</v>
      </c>
      <c r="F170" s="119" t="s">
        <v>7443</v>
      </c>
      <c r="J170" s="120">
        <f>BK170</f>
        <v>0</v>
      </c>
      <c r="L170" s="117"/>
      <c r="M170" s="121"/>
      <c r="P170" s="122">
        <f>SUM(P171:P183)</f>
        <v>0</v>
      </c>
      <c r="R170" s="122">
        <f>SUM(R171:R183)</f>
        <v>0</v>
      </c>
      <c r="T170" s="123">
        <f>SUM(T171:T183)</f>
        <v>0</v>
      </c>
      <c r="AR170" s="118" t="s">
        <v>87</v>
      </c>
      <c r="AT170" s="124" t="s">
        <v>79</v>
      </c>
      <c r="AU170" s="124" t="s">
        <v>80</v>
      </c>
      <c r="AY170" s="118" t="s">
        <v>337</v>
      </c>
      <c r="BK170" s="125">
        <f>SUM(BK171:BK183)</f>
        <v>0</v>
      </c>
    </row>
    <row r="171" spans="2:65" s="16" customFormat="1" ht="16.5" customHeight="1" x14ac:dyDescent="0.2">
      <c r="B171" s="17"/>
      <c r="C171" s="128">
        <v>28</v>
      </c>
      <c r="D171" s="128" t="s">
        <v>339</v>
      </c>
      <c r="E171" s="129" t="s">
        <v>6992</v>
      </c>
      <c r="F171" s="130" t="s">
        <v>7009</v>
      </c>
      <c r="G171" s="131" t="s">
        <v>7010</v>
      </c>
      <c r="H171" s="132">
        <v>2</v>
      </c>
      <c r="I171" s="133"/>
      <c r="J171" s="134">
        <f t="shared" ref="J171:J183" si="30">ROUND(I171*H171,2)</f>
        <v>0</v>
      </c>
      <c r="K171" s="130"/>
      <c r="L171" s="17"/>
      <c r="M171" s="135"/>
      <c r="N171" s="136" t="s">
        <v>45</v>
      </c>
      <c r="P171" s="137">
        <f t="shared" ref="P171:P183" si="31">O171*H171</f>
        <v>0</v>
      </c>
      <c r="Q171" s="137">
        <v>0</v>
      </c>
      <c r="R171" s="137">
        <f t="shared" ref="R171:R183" si="32">Q171*H171</f>
        <v>0</v>
      </c>
      <c r="S171" s="137">
        <v>0</v>
      </c>
      <c r="T171" s="138">
        <f t="shared" ref="T171:T183" si="33">S171*H171</f>
        <v>0</v>
      </c>
      <c r="AR171" s="139" t="s">
        <v>344</v>
      </c>
      <c r="AT171" s="139" t="s">
        <v>339</v>
      </c>
      <c r="AU171" s="139" t="s">
        <v>87</v>
      </c>
      <c r="AY171" s="2" t="s">
        <v>337</v>
      </c>
      <c r="BE171" s="140">
        <f t="shared" ref="BE171:BE183" si="34">IF(N171="základní",J171,0)</f>
        <v>0</v>
      </c>
      <c r="BF171" s="140">
        <f t="shared" ref="BF171:BF183" si="35">IF(N171="snížená",J171,0)</f>
        <v>0</v>
      </c>
      <c r="BG171" s="140">
        <f t="shared" ref="BG171:BG183" si="36">IF(N171="zákl. přenesená",J171,0)</f>
        <v>0</v>
      </c>
      <c r="BH171" s="140">
        <f t="shared" ref="BH171:BH183" si="37">IF(N171="sníž. přenesená",J171,0)</f>
        <v>0</v>
      </c>
      <c r="BI171" s="140">
        <f t="shared" ref="BI171:BI183" si="38">IF(N171="nulová",J171,0)</f>
        <v>0</v>
      </c>
      <c r="BJ171" s="2" t="s">
        <v>87</v>
      </c>
      <c r="BK171" s="140">
        <f t="shared" ref="BK171:BK183" si="39">ROUND(I171*H171,2)</f>
        <v>0</v>
      </c>
      <c r="BL171" s="2" t="s">
        <v>344</v>
      </c>
      <c r="BM171" s="139" t="s">
        <v>762</v>
      </c>
    </row>
    <row r="172" spans="2:65" s="16" customFormat="1" ht="16.5" customHeight="1" x14ac:dyDescent="0.2">
      <c r="B172" s="17"/>
      <c r="C172" s="128">
        <v>29</v>
      </c>
      <c r="D172" s="128" t="s">
        <v>339</v>
      </c>
      <c r="E172" s="129" t="s">
        <v>6996</v>
      </c>
      <c r="F172" s="130" t="s">
        <v>7014</v>
      </c>
      <c r="G172" s="131" t="s">
        <v>7010</v>
      </c>
      <c r="H172" s="132">
        <v>1</v>
      </c>
      <c r="I172" s="133"/>
      <c r="J172" s="134">
        <f t="shared" si="30"/>
        <v>0</v>
      </c>
      <c r="K172" s="130"/>
      <c r="L172" s="17"/>
      <c r="M172" s="135"/>
      <c r="N172" s="136" t="s">
        <v>45</v>
      </c>
      <c r="P172" s="137">
        <f t="shared" si="31"/>
        <v>0</v>
      </c>
      <c r="Q172" s="137">
        <v>0</v>
      </c>
      <c r="R172" s="137">
        <f t="shared" si="32"/>
        <v>0</v>
      </c>
      <c r="S172" s="137">
        <v>0</v>
      </c>
      <c r="T172" s="138">
        <f t="shared" si="33"/>
        <v>0</v>
      </c>
      <c r="AR172" s="139" t="s">
        <v>344</v>
      </c>
      <c r="AT172" s="139" t="s">
        <v>339</v>
      </c>
      <c r="AU172" s="139" t="s">
        <v>87</v>
      </c>
      <c r="AY172" s="2" t="s">
        <v>337</v>
      </c>
      <c r="BE172" s="140">
        <f t="shared" si="34"/>
        <v>0</v>
      </c>
      <c r="BF172" s="140">
        <f t="shared" si="35"/>
        <v>0</v>
      </c>
      <c r="BG172" s="140">
        <f t="shared" si="36"/>
        <v>0</v>
      </c>
      <c r="BH172" s="140">
        <f t="shared" si="37"/>
        <v>0</v>
      </c>
      <c r="BI172" s="140">
        <f t="shared" si="38"/>
        <v>0</v>
      </c>
      <c r="BJ172" s="2" t="s">
        <v>87</v>
      </c>
      <c r="BK172" s="140">
        <f t="shared" si="39"/>
        <v>0</v>
      </c>
      <c r="BL172" s="2" t="s">
        <v>344</v>
      </c>
      <c r="BM172" s="139" t="s">
        <v>788</v>
      </c>
    </row>
    <row r="173" spans="2:65" s="16" customFormat="1" ht="16.5" customHeight="1" x14ac:dyDescent="0.2">
      <c r="B173" s="17"/>
      <c r="C173" s="128">
        <v>30</v>
      </c>
      <c r="D173" s="128" t="s">
        <v>339</v>
      </c>
      <c r="E173" s="129" t="s">
        <v>7001</v>
      </c>
      <c r="F173" s="130" t="s">
        <v>7025</v>
      </c>
      <c r="G173" s="131" t="s">
        <v>7026</v>
      </c>
      <c r="H173" s="132">
        <v>20</v>
      </c>
      <c r="I173" s="133"/>
      <c r="J173" s="134">
        <f t="shared" si="30"/>
        <v>0</v>
      </c>
      <c r="K173" s="130"/>
      <c r="L173" s="17"/>
      <c r="M173" s="135"/>
      <c r="N173" s="136" t="s">
        <v>45</v>
      </c>
      <c r="P173" s="137">
        <f t="shared" si="31"/>
        <v>0</v>
      </c>
      <c r="Q173" s="137">
        <v>0</v>
      </c>
      <c r="R173" s="137">
        <f t="shared" si="32"/>
        <v>0</v>
      </c>
      <c r="S173" s="137">
        <v>0</v>
      </c>
      <c r="T173" s="138">
        <f t="shared" si="33"/>
        <v>0</v>
      </c>
      <c r="AR173" s="139" t="s">
        <v>344</v>
      </c>
      <c r="AT173" s="139" t="s">
        <v>339</v>
      </c>
      <c r="AU173" s="139" t="s">
        <v>87</v>
      </c>
      <c r="AY173" s="2" t="s">
        <v>337</v>
      </c>
      <c r="BE173" s="140">
        <f t="shared" si="34"/>
        <v>0</v>
      </c>
      <c r="BF173" s="140">
        <f t="shared" si="35"/>
        <v>0</v>
      </c>
      <c r="BG173" s="140">
        <f t="shared" si="36"/>
        <v>0</v>
      </c>
      <c r="BH173" s="140">
        <f t="shared" si="37"/>
        <v>0</v>
      </c>
      <c r="BI173" s="140">
        <f t="shared" si="38"/>
        <v>0</v>
      </c>
      <c r="BJ173" s="2" t="s">
        <v>87</v>
      </c>
      <c r="BK173" s="140">
        <f t="shared" si="39"/>
        <v>0</v>
      </c>
      <c r="BL173" s="2" t="s">
        <v>344</v>
      </c>
      <c r="BM173" s="139" t="s">
        <v>797</v>
      </c>
    </row>
    <row r="174" spans="2:65" s="16" customFormat="1" ht="16.5" customHeight="1" x14ac:dyDescent="0.2">
      <c r="B174" s="17"/>
      <c r="C174" s="128">
        <v>31</v>
      </c>
      <c r="D174" s="128" t="s">
        <v>339</v>
      </c>
      <c r="E174" s="129" t="s">
        <v>7444</v>
      </c>
      <c r="F174" s="130" t="s">
        <v>7445</v>
      </c>
      <c r="G174" s="131" t="s">
        <v>7026</v>
      </c>
      <c r="H174" s="132">
        <v>15</v>
      </c>
      <c r="I174" s="133"/>
      <c r="J174" s="134">
        <f t="shared" si="30"/>
        <v>0</v>
      </c>
      <c r="K174" s="130"/>
      <c r="L174" s="17"/>
      <c r="M174" s="135"/>
      <c r="N174" s="136" t="s">
        <v>45</v>
      </c>
      <c r="P174" s="137">
        <f t="shared" si="31"/>
        <v>0</v>
      </c>
      <c r="Q174" s="137">
        <v>0</v>
      </c>
      <c r="R174" s="137">
        <f t="shared" si="32"/>
        <v>0</v>
      </c>
      <c r="S174" s="137">
        <v>0</v>
      </c>
      <c r="T174" s="138">
        <f t="shared" si="33"/>
        <v>0</v>
      </c>
      <c r="AR174" s="139" t="s">
        <v>344</v>
      </c>
      <c r="AT174" s="139" t="s">
        <v>339</v>
      </c>
      <c r="AU174" s="139" t="s">
        <v>87</v>
      </c>
      <c r="AY174" s="2" t="s">
        <v>337</v>
      </c>
      <c r="BE174" s="140">
        <f t="shared" si="34"/>
        <v>0</v>
      </c>
      <c r="BF174" s="140">
        <f t="shared" si="35"/>
        <v>0</v>
      </c>
      <c r="BG174" s="140">
        <f t="shared" si="36"/>
        <v>0</v>
      </c>
      <c r="BH174" s="140">
        <f t="shared" si="37"/>
        <v>0</v>
      </c>
      <c r="BI174" s="140">
        <f t="shared" si="38"/>
        <v>0</v>
      </c>
      <c r="BJ174" s="2" t="s">
        <v>87</v>
      </c>
      <c r="BK174" s="140">
        <f t="shared" si="39"/>
        <v>0</v>
      </c>
      <c r="BL174" s="2" t="s">
        <v>344</v>
      </c>
      <c r="BM174" s="139" t="s">
        <v>829</v>
      </c>
    </row>
    <row r="175" spans="2:65" s="16" customFormat="1" ht="16.5" customHeight="1" x14ac:dyDescent="0.2">
      <c r="B175" s="17"/>
      <c r="C175" s="128">
        <v>32</v>
      </c>
      <c r="D175" s="128" t="s">
        <v>339</v>
      </c>
      <c r="E175" s="129" t="s">
        <v>7446</v>
      </c>
      <c r="F175" s="130" t="s">
        <v>7447</v>
      </c>
      <c r="G175" s="131" t="s">
        <v>7026</v>
      </c>
      <c r="H175" s="132">
        <v>16</v>
      </c>
      <c r="I175" s="133"/>
      <c r="J175" s="134">
        <f t="shared" si="30"/>
        <v>0</v>
      </c>
      <c r="K175" s="130"/>
      <c r="L175" s="17"/>
      <c r="M175" s="135"/>
      <c r="N175" s="136" t="s">
        <v>45</v>
      </c>
      <c r="P175" s="137">
        <f t="shared" si="31"/>
        <v>0</v>
      </c>
      <c r="Q175" s="137">
        <v>0</v>
      </c>
      <c r="R175" s="137">
        <f t="shared" si="32"/>
        <v>0</v>
      </c>
      <c r="S175" s="137">
        <v>0</v>
      </c>
      <c r="T175" s="138">
        <f t="shared" si="33"/>
        <v>0</v>
      </c>
      <c r="AR175" s="139" t="s">
        <v>344</v>
      </c>
      <c r="AT175" s="139" t="s">
        <v>339</v>
      </c>
      <c r="AU175" s="139" t="s">
        <v>87</v>
      </c>
      <c r="AY175" s="2" t="s">
        <v>337</v>
      </c>
      <c r="BE175" s="140">
        <f t="shared" si="34"/>
        <v>0</v>
      </c>
      <c r="BF175" s="140">
        <f t="shared" si="35"/>
        <v>0</v>
      </c>
      <c r="BG175" s="140">
        <f t="shared" si="36"/>
        <v>0</v>
      </c>
      <c r="BH175" s="140">
        <f t="shared" si="37"/>
        <v>0</v>
      </c>
      <c r="BI175" s="140">
        <f t="shared" si="38"/>
        <v>0</v>
      </c>
      <c r="BJ175" s="2" t="s">
        <v>87</v>
      </c>
      <c r="BK175" s="140">
        <f t="shared" si="39"/>
        <v>0</v>
      </c>
      <c r="BL175" s="2" t="s">
        <v>344</v>
      </c>
      <c r="BM175" s="139" t="s">
        <v>850</v>
      </c>
    </row>
    <row r="176" spans="2:65" s="16" customFormat="1" ht="16.5" customHeight="1" x14ac:dyDescent="0.2">
      <c r="B176" s="17"/>
      <c r="C176" s="128">
        <v>33</v>
      </c>
      <c r="D176" s="128" t="s">
        <v>339</v>
      </c>
      <c r="E176" s="129" t="s">
        <v>7448</v>
      </c>
      <c r="F176" s="130" t="s">
        <v>7014</v>
      </c>
      <c r="G176" s="131" t="s">
        <v>7010</v>
      </c>
      <c r="H176" s="132">
        <v>1</v>
      </c>
      <c r="I176" s="133"/>
      <c r="J176" s="134">
        <f t="shared" si="30"/>
        <v>0</v>
      </c>
      <c r="K176" s="130"/>
      <c r="L176" s="17"/>
      <c r="M176" s="135"/>
      <c r="N176" s="136" t="s">
        <v>45</v>
      </c>
      <c r="P176" s="137">
        <f t="shared" si="31"/>
        <v>0</v>
      </c>
      <c r="Q176" s="137">
        <v>0</v>
      </c>
      <c r="R176" s="137">
        <f t="shared" si="32"/>
        <v>0</v>
      </c>
      <c r="S176" s="137">
        <v>0</v>
      </c>
      <c r="T176" s="138">
        <f t="shared" si="33"/>
        <v>0</v>
      </c>
      <c r="AR176" s="139" t="s">
        <v>344</v>
      </c>
      <c r="AT176" s="139" t="s">
        <v>339</v>
      </c>
      <c r="AU176" s="139" t="s">
        <v>87</v>
      </c>
      <c r="AY176" s="2" t="s">
        <v>337</v>
      </c>
      <c r="BE176" s="140">
        <f t="shared" si="34"/>
        <v>0</v>
      </c>
      <c r="BF176" s="140">
        <f t="shared" si="35"/>
        <v>0</v>
      </c>
      <c r="BG176" s="140">
        <f t="shared" si="36"/>
        <v>0</v>
      </c>
      <c r="BH176" s="140">
        <f t="shared" si="37"/>
        <v>0</v>
      </c>
      <c r="BI176" s="140">
        <f t="shared" si="38"/>
        <v>0</v>
      </c>
      <c r="BJ176" s="2" t="s">
        <v>87</v>
      </c>
      <c r="BK176" s="140">
        <f t="shared" si="39"/>
        <v>0</v>
      </c>
      <c r="BL176" s="2" t="s">
        <v>344</v>
      </c>
      <c r="BM176" s="139" t="s">
        <v>3442</v>
      </c>
    </row>
    <row r="177" spans="2:65" s="16" customFormat="1" ht="16.5" customHeight="1" x14ac:dyDescent="0.2">
      <c r="B177" s="17"/>
      <c r="C177" s="128">
        <v>34</v>
      </c>
      <c r="D177" s="128" t="s">
        <v>339</v>
      </c>
      <c r="E177" s="129" t="s">
        <v>7449</v>
      </c>
      <c r="F177" s="130" t="s">
        <v>7016</v>
      </c>
      <c r="G177" s="131" t="s">
        <v>7010</v>
      </c>
      <c r="H177" s="132">
        <v>1</v>
      </c>
      <c r="I177" s="133"/>
      <c r="J177" s="134">
        <f t="shared" si="30"/>
        <v>0</v>
      </c>
      <c r="K177" s="130"/>
      <c r="L177" s="17"/>
      <c r="M177" s="135"/>
      <c r="N177" s="136" t="s">
        <v>45</v>
      </c>
      <c r="P177" s="137">
        <f t="shared" si="31"/>
        <v>0</v>
      </c>
      <c r="Q177" s="137">
        <v>0</v>
      </c>
      <c r="R177" s="137">
        <f t="shared" si="32"/>
        <v>0</v>
      </c>
      <c r="S177" s="137">
        <v>0</v>
      </c>
      <c r="T177" s="138">
        <f t="shared" si="33"/>
        <v>0</v>
      </c>
      <c r="AR177" s="139" t="s">
        <v>344</v>
      </c>
      <c r="AT177" s="139" t="s">
        <v>339</v>
      </c>
      <c r="AU177" s="139" t="s">
        <v>87</v>
      </c>
      <c r="AY177" s="2" t="s">
        <v>337</v>
      </c>
      <c r="BE177" s="140">
        <f t="shared" si="34"/>
        <v>0</v>
      </c>
      <c r="BF177" s="140">
        <f t="shared" si="35"/>
        <v>0</v>
      </c>
      <c r="BG177" s="140">
        <f t="shared" si="36"/>
        <v>0</v>
      </c>
      <c r="BH177" s="140">
        <f t="shared" si="37"/>
        <v>0</v>
      </c>
      <c r="BI177" s="140">
        <f t="shared" si="38"/>
        <v>0</v>
      </c>
      <c r="BJ177" s="2" t="s">
        <v>87</v>
      </c>
      <c r="BK177" s="140">
        <f t="shared" si="39"/>
        <v>0</v>
      </c>
      <c r="BL177" s="2" t="s">
        <v>344</v>
      </c>
      <c r="BM177" s="139" t="s">
        <v>870</v>
      </c>
    </row>
    <row r="178" spans="2:65" s="16" customFormat="1" ht="16.5" customHeight="1" x14ac:dyDescent="0.2">
      <c r="B178" s="17"/>
      <c r="C178" s="128">
        <v>35</v>
      </c>
      <c r="D178" s="128" t="s">
        <v>339</v>
      </c>
      <c r="E178" s="129" t="s">
        <v>7450</v>
      </c>
      <c r="F178" s="130" t="s">
        <v>7451</v>
      </c>
      <c r="G178" s="131" t="s">
        <v>7010</v>
      </c>
      <c r="H178" s="132">
        <v>1</v>
      </c>
      <c r="I178" s="133"/>
      <c r="J178" s="134">
        <f t="shared" si="30"/>
        <v>0</v>
      </c>
      <c r="K178" s="130"/>
      <c r="L178" s="17"/>
      <c r="M178" s="135"/>
      <c r="N178" s="136" t="s">
        <v>45</v>
      </c>
      <c r="P178" s="137">
        <f t="shared" si="31"/>
        <v>0</v>
      </c>
      <c r="Q178" s="137">
        <v>0</v>
      </c>
      <c r="R178" s="137">
        <f t="shared" si="32"/>
        <v>0</v>
      </c>
      <c r="S178" s="137">
        <v>0</v>
      </c>
      <c r="T178" s="138">
        <f t="shared" si="33"/>
        <v>0</v>
      </c>
      <c r="AR178" s="139" t="s">
        <v>344</v>
      </c>
      <c r="AT178" s="139" t="s">
        <v>339</v>
      </c>
      <c r="AU178" s="139" t="s">
        <v>87</v>
      </c>
      <c r="AY178" s="2" t="s">
        <v>337</v>
      </c>
      <c r="BE178" s="140">
        <f t="shared" si="34"/>
        <v>0</v>
      </c>
      <c r="BF178" s="140">
        <f t="shared" si="35"/>
        <v>0</v>
      </c>
      <c r="BG178" s="140">
        <f t="shared" si="36"/>
        <v>0</v>
      </c>
      <c r="BH178" s="140">
        <f t="shared" si="37"/>
        <v>0</v>
      </c>
      <c r="BI178" s="140">
        <f t="shared" si="38"/>
        <v>0</v>
      </c>
      <c r="BJ178" s="2" t="s">
        <v>87</v>
      </c>
      <c r="BK178" s="140">
        <f t="shared" si="39"/>
        <v>0</v>
      </c>
      <c r="BL178" s="2" t="s">
        <v>344</v>
      </c>
      <c r="BM178" s="139" t="s">
        <v>7452</v>
      </c>
    </row>
    <row r="179" spans="2:65" s="16" customFormat="1" ht="16.5" customHeight="1" x14ac:dyDescent="0.2">
      <c r="B179" s="17"/>
      <c r="C179" s="128">
        <v>36</v>
      </c>
      <c r="D179" s="128" t="s">
        <v>339</v>
      </c>
      <c r="E179" s="129" t="s">
        <v>7453</v>
      </c>
      <c r="F179" s="130" t="s">
        <v>7454</v>
      </c>
      <c r="G179" s="131" t="s">
        <v>4460</v>
      </c>
      <c r="H179" s="132">
        <v>1</v>
      </c>
      <c r="I179" s="133"/>
      <c r="J179" s="134">
        <f t="shared" si="30"/>
        <v>0</v>
      </c>
      <c r="K179" s="130"/>
      <c r="L179" s="17"/>
      <c r="M179" s="135"/>
      <c r="N179" s="136" t="s">
        <v>45</v>
      </c>
      <c r="P179" s="137">
        <f t="shared" si="31"/>
        <v>0</v>
      </c>
      <c r="Q179" s="137">
        <v>0</v>
      </c>
      <c r="R179" s="137">
        <f t="shared" si="32"/>
        <v>0</v>
      </c>
      <c r="S179" s="137">
        <v>0</v>
      </c>
      <c r="T179" s="138">
        <f t="shared" si="33"/>
        <v>0</v>
      </c>
      <c r="AR179" s="139" t="s">
        <v>344</v>
      </c>
      <c r="AT179" s="139" t="s">
        <v>339</v>
      </c>
      <c r="AU179" s="139" t="s">
        <v>87</v>
      </c>
      <c r="AY179" s="2" t="s">
        <v>337</v>
      </c>
      <c r="BE179" s="140">
        <f t="shared" si="34"/>
        <v>0</v>
      </c>
      <c r="BF179" s="140">
        <f t="shared" si="35"/>
        <v>0</v>
      </c>
      <c r="BG179" s="140">
        <f t="shared" si="36"/>
        <v>0</v>
      </c>
      <c r="BH179" s="140">
        <f t="shared" si="37"/>
        <v>0</v>
      </c>
      <c r="BI179" s="140">
        <f t="shared" si="38"/>
        <v>0</v>
      </c>
      <c r="BJ179" s="2" t="s">
        <v>87</v>
      </c>
      <c r="BK179" s="140">
        <f t="shared" si="39"/>
        <v>0</v>
      </c>
      <c r="BL179" s="2" t="s">
        <v>344</v>
      </c>
      <c r="BM179" s="139" t="s">
        <v>7455</v>
      </c>
    </row>
    <row r="180" spans="2:65" s="16" customFormat="1" ht="16.5" customHeight="1" x14ac:dyDescent="0.2">
      <c r="B180" s="17"/>
      <c r="C180" s="128">
        <v>37</v>
      </c>
      <c r="D180" s="128" t="s">
        <v>339</v>
      </c>
      <c r="E180" s="129" t="s">
        <v>7456</v>
      </c>
      <c r="F180" s="130" t="s">
        <v>9245</v>
      </c>
      <c r="G180" s="131" t="s">
        <v>7010</v>
      </c>
      <c r="H180" s="132">
        <v>1</v>
      </c>
      <c r="I180" s="133"/>
      <c r="J180" s="134">
        <f t="shared" si="30"/>
        <v>0</v>
      </c>
      <c r="K180" s="130"/>
      <c r="L180" s="17"/>
      <c r="M180" s="135"/>
      <c r="N180" s="136" t="s">
        <v>45</v>
      </c>
      <c r="P180" s="137">
        <f t="shared" si="31"/>
        <v>0</v>
      </c>
      <c r="Q180" s="137">
        <v>0</v>
      </c>
      <c r="R180" s="137">
        <f t="shared" si="32"/>
        <v>0</v>
      </c>
      <c r="S180" s="137">
        <v>0</v>
      </c>
      <c r="T180" s="138">
        <f t="shared" si="33"/>
        <v>0</v>
      </c>
      <c r="AR180" s="139" t="s">
        <v>344</v>
      </c>
      <c r="AT180" s="139" t="s">
        <v>339</v>
      </c>
      <c r="AU180" s="139" t="s">
        <v>87</v>
      </c>
      <c r="AY180" s="2" t="s">
        <v>337</v>
      </c>
      <c r="BE180" s="140">
        <f t="shared" si="34"/>
        <v>0</v>
      </c>
      <c r="BF180" s="140">
        <f t="shared" si="35"/>
        <v>0</v>
      </c>
      <c r="BG180" s="140">
        <f t="shared" si="36"/>
        <v>0</v>
      </c>
      <c r="BH180" s="140">
        <f t="shared" si="37"/>
        <v>0</v>
      </c>
      <c r="BI180" s="140">
        <f t="shared" si="38"/>
        <v>0</v>
      </c>
      <c r="BJ180" s="2" t="s">
        <v>87</v>
      </c>
      <c r="BK180" s="140">
        <f t="shared" si="39"/>
        <v>0</v>
      </c>
      <c r="BL180" s="2" t="s">
        <v>344</v>
      </c>
      <c r="BM180" s="139" t="s">
        <v>7457</v>
      </c>
    </row>
    <row r="181" spans="2:65" s="16" customFormat="1" ht="16.5" customHeight="1" x14ac:dyDescent="0.2">
      <c r="B181" s="17"/>
      <c r="C181" s="128">
        <v>38</v>
      </c>
      <c r="D181" s="128" t="s">
        <v>339</v>
      </c>
      <c r="E181" s="129" t="s">
        <v>7458</v>
      </c>
      <c r="F181" s="130" t="s">
        <v>7459</v>
      </c>
      <c r="G181" s="131" t="s">
        <v>7010</v>
      </c>
      <c r="H181" s="132">
        <v>1</v>
      </c>
      <c r="I181" s="133"/>
      <c r="J181" s="134">
        <f t="shared" si="30"/>
        <v>0</v>
      </c>
      <c r="K181" s="130"/>
      <c r="L181" s="17"/>
      <c r="M181" s="135"/>
      <c r="N181" s="136" t="s">
        <v>45</v>
      </c>
      <c r="P181" s="137">
        <f t="shared" si="31"/>
        <v>0</v>
      </c>
      <c r="Q181" s="137">
        <v>0</v>
      </c>
      <c r="R181" s="137">
        <f t="shared" si="32"/>
        <v>0</v>
      </c>
      <c r="S181" s="137">
        <v>0</v>
      </c>
      <c r="T181" s="138">
        <f t="shared" si="33"/>
        <v>0</v>
      </c>
      <c r="AR181" s="139" t="s">
        <v>344</v>
      </c>
      <c r="AT181" s="139" t="s">
        <v>339</v>
      </c>
      <c r="AU181" s="139" t="s">
        <v>87</v>
      </c>
      <c r="AY181" s="2" t="s">
        <v>337</v>
      </c>
      <c r="BE181" s="140">
        <f t="shared" si="34"/>
        <v>0</v>
      </c>
      <c r="BF181" s="140">
        <f t="shared" si="35"/>
        <v>0</v>
      </c>
      <c r="BG181" s="140">
        <f t="shared" si="36"/>
        <v>0</v>
      </c>
      <c r="BH181" s="140">
        <f t="shared" si="37"/>
        <v>0</v>
      </c>
      <c r="BI181" s="140">
        <f t="shared" si="38"/>
        <v>0</v>
      </c>
      <c r="BJ181" s="2" t="s">
        <v>87</v>
      </c>
      <c r="BK181" s="140">
        <f t="shared" si="39"/>
        <v>0</v>
      </c>
      <c r="BL181" s="2" t="s">
        <v>344</v>
      </c>
      <c r="BM181" s="139" t="s">
        <v>7460</v>
      </c>
    </row>
    <row r="182" spans="2:65" s="16" customFormat="1" ht="16.5" customHeight="1" x14ac:dyDescent="0.2">
      <c r="B182" s="17"/>
      <c r="C182" s="128">
        <v>39</v>
      </c>
      <c r="D182" s="128" t="s">
        <v>339</v>
      </c>
      <c r="E182" s="129" t="s">
        <v>7461</v>
      </c>
      <c r="F182" s="130" t="s">
        <v>7462</v>
      </c>
      <c r="G182" s="131" t="s">
        <v>7010</v>
      </c>
      <c r="H182" s="132">
        <v>1</v>
      </c>
      <c r="I182" s="133"/>
      <c r="J182" s="134">
        <f t="shared" si="30"/>
        <v>0</v>
      </c>
      <c r="K182" s="130"/>
      <c r="L182" s="17"/>
      <c r="M182" s="135"/>
      <c r="N182" s="136" t="s">
        <v>45</v>
      </c>
      <c r="P182" s="137">
        <f t="shared" si="31"/>
        <v>0</v>
      </c>
      <c r="Q182" s="137">
        <v>0</v>
      </c>
      <c r="R182" s="137">
        <f t="shared" si="32"/>
        <v>0</v>
      </c>
      <c r="S182" s="137">
        <v>0</v>
      </c>
      <c r="T182" s="138">
        <f t="shared" si="33"/>
        <v>0</v>
      </c>
      <c r="AR182" s="139" t="s">
        <v>344</v>
      </c>
      <c r="AT182" s="139" t="s">
        <v>339</v>
      </c>
      <c r="AU182" s="139" t="s">
        <v>87</v>
      </c>
      <c r="AY182" s="2" t="s">
        <v>337</v>
      </c>
      <c r="BE182" s="140">
        <f t="shared" si="34"/>
        <v>0</v>
      </c>
      <c r="BF182" s="140">
        <f t="shared" si="35"/>
        <v>0</v>
      </c>
      <c r="BG182" s="140">
        <f t="shared" si="36"/>
        <v>0</v>
      </c>
      <c r="BH182" s="140">
        <f t="shared" si="37"/>
        <v>0</v>
      </c>
      <c r="BI182" s="140">
        <f t="shared" si="38"/>
        <v>0</v>
      </c>
      <c r="BJ182" s="2" t="s">
        <v>87</v>
      </c>
      <c r="BK182" s="140">
        <f t="shared" si="39"/>
        <v>0</v>
      </c>
      <c r="BL182" s="2" t="s">
        <v>344</v>
      </c>
      <c r="BM182" s="139" t="s">
        <v>943</v>
      </c>
    </row>
    <row r="183" spans="2:65" s="16" customFormat="1" ht="16.5" customHeight="1" x14ac:dyDescent="0.2">
      <c r="B183" s="17"/>
      <c r="C183" s="128">
        <v>40</v>
      </c>
      <c r="D183" s="128" t="s">
        <v>339</v>
      </c>
      <c r="E183" s="129" t="s">
        <v>7463</v>
      </c>
      <c r="F183" s="130" t="s">
        <v>7023</v>
      </c>
      <c r="G183" s="131" t="s">
        <v>7010</v>
      </c>
      <c r="H183" s="132">
        <v>1</v>
      </c>
      <c r="I183" s="133"/>
      <c r="J183" s="134">
        <f t="shared" si="30"/>
        <v>0</v>
      </c>
      <c r="K183" s="130"/>
      <c r="L183" s="17"/>
      <c r="M183" s="135"/>
      <c r="N183" s="136" t="s">
        <v>45</v>
      </c>
      <c r="P183" s="137">
        <f t="shared" si="31"/>
        <v>0</v>
      </c>
      <c r="Q183" s="137">
        <v>0</v>
      </c>
      <c r="R183" s="137">
        <f t="shared" si="32"/>
        <v>0</v>
      </c>
      <c r="S183" s="137">
        <v>0</v>
      </c>
      <c r="T183" s="138">
        <f t="shared" si="33"/>
        <v>0</v>
      </c>
      <c r="AR183" s="139" t="s">
        <v>344</v>
      </c>
      <c r="AT183" s="139" t="s">
        <v>339</v>
      </c>
      <c r="AU183" s="139" t="s">
        <v>87</v>
      </c>
      <c r="AY183" s="2" t="s">
        <v>337</v>
      </c>
      <c r="BE183" s="140">
        <f t="shared" si="34"/>
        <v>0</v>
      </c>
      <c r="BF183" s="140">
        <f t="shared" si="35"/>
        <v>0</v>
      </c>
      <c r="BG183" s="140">
        <f t="shared" si="36"/>
        <v>0</v>
      </c>
      <c r="BH183" s="140">
        <f t="shared" si="37"/>
        <v>0</v>
      </c>
      <c r="BI183" s="140">
        <f t="shared" si="38"/>
        <v>0</v>
      </c>
      <c r="BJ183" s="2" t="s">
        <v>87</v>
      </c>
      <c r="BK183" s="140">
        <f t="shared" si="39"/>
        <v>0</v>
      </c>
      <c r="BL183" s="2" t="s">
        <v>344</v>
      </c>
      <c r="BM183" s="139" t="s">
        <v>970</v>
      </c>
    </row>
    <row r="184" spans="2:65" s="116" customFormat="1" ht="25.9" customHeight="1" x14ac:dyDescent="0.2">
      <c r="B184" s="117"/>
      <c r="D184" s="118" t="s">
        <v>79</v>
      </c>
      <c r="E184" s="119" t="s">
        <v>344</v>
      </c>
      <c r="F184" s="119" t="s">
        <v>7032</v>
      </c>
      <c r="J184" s="120">
        <f>BK184</f>
        <v>0</v>
      </c>
      <c r="L184" s="117"/>
      <c r="M184" s="121"/>
      <c r="P184" s="122">
        <f>SUM(P185:P224)</f>
        <v>0</v>
      </c>
      <c r="R184" s="122">
        <f>SUM(R185:R224)</f>
        <v>0</v>
      </c>
      <c r="T184" s="123">
        <f>SUM(T185:T224)</f>
        <v>0</v>
      </c>
      <c r="AR184" s="118" t="s">
        <v>87</v>
      </c>
      <c r="AT184" s="124" t="s">
        <v>79</v>
      </c>
      <c r="AU184" s="124" t="s">
        <v>80</v>
      </c>
      <c r="AY184" s="118" t="s">
        <v>337</v>
      </c>
      <c r="BK184" s="125">
        <f>SUM(BK185:BK224)</f>
        <v>0</v>
      </c>
    </row>
    <row r="185" spans="2:65" s="16" customFormat="1" ht="16.5" customHeight="1" x14ac:dyDescent="0.2">
      <c r="B185" s="17"/>
      <c r="C185" s="128">
        <v>41</v>
      </c>
      <c r="D185" s="128" t="s">
        <v>339</v>
      </c>
      <c r="E185" s="129" t="s">
        <v>7008</v>
      </c>
      <c r="F185" s="130" t="s">
        <v>7074</v>
      </c>
      <c r="G185" s="131" t="s">
        <v>724</v>
      </c>
      <c r="H185" s="132">
        <v>350</v>
      </c>
      <c r="I185" s="133"/>
      <c r="J185" s="134">
        <f t="shared" ref="J185:J197" si="40">ROUND(I185*H185,2)</f>
        <v>0</v>
      </c>
      <c r="K185" s="130"/>
      <c r="L185" s="17"/>
      <c r="M185" s="135"/>
      <c r="N185" s="136" t="s">
        <v>45</v>
      </c>
      <c r="P185" s="137">
        <f t="shared" ref="P185:P197" si="41">O185*H185</f>
        <v>0</v>
      </c>
      <c r="Q185" s="137">
        <v>0</v>
      </c>
      <c r="R185" s="137">
        <f t="shared" ref="R185:R197" si="42">Q185*H185</f>
        <v>0</v>
      </c>
      <c r="S185" s="137">
        <v>0</v>
      </c>
      <c r="T185" s="138">
        <f t="shared" ref="T185:T197" si="43">S185*H185</f>
        <v>0</v>
      </c>
      <c r="AR185" s="139" t="s">
        <v>344</v>
      </c>
      <c r="AT185" s="139" t="s">
        <v>339</v>
      </c>
      <c r="AU185" s="139" t="s">
        <v>87</v>
      </c>
      <c r="AY185" s="2" t="s">
        <v>337</v>
      </c>
      <c r="BE185" s="140">
        <f t="shared" ref="BE185:BE197" si="44">IF(N185="základní",J185,0)</f>
        <v>0</v>
      </c>
      <c r="BF185" s="140">
        <f t="shared" ref="BF185:BF197" si="45">IF(N185="snížená",J185,0)</f>
        <v>0</v>
      </c>
      <c r="BG185" s="140">
        <f t="shared" ref="BG185:BG197" si="46">IF(N185="zákl. přenesená",J185,0)</f>
        <v>0</v>
      </c>
      <c r="BH185" s="140">
        <f t="shared" ref="BH185:BH197" si="47">IF(N185="sníž. přenesená",J185,0)</f>
        <v>0</v>
      </c>
      <c r="BI185" s="140">
        <f t="shared" ref="BI185:BI197" si="48">IF(N185="nulová",J185,0)</f>
        <v>0</v>
      </c>
      <c r="BJ185" s="2" t="s">
        <v>87</v>
      </c>
      <c r="BK185" s="140">
        <f t="shared" ref="BK185:BK197" si="49">ROUND(I185*H185,2)</f>
        <v>0</v>
      </c>
      <c r="BL185" s="2" t="s">
        <v>344</v>
      </c>
      <c r="BM185" s="139" t="s">
        <v>981</v>
      </c>
    </row>
    <row r="186" spans="2:65" s="16" customFormat="1" ht="16.5" customHeight="1" x14ac:dyDescent="0.2">
      <c r="B186" s="17"/>
      <c r="C186" s="128">
        <v>42</v>
      </c>
      <c r="D186" s="128" t="s">
        <v>339</v>
      </c>
      <c r="E186" s="129" t="s">
        <v>7011</v>
      </c>
      <c r="F186" s="130" t="s">
        <v>7076</v>
      </c>
      <c r="G186" s="131" t="s">
        <v>724</v>
      </c>
      <c r="H186" s="132">
        <v>300</v>
      </c>
      <c r="I186" s="133"/>
      <c r="J186" s="134">
        <f t="shared" si="40"/>
        <v>0</v>
      </c>
      <c r="K186" s="130"/>
      <c r="L186" s="17"/>
      <c r="M186" s="135"/>
      <c r="N186" s="136" t="s">
        <v>45</v>
      </c>
      <c r="P186" s="137">
        <f t="shared" si="41"/>
        <v>0</v>
      </c>
      <c r="Q186" s="137">
        <v>0</v>
      </c>
      <c r="R186" s="137">
        <f t="shared" si="42"/>
        <v>0</v>
      </c>
      <c r="S186" s="137">
        <v>0</v>
      </c>
      <c r="T186" s="138">
        <f t="shared" si="43"/>
        <v>0</v>
      </c>
      <c r="AR186" s="139" t="s">
        <v>344</v>
      </c>
      <c r="AT186" s="139" t="s">
        <v>339</v>
      </c>
      <c r="AU186" s="139" t="s">
        <v>87</v>
      </c>
      <c r="AY186" s="2" t="s">
        <v>337</v>
      </c>
      <c r="BE186" s="140">
        <f t="shared" si="44"/>
        <v>0</v>
      </c>
      <c r="BF186" s="140">
        <f t="shared" si="45"/>
        <v>0</v>
      </c>
      <c r="BG186" s="140">
        <f t="shared" si="46"/>
        <v>0</v>
      </c>
      <c r="BH186" s="140">
        <f t="shared" si="47"/>
        <v>0</v>
      </c>
      <c r="BI186" s="140">
        <f t="shared" si="48"/>
        <v>0</v>
      </c>
      <c r="BJ186" s="2" t="s">
        <v>87</v>
      </c>
      <c r="BK186" s="140">
        <f t="shared" si="49"/>
        <v>0</v>
      </c>
      <c r="BL186" s="2" t="s">
        <v>344</v>
      </c>
      <c r="BM186" s="139" t="s">
        <v>996</v>
      </c>
    </row>
    <row r="187" spans="2:65" s="16" customFormat="1" ht="16.5" customHeight="1" x14ac:dyDescent="0.2">
      <c r="B187" s="17"/>
      <c r="C187" s="128">
        <v>43</v>
      </c>
      <c r="D187" s="128" t="s">
        <v>339</v>
      </c>
      <c r="E187" s="129" t="s">
        <v>7013</v>
      </c>
      <c r="F187" s="130" t="s">
        <v>7464</v>
      </c>
      <c r="G187" s="131" t="s">
        <v>724</v>
      </c>
      <c r="H187" s="132">
        <v>250</v>
      </c>
      <c r="I187" s="133"/>
      <c r="J187" s="134">
        <f t="shared" si="40"/>
        <v>0</v>
      </c>
      <c r="K187" s="130"/>
      <c r="L187" s="17"/>
      <c r="M187" s="135"/>
      <c r="N187" s="136" t="s">
        <v>45</v>
      </c>
      <c r="P187" s="137">
        <f t="shared" si="41"/>
        <v>0</v>
      </c>
      <c r="Q187" s="137">
        <v>0</v>
      </c>
      <c r="R187" s="137">
        <f t="shared" si="42"/>
        <v>0</v>
      </c>
      <c r="S187" s="137">
        <v>0</v>
      </c>
      <c r="T187" s="138">
        <f t="shared" si="43"/>
        <v>0</v>
      </c>
      <c r="AR187" s="139" t="s">
        <v>344</v>
      </c>
      <c r="AT187" s="139" t="s">
        <v>339</v>
      </c>
      <c r="AU187" s="139" t="s">
        <v>87</v>
      </c>
      <c r="AY187" s="2" t="s">
        <v>337</v>
      </c>
      <c r="BE187" s="140">
        <f t="shared" si="44"/>
        <v>0</v>
      </c>
      <c r="BF187" s="140">
        <f t="shared" si="45"/>
        <v>0</v>
      </c>
      <c r="BG187" s="140">
        <f t="shared" si="46"/>
        <v>0</v>
      </c>
      <c r="BH187" s="140">
        <f t="shared" si="47"/>
        <v>0</v>
      </c>
      <c r="BI187" s="140">
        <f t="shared" si="48"/>
        <v>0</v>
      </c>
      <c r="BJ187" s="2" t="s">
        <v>87</v>
      </c>
      <c r="BK187" s="140">
        <f t="shared" si="49"/>
        <v>0</v>
      </c>
      <c r="BL187" s="2" t="s">
        <v>344</v>
      </c>
      <c r="BM187" s="139" t="s">
        <v>1008</v>
      </c>
    </row>
    <row r="188" spans="2:65" s="16" customFormat="1" ht="16.5" customHeight="1" x14ac:dyDescent="0.2">
      <c r="B188" s="17"/>
      <c r="C188" s="128">
        <v>44</v>
      </c>
      <c r="D188" s="128" t="s">
        <v>339</v>
      </c>
      <c r="E188" s="129" t="s">
        <v>7015</v>
      </c>
      <c r="F188" s="130" t="s">
        <v>7465</v>
      </c>
      <c r="G188" s="131" t="s">
        <v>724</v>
      </c>
      <c r="H188" s="132">
        <v>150</v>
      </c>
      <c r="I188" s="133"/>
      <c r="J188" s="134">
        <f t="shared" si="40"/>
        <v>0</v>
      </c>
      <c r="K188" s="130"/>
      <c r="L188" s="17"/>
      <c r="M188" s="135"/>
      <c r="N188" s="136" t="s">
        <v>45</v>
      </c>
      <c r="P188" s="137">
        <f t="shared" si="41"/>
        <v>0</v>
      </c>
      <c r="Q188" s="137">
        <v>0</v>
      </c>
      <c r="R188" s="137">
        <f t="shared" si="42"/>
        <v>0</v>
      </c>
      <c r="S188" s="137">
        <v>0</v>
      </c>
      <c r="T188" s="138">
        <f t="shared" si="43"/>
        <v>0</v>
      </c>
      <c r="AR188" s="139" t="s">
        <v>344</v>
      </c>
      <c r="AT188" s="139" t="s">
        <v>339</v>
      </c>
      <c r="AU188" s="139" t="s">
        <v>87</v>
      </c>
      <c r="AY188" s="2" t="s">
        <v>337</v>
      </c>
      <c r="BE188" s="140">
        <f t="shared" si="44"/>
        <v>0</v>
      </c>
      <c r="BF188" s="140">
        <f t="shared" si="45"/>
        <v>0</v>
      </c>
      <c r="BG188" s="140">
        <f t="shared" si="46"/>
        <v>0</v>
      </c>
      <c r="BH188" s="140">
        <f t="shared" si="47"/>
        <v>0</v>
      </c>
      <c r="BI188" s="140">
        <f t="shared" si="48"/>
        <v>0</v>
      </c>
      <c r="BJ188" s="2" t="s">
        <v>87</v>
      </c>
      <c r="BK188" s="140">
        <f t="shared" si="49"/>
        <v>0</v>
      </c>
      <c r="BL188" s="2" t="s">
        <v>344</v>
      </c>
      <c r="BM188" s="139" t="s">
        <v>3778</v>
      </c>
    </row>
    <row r="189" spans="2:65" s="16" customFormat="1" ht="16.5" customHeight="1" x14ac:dyDescent="0.2">
      <c r="B189" s="17"/>
      <c r="C189" s="128">
        <v>45</v>
      </c>
      <c r="D189" s="128" t="s">
        <v>339</v>
      </c>
      <c r="E189" s="129" t="s">
        <v>7017</v>
      </c>
      <c r="F189" s="130" t="s">
        <v>7466</v>
      </c>
      <c r="G189" s="131" t="s">
        <v>724</v>
      </c>
      <c r="H189" s="132">
        <v>250</v>
      </c>
      <c r="I189" s="133"/>
      <c r="J189" s="134">
        <f t="shared" si="40"/>
        <v>0</v>
      </c>
      <c r="K189" s="130"/>
      <c r="L189" s="17"/>
      <c r="M189" s="135"/>
      <c r="N189" s="136" t="s">
        <v>45</v>
      </c>
      <c r="P189" s="137">
        <f t="shared" si="41"/>
        <v>0</v>
      </c>
      <c r="Q189" s="137">
        <v>0</v>
      </c>
      <c r="R189" s="137">
        <f t="shared" si="42"/>
        <v>0</v>
      </c>
      <c r="S189" s="137">
        <v>0</v>
      </c>
      <c r="T189" s="138">
        <f t="shared" si="43"/>
        <v>0</v>
      </c>
      <c r="AR189" s="139" t="s">
        <v>344</v>
      </c>
      <c r="AT189" s="139" t="s">
        <v>339</v>
      </c>
      <c r="AU189" s="139" t="s">
        <v>87</v>
      </c>
      <c r="AY189" s="2" t="s">
        <v>337</v>
      </c>
      <c r="BE189" s="140">
        <f t="shared" si="44"/>
        <v>0</v>
      </c>
      <c r="BF189" s="140">
        <f t="shared" si="45"/>
        <v>0</v>
      </c>
      <c r="BG189" s="140">
        <f t="shared" si="46"/>
        <v>0</v>
      </c>
      <c r="BH189" s="140">
        <f t="shared" si="47"/>
        <v>0</v>
      </c>
      <c r="BI189" s="140">
        <f t="shared" si="48"/>
        <v>0</v>
      </c>
      <c r="BJ189" s="2" t="s">
        <v>87</v>
      </c>
      <c r="BK189" s="140">
        <f t="shared" si="49"/>
        <v>0</v>
      </c>
      <c r="BL189" s="2" t="s">
        <v>344</v>
      </c>
      <c r="BM189" s="139" t="s">
        <v>1037</v>
      </c>
    </row>
    <row r="190" spans="2:65" s="16" customFormat="1" ht="16.5" customHeight="1" x14ac:dyDescent="0.2">
      <c r="B190" s="17"/>
      <c r="C190" s="128">
        <v>46</v>
      </c>
      <c r="D190" s="128" t="s">
        <v>339</v>
      </c>
      <c r="E190" s="129" t="s">
        <v>7467</v>
      </c>
      <c r="F190" s="130" t="s">
        <v>7091</v>
      </c>
      <c r="G190" s="131" t="s">
        <v>4460</v>
      </c>
      <c r="H190" s="132">
        <v>110</v>
      </c>
      <c r="I190" s="133"/>
      <c r="J190" s="134">
        <f t="shared" si="40"/>
        <v>0</v>
      </c>
      <c r="K190" s="130"/>
      <c r="L190" s="17"/>
      <c r="M190" s="135"/>
      <c r="N190" s="136" t="s">
        <v>45</v>
      </c>
      <c r="P190" s="137">
        <f t="shared" si="41"/>
        <v>0</v>
      </c>
      <c r="Q190" s="137">
        <v>0</v>
      </c>
      <c r="R190" s="137">
        <f t="shared" si="42"/>
        <v>0</v>
      </c>
      <c r="S190" s="137">
        <v>0</v>
      </c>
      <c r="T190" s="138">
        <f t="shared" si="43"/>
        <v>0</v>
      </c>
      <c r="AR190" s="139" t="s">
        <v>344</v>
      </c>
      <c r="AT190" s="139" t="s">
        <v>339</v>
      </c>
      <c r="AU190" s="139" t="s">
        <v>87</v>
      </c>
      <c r="AY190" s="2" t="s">
        <v>337</v>
      </c>
      <c r="BE190" s="140">
        <f t="shared" si="44"/>
        <v>0</v>
      </c>
      <c r="BF190" s="140">
        <f t="shared" si="45"/>
        <v>0</v>
      </c>
      <c r="BG190" s="140">
        <f t="shared" si="46"/>
        <v>0</v>
      </c>
      <c r="BH190" s="140">
        <f t="shared" si="47"/>
        <v>0</v>
      </c>
      <c r="BI190" s="140">
        <f t="shared" si="48"/>
        <v>0</v>
      </c>
      <c r="BJ190" s="2" t="s">
        <v>87</v>
      </c>
      <c r="BK190" s="140">
        <f t="shared" si="49"/>
        <v>0</v>
      </c>
      <c r="BL190" s="2" t="s">
        <v>344</v>
      </c>
      <c r="BM190" s="139" t="s">
        <v>1049</v>
      </c>
    </row>
    <row r="191" spans="2:65" s="16" customFormat="1" ht="16.5" customHeight="1" x14ac:dyDescent="0.2">
      <c r="B191" s="17"/>
      <c r="C191" s="128">
        <v>47</v>
      </c>
      <c r="D191" s="128" t="s">
        <v>339</v>
      </c>
      <c r="E191" s="129" t="s">
        <v>7022</v>
      </c>
      <c r="F191" s="130" t="s">
        <v>7093</v>
      </c>
      <c r="G191" s="131" t="s">
        <v>4460</v>
      </c>
      <c r="H191" s="132">
        <v>150</v>
      </c>
      <c r="I191" s="133"/>
      <c r="J191" s="134">
        <f t="shared" si="40"/>
        <v>0</v>
      </c>
      <c r="K191" s="130"/>
      <c r="L191" s="17"/>
      <c r="M191" s="135"/>
      <c r="N191" s="136" t="s">
        <v>45</v>
      </c>
      <c r="P191" s="137">
        <f t="shared" si="41"/>
        <v>0</v>
      </c>
      <c r="Q191" s="137">
        <v>0</v>
      </c>
      <c r="R191" s="137">
        <f t="shared" si="42"/>
        <v>0</v>
      </c>
      <c r="S191" s="137">
        <v>0</v>
      </c>
      <c r="T191" s="138">
        <f t="shared" si="43"/>
        <v>0</v>
      </c>
      <c r="AR191" s="139" t="s">
        <v>344</v>
      </c>
      <c r="AT191" s="139" t="s">
        <v>339</v>
      </c>
      <c r="AU191" s="139" t="s">
        <v>87</v>
      </c>
      <c r="AY191" s="2" t="s">
        <v>337</v>
      </c>
      <c r="BE191" s="140">
        <f t="shared" si="44"/>
        <v>0</v>
      </c>
      <c r="BF191" s="140">
        <f t="shared" si="45"/>
        <v>0</v>
      </c>
      <c r="BG191" s="140">
        <f t="shared" si="46"/>
        <v>0</v>
      </c>
      <c r="BH191" s="140">
        <f t="shared" si="47"/>
        <v>0</v>
      </c>
      <c r="BI191" s="140">
        <f t="shared" si="48"/>
        <v>0</v>
      </c>
      <c r="BJ191" s="2" t="s">
        <v>87</v>
      </c>
      <c r="BK191" s="140">
        <f t="shared" si="49"/>
        <v>0</v>
      </c>
      <c r="BL191" s="2" t="s">
        <v>344</v>
      </c>
      <c r="BM191" s="139" t="s">
        <v>1738</v>
      </c>
    </row>
    <row r="192" spans="2:65" s="16" customFormat="1" ht="16.5" customHeight="1" x14ac:dyDescent="0.2">
      <c r="B192" s="17"/>
      <c r="C192" s="128">
        <v>48</v>
      </c>
      <c r="D192" s="128" t="s">
        <v>339</v>
      </c>
      <c r="E192" s="129" t="s">
        <v>7024</v>
      </c>
      <c r="F192" s="130" t="s">
        <v>7468</v>
      </c>
      <c r="G192" s="131" t="s">
        <v>724</v>
      </c>
      <c r="H192" s="132">
        <v>100</v>
      </c>
      <c r="I192" s="133"/>
      <c r="J192" s="134">
        <f t="shared" si="40"/>
        <v>0</v>
      </c>
      <c r="K192" s="130"/>
      <c r="L192" s="17"/>
      <c r="M192" s="135"/>
      <c r="N192" s="136" t="s">
        <v>45</v>
      </c>
      <c r="P192" s="137">
        <f t="shared" si="41"/>
        <v>0</v>
      </c>
      <c r="Q192" s="137">
        <v>0</v>
      </c>
      <c r="R192" s="137">
        <f t="shared" si="42"/>
        <v>0</v>
      </c>
      <c r="S192" s="137">
        <v>0</v>
      </c>
      <c r="T192" s="138">
        <f t="shared" si="43"/>
        <v>0</v>
      </c>
      <c r="AR192" s="139" t="s">
        <v>344</v>
      </c>
      <c r="AT192" s="139" t="s">
        <v>339</v>
      </c>
      <c r="AU192" s="139" t="s">
        <v>87</v>
      </c>
      <c r="AY192" s="2" t="s">
        <v>337</v>
      </c>
      <c r="BE192" s="140">
        <f t="shared" si="44"/>
        <v>0</v>
      </c>
      <c r="BF192" s="140">
        <f t="shared" si="45"/>
        <v>0</v>
      </c>
      <c r="BG192" s="140">
        <f t="shared" si="46"/>
        <v>0</v>
      </c>
      <c r="BH192" s="140">
        <f t="shared" si="47"/>
        <v>0</v>
      </c>
      <c r="BI192" s="140">
        <f t="shared" si="48"/>
        <v>0</v>
      </c>
      <c r="BJ192" s="2" t="s">
        <v>87</v>
      </c>
      <c r="BK192" s="140">
        <f t="shared" si="49"/>
        <v>0</v>
      </c>
      <c r="BL192" s="2" t="s">
        <v>344</v>
      </c>
      <c r="BM192" s="139" t="s">
        <v>1080</v>
      </c>
    </row>
    <row r="193" spans="2:65" s="16" customFormat="1" ht="16.5" customHeight="1" x14ac:dyDescent="0.2">
      <c r="B193" s="17"/>
      <c r="C193" s="128">
        <v>49</v>
      </c>
      <c r="D193" s="128" t="s">
        <v>339</v>
      </c>
      <c r="E193" s="129" t="s">
        <v>7027</v>
      </c>
      <c r="F193" s="130" t="s">
        <v>7469</v>
      </c>
      <c r="G193" s="131" t="s">
        <v>724</v>
      </c>
      <c r="H193" s="132">
        <v>125</v>
      </c>
      <c r="I193" s="133"/>
      <c r="J193" s="134">
        <f t="shared" si="40"/>
        <v>0</v>
      </c>
      <c r="K193" s="130"/>
      <c r="L193" s="17"/>
      <c r="M193" s="135"/>
      <c r="N193" s="136" t="s">
        <v>45</v>
      </c>
      <c r="P193" s="137">
        <f t="shared" si="41"/>
        <v>0</v>
      </c>
      <c r="Q193" s="137">
        <v>0</v>
      </c>
      <c r="R193" s="137">
        <f t="shared" si="42"/>
        <v>0</v>
      </c>
      <c r="S193" s="137">
        <v>0</v>
      </c>
      <c r="T193" s="138">
        <f t="shared" si="43"/>
        <v>0</v>
      </c>
      <c r="AR193" s="139" t="s">
        <v>344</v>
      </c>
      <c r="AT193" s="139" t="s">
        <v>339</v>
      </c>
      <c r="AU193" s="139" t="s">
        <v>87</v>
      </c>
      <c r="AY193" s="2" t="s">
        <v>337</v>
      </c>
      <c r="BE193" s="140">
        <f t="shared" si="44"/>
        <v>0</v>
      </c>
      <c r="BF193" s="140">
        <f t="shared" si="45"/>
        <v>0</v>
      </c>
      <c r="BG193" s="140">
        <f t="shared" si="46"/>
        <v>0</v>
      </c>
      <c r="BH193" s="140">
        <f t="shared" si="47"/>
        <v>0</v>
      </c>
      <c r="BI193" s="140">
        <f t="shared" si="48"/>
        <v>0</v>
      </c>
      <c r="BJ193" s="2" t="s">
        <v>87</v>
      </c>
      <c r="BK193" s="140">
        <f t="shared" si="49"/>
        <v>0</v>
      </c>
      <c r="BL193" s="2" t="s">
        <v>344</v>
      </c>
      <c r="BM193" s="139" t="s">
        <v>1093</v>
      </c>
    </row>
    <row r="194" spans="2:65" s="16" customFormat="1" ht="16.5" customHeight="1" x14ac:dyDescent="0.2">
      <c r="B194" s="17"/>
      <c r="C194" s="128">
        <v>50</v>
      </c>
      <c r="D194" s="128" t="s">
        <v>339</v>
      </c>
      <c r="E194" s="129" t="s">
        <v>7470</v>
      </c>
      <c r="F194" s="130" t="s">
        <v>7471</v>
      </c>
      <c r="G194" s="131" t="s">
        <v>724</v>
      </c>
      <c r="H194" s="132">
        <v>40</v>
      </c>
      <c r="I194" s="133"/>
      <c r="J194" s="134">
        <f t="shared" si="40"/>
        <v>0</v>
      </c>
      <c r="K194" s="130"/>
      <c r="L194" s="17"/>
      <c r="M194" s="135"/>
      <c r="N194" s="136" t="s">
        <v>45</v>
      </c>
      <c r="P194" s="137">
        <f t="shared" si="41"/>
        <v>0</v>
      </c>
      <c r="Q194" s="137">
        <v>0</v>
      </c>
      <c r="R194" s="137">
        <f t="shared" si="42"/>
        <v>0</v>
      </c>
      <c r="S194" s="137">
        <v>0</v>
      </c>
      <c r="T194" s="138">
        <f t="shared" si="43"/>
        <v>0</v>
      </c>
      <c r="AR194" s="139" t="s">
        <v>344</v>
      </c>
      <c r="AT194" s="139" t="s">
        <v>339</v>
      </c>
      <c r="AU194" s="139" t="s">
        <v>87</v>
      </c>
      <c r="AY194" s="2" t="s">
        <v>337</v>
      </c>
      <c r="BE194" s="140">
        <f t="shared" si="44"/>
        <v>0</v>
      </c>
      <c r="BF194" s="140">
        <f t="shared" si="45"/>
        <v>0</v>
      </c>
      <c r="BG194" s="140">
        <f t="shared" si="46"/>
        <v>0</v>
      </c>
      <c r="BH194" s="140">
        <f t="shared" si="47"/>
        <v>0</v>
      </c>
      <c r="BI194" s="140">
        <f t="shared" si="48"/>
        <v>0</v>
      </c>
      <c r="BJ194" s="2" t="s">
        <v>87</v>
      </c>
      <c r="BK194" s="140">
        <f t="shared" si="49"/>
        <v>0</v>
      </c>
      <c r="BL194" s="2" t="s">
        <v>344</v>
      </c>
      <c r="BM194" s="139" t="s">
        <v>3852</v>
      </c>
    </row>
    <row r="195" spans="2:65" s="16" customFormat="1" ht="16.5" customHeight="1" x14ac:dyDescent="0.2">
      <c r="B195" s="17"/>
      <c r="C195" s="128">
        <v>51</v>
      </c>
      <c r="D195" s="128" t="s">
        <v>339</v>
      </c>
      <c r="E195" s="129" t="s">
        <v>7029</v>
      </c>
      <c r="F195" s="130" t="s">
        <v>7472</v>
      </c>
      <c r="G195" s="131" t="s">
        <v>724</v>
      </c>
      <c r="H195" s="132">
        <v>40</v>
      </c>
      <c r="I195" s="133"/>
      <c r="J195" s="134">
        <f t="shared" si="40"/>
        <v>0</v>
      </c>
      <c r="K195" s="130"/>
      <c r="L195" s="17"/>
      <c r="M195" s="135"/>
      <c r="N195" s="136" t="s">
        <v>45</v>
      </c>
      <c r="P195" s="137">
        <f t="shared" si="41"/>
        <v>0</v>
      </c>
      <c r="Q195" s="137">
        <v>0</v>
      </c>
      <c r="R195" s="137">
        <f t="shared" si="42"/>
        <v>0</v>
      </c>
      <c r="S195" s="137">
        <v>0</v>
      </c>
      <c r="T195" s="138">
        <f t="shared" si="43"/>
        <v>0</v>
      </c>
      <c r="AR195" s="139" t="s">
        <v>344</v>
      </c>
      <c r="AT195" s="139" t="s">
        <v>339</v>
      </c>
      <c r="AU195" s="139" t="s">
        <v>87</v>
      </c>
      <c r="AY195" s="2" t="s">
        <v>337</v>
      </c>
      <c r="BE195" s="140">
        <f t="shared" si="44"/>
        <v>0</v>
      </c>
      <c r="BF195" s="140">
        <f t="shared" si="45"/>
        <v>0</v>
      </c>
      <c r="BG195" s="140">
        <f t="shared" si="46"/>
        <v>0</v>
      </c>
      <c r="BH195" s="140">
        <f t="shared" si="47"/>
        <v>0</v>
      </c>
      <c r="BI195" s="140">
        <f t="shared" si="48"/>
        <v>0</v>
      </c>
      <c r="BJ195" s="2" t="s">
        <v>87</v>
      </c>
      <c r="BK195" s="140">
        <f t="shared" si="49"/>
        <v>0</v>
      </c>
      <c r="BL195" s="2" t="s">
        <v>344</v>
      </c>
      <c r="BM195" s="139" t="s">
        <v>3864</v>
      </c>
    </row>
    <row r="196" spans="2:65" s="16" customFormat="1" ht="16.5" customHeight="1" x14ac:dyDescent="0.2">
      <c r="B196" s="17"/>
      <c r="C196" s="128">
        <v>52</v>
      </c>
      <c r="D196" s="128" t="s">
        <v>339</v>
      </c>
      <c r="E196" s="129" t="s">
        <v>7473</v>
      </c>
      <c r="F196" s="130" t="s">
        <v>7474</v>
      </c>
      <c r="G196" s="131" t="s">
        <v>4460</v>
      </c>
      <c r="H196" s="132">
        <v>225</v>
      </c>
      <c r="I196" s="133"/>
      <c r="J196" s="134">
        <f t="shared" si="40"/>
        <v>0</v>
      </c>
      <c r="K196" s="130"/>
      <c r="L196" s="17"/>
      <c r="M196" s="135"/>
      <c r="N196" s="136" t="s">
        <v>45</v>
      </c>
      <c r="P196" s="137">
        <f t="shared" si="41"/>
        <v>0</v>
      </c>
      <c r="Q196" s="137">
        <v>0</v>
      </c>
      <c r="R196" s="137">
        <f t="shared" si="42"/>
        <v>0</v>
      </c>
      <c r="S196" s="137">
        <v>0</v>
      </c>
      <c r="T196" s="138">
        <f t="shared" si="43"/>
        <v>0</v>
      </c>
      <c r="AR196" s="139" t="s">
        <v>344</v>
      </c>
      <c r="AT196" s="139" t="s">
        <v>339</v>
      </c>
      <c r="AU196" s="139" t="s">
        <v>87</v>
      </c>
      <c r="AY196" s="2" t="s">
        <v>337</v>
      </c>
      <c r="BE196" s="140">
        <f t="shared" si="44"/>
        <v>0</v>
      </c>
      <c r="BF196" s="140">
        <f t="shared" si="45"/>
        <v>0</v>
      </c>
      <c r="BG196" s="140">
        <f t="shared" si="46"/>
        <v>0</v>
      </c>
      <c r="BH196" s="140">
        <f t="shared" si="47"/>
        <v>0</v>
      </c>
      <c r="BI196" s="140">
        <f t="shared" si="48"/>
        <v>0</v>
      </c>
      <c r="BJ196" s="2" t="s">
        <v>87</v>
      </c>
      <c r="BK196" s="140">
        <f t="shared" si="49"/>
        <v>0</v>
      </c>
      <c r="BL196" s="2" t="s">
        <v>344</v>
      </c>
      <c r="BM196" s="139" t="s">
        <v>1737</v>
      </c>
    </row>
    <row r="197" spans="2:65" s="16" customFormat="1" ht="16.5" customHeight="1" x14ac:dyDescent="0.2">
      <c r="B197" s="17"/>
      <c r="C197" s="128">
        <v>53</v>
      </c>
      <c r="D197" s="128" t="s">
        <v>339</v>
      </c>
      <c r="E197" s="129" t="s">
        <v>7475</v>
      </c>
      <c r="F197" s="130" t="s">
        <v>7476</v>
      </c>
      <c r="G197" s="131" t="s">
        <v>4460</v>
      </c>
      <c r="H197" s="132">
        <v>1</v>
      </c>
      <c r="I197" s="133"/>
      <c r="J197" s="134">
        <f t="shared" si="40"/>
        <v>0</v>
      </c>
      <c r="K197" s="130"/>
      <c r="L197" s="17"/>
      <c r="M197" s="135"/>
      <c r="N197" s="136" t="s">
        <v>45</v>
      </c>
      <c r="P197" s="137">
        <f t="shared" si="41"/>
        <v>0</v>
      </c>
      <c r="Q197" s="137">
        <v>0</v>
      </c>
      <c r="R197" s="137">
        <f t="shared" si="42"/>
        <v>0</v>
      </c>
      <c r="S197" s="137">
        <v>0</v>
      </c>
      <c r="T197" s="138">
        <f t="shared" si="43"/>
        <v>0</v>
      </c>
      <c r="AR197" s="139" t="s">
        <v>344</v>
      </c>
      <c r="AT197" s="139" t="s">
        <v>339</v>
      </c>
      <c r="AU197" s="139" t="s">
        <v>87</v>
      </c>
      <c r="AY197" s="2" t="s">
        <v>337</v>
      </c>
      <c r="BE197" s="140">
        <f t="shared" si="44"/>
        <v>0</v>
      </c>
      <c r="BF197" s="140">
        <f t="shared" si="45"/>
        <v>0</v>
      </c>
      <c r="BG197" s="140">
        <f t="shared" si="46"/>
        <v>0</v>
      </c>
      <c r="BH197" s="140">
        <f t="shared" si="47"/>
        <v>0</v>
      </c>
      <c r="BI197" s="140">
        <f t="shared" si="48"/>
        <v>0</v>
      </c>
      <c r="BJ197" s="2" t="s">
        <v>87</v>
      </c>
      <c r="BK197" s="140">
        <f t="shared" si="49"/>
        <v>0</v>
      </c>
      <c r="BL197" s="2" t="s">
        <v>344</v>
      </c>
      <c r="BM197" s="139" t="s">
        <v>1146</v>
      </c>
    </row>
    <row r="198" spans="2:65" s="16" customFormat="1" ht="39" x14ac:dyDescent="0.2">
      <c r="B198" s="17"/>
      <c r="D198" s="143" t="s">
        <v>644</v>
      </c>
      <c r="F198" s="179" t="s">
        <v>7477</v>
      </c>
      <c r="L198" s="17"/>
      <c r="M198" s="180"/>
      <c r="T198" s="41"/>
      <c r="AT198" s="2" t="s">
        <v>644</v>
      </c>
      <c r="AU198" s="2" t="s">
        <v>87</v>
      </c>
    </row>
    <row r="199" spans="2:65" s="16" customFormat="1" ht="16.5" customHeight="1" x14ac:dyDescent="0.2">
      <c r="B199" s="17"/>
      <c r="C199" s="128">
        <v>54</v>
      </c>
      <c r="D199" s="128" t="s">
        <v>339</v>
      </c>
      <c r="E199" s="129" t="s">
        <v>7478</v>
      </c>
      <c r="F199" s="130" t="s">
        <v>7479</v>
      </c>
      <c r="G199" s="131" t="s">
        <v>4460</v>
      </c>
      <c r="H199" s="132">
        <v>1</v>
      </c>
      <c r="I199" s="133"/>
      <c r="J199" s="134">
        <f>ROUND(I199*H199,2)</f>
        <v>0</v>
      </c>
      <c r="K199" s="130"/>
      <c r="L199" s="17"/>
      <c r="M199" s="135"/>
      <c r="N199" s="136" t="s">
        <v>45</v>
      </c>
      <c r="P199" s="137">
        <f>O199*H199</f>
        <v>0</v>
      </c>
      <c r="Q199" s="137">
        <v>0</v>
      </c>
      <c r="R199" s="137">
        <f>Q199*H199</f>
        <v>0</v>
      </c>
      <c r="S199" s="137">
        <v>0</v>
      </c>
      <c r="T199" s="138">
        <f>S199*H199</f>
        <v>0</v>
      </c>
      <c r="AR199" s="139" t="s">
        <v>344</v>
      </c>
      <c r="AT199" s="139" t="s">
        <v>339</v>
      </c>
      <c r="AU199" s="139" t="s">
        <v>87</v>
      </c>
      <c r="AY199" s="2" t="s">
        <v>337</v>
      </c>
      <c r="BE199" s="140">
        <f>IF(N199="základní",J199,0)</f>
        <v>0</v>
      </c>
      <c r="BF199" s="140">
        <f>IF(N199="snížená",J199,0)</f>
        <v>0</v>
      </c>
      <c r="BG199" s="140">
        <f>IF(N199="zákl. přenesená",J199,0)</f>
        <v>0</v>
      </c>
      <c r="BH199" s="140">
        <f>IF(N199="sníž. přenesená",J199,0)</f>
        <v>0</v>
      </c>
      <c r="BI199" s="140">
        <f>IF(N199="nulová",J199,0)</f>
        <v>0</v>
      </c>
      <c r="BJ199" s="2" t="s">
        <v>87</v>
      </c>
      <c r="BK199" s="140">
        <f>ROUND(I199*H199,2)</f>
        <v>0</v>
      </c>
      <c r="BL199" s="2" t="s">
        <v>344</v>
      </c>
      <c r="BM199" s="139" t="s">
        <v>1156</v>
      </c>
    </row>
    <row r="200" spans="2:65" s="16" customFormat="1" ht="39" x14ac:dyDescent="0.2">
      <c r="B200" s="17"/>
      <c r="D200" s="143" t="s">
        <v>644</v>
      </c>
      <c r="F200" s="179" t="s">
        <v>7480</v>
      </c>
      <c r="L200" s="17"/>
      <c r="M200" s="180"/>
      <c r="T200" s="41"/>
      <c r="AT200" s="2" t="s">
        <v>644</v>
      </c>
      <c r="AU200" s="2" t="s">
        <v>87</v>
      </c>
    </row>
    <row r="201" spans="2:65" s="16" customFormat="1" ht="16.5" customHeight="1" x14ac:dyDescent="0.2">
      <c r="B201" s="17"/>
      <c r="C201" s="128">
        <v>55</v>
      </c>
      <c r="D201" s="128" t="s">
        <v>339</v>
      </c>
      <c r="E201" s="129" t="s">
        <v>7481</v>
      </c>
      <c r="F201" s="130" t="s">
        <v>7482</v>
      </c>
      <c r="G201" s="131" t="s">
        <v>4460</v>
      </c>
      <c r="H201" s="132">
        <v>1</v>
      </c>
      <c r="I201" s="133"/>
      <c r="J201" s="134">
        <f>ROUND(I201*H201,2)</f>
        <v>0</v>
      </c>
      <c r="K201" s="130"/>
      <c r="L201" s="17"/>
      <c r="M201" s="135"/>
      <c r="N201" s="136" t="s">
        <v>45</v>
      </c>
      <c r="P201" s="137">
        <f>O201*H201</f>
        <v>0</v>
      </c>
      <c r="Q201" s="137">
        <v>0</v>
      </c>
      <c r="R201" s="137">
        <f>Q201*H201</f>
        <v>0</v>
      </c>
      <c r="S201" s="137">
        <v>0</v>
      </c>
      <c r="T201" s="138">
        <f>S201*H201</f>
        <v>0</v>
      </c>
      <c r="AR201" s="139" t="s">
        <v>344</v>
      </c>
      <c r="AT201" s="139" t="s">
        <v>339</v>
      </c>
      <c r="AU201" s="139" t="s">
        <v>87</v>
      </c>
      <c r="AY201" s="2" t="s">
        <v>337</v>
      </c>
      <c r="BE201" s="140">
        <f>IF(N201="základní",J201,0)</f>
        <v>0</v>
      </c>
      <c r="BF201" s="140">
        <f>IF(N201="snížená",J201,0)</f>
        <v>0</v>
      </c>
      <c r="BG201" s="140">
        <f>IF(N201="zákl. přenesená",J201,0)</f>
        <v>0</v>
      </c>
      <c r="BH201" s="140">
        <f>IF(N201="sníž. přenesená",J201,0)</f>
        <v>0</v>
      </c>
      <c r="BI201" s="140">
        <f>IF(N201="nulová",J201,0)</f>
        <v>0</v>
      </c>
      <c r="BJ201" s="2" t="s">
        <v>87</v>
      </c>
      <c r="BK201" s="140">
        <f>ROUND(I201*H201,2)</f>
        <v>0</v>
      </c>
      <c r="BL201" s="2" t="s">
        <v>344</v>
      </c>
      <c r="BM201" s="139" t="s">
        <v>1172</v>
      </c>
    </row>
    <row r="202" spans="2:65" s="16" customFormat="1" ht="39" x14ac:dyDescent="0.2">
      <c r="B202" s="17"/>
      <c r="D202" s="143" t="s">
        <v>644</v>
      </c>
      <c r="F202" s="179" t="s">
        <v>7483</v>
      </c>
      <c r="L202" s="17"/>
      <c r="M202" s="180"/>
      <c r="T202" s="41"/>
      <c r="AT202" s="2" t="s">
        <v>644</v>
      </c>
      <c r="AU202" s="2" t="s">
        <v>87</v>
      </c>
    </row>
    <row r="203" spans="2:65" s="16" customFormat="1" ht="16.5" customHeight="1" x14ac:dyDescent="0.2">
      <c r="B203" s="17"/>
      <c r="C203" s="128">
        <v>56</v>
      </c>
      <c r="D203" s="128" t="s">
        <v>339</v>
      </c>
      <c r="E203" s="129" t="s">
        <v>7484</v>
      </c>
      <c r="F203" s="130" t="s">
        <v>7485</v>
      </c>
      <c r="G203" s="131" t="s">
        <v>4460</v>
      </c>
      <c r="H203" s="132">
        <v>49</v>
      </c>
      <c r="I203" s="133"/>
      <c r="J203" s="134">
        <f t="shared" ref="J203:J224" si="50">ROUND(I203*H203,2)</f>
        <v>0</v>
      </c>
      <c r="K203" s="130"/>
      <c r="L203" s="17"/>
      <c r="M203" s="135"/>
      <c r="N203" s="136" t="s">
        <v>45</v>
      </c>
      <c r="P203" s="137">
        <f t="shared" ref="P203:P224" si="51">O203*H203</f>
        <v>0</v>
      </c>
      <c r="Q203" s="137">
        <v>0</v>
      </c>
      <c r="R203" s="137">
        <f t="shared" ref="R203:R224" si="52">Q203*H203</f>
        <v>0</v>
      </c>
      <c r="S203" s="137">
        <v>0</v>
      </c>
      <c r="T203" s="138">
        <f t="shared" ref="T203:T224" si="53">S203*H203</f>
        <v>0</v>
      </c>
      <c r="AR203" s="139" t="s">
        <v>344</v>
      </c>
      <c r="AT203" s="139" t="s">
        <v>339</v>
      </c>
      <c r="AU203" s="139" t="s">
        <v>87</v>
      </c>
      <c r="AY203" s="2" t="s">
        <v>337</v>
      </c>
      <c r="BE203" s="140">
        <f t="shared" ref="BE203:BE224" si="54">IF(N203="základní",J203,0)</f>
        <v>0</v>
      </c>
      <c r="BF203" s="140">
        <f t="shared" ref="BF203:BF224" si="55">IF(N203="snížená",J203,0)</f>
        <v>0</v>
      </c>
      <c r="BG203" s="140">
        <f t="shared" ref="BG203:BG224" si="56">IF(N203="zákl. přenesená",J203,0)</f>
        <v>0</v>
      </c>
      <c r="BH203" s="140">
        <f t="shared" ref="BH203:BH224" si="57">IF(N203="sníž. přenesená",J203,0)</f>
        <v>0</v>
      </c>
      <c r="BI203" s="140">
        <f t="shared" ref="BI203:BI224" si="58">IF(N203="nulová",J203,0)</f>
        <v>0</v>
      </c>
      <c r="BJ203" s="2" t="s">
        <v>87</v>
      </c>
      <c r="BK203" s="140">
        <f t="shared" ref="BK203:BK224" si="59">ROUND(I203*H203,2)</f>
        <v>0</v>
      </c>
      <c r="BL203" s="2" t="s">
        <v>344</v>
      </c>
      <c r="BM203" s="139" t="s">
        <v>7486</v>
      </c>
    </row>
    <row r="204" spans="2:65" s="16" customFormat="1" ht="16.5" customHeight="1" x14ac:dyDescent="0.2">
      <c r="B204" s="17"/>
      <c r="C204" s="128">
        <v>57</v>
      </c>
      <c r="D204" s="128" t="s">
        <v>339</v>
      </c>
      <c r="E204" s="129" t="s">
        <v>7487</v>
      </c>
      <c r="F204" s="130" t="s">
        <v>7488</v>
      </c>
      <c r="G204" s="131" t="s">
        <v>4460</v>
      </c>
      <c r="H204" s="132">
        <v>2</v>
      </c>
      <c r="I204" s="133"/>
      <c r="J204" s="134">
        <f t="shared" si="50"/>
        <v>0</v>
      </c>
      <c r="K204" s="130"/>
      <c r="L204" s="17"/>
      <c r="M204" s="135"/>
      <c r="N204" s="136" t="s">
        <v>45</v>
      </c>
      <c r="P204" s="137">
        <f t="shared" si="51"/>
        <v>0</v>
      </c>
      <c r="Q204" s="137">
        <v>0</v>
      </c>
      <c r="R204" s="137">
        <f t="shared" si="52"/>
        <v>0</v>
      </c>
      <c r="S204" s="137">
        <v>0</v>
      </c>
      <c r="T204" s="138">
        <f t="shared" si="53"/>
        <v>0</v>
      </c>
      <c r="AR204" s="139" t="s">
        <v>344</v>
      </c>
      <c r="AT204" s="139" t="s">
        <v>339</v>
      </c>
      <c r="AU204" s="139" t="s">
        <v>87</v>
      </c>
      <c r="AY204" s="2" t="s">
        <v>337</v>
      </c>
      <c r="BE204" s="140">
        <f t="shared" si="54"/>
        <v>0</v>
      </c>
      <c r="BF204" s="140">
        <f t="shared" si="55"/>
        <v>0</v>
      </c>
      <c r="BG204" s="140">
        <f t="shared" si="56"/>
        <v>0</v>
      </c>
      <c r="BH204" s="140">
        <f t="shared" si="57"/>
        <v>0</v>
      </c>
      <c r="BI204" s="140">
        <f t="shared" si="58"/>
        <v>0</v>
      </c>
      <c r="BJ204" s="2" t="s">
        <v>87</v>
      </c>
      <c r="BK204" s="140">
        <f t="shared" si="59"/>
        <v>0</v>
      </c>
      <c r="BL204" s="2" t="s">
        <v>344</v>
      </c>
      <c r="BM204" s="139" t="s">
        <v>7489</v>
      </c>
    </row>
    <row r="205" spans="2:65" s="16" customFormat="1" ht="16.5" customHeight="1" x14ac:dyDescent="0.2">
      <c r="B205" s="17"/>
      <c r="C205" s="128">
        <v>58</v>
      </c>
      <c r="D205" s="128" t="s">
        <v>339</v>
      </c>
      <c r="E205" s="129" t="s">
        <v>7490</v>
      </c>
      <c r="F205" s="130" t="s">
        <v>7491</v>
      </c>
      <c r="G205" s="131" t="s">
        <v>4460</v>
      </c>
      <c r="H205" s="132">
        <v>49</v>
      </c>
      <c r="I205" s="133"/>
      <c r="J205" s="134">
        <f t="shared" si="50"/>
        <v>0</v>
      </c>
      <c r="K205" s="130"/>
      <c r="L205" s="17"/>
      <c r="M205" s="135"/>
      <c r="N205" s="136" t="s">
        <v>45</v>
      </c>
      <c r="P205" s="137">
        <f t="shared" si="51"/>
        <v>0</v>
      </c>
      <c r="Q205" s="137">
        <v>0</v>
      </c>
      <c r="R205" s="137">
        <f t="shared" si="52"/>
        <v>0</v>
      </c>
      <c r="S205" s="137">
        <v>0</v>
      </c>
      <c r="T205" s="138">
        <f t="shared" si="53"/>
        <v>0</v>
      </c>
      <c r="AR205" s="139" t="s">
        <v>344</v>
      </c>
      <c r="AT205" s="139" t="s">
        <v>339</v>
      </c>
      <c r="AU205" s="139" t="s">
        <v>87</v>
      </c>
      <c r="AY205" s="2" t="s">
        <v>337</v>
      </c>
      <c r="BE205" s="140">
        <f t="shared" si="54"/>
        <v>0</v>
      </c>
      <c r="BF205" s="140">
        <f t="shared" si="55"/>
        <v>0</v>
      </c>
      <c r="BG205" s="140">
        <f t="shared" si="56"/>
        <v>0</v>
      </c>
      <c r="BH205" s="140">
        <f t="shared" si="57"/>
        <v>0</v>
      </c>
      <c r="BI205" s="140">
        <f t="shared" si="58"/>
        <v>0</v>
      </c>
      <c r="BJ205" s="2" t="s">
        <v>87</v>
      </c>
      <c r="BK205" s="140">
        <f t="shared" si="59"/>
        <v>0</v>
      </c>
      <c r="BL205" s="2" t="s">
        <v>344</v>
      </c>
      <c r="BM205" s="139" t="s">
        <v>7492</v>
      </c>
    </row>
    <row r="206" spans="2:65" s="16" customFormat="1" ht="16.5" customHeight="1" x14ac:dyDescent="0.2">
      <c r="B206" s="17"/>
      <c r="C206" s="128">
        <v>59</v>
      </c>
      <c r="D206" s="128" t="s">
        <v>339</v>
      </c>
      <c r="E206" s="129" t="s">
        <v>7493</v>
      </c>
      <c r="F206" s="130" t="s">
        <v>7494</v>
      </c>
      <c r="G206" s="131" t="s">
        <v>4460</v>
      </c>
      <c r="H206" s="132">
        <v>49</v>
      </c>
      <c r="I206" s="133"/>
      <c r="J206" s="134">
        <f t="shared" si="50"/>
        <v>0</v>
      </c>
      <c r="K206" s="130"/>
      <c r="L206" s="17"/>
      <c r="M206" s="135"/>
      <c r="N206" s="136" t="s">
        <v>45</v>
      </c>
      <c r="P206" s="137">
        <f t="shared" si="51"/>
        <v>0</v>
      </c>
      <c r="Q206" s="137">
        <v>0</v>
      </c>
      <c r="R206" s="137">
        <f t="shared" si="52"/>
        <v>0</v>
      </c>
      <c r="S206" s="137">
        <v>0</v>
      </c>
      <c r="T206" s="138">
        <f t="shared" si="53"/>
        <v>0</v>
      </c>
      <c r="AR206" s="139" t="s">
        <v>344</v>
      </c>
      <c r="AT206" s="139" t="s">
        <v>339</v>
      </c>
      <c r="AU206" s="139" t="s">
        <v>87</v>
      </c>
      <c r="AY206" s="2" t="s">
        <v>337</v>
      </c>
      <c r="BE206" s="140">
        <f t="shared" si="54"/>
        <v>0</v>
      </c>
      <c r="BF206" s="140">
        <f t="shared" si="55"/>
        <v>0</v>
      </c>
      <c r="BG206" s="140">
        <f t="shared" si="56"/>
        <v>0</v>
      </c>
      <c r="BH206" s="140">
        <f t="shared" si="57"/>
        <v>0</v>
      </c>
      <c r="BI206" s="140">
        <f t="shared" si="58"/>
        <v>0</v>
      </c>
      <c r="BJ206" s="2" t="s">
        <v>87</v>
      </c>
      <c r="BK206" s="140">
        <f t="shared" si="59"/>
        <v>0</v>
      </c>
      <c r="BL206" s="2" t="s">
        <v>344</v>
      </c>
      <c r="BM206" s="139" t="s">
        <v>7495</v>
      </c>
    </row>
    <row r="207" spans="2:65" s="16" customFormat="1" ht="16.5" customHeight="1" x14ac:dyDescent="0.2">
      <c r="B207" s="17"/>
      <c r="C207" s="128">
        <v>60</v>
      </c>
      <c r="D207" s="128" t="s">
        <v>339</v>
      </c>
      <c r="E207" s="129" t="s">
        <v>7496</v>
      </c>
      <c r="F207" s="130" t="s">
        <v>7497</v>
      </c>
      <c r="G207" s="131" t="s">
        <v>4460</v>
      </c>
      <c r="H207" s="132">
        <v>4</v>
      </c>
      <c r="I207" s="133"/>
      <c r="J207" s="134">
        <f t="shared" si="50"/>
        <v>0</v>
      </c>
      <c r="K207" s="130"/>
      <c r="L207" s="17"/>
      <c r="M207" s="135"/>
      <c r="N207" s="136" t="s">
        <v>45</v>
      </c>
      <c r="P207" s="137">
        <f t="shared" si="51"/>
        <v>0</v>
      </c>
      <c r="Q207" s="137">
        <v>0</v>
      </c>
      <c r="R207" s="137">
        <f t="shared" si="52"/>
        <v>0</v>
      </c>
      <c r="S207" s="137">
        <v>0</v>
      </c>
      <c r="T207" s="138">
        <f t="shared" si="53"/>
        <v>0</v>
      </c>
      <c r="AR207" s="139" t="s">
        <v>344</v>
      </c>
      <c r="AT207" s="139" t="s">
        <v>339</v>
      </c>
      <c r="AU207" s="139" t="s">
        <v>87</v>
      </c>
      <c r="AY207" s="2" t="s">
        <v>337</v>
      </c>
      <c r="BE207" s="140">
        <f t="shared" si="54"/>
        <v>0</v>
      </c>
      <c r="BF207" s="140">
        <f t="shared" si="55"/>
        <v>0</v>
      </c>
      <c r="BG207" s="140">
        <f t="shared" si="56"/>
        <v>0</v>
      </c>
      <c r="BH207" s="140">
        <f t="shared" si="57"/>
        <v>0</v>
      </c>
      <c r="BI207" s="140">
        <f t="shared" si="58"/>
        <v>0</v>
      </c>
      <c r="BJ207" s="2" t="s">
        <v>87</v>
      </c>
      <c r="BK207" s="140">
        <f t="shared" si="59"/>
        <v>0</v>
      </c>
      <c r="BL207" s="2" t="s">
        <v>344</v>
      </c>
      <c r="BM207" s="139" t="s">
        <v>7498</v>
      </c>
    </row>
    <row r="208" spans="2:65" s="16" customFormat="1" ht="16.5" customHeight="1" x14ac:dyDescent="0.2">
      <c r="B208" s="17"/>
      <c r="C208" s="128">
        <v>61</v>
      </c>
      <c r="D208" s="128" t="s">
        <v>339</v>
      </c>
      <c r="E208" s="129" t="s">
        <v>7499</v>
      </c>
      <c r="F208" s="130" t="s">
        <v>7500</v>
      </c>
      <c r="G208" s="131" t="s">
        <v>4460</v>
      </c>
      <c r="H208" s="132">
        <v>49</v>
      </c>
      <c r="I208" s="133"/>
      <c r="J208" s="134">
        <f t="shared" si="50"/>
        <v>0</v>
      </c>
      <c r="K208" s="130"/>
      <c r="L208" s="17"/>
      <c r="M208" s="135"/>
      <c r="N208" s="136" t="s">
        <v>45</v>
      </c>
      <c r="P208" s="137">
        <f t="shared" si="51"/>
        <v>0</v>
      </c>
      <c r="Q208" s="137">
        <v>0</v>
      </c>
      <c r="R208" s="137">
        <f t="shared" si="52"/>
        <v>0</v>
      </c>
      <c r="S208" s="137">
        <v>0</v>
      </c>
      <c r="T208" s="138">
        <f t="shared" si="53"/>
        <v>0</v>
      </c>
      <c r="AR208" s="139" t="s">
        <v>344</v>
      </c>
      <c r="AT208" s="139" t="s">
        <v>339</v>
      </c>
      <c r="AU208" s="139" t="s">
        <v>87</v>
      </c>
      <c r="AY208" s="2" t="s">
        <v>337</v>
      </c>
      <c r="BE208" s="140">
        <f t="shared" si="54"/>
        <v>0</v>
      </c>
      <c r="BF208" s="140">
        <f t="shared" si="55"/>
        <v>0</v>
      </c>
      <c r="BG208" s="140">
        <f t="shared" si="56"/>
        <v>0</v>
      </c>
      <c r="BH208" s="140">
        <f t="shared" si="57"/>
        <v>0</v>
      </c>
      <c r="BI208" s="140">
        <f t="shared" si="58"/>
        <v>0</v>
      </c>
      <c r="BJ208" s="2" t="s">
        <v>87</v>
      </c>
      <c r="BK208" s="140">
        <f t="shared" si="59"/>
        <v>0</v>
      </c>
      <c r="BL208" s="2" t="s">
        <v>344</v>
      </c>
      <c r="BM208" s="139" t="s">
        <v>7501</v>
      </c>
    </row>
    <row r="209" spans="2:65" s="16" customFormat="1" ht="16.5" customHeight="1" x14ac:dyDescent="0.2">
      <c r="B209" s="17"/>
      <c r="C209" s="128">
        <v>62</v>
      </c>
      <c r="D209" s="128" t="s">
        <v>339</v>
      </c>
      <c r="E209" s="129" t="s">
        <v>7502</v>
      </c>
      <c r="F209" s="130" t="s">
        <v>7503</v>
      </c>
      <c r="G209" s="131" t="s">
        <v>4460</v>
      </c>
      <c r="H209" s="132">
        <v>1</v>
      </c>
      <c r="I209" s="133"/>
      <c r="J209" s="134">
        <f t="shared" si="50"/>
        <v>0</v>
      </c>
      <c r="K209" s="130"/>
      <c r="L209" s="17"/>
      <c r="M209" s="135"/>
      <c r="N209" s="136" t="s">
        <v>45</v>
      </c>
      <c r="P209" s="137">
        <f t="shared" si="51"/>
        <v>0</v>
      </c>
      <c r="Q209" s="137">
        <v>0</v>
      </c>
      <c r="R209" s="137">
        <f t="shared" si="52"/>
        <v>0</v>
      </c>
      <c r="S209" s="137">
        <v>0</v>
      </c>
      <c r="T209" s="138">
        <f t="shared" si="53"/>
        <v>0</v>
      </c>
      <c r="AR209" s="139" t="s">
        <v>344</v>
      </c>
      <c r="AT209" s="139" t="s">
        <v>339</v>
      </c>
      <c r="AU209" s="139" t="s">
        <v>87</v>
      </c>
      <c r="AY209" s="2" t="s">
        <v>337</v>
      </c>
      <c r="BE209" s="140">
        <f t="shared" si="54"/>
        <v>0</v>
      </c>
      <c r="BF209" s="140">
        <f t="shared" si="55"/>
        <v>0</v>
      </c>
      <c r="BG209" s="140">
        <f t="shared" si="56"/>
        <v>0</v>
      </c>
      <c r="BH209" s="140">
        <f t="shared" si="57"/>
        <v>0</v>
      </c>
      <c r="BI209" s="140">
        <f t="shared" si="58"/>
        <v>0</v>
      </c>
      <c r="BJ209" s="2" t="s">
        <v>87</v>
      </c>
      <c r="BK209" s="140">
        <f t="shared" si="59"/>
        <v>0</v>
      </c>
      <c r="BL209" s="2" t="s">
        <v>344</v>
      </c>
      <c r="BM209" s="139" t="s">
        <v>7504</v>
      </c>
    </row>
    <row r="210" spans="2:65" s="16" customFormat="1" ht="16.5" customHeight="1" x14ac:dyDescent="0.2">
      <c r="B210" s="17"/>
      <c r="C210" s="128">
        <v>63</v>
      </c>
      <c r="D210" s="128" t="s">
        <v>339</v>
      </c>
      <c r="E210" s="129" t="s">
        <v>7505</v>
      </c>
      <c r="F210" s="130" t="s">
        <v>7506</v>
      </c>
      <c r="G210" s="131" t="s">
        <v>4460</v>
      </c>
      <c r="H210" s="132">
        <v>1</v>
      </c>
      <c r="I210" s="133"/>
      <c r="J210" s="134">
        <f t="shared" si="50"/>
        <v>0</v>
      </c>
      <c r="K210" s="130"/>
      <c r="L210" s="17"/>
      <c r="M210" s="135"/>
      <c r="N210" s="136" t="s">
        <v>45</v>
      </c>
      <c r="P210" s="137">
        <f t="shared" si="51"/>
        <v>0</v>
      </c>
      <c r="Q210" s="137">
        <v>0</v>
      </c>
      <c r="R210" s="137">
        <f t="shared" si="52"/>
        <v>0</v>
      </c>
      <c r="S210" s="137">
        <v>0</v>
      </c>
      <c r="T210" s="138">
        <f t="shared" si="53"/>
        <v>0</v>
      </c>
      <c r="AR210" s="139" t="s">
        <v>344</v>
      </c>
      <c r="AT210" s="139" t="s">
        <v>339</v>
      </c>
      <c r="AU210" s="139" t="s">
        <v>87</v>
      </c>
      <c r="AY210" s="2" t="s">
        <v>337</v>
      </c>
      <c r="BE210" s="140">
        <f t="shared" si="54"/>
        <v>0</v>
      </c>
      <c r="BF210" s="140">
        <f t="shared" si="55"/>
        <v>0</v>
      </c>
      <c r="BG210" s="140">
        <f t="shared" si="56"/>
        <v>0</v>
      </c>
      <c r="BH210" s="140">
        <f t="shared" si="57"/>
        <v>0</v>
      </c>
      <c r="BI210" s="140">
        <f t="shared" si="58"/>
        <v>0</v>
      </c>
      <c r="BJ210" s="2" t="s">
        <v>87</v>
      </c>
      <c r="BK210" s="140">
        <f t="shared" si="59"/>
        <v>0</v>
      </c>
      <c r="BL210" s="2" t="s">
        <v>344</v>
      </c>
      <c r="BM210" s="139" t="s">
        <v>7507</v>
      </c>
    </row>
    <row r="211" spans="2:65" s="16" customFormat="1" ht="16.5" customHeight="1" x14ac:dyDescent="0.2">
      <c r="B211" s="17"/>
      <c r="C211" s="128">
        <v>64</v>
      </c>
      <c r="D211" s="128" t="s">
        <v>339</v>
      </c>
      <c r="E211" s="129" t="s">
        <v>7508</v>
      </c>
      <c r="F211" s="130" t="s">
        <v>7509</v>
      </c>
      <c r="G211" s="131" t="s">
        <v>4460</v>
      </c>
      <c r="H211" s="132">
        <v>1</v>
      </c>
      <c r="I211" s="133"/>
      <c r="J211" s="134">
        <f t="shared" si="50"/>
        <v>0</v>
      </c>
      <c r="K211" s="130"/>
      <c r="L211" s="17"/>
      <c r="M211" s="135"/>
      <c r="N211" s="136" t="s">
        <v>45</v>
      </c>
      <c r="P211" s="137">
        <f t="shared" si="51"/>
        <v>0</v>
      </c>
      <c r="Q211" s="137">
        <v>0</v>
      </c>
      <c r="R211" s="137">
        <f t="shared" si="52"/>
        <v>0</v>
      </c>
      <c r="S211" s="137">
        <v>0</v>
      </c>
      <c r="T211" s="138">
        <f t="shared" si="53"/>
        <v>0</v>
      </c>
      <c r="AR211" s="139" t="s">
        <v>344</v>
      </c>
      <c r="AT211" s="139" t="s">
        <v>339</v>
      </c>
      <c r="AU211" s="139" t="s">
        <v>87</v>
      </c>
      <c r="AY211" s="2" t="s">
        <v>337</v>
      </c>
      <c r="BE211" s="140">
        <f t="shared" si="54"/>
        <v>0</v>
      </c>
      <c r="BF211" s="140">
        <f t="shared" si="55"/>
        <v>0</v>
      </c>
      <c r="BG211" s="140">
        <f t="shared" si="56"/>
        <v>0</v>
      </c>
      <c r="BH211" s="140">
        <f t="shared" si="57"/>
        <v>0</v>
      </c>
      <c r="BI211" s="140">
        <f t="shared" si="58"/>
        <v>0</v>
      </c>
      <c r="BJ211" s="2" t="s">
        <v>87</v>
      </c>
      <c r="BK211" s="140">
        <f t="shared" si="59"/>
        <v>0</v>
      </c>
      <c r="BL211" s="2" t="s">
        <v>344</v>
      </c>
      <c r="BM211" s="139" t="s">
        <v>7510</v>
      </c>
    </row>
    <row r="212" spans="2:65" s="16" customFormat="1" ht="16.5" customHeight="1" x14ac:dyDescent="0.2">
      <c r="B212" s="17"/>
      <c r="C212" s="128">
        <v>65</v>
      </c>
      <c r="D212" s="128" t="s">
        <v>339</v>
      </c>
      <c r="E212" s="129" t="s">
        <v>7511</v>
      </c>
      <c r="F212" s="130" t="s">
        <v>7512</v>
      </c>
      <c r="G212" s="131" t="s">
        <v>4460</v>
      </c>
      <c r="H212" s="132">
        <v>2</v>
      </c>
      <c r="I212" s="133"/>
      <c r="J212" s="134">
        <f t="shared" si="50"/>
        <v>0</v>
      </c>
      <c r="K212" s="130"/>
      <c r="L212" s="17"/>
      <c r="M212" s="135"/>
      <c r="N212" s="136" t="s">
        <v>45</v>
      </c>
      <c r="P212" s="137">
        <f t="shared" si="51"/>
        <v>0</v>
      </c>
      <c r="Q212" s="137">
        <v>0</v>
      </c>
      <c r="R212" s="137">
        <f t="shared" si="52"/>
        <v>0</v>
      </c>
      <c r="S212" s="137">
        <v>0</v>
      </c>
      <c r="T212" s="138">
        <f t="shared" si="53"/>
        <v>0</v>
      </c>
      <c r="AR212" s="139" t="s">
        <v>344</v>
      </c>
      <c r="AT212" s="139" t="s">
        <v>339</v>
      </c>
      <c r="AU212" s="139" t="s">
        <v>87</v>
      </c>
      <c r="AY212" s="2" t="s">
        <v>337</v>
      </c>
      <c r="BE212" s="140">
        <f t="shared" si="54"/>
        <v>0</v>
      </c>
      <c r="BF212" s="140">
        <f t="shared" si="55"/>
        <v>0</v>
      </c>
      <c r="BG212" s="140">
        <f t="shared" si="56"/>
        <v>0</v>
      </c>
      <c r="BH212" s="140">
        <f t="shared" si="57"/>
        <v>0</v>
      </c>
      <c r="BI212" s="140">
        <f t="shared" si="58"/>
        <v>0</v>
      </c>
      <c r="BJ212" s="2" t="s">
        <v>87</v>
      </c>
      <c r="BK212" s="140">
        <f t="shared" si="59"/>
        <v>0</v>
      </c>
      <c r="BL212" s="2" t="s">
        <v>344</v>
      </c>
      <c r="BM212" s="139" t="s">
        <v>1220</v>
      </c>
    </row>
    <row r="213" spans="2:65" s="16" customFormat="1" ht="16.5" customHeight="1" x14ac:dyDescent="0.2">
      <c r="B213" s="17"/>
      <c r="C213" s="128">
        <v>66</v>
      </c>
      <c r="D213" s="128" t="s">
        <v>339</v>
      </c>
      <c r="E213" s="129" t="s">
        <v>7513</v>
      </c>
      <c r="F213" s="130" t="s">
        <v>9259</v>
      </c>
      <c r="G213" s="131" t="s">
        <v>4460</v>
      </c>
      <c r="H213" s="132">
        <v>1</v>
      </c>
      <c r="I213" s="133"/>
      <c r="J213" s="134">
        <f t="shared" si="50"/>
        <v>0</v>
      </c>
      <c r="K213" s="130"/>
      <c r="L213" s="17"/>
      <c r="M213" s="135"/>
      <c r="N213" s="136" t="s">
        <v>45</v>
      </c>
      <c r="P213" s="137">
        <f t="shared" si="51"/>
        <v>0</v>
      </c>
      <c r="Q213" s="137">
        <v>0</v>
      </c>
      <c r="R213" s="137">
        <f t="shared" si="52"/>
        <v>0</v>
      </c>
      <c r="S213" s="137">
        <v>0</v>
      </c>
      <c r="T213" s="138">
        <f t="shared" si="53"/>
        <v>0</v>
      </c>
      <c r="AR213" s="139" t="s">
        <v>344</v>
      </c>
      <c r="AT213" s="139" t="s">
        <v>339</v>
      </c>
      <c r="AU213" s="139" t="s">
        <v>87</v>
      </c>
      <c r="AY213" s="2" t="s">
        <v>337</v>
      </c>
      <c r="BE213" s="140">
        <f t="shared" si="54"/>
        <v>0</v>
      </c>
      <c r="BF213" s="140">
        <f t="shared" si="55"/>
        <v>0</v>
      </c>
      <c r="BG213" s="140">
        <f t="shared" si="56"/>
        <v>0</v>
      </c>
      <c r="BH213" s="140">
        <f t="shared" si="57"/>
        <v>0</v>
      </c>
      <c r="BI213" s="140">
        <f t="shared" si="58"/>
        <v>0</v>
      </c>
      <c r="BJ213" s="2" t="s">
        <v>87</v>
      </c>
      <c r="BK213" s="140">
        <f t="shared" si="59"/>
        <v>0</v>
      </c>
      <c r="BL213" s="2" t="s">
        <v>344</v>
      </c>
      <c r="BM213" s="139" t="s">
        <v>1272</v>
      </c>
    </row>
    <row r="214" spans="2:65" s="16" customFormat="1" ht="16.5" customHeight="1" x14ac:dyDescent="0.2">
      <c r="B214" s="17"/>
      <c r="C214" s="128">
        <v>67</v>
      </c>
      <c r="D214" s="128" t="s">
        <v>339</v>
      </c>
      <c r="E214" s="129" t="s">
        <v>7514</v>
      </c>
      <c r="F214" s="130" t="s">
        <v>7515</v>
      </c>
      <c r="G214" s="131" t="s">
        <v>4460</v>
      </c>
      <c r="H214" s="132">
        <v>48</v>
      </c>
      <c r="I214" s="133"/>
      <c r="J214" s="134">
        <f t="shared" si="50"/>
        <v>0</v>
      </c>
      <c r="K214" s="130"/>
      <c r="L214" s="17"/>
      <c r="M214" s="135"/>
      <c r="N214" s="136" t="s">
        <v>45</v>
      </c>
      <c r="P214" s="137">
        <f t="shared" si="51"/>
        <v>0</v>
      </c>
      <c r="Q214" s="137">
        <v>0</v>
      </c>
      <c r="R214" s="137">
        <f t="shared" si="52"/>
        <v>0</v>
      </c>
      <c r="S214" s="137">
        <v>0</v>
      </c>
      <c r="T214" s="138">
        <f t="shared" si="53"/>
        <v>0</v>
      </c>
      <c r="AR214" s="139" t="s">
        <v>344</v>
      </c>
      <c r="AT214" s="139" t="s">
        <v>339</v>
      </c>
      <c r="AU214" s="139" t="s">
        <v>87</v>
      </c>
      <c r="AY214" s="2" t="s">
        <v>337</v>
      </c>
      <c r="BE214" s="140">
        <f t="shared" si="54"/>
        <v>0</v>
      </c>
      <c r="BF214" s="140">
        <f t="shared" si="55"/>
        <v>0</v>
      </c>
      <c r="BG214" s="140">
        <f t="shared" si="56"/>
        <v>0</v>
      </c>
      <c r="BH214" s="140">
        <f t="shared" si="57"/>
        <v>0</v>
      </c>
      <c r="BI214" s="140">
        <f t="shared" si="58"/>
        <v>0</v>
      </c>
      <c r="BJ214" s="2" t="s">
        <v>87</v>
      </c>
      <c r="BK214" s="140">
        <f t="shared" si="59"/>
        <v>0</v>
      </c>
      <c r="BL214" s="2" t="s">
        <v>344</v>
      </c>
      <c r="BM214" s="139" t="s">
        <v>1300</v>
      </c>
    </row>
    <row r="215" spans="2:65" s="16" customFormat="1" ht="16.5" customHeight="1" x14ac:dyDescent="0.2">
      <c r="B215" s="17"/>
      <c r="C215" s="128">
        <v>68</v>
      </c>
      <c r="D215" s="128" t="s">
        <v>339</v>
      </c>
      <c r="E215" s="129" t="s">
        <v>7516</v>
      </c>
      <c r="F215" s="130" t="s">
        <v>7517</v>
      </c>
      <c r="G215" s="131" t="s">
        <v>724</v>
      </c>
      <c r="H215" s="132">
        <v>2210</v>
      </c>
      <c r="I215" s="133"/>
      <c r="J215" s="134">
        <f t="shared" si="50"/>
        <v>0</v>
      </c>
      <c r="K215" s="130"/>
      <c r="L215" s="17"/>
      <c r="M215" s="135"/>
      <c r="N215" s="136" t="s">
        <v>45</v>
      </c>
      <c r="P215" s="137">
        <f t="shared" si="51"/>
        <v>0</v>
      </c>
      <c r="Q215" s="137">
        <v>0</v>
      </c>
      <c r="R215" s="137">
        <f t="shared" si="52"/>
        <v>0</v>
      </c>
      <c r="S215" s="137">
        <v>0</v>
      </c>
      <c r="T215" s="138">
        <f t="shared" si="53"/>
        <v>0</v>
      </c>
      <c r="AR215" s="139" t="s">
        <v>344</v>
      </c>
      <c r="AT215" s="139" t="s">
        <v>339</v>
      </c>
      <c r="AU215" s="139" t="s">
        <v>87</v>
      </c>
      <c r="AY215" s="2" t="s">
        <v>337</v>
      </c>
      <c r="BE215" s="140">
        <f t="shared" si="54"/>
        <v>0</v>
      </c>
      <c r="BF215" s="140">
        <f t="shared" si="55"/>
        <v>0</v>
      </c>
      <c r="BG215" s="140">
        <f t="shared" si="56"/>
        <v>0</v>
      </c>
      <c r="BH215" s="140">
        <f t="shared" si="57"/>
        <v>0</v>
      </c>
      <c r="BI215" s="140">
        <f t="shared" si="58"/>
        <v>0</v>
      </c>
      <c r="BJ215" s="2" t="s">
        <v>87</v>
      </c>
      <c r="BK215" s="140">
        <f t="shared" si="59"/>
        <v>0</v>
      </c>
      <c r="BL215" s="2" t="s">
        <v>344</v>
      </c>
      <c r="BM215" s="139" t="s">
        <v>1463</v>
      </c>
    </row>
    <row r="216" spans="2:65" s="16" customFormat="1" ht="16.5" customHeight="1" x14ac:dyDescent="0.2">
      <c r="B216" s="17"/>
      <c r="C216" s="128">
        <v>69</v>
      </c>
      <c r="D216" s="128" t="s">
        <v>339</v>
      </c>
      <c r="E216" s="129" t="s">
        <v>7518</v>
      </c>
      <c r="F216" s="130" t="s">
        <v>7519</v>
      </c>
      <c r="G216" s="131" t="s">
        <v>724</v>
      </c>
      <c r="H216" s="132">
        <v>200</v>
      </c>
      <c r="I216" s="133"/>
      <c r="J216" s="134">
        <f t="shared" si="50"/>
        <v>0</v>
      </c>
      <c r="K216" s="130"/>
      <c r="L216" s="17"/>
      <c r="M216" s="135"/>
      <c r="N216" s="136" t="s">
        <v>45</v>
      </c>
      <c r="P216" s="137">
        <f t="shared" si="51"/>
        <v>0</v>
      </c>
      <c r="Q216" s="137">
        <v>0</v>
      </c>
      <c r="R216" s="137">
        <f t="shared" si="52"/>
        <v>0</v>
      </c>
      <c r="S216" s="137">
        <v>0</v>
      </c>
      <c r="T216" s="138">
        <f t="shared" si="53"/>
        <v>0</v>
      </c>
      <c r="AR216" s="139" t="s">
        <v>344</v>
      </c>
      <c r="AT216" s="139" t="s">
        <v>339</v>
      </c>
      <c r="AU216" s="139" t="s">
        <v>87</v>
      </c>
      <c r="AY216" s="2" t="s">
        <v>337</v>
      </c>
      <c r="BE216" s="140">
        <f t="shared" si="54"/>
        <v>0</v>
      </c>
      <c r="BF216" s="140">
        <f t="shared" si="55"/>
        <v>0</v>
      </c>
      <c r="BG216" s="140">
        <f t="shared" si="56"/>
        <v>0</v>
      </c>
      <c r="BH216" s="140">
        <f t="shared" si="57"/>
        <v>0</v>
      </c>
      <c r="BI216" s="140">
        <f t="shared" si="58"/>
        <v>0</v>
      </c>
      <c r="BJ216" s="2" t="s">
        <v>87</v>
      </c>
      <c r="BK216" s="140">
        <f t="shared" si="59"/>
        <v>0</v>
      </c>
      <c r="BL216" s="2" t="s">
        <v>344</v>
      </c>
      <c r="BM216" s="139" t="s">
        <v>1492</v>
      </c>
    </row>
    <row r="217" spans="2:65" s="16" customFormat="1" ht="16.5" customHeight="1" x14ac:dyDescent="0.2">
      <c r="B217" s="17"/>
      <c r="C217" s="128">
        <v>70</v>
      </c>
      <c r="D217" s="128" t="s">
        <v>339</v>
      </c>
      <c r="E217" s="129" t="s">
        <v>7520</v>
      </c>
      <c r="F217" s="130" t="s">
        <v>7521</v>
      </c>
      <c r="G217" s="131" t="s">
        <v>724</v>
      </c>
      <c r="H217" s="132">
        <v>18300</v>
      </c>
      <c r="I217" s="133"/>
      <c r="J217" s="134">
        <f t="shared" si="50"/>
        <v>0</v>
      </c>
      <c r="K217" s="130"/>
      <c r="L217" s="17"/>
      <c r="M217" s="135"/>
      <c r="N217" s="136" t="s">
        <v>45</v>
      </c>
      <c r="P217" s="137">
        <f t="shared" si="51"/>
        <v>0</v>
      </c>
      <c r="Q217" s="137">
        <v>0</v>
      </c>
      <c r="R217" s="137">
        <f t="shared" si="52"/>
        <v>0</v>
      </c>
      <c r="S217" s="137">
        <v>0</v>
      </c>
      <c r="T217" s="138">
        <f t="shared" si="53"/>
        <v>0</v>
      </c>
      <c r="AR217" s="139" t="s">
        <v>344</v>
      </c>
      <c r="AT217" s="139" t="s">
        <v>339</v>
      </c>
      <c r="AU217" s="139" t="s">
        <v>87</v>
      </c>
      <c r="AY217" s="2" t="s">
        <v>337</v>
      </c>
      <c r="BE217" s="140">
        <f t="shared" si="54"/>
        <v>0</v>
      </c>
      <c r="BF217" s="140">
        <f t="shared" si="55"/>
        <v>0</v>
      </c>
      <c r="BG217" s="140">
        <f t="shared" si="56"/>
        <v>0</v>
      </c>
      <c r="BH217" s="140">
        <f t="shared" si="57"/>
        <v>0</v>
      </c>
      <c r="BI217" s="140">
        <f t="shared" si="58"/>
        <v>0</v>
      </c>
      <c r="BJ217" s="2" t="s">
        <v>87</v>
      </c>
      <c r="BK217" s="140">
        <f t="shared" si="59"/>
        <v>0</v>
      </c>
      <c r="BL217" s="2" t="s">
        <v>344</v>
      </c>
      <c r="BM217" s="139" t="s">
        <v>1499</v>
      </c>
    </row>
    <row r="218" spans="2:65" s="16" customFormat="1" ht="16.5" customHeight="1" x14ac:dyDescent="0.2">
      <c r="B218" s="17"/>
      <c r="C218" s="128">
        <v>71</v>
      </c>
      <c r="D218" s="128" t="s">
        <v>339</v>
      </c>
      <c r="E218" s="129" t="s">
        <v>7522</v>
      </c>
      <c r="F218" s="130" t="s">
        <v>7523</v>
      </c>
      <c r="G218" s="131" t="s">
        <v>724</v>
      </c>
      <c r="H218" s="132">
        <v>800</v>
      </c>
      <c r="I218" s="133"/>
      <c r="J218" s="134">
        <f t="shared" si="50"/>
        <v>0</v>
      </c>
      <c r="K218" s="130"/>
      <c r="L218" s="17"/>
      <c r="M218" s="135"/>
      <c r="N218" s="136" t="s">
        <v>45</v>
      </c>
      <c r="P218" s="137">
        <f t="shared" si="51"/>
        <v>0</v>
      </c>
      <c r="Q218" s="137">
        <v>0</v>
      </c>
      <c r="R218" s="137">
        <f t="shared" si="52"/>
        <v>0</v>
      </c>
      <c r="S218" s="137">
        <v>0</v>
      </c>
      <c r="T218" s="138">
        <f t="shared" si="53"/>
        <v>0</v>
      </c>
      <c r="AR218" s="139" t="s">
        <v>344</v>
      </c>
      <c r="AT218" s="139" t="s">
        <v>339</v>
      </c>
      <c r="AU218" s="139" t="s">
        <v>87</v>
      </c>
      <c r="AY218" s="2" t="s">
        <v>337</v>
      </c>
      <c r="BE218" s="140">
        <f t="shared" si="54"/>
        <v>0</v>
      </c>
      <c r="BF218" s="140">
        <f t="shared" si="55"/>
        <v>0</v>
      </c>
      <c r="BG218" s="140">
        <f t="shared" si="56"/>
        <v>0</v>
      </c>
      <c r="BH218" s="140">
        <f t="shared" si="57"/>
        <v>0</v>
      </c>
      <c r="BI218" s="140">
        <f t="shared" si="58"/>
        <v>0</v>
      </c>
      <c r="BJ218" s="2" t="s">
        <v>87</v>
      </c>
      <c r="BK218" s="140">
        <f t="shared" si="59"/>
        <v>0</v>
      </c>
      <c r="BL218" s="2" t="s">
        <v>344</v>
      </c>
      <c r="BM218" s="139" t="s">
        <v>1535</v>
      </c>
    </row>
    <row r="219" spans="2:65" s="16" customFormat="1" ht="16.5" customHeight="1" x14ac:dyDescent="0.2">
      <c r="B219" s="17"/>
      <c r="C219" s="128">
        <v>72</v>
      </c>
      <c r="D219" s="128" t="s">
        <v>339</v>
      </c>
      <c r="E219" s="129" t="s">
        <v>7524</v>
      </c>
      <c r="F219" s="130" t="s">
        <v>7432</v>
      </c>
      <c r="G219" s="131" t="s">
        <v>724</v>
      </c>
      <c r="H219" s="132">
        <v>200</v>
      </c>
      <c r="I219" s="133"/>
      <c r="J219" s="134">
        <f t="shared" si="50"/>
        <v>0</v>
      </c>
      <c r="K219" s="130"/>
      <c r="L219" s="17"/>
      <c r="M219" s="135"/>
      <c r="N219" s="136" t="s">
        <v>45</v>
      </c>
      <c r="P219" s="137">
        <f t="shared" si="51"/>
        <v>0</v>
      </c>
      <c r="Q219" s="137">
        <v>0</v>
      </c>
      <c r="R219" s="137">
        <f t="shared" si="52"/>
        <v>0</v>
      </c>
      <c r="S219" s="137">
        <v>0</v>
      </c>
      <c r="T219" s="138">
        <f t="shared" si="53"/>
        <v>0</v>
      </c>
      <c r="AR219" s="139" t="s">
        <v>344</v>
      </c>
      <c r="AT219" s="139" t="s">
        <v>339</v>
      </c>
      <c r="AU219" s="139" t="s">
        <v>87</v>
      </c>
      <c r="AY219" s="2" t="s">
        <v>337</v>
      </c>
      <c r="BE219" s="140">
        <f t="shared" si="54"/>
        <v>0</v>
      </c>
      <c r="BF219" s="140">
        <f t="shared" si="55"/>
        <v>0</v>
      </c>
      <c r="BG219" s="140">
        <f t="shared" si="56"/>
        <v>0</v>
      </c>
      <c r="BH219" s="140">
        <f t="shared" si="57"/>
        <v>0</v>
      </c>
      <c r="BI219" s="140">
        <f t="shared" si="58"/>
        <v>0</v>
      </c>
      <c r="BJ219" s="2" t="s">
        <v>87</v>
      </c>
      <c r="BK219" s="140">
        <f t="shared" si="59"/>
        <v>0</v>
      </c>
      <c r="BL219" s="2" t="s">
        <v>344</v>
      </c>
      <c r="BM219" s="139" t="s">
        <v>1541</v>
      </c>
    </row>
    <row r="220" spans="2:65" s="16" customFormat="1" ht="16.5" customHeight="1" x14ac:dyDescent="0.2">
      <c r="B220" s="17"/>
      <c r="C220" s="128">
        <v>73</v>
      </c>
      <c r="D220" s="128" t="s">
        <v>339</v>
      </c>
      <c r="E220" s="129" t="s">
        <v>7525</v>
      </c>
      <c r="F220" s="130" t="s">
        <v>7526</v>
      </c>
      <c r="G220" s="131" t="s">
        <v>724</v>
      </c>
      <c r="H220" s="132">
        <v>200</v>
      </c>
      <c r="I220" s="133"/>
      <c r="J220" s="134">
        <f t="shared" si="50"/>
        <v>0</v>
      </c>
      <c r="K220" s="130"/>
      <c r="L220" s="17"/>
      <c r="M220" s="135"/>
      <c r="N220" s="136" t="s">
        <v>45</v>
      </c>
      <c r="P220" s="137">
        <f t="shared" si="51"/>
        <v>0</v>
      </c>
      <c r="Q220" s="137">
        <v>0</v>
      </c>
      <c r="R220" s="137">
        <f t="shared" si="52"/>
        <v>0</v>
      </c>
      <c r="S220" s="137">
        <v>0</v>
      </c>
      <c r="T220" s="138">
        <f t="shared" si="53"/>
        <v>0</v>
      </c>
      <c r="AR220" s="139" t="s">
        <v>344</v>
      </c>
      <c r="AT220" s="139" t="s">
        <v>339</v>
      </c>
      <c r="AU220" s="139" t="s">
        <v>87</v>
      </c>
      <c r="AY220" s="2" t="s">
        <v>337</v>
      </c>
      <c r="BE220" s="140">
        <f t="shared" si="54"/>
        <v>0</v>
      </c>
      <c r="BF220" s="140">
        <f t="shared" si="55"/>
        <v>0</v>
      </c>
      <c r="BG220" s="140">
        <f t="shared" si="56"/>
        <v>0</v>
      </c>
      <c r="BH220" s="140">
        <f t="shared" si="57"/>
        <v>0</v>
      </c>
      <c r="BI220" s="140">
        <f t="shared" si="58"/>
        <v>0</v>
      </c>
      <c r="BJ220" s="2" t="s">
        <v>87</v>
      </c>
      <c r="BK220" s="140">
        <f t="shared" si="59"/>
        <v>0</v>
      </c>
      <c r="BL220" s="2" t="s">
        <v>344</v>
      </c>
      <c r="BM220" s="139" t="s">
        <v>6161</v>
      </c>
    </row>
    <row r="221" spans="2:65" s="16" customFormat="1" ht="16.5" customHeight="1" x14ac:dyDescent="0.2">
      <c r="B221" s="17"/>
      <c r="C221" s="128">
        <v>74</v>
      </c>
      <c r="D221" s="128" t="s">
        <v>339</v>
      </c>
      <c r="E221" s="129" t="s">
        <v>7527</v>
      </c>
      <c r="F221" s="130" t="s">
        <v>7528</v>
      </c>
      <c r="G221" s="131" t="s">
        <v>724</v>
      </c>
      <c r="H221" s="132">
        <v>150</v>
      </c>
      <c r="I221" s="133"/>
      <c r="J221" s="134">
        <f t="shared" si="50"/>
        <v>0</v>
      </c>
      <c r="K221" s="130"/>
      <c r="L221" s="17"/>
      <c r="M221" s="135"/>
      <c r="N221" s="136" t="s">
        <v>45</v>
      </c>
      <c r="P221" s="137">
        <f t="shared" si="51"/>
        <v>0</v>
      </c>
      <c r="Q221" s="137">
        <v>0</v>
      </c>
      <c r="R221" s="137">
        <f t="shared" si="52"/>
        <v>0</v>
      </c>
      <c r="S221" s="137">
        <v>0</v>
      </c>
      <c r="T221" s="138">
        <f t="shared" si="53"/>
        <v>0</v>
      </c>
      <c r="AR221" s="139" t="s">
        <v>344</v>
      </c>
      <c r="AT221" s="139" t="s">
        <v>339</v>
      </c>
      <c r="AU221" s="139" t="s">
        <v>87</v>
      </c>
      <c r="AY221" s="2" t="s">
        <v>337</v>
      </c>
      <c r="BE221" s="140">
        <f t="shared" si="54"/>
        <v>0</v>
      </c>
      <c r="BF221" s="140">
        <f t="shared" si="55"/>
        <v>0</v>
      </c>
      <c r="BG221" s="140">
        <f t="shared" si="56"/>
        <v>0</v>
      </c>
      <c r="BH221" s="140">
        <f t="shared" si="57"/>
        <v>0</v>
      </c>
      <c r="BI221" s="140">
        <f t="shared" si="58"/>
        <v>0</v>
      </c>
      <c r="BJ221" s="2" t="s">
        <v>87</v>
      </c>
      <c r="BK221" s="140">
        <f t="shared" si="59"/>
        <v>0</v>
      </c>
      <c r="BL221" s="2" t="s">
        <v>344</v>
      </c>
      <c r="BM221" s="139" t="s">
        <v>1576</v>
      </c>
    </row>
    <row r="222" spans="2:65" s="16" customFormat="1" ht="16.5" customHeight="1" x14ac:dyDescent="0.2">
      <c r="B222" s="17"/>
      <c r="C222" s="128">
        <v>75</v>
      </c>
      <c r="D222" s="128" t="s">
        <v>339</v>
      </c>
      <c r="E222" s="129" t="s">
        <v>7529</v>
      </c>
      <c r="F222" s="130" t="s">
        <v>7530</v>
      </c>
      <c r="G222" s="131" t="s">
        <v>4460</v>
      </c>
      <c r="H222" s="132">
        <v>105</v>
      </c>
      <c r="I222" s="133"/>
      <c r="J222" s="134">
        <f t="shared" si="50"/>
        <v>0</v>
      </c>
      <c r="K222" s="130"/>
      <c r="L222" s="17"/>
      <c r="M222" s="135"/>
      <c r="N222" s="136" t="s">
        <v>45</v>
      </c>
      <c r="P222" s="137">
        <f t="shared" si="51"/>
        <v>0</v>
      </c>
      <c r="Q222" s="137">
        <v>0</v>
      </c>
      <c r="R222" s="137">
        <f t="shared" si="52"/>
        <v>0</v>
      </c>
      <c r="S222" s="137">
        <v>0</v>
      </c>
      <c r="T222" s="138">
        <f t="shared" si="53"/>
        <v>0</v>
      </c>
      <c r="AR222" s="139" t="s">
        <v>344</v>
      </c>
      <c r="AT222" s="139" t="s">
        <v>339</v>
      </c>
      <c r="AU222" s="139" t="s">
        <v>87</v>
      </c>
      <c r="AY222" s="2" t="s">
        <v>337</v>
      </c>
      <c r="BE222" s="140">
        <f t="shared" si="54"/>
        <v>0</v>
      </c>
      <c r="BF222" s="140">
        <f t="shared" si="55"/>
        <v>0</v>
      </c>
      <c r="BG222" s="140">
        <f t="shared" si="56"/>
        <v>0</v>
      </c>
      <c r="BH222" s="140">
        <f t="shared" si="57"/>
        <v>0</v>
      </c>
      <c r="BI222" s="140">
        <f t="shared" si="58"/>
        <v>0</v>
      </c>
      <c r="BJ222" s="2" t="s">
        <v>87</v>
      </c>
      <c r="BK222" s="140">
        <f t="shared" si="59"/>
        <v>0</v>
      </c>
      <c r="BL222" s="2" t="s">
        <v>344</v>
      </c>
      <c r="BM222" s="139" t="s">
        <v>1663</v>
      </c>
    </row>
    <row r="223" spans="2:65" s="16" customFormat="1" ht="16.5" customHeight="1" x14ac:dyDescent="0.2">
      <c r="B223" s="17"/>
      <c r="C223" s="128">
        <v>76</v>
      </c>
      <c r="D223" s="128" t="s">
        <v>339</v>
      </c>
      <c r="E223" s="129" t="s">
        <v>7531</v>
      </c>
      <c r="F223" s="130" t="s">
        <v>7532</v>
      </c>
      <c r="G223" s="131" t="s">
        <v>4460</v>
      </c>
      <c r="H223" s="132">
        <v>190</v>
      </c>
      <c r="I223" s="133"/>
      <c r="J223" s="134">
        <f t="shared" si="50"/>
        <v>0</v>
      </c>
      <c r="K223" s="130"/>
      <c r="L223" s="17"/>
      <c r="M223" s="135"/>
      <c r="N223" s="136" t="s">
        <v>45</v>
      </c>
      <c r="P223" s="137">
        <f t="shared" si="51"/>
        <v>0</v>
      </c>
      <c r="Q223" s="137">
        <v>0</v>
      </c>
      <c r="R223" s="137">
        <f t="shared" si="52"/>
        <v>0</v>
      </c>
      <c r="S223" s="137">
        <v>0</v>
      </c>
      <c r="T223" s="138">
        <f t="shared" si="53"/>
        <v>0</v>
      </c>
      <c r="AR223" s="139" t="s">
        <v>344</v>
      </c>
      <c r="AT223" s="139" t="s">
        <v>339</v>
      </c>
      <c r="AU223" s="139" t="s">
        <v>87</v>
      </c>
      <c r="AY223" s="2" t="s">
        <v>337</v>
      </c>
      <c r="BE223" s="140">
        <f t="shared" si="54"/>
        <v>0</v>
      </c>
      <c r="BF223" s="140">
        <f t="shared" si="55"/>
        <v>0</v>
      </c>
      <c r="BG223" s="140">
        <f t="shared" si="56"/>
        <v>0</v>
      </c>
      <c r="BH223" s="140">
        <f t="shared" si="57"/>
        <v>0</v>
      </c>
      <c r="BI223" s="140">
        <f t="shared" si="58"/>
        <v>0</v>
      </c>
      <c r="BJ223" s="2" t="s">
        <v>87</v>
      </c>
      <c r="BK223" s="140">
        <f t="shared" si="59"/>
        <v>0</v>
      </c>
      <c r="BL223" s="2" t="s">
        <v>344</v>
      </c>
      <c r="BM223" s="139" t="s">
        <v>1672</v>
      </c>
    </row>
    <row r="224" spans="2:65" s="16" customFormat="1" ht="16.5" customHeight="1" x14ac:dyDescent="0.2">
      <c r="B224" s="17"/>
      <c r="C224" s="289">
        <v>77</v>
      </c>
      <c r="D224" s="289" t="s">
        <v>339</v>
      </c>
      <c r="E224" s="290" t="s">
        <v>7533</v>
      </c>
      <c r="F224" s="291" t="s">
        <v>7534</v>
      </c>
      <c r="G224" s="292" t="s">
        <v>4460</v>
      </c>
      <c r="H224" s="288">
        <v>1020</v>
      </c>
      <c r="I224" s="294"/>
      <c r="J224" s="295">
        <f t="shared" si="50"/>
        <v>0</v>
      </c>
      <c r="K224" s="130"/>
      <c r="L224" s="293" t="s">
        <v>9272</v>
      </c>
      <c r="M224" s="135"/>
      <c r="N224" s="136" t="s">
        <v>45</v>
      </c>
      <c r="P224" s="137">
        <f t="shared" si="51"/>
        <v>0</v>
      </c>
      <c r="Q224" s="137">
        <v>0</v>
      </c>
      <c r="R224" s="137">
        <f t="shared" si="52"/>
        <v>0</v>
      </c>
      <c r="S224" s="137">
        <v>0</v>
      </c>
      <c r="T224" s="138">
        <f t="shared" si="53"/>
        <v>0</v>
      </c>
      <c r="AR224" s="139" t="s">
        <v>344</v>
      </c>
      <c r="AT224" s="139" t="s">
        <v>339</v>
      </c>
      <c r="AU224" s="139" t="s">
        <v>87</v>
      </c>
      <c r="AY224" s="2" t="s">
        <v>337</v>
      </c>
      <c r="BE224" s="140">
        <f t="shared" si="54"/>
        <v>0</v>
      </c>
      <c r="BF224" s="140">
        <f t="shared" si="55"/>
        <v>0</v>
      </c>
      <c r="BG224" s="140">
        <f t="shared" si="56"/>
        <v>0</v>
      </c>
      <c r="BH224" s="140">
        <f t="shared" si="57"/>
        <v>0</v>
      </c>
      <c r="BI224" s="140">
        <f t="shared" si="58"/>
        <v>0</v>
      </c>
      <c r="BJ224" s="2" t="s">
        <v>87</v>
      </c>
      <c r="BK224" s="140">
        <f t="shared" si="59"/>
        <v>0</v>
      </c>
      <c r="BL224" s="2" t="s">
        <v>344</v>
      </c>
      <c r="BM224" s="139" t="s">
        <v>1683</v>
      </c>
    </row>
    <row r="225" spans="2:65" s="116" customFormat="1" ht="25.9" customHeight="1" x14ac:dyDescent="0.2">
      <c r="B225" s="117"/>
      <c r="D225" s="118" t="s">
        <v>79</v>
      </c>
      <c r="E225" s="119" t="s">
        <v>1125</v>
      </c>
      <c r="F225" s="119" t="s">
        <v>7399</v>
      </c>
      <c r="J225" s="120">
        <f>BK225</f>
        <v>0</v>
      </c>
      <c r="L225" s="117"/>
      <c r="M225" s="121"/>
      <c r="P225" s="122">
        <f>P226</f>
        <v>0</v>
      </c>
      <c r="R225" s="122">
        <f>R226</f>
        <v>0</v>
      </c>
      <c r="T225" s="123">
        <f>T226</f>
        <v>0</v>
      </c>
      <c r="AR225" s="118" t="s">
        <v>87</v>
      </c>
      <c r="AT225" s="124" t="s">
        <v>79</v>
      </c>
      <c r="AU225" s="124" t="s">
        <v>80</v>
      </c>
      <c r="AY225" s="118" t="s">
        <v>337</v>
      </c>
      <c r="BK225" s="125">
        <f>BK226</f>
        <v>0</v>
      </c>
    </row>
    <row r="226" spans="2:65" s="16" customFormat="1" ht="16.5" customHeight="1" x14ac:dyDescent="0.2">
      <c r="B226" s="17"/>
      <c r="C226" s="128">
        <v>78</v>
      </c>
      <c r="D226" s="128" t="s">
        <v>339</v>
      </c>
      <c r="E226" s="129" t="s">
        <v>7400</v>
      </c>
      <c r="F226" s="130" t="s">
        <v>7399</v>
      </c>
      <c r="G226" s="131" t="s">
        <v>7010</v>
      </c>
      <c r="H226" s="132">
        <v>1</v>
      </c>
      <c r="I226" s="133"/>
      <c r="J226" s="134">
        <f>ROUND(I226*H226,2)</f>
        <v>0</v>
      </c>
      <c r="K226" s="130"/>
      <c r="L226" s="17"/>
      <c r="M226" s="187"/>
      <c r="N226" s="188" t="s">
        <v>45</v>
      </c>
      <c r="O226" s="189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1">
        <f>S226*H226</f>
        <v>0</v>
      </c>
      <c r="AR226" s="139" t="s">
        <v>344</v>
      </c>
      <c r="AT226" s="139" t="s">
        <v>339</v>
      </c>
      <c r="AU226" s="139" t="s">
        <v>87</v>
      </c>
      <c r="AY226" s="2" t="s">
        <v>337</v>
      </c>
      <c r="BE226" s="140">
        <f>IF(N226="základní",J226,0)</f>
        <v>0</v>
      </c>
      <c r="BF226" s="140">
        <f>IF(N226="snížená",J226,0)</f>
        <v>0</v>
      </c>
      <c r="BG226" s="140">
        <f>IF(N226="zákl. přenesená",J226,0)</f>
        <v>0</v>
      </c>
      <c r="BH226" s="140">
        <f>IF(N226="sníž. přenesená",J226,0)</f>
        <v>0</v>
      </c>
      <c r="BI226" s="140">
        <f>IF(N226="nulová",J226,0)</f>
        <v>0</v>
      </c>
      <c r="BJ226" s="2" t="s">
        <v>87</v>
      </c>
      <c r="BK226" s="140">
        <f>ROUND(I226*H226,2)</f>
        <v>0</v>
      </c>
      <c r="BL226" s="2" t="s">
        <v>344</v>
      </c>
      <c r="BM226" s="139" t="s">
        <v>7535</v>
      </c>
    </row>
    <row r="227" spans="2:65" s="16" customFormat="1" ht="6.95" customHeight="1" x14ac:dyDescent="0.2">
      <c r="B227" s="30"/>
      <c r="C227" s="19"/>
      <c r="D227" s="19"/>
      <c r="E227" s="19"/>
      <c r="F227" s="19"/>
      <c r="G227" s="19"/>
      <c r="H227" s="19"/>
      <c r="I227" s="19"/>
      <c r="J227" s="19"/>
      <c r="K227" s="19"/>
      <c r="L227" s="17"/>
    </row>
  </sheetData>
  <sheetProtection algorithmName="SHA-512" hashValue="O7uK4MWYIEIRfpBREzNETKB1BBWEvS590PWig1MbIWHtTlAwLA/w5+xdG6N606yCf2UCIpK54TDlFRF0oMEqMQ==" saltValue="EvUyoD+XYwJtSI/HSN05ew==" spinCount="100000" sheet="1" objects="1" scenarios="1" formatCells="0" formatColumns="0" formatRows="0" autoFilter="0"/>
  <autoFilter ref="C138:K226" xr:uid="{00000000-0009-0000-0000-000012000000}"/>
  <mergeCells count="15"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  <mergeCell ref="E22:H22"/>
    <mergeCell ref="L2:V2"/>
    <mergeCell ref="E7:H7"/>
    <mergeCell ref="E9:H9"/>
    <mergeCell ref="E11:H11"/>
    <mergeCell ref="E13:H13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B2:BM2985"/>
  <sheetViews>
    <sheetView showGridLines="0" workbookViewId="0">
      <selection activeCell="I141" sqref="I141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5.66406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5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95</v>
      </c>
      <c r="AZ2" s="2" t="s">
        <v>177</v>
      </c>
      <c r="BA2" s="2"/>
      <c r="BB2" s="2"/>
      <c r="BC2" s="2" t="s">
        <v>178</v>
      </c>
      <c r="BD2" s="2" t="s">
        <v>90</v>
      </c>
    </row>
    <row r="3" spans="2:5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  <c r="AZ3" s="2" t="s">
        <v>179</v>
      </c>
      <c r="BA3" s="2"/>
      <c r="BB3" s="2"/>
      <c r="BC3" s="2" t="s">
        <v>180</v>
      </c>
      <c r="BD3" s="2" t="s">
        <v>90</v>
      </c>
    </row>
    <row r="4" spans="2:5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  <c r="AZ4" s="2" t="s">
        <v>182</v>
      </c>
      <c r="BA4" s="2"/>
      <c r="BB4" s="2"/>
      <c r="BC4" s="2" t="s">
        <v>183</v>
      </c>
      <c r="BD4" s="2" t="s">
        <v>90</v>
      </c>
    </row>
    <row r="5" spans="2:56" ht="6.95" hidden="1" customHeight="1" x14ac:dyDescent="0.2">
      <c r="B5" s="5"/>
      <c r="L5" s="5"/>
      <c r="AZ5" s="2" t="s">
        <v>184</v>
      </c>
      <c r="BA5" s="2"/>
      <c r="BB5" s="2"/>
      <c r="BC5" s="2" t="s">
        <v>185</v>
      </c>
      <c r="BD5" s="2" t="s">
        <v>90</v>
      </c>
    </row>
    <row r="6" spans="2:56" ht="12" hidden="1" customHeight="1" x14ac:dyDescent="0.2">
      <c r="B6" s="5"/>
      <c r="D6" s="12" t="s">
        <v>15</v>
      </c>
      <c r="L6" s="5"/>
      <c r="AZ6" s="2" t="s">
        <v>186</v>
      </c>
      <c r="BA6" s="2"/>
      <c r="BB6" s="2"/>
      <c r="BC6" s="2" t="s">
        <v>187</v>
      </c>
      <c r="BD6" s="2" t="s">
        <v>90</v>
      </c>
    </row>
    <row r="7" spans="2:5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  <c r="AZ7" s="2" t="s">
        <v>188</v>
      </c>
      <c r="BA7" s="2"/>
      <c r="BB7" s="2"/>
      <c r="BC7" s="2" t="s">
        <v>189</v>
      </c>
      <c r="BD7" s="2" t="s">
        <v>90</v>
      </c>
    </row>
    <row r="8" spans="2:56" ht="12" hidden="1" customHeight="1" x14ac:dyDescent="0.2">
      <c r="B8" s="5"/>
      <c r="D8" s="12" t="s">
        <v>190</v>
      </c>
      <c r="L8" s="5"/>
      <c r="AZ8" s="2" t="s">
        <v>191</v>
      </c>
      <c r="BA8" s="2"/>
      <c r="BB8" s="2"/>
      <c r="BC8" s="2" t="s">
        <v>192</v>
      </c>
      <c r="BD8" s="2" t="s">
        <v>90</v>
      </c>
    </row>
    <row r="9" spans="2:5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  <c r="AZ9" s="2" t="s">
        <v>194</v>
      </c>
      <c r="BA9" s="2"/>
      <c r="BB9" s="2"/>
      <c r="BC9" s="2" t="s">
        <v>195</v>
      </c>
      <c r="BD9" s="2" t="s">
        <v>90</v>
      </c>
    </row>
    <row r="10" spans="2:56" s="16" customFormat="1" ht="12" hidden="1" customHeight="1" x14ac:dyDescent="0.2">
      <c r="B10" s="17"/>
      <c r="D10" s="12" t="s">
        <v>196</v>
      </c>
      <c r="L10" s="17"/>
      <c r="AZ10" s="2" t="s">
        <v>197</v>
      </c>
      <c r="BA10" s="2"/>
      <c r="BB10" s="2"/>
      <c r="BC10" s="2" t="s">
        <v>198</v>
      </c>
      <c r="BD10" s="2" t="s">
        <v>90</v>
      </c>
    </row>
    <row r="11" spans="2:56" s="16" customFormat="1" ht="16.5" hidden="1" customHeight="1" x14ac:dyDescent="0.2">
      <c r="B11" s="17"/>
      <c r="E11" s="309" t="s">
        <v>199</v>
      </c>
      <c r="F11" s="309"/>
      <c r="G11" s="309"/>
      <c r="H11" s="309"/>
      <c r="L11" s="17"/>
      <c r="AZ11" s="2" t="s">
        <v>200</v>
      </c>
      <c r="BA11" s="2"/>
      <c r="BB11" s="2"/>
      <c r="BC11" s="2" t="s">
        <v>201</v>
      </c>
      <c r="BD11" s="2" t="s">
        <v>90</v>
      </c>
    </row>
    <row r="12" spans="2:56" s="16" customFormat="1" hidden="1" x14ac:dyDescent="0.2">
      <c r="B12" s="17"/>
      <c r="L12" s="17"/>
      <c r="AZ12" s="2" t="s">
        <v>202</v>
      </c>
      <c r="BA12" s="2"/>
      <c r="BB12" s="2"/>
      <c r="BC12" s="2" t="s">
        <v>203</v>
      </c>
      <c r="BD12" s="2" t="s">
        <v>90</v>
      </c>
    </row>
    <row r="13" spans="2:5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  <c r="AZ13" s="2" t="s">
        <v>204</v>
      </c>
      <c r="BA13" s="2"/>
      <c r="BB13" s="2"/>
      <c r="BC13" s="2" t="s">
        <v>205</v>
      </c>
      <c r="BD13" s="2" t="s">
        <v>90</v>
      </c>
    </row>
    <row r="14" spans="2:56" s="16" customFormat="1" ht="12" hidden="1" customHeight="1" x14ac:dyDescent="0.2">
      <c r="B14" s="17"/>
      <c r="D14" s="12" t="s">
        <v>19</v>
      </c>
      <c r="F14" s="10" t="s">
        <v>20</v>
      </c>
      <c r="I14" s="12" t="s">
        <v>21</v>
      </c>
      <c r="J14" s="38" t="str">
        <f>IF(Rekapitulace_stavby!AN8&lt;&gt;"",Rekapitulace_stavby!AN8,"")</f>
        <v/>
      </c>
      <c r="L14" s="17"/>
      <c r="AZ14" s="2" t="s">
        <v>206</v>
      </c>
      <c r="BA14" s="2"/>
      <c r="BB14" s="2"/>
      <c r="BC14" s="2" t="s">
        <v>207</v>
      </c>
      <c r="BD14" s="2" t="s">
        <v>90</v>
      </c>
    </row>
    <row r="15" spans="2:56" s="16" customFormat="1" ht="10.9" hidden="1" customHeight="1" x14ac:dyDescent="0.2">
      <c r="B15" s="17"/>
      <c r="L15" s="17"/>
      <c r="AZ15" s="2" t="s">
        <v>208</v>
      </c>
      <c r="BA15" s="2"/>
      <c r="BB15" s="2"/>
      <c r="BC15" s="2" t="s">
        <v>209</v>
      </c>
      <c r="BD15" s="2" t="s">
        <v>90</v>
      </c>
    </row>
    <row r="16" spans="2:56" s="16" customFormat="1" ht="12" hidden="1" customHeight="1" x14ac:dyDescent="0.2">
      <c r="B16" s="17"/>
      <c r="D16" s="12" t="s">
        <v>22</v>
      </c>
      <c r="I16" s="12" t="s">
        <v>23</v>
      </c>
      <c r="J16" s="10" t="s">
        <v>24</v>
      </c>
      <c r="L16" s="17"/>
      <c r="AZ16" s="2" t="s">
        <v>210</v>
      </c>
      <c r="BA16" s="2"/>
      <c r="BB16" s="2"/>
      <c r="BC16" s="2" t="s">
        <v>211</v>
      </c>
      <c r="BD16" s="2" t="s">
        <v>90</v>
      </c>
    </row>
    <row r="17" spans="2:56" s="16" customFormat="1" ht="18" hidden="1" customHeight="1" x14ac:dyDescent="0.2">
      <c r="B17" s="17"/>
      <c r="E17" s="10" t="s">
        <v>25</v>
      </c>
      <c r="I17" s="12" t="s">
        <v>26</v>
      </c>
      <c r="J17" s="10" t="s">
        <v>27</v>
      </c>
      <c r="L17" s="17"/>
      <c r="AZ17" s="2" t="s">
        <v>212</v>
      </c>
      <c r="BA17" s="2"/>
      <c r="BB17" s="2"/>
      <c r="BC17" s="2" t="s">
        <v>213</v>
      </c>
      <c r="BD17" s="2" t="s">
        <v>90</v>
      </c>
    </row>
    <row r="18" spans="2:56" s="16" customFormat="1" ht="6.95" hidden="1" customHeight="1" x14ac:dyDescent="0.2">
      <c r="B18" s="17"/>
      <c r="L18" s="17"/>
      <c r="AZ18" s="2" t="s">
        <v>214</v>
      </c>
      <c r="BA18" s="2"/>
      <c r="BB18" s="2"/>
      <c r="BC18" s="2" t="s">
        <v>215</v>
      </c>
      <c r="BD18" s="2" t="s">
        <v>90</v>
      </c>
    </row>
    <row r="19" spans="2:56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  <c r="AZ19" s="2" t="s">
        <v>216</v>
      </c>
      <c r="BA19" s="2"/>
      <c r="BB19" s="2"/>
      <c r="BC19" s="2" t="s">
        <v>217</v>
      </c>
      <c r="BD19" s="2" t="s">
        <v>90</v>
      </c>
    </row>
    <row r="20" spans="2:56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  <c r="AZ20" s="2" t="s">
        <v>218</v>
      </c>
      <c r="BA20" s="2"/>
      <c r="BB20" s="2"/>
      <c r="BC20" s="2" t="s">
        <v>219</v>
      </c>
      <c r="BD20" s="2" t="s">
        <v>90</v>
      </c>
    </row>
    <row r="21" spans="2:56" s="16" customFormat="1" ht="6.95" hidden="1" customHeight="1" x14ac:dyDescent="0.2">
      <c r="B21" s="17"/>
      <c r="L21" s="17"/>
      <c r="AZ21" s="2" t="s">
        <v>220</v>
      </c>
      <c r="BA21" s="2"/>
      <c r="BB21" s="2"/>
      <c r="BC21" s="2" t="s">
        <v>221</v>
      </c>
      <c r="BD21" s="2" t="s">
        <v>90</v>
      </c>
    </row>
    <row r="22" spans="2:56" s="16" customFormat="1" ht="12" hidden="1" customHeight="1" x14ac:dyDescent="0.2">
      <c r="B22" s="17"/>
      <c r="D22" s="12" t="s">
        <v>29</v>
      </c>
      <c r="I22" s="12" t="s">
        <v>23</v>
      </c>
      <c r="J22" s="10" t="s">
        <v>30</v>
      </c>
      <c r="L22" s="17"/>
      <c r="AZ22" s="2" t="s">
        <v>222</v>
      </c>
      <c r="BA22" s="2"/>
      <c r="BB22" s="2"/>
      <c r="BC22" s="2" t="s">
        <v>223</v>
      </c>
      <c r="BD22" s="2" t="s">
        <v>90</v>
      </c>
    </row>
    <row r="23" spans="2:56" s="16" customFormat="1" ht="18" hidden="1" customHeight="1" x14ac:dyDescent="0.2">
      <c r="B23" s="17"/>
      <c r="E23" s="10" t="s">
        <v>31</v>
      </c>
      <c r="I23" s="12" t="s">
        <v>26</v>
      </c>
      <c r="J23" s="10" t="s">
        <v>32</v>
      </c>
      <c r="L23" s="17"/>
      <c r="AZ23" s="2" t="s">
        <v>224</v>
      </c>
      <c r="BA23" s="2"/>
      <c r="BB23" s="2"/>
      <c r="BC23" s="2" t="s">
        <v>225</v>
      </c>
      <c r="BD23" s="2" t="s">
        <v>90</v>
      </c>
    </row>
    <row r="24" spans="2:56" s="16" customFormat="1" ht="6.95" hidden="1" customHeight="1" x14ac:dyDescent="0.2">
      <c r="B24" s="17"/>
      <c r="L24" s="17"/>
      <c r="AZ24" s="2" t="s">
        <v>226</v>
      </c>
      <c r="BA24" s="2"/>
      <c r="BB24" s="2"/>
      <c r="BC24" s="2" t="s">
        <v>227</v>
      </c>
      <c r="BD24" s="2" t="s">
        <v>90</v>
      </c>
    </row>
    <row r="25" spans="2:56" s="16" customFormat="1" ht="12" hidden="1" customHeight="1" x14ac:dyDescent="0.2">
      <c r="B25" s="17"/>
      <c r="D25" s="12" t="s">
        <v>34</v>
      </c>
      <c r="I25" s="12" t="s">
        <v>23</v>
      </c>
      <c r="J25" s="10" t="s">
        <v>35</v>
      </c>
      <c r="L25" s="17"/>
      <c r="AZ25" s="2" t="s">
        <v>228</v>
      </c>
      <c r="BA25" s="2"/>
      <c r="BB25" s="2"/>
      <c r="BC25" s="2" t="s">
        <v>229</v>
      </c>
      <c r="BD25" s="2" t="s">
        <v>90</v>
      </c>
    </row>
    <row r="26" spans="2:56" s="16" customFormat="1" ht="18" hidden="1" customHeight="1" x14ac:dyDescent="0.2">
      <c r="B26" s="17"/>
      <c r="E26" s="10" t="s">
        <v>36</v>
      </c>
      <c r="I26" s="12" t="s">
        <v>26</v>
      </c>
      <c r="J26" s="10" t="s">
        <v>37</v>
      </c>
      <c r="L26" s="17"/>
      <c r="AZ26" s="2" t="s">
        <v>230</v>
      </c>
      <c r="BA26" s="2"/>
      <c r="BB26" s="2"/>
      <c r="BC26" s="2" t="s">
        <v>231</v>
      </c>
      <c r="BD26" s="2" t="s">
        <v>90</v>
      </c>
    </row>
    <row r="27" spans="2:56" s="16" customFormat="1" ht="6.95" hidden="1" customHeight="1" x14ac:dyDescent="0.2">
      <c r="B27" s="17"/>
      <c r="L27" s="17"/>
      <c r="AZ27" s="2" t="s">
        <v>232</v>
      </c>
      <c r="BA27" s="2"/>
      <c r="BB27" s="2"/>
      <c r="BC27" s="2" t="s">
        <v>233</v>
      </c>
      <c r="BD27" s="2" t="s">
        <v>90</v>
      </c>
    </row>
    <row r="28" spans="2:56" s="16" customFormat="1" ht="12" hidden="1" customHeight="1" x14ac:dyDescent="0.2">
      <c r="B28" s="17"/>
      <c r="D28" s="12" t="s">
        <v>38</v>
      </c>
      <c r="L28" s="17"/>
      <c r="AZ28" s="2" t="s">
        <v>234</v>
      </c>
      <c r="BA28" s="2"/>
      <c r="BB28" s="2"/>
      <c r="BC28" s="2" t="s">
        <v>235</v>
      </c>
      <c r="BD28" s="2" t="s">
        <v>90</v>
      </c>
    </row>
    <row r="29" spans="2:56" s="81" customFormat="1" ht="47.25" hidden="1" customHeight="1" x14ac:dyDescent="0.2">
      <c r="B29" s="82"/>
      <c r="E29" s="304" t="s">
        <v>236</v>
      </c>
      <c r="F29" s="304"/>
      <c r="G29" s="304"/>
      <c r="H29" s="304"/>
      <c r="L29" s="82"/>
      <c r="AZ29" s="83" t="s">
        <v>237</v>
      </c>
      <c r="BA29" s="83"/>
      <c r="BB29" s="83"/>
      <c r="BC29" s="83" t="s">
        <v>238</v>
      </c>
      <c r="BD29" s="83" t="s">
        <v>90</v>
      </c>
    </row>
    <row r="30" spans="2:56" s="16" customFormat="1" ht="6.95" hidden="1" customHeight="1" x14ac:dyDescent="0.2">
      <c r="B30" s="17"/>
      <c r="L30" s="17"/>
      <c r="AZ30" s="2" t="s">
        <v>239</v>
      </c>
      <c r="BA30" s="2"/>
      <c r="BB30" s="2"/>
      <c r="BC30" s="2" t="s">
        <v>240</v>
      </c>
      <c r="BD30" s="2" t="s">
        <v>90</v>
      </c>
    </row>
    <row r="31" spans="2:56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  <c r="AZ31" s="2" t="s">
        <v>241</v>
      </c>
      <c r="BA31" s="2"/>
      <c r="BB31" s="2"/>
      <c r="BC31" s="2" t="s">
        <v>242</v>
      </c>
      <c r="BD31" s="2" t="s">
        <v>90</v>
      </c>
    </row>
    <row r="32" spans="2:56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  <c r="AZ32" s="2" t="s">
        <v>243</v>
      </c>
      <c r="BA32" s="2"/>
      <c r="BB32" s="2"/>
      <c r="BC32" s="2" t="s">
        <v>244</v>
      </c>
      <c r="BD32" s="2" t="s">
        <v>90</v>
      </c>
    </row>
    <row r="33" spans="2:56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  <c r="AZ33" s="2" t="s">
        <v>245</v>
      </c>
      <c r="BA33" s="2"/>
      <c r="BB33" s="2"/>
      <c r="BC33" s="2" t="s">
        <v>246</v>
      </c>
      <c r="BD33" s="2" t="s">
        <v>90</v>
      </c>
    </row>
    <row r="34" spans="2:56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  <c r="AZ34" s="2" t="s">
        <v>247</v>
      </c>
      <c r="BA34" s="2"/>
      <c r="BB34" s="2"/>
      <c r="BC34" s="2" t="s">
        <v>248</v>
      </c>
      <c r="BD34" s="2" t="s">
        <v>90</v>
      </c>
    </row>
    <row r="35" spans="2:56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ROUND((SUM(BE138:BE2984)),  2)</f>
        <v>0</v>
      </c>
      <c r="I35" s="86">
        <v>0.21</v>
      </c>
      <c r="J35" s="73">
        <f>ROUND(((SUM(BE138:BE2984))*I35),  2)</f>
        <v>0</v>
      </c>
      <c r="L35" s="17"/>
      <c r="AZ35" s="2" t="s">
        <v>249</v>
      </c>
      <c r="BA35" s="2"/>
      <c r="BB35" s="2"/>
      <c r="BC35" s="2" t="s">
        <v>250</v>
      </c>
      <c r="BD35" s="2" t="s">
        <v>90</v>
      </c>
    </row>
    <row r="36" spans="2:56" s="16" customFormat="1" ht="14.45" hidden="1" customHeight="1" x14ac:dyDescent="0.2">
      <c r="B36" s="17"/>
      <c r="E36" s="12" t="s">
        <v>46</v>
      </c>
      <c r="F36" s="73">
        <f>ROUND((SUM(BF138:BF2984)),  2)</f>
        <v>0</v>
      </c>
      <c r="I36" s="86">
        <v>0.12</v>
      </c>
      <c r="J36" s="73">
        <f>ROUND(((SUM(BF138:BF2984))*I36),  2)</f>
        <v>0</v>
      </c>
      <c r="L36" s="17"/>
      <c r="AZ36" s="2" t="s">
        <v>251</v>
      </c>
      <c r="BA36" s="2"/>
      <c r="BB36" s="2"/>
      <c r="BC36" s="2" t="s">
        <v>252</v>
      </c>
      <c r="BD36" s="2" t="s">
        <v>90</v>
      </c>
    </row>
    <row r="37" spans="2:56" s="16" customFormat="1" ht="14.45" hidden="1" customHeight="1" x14ac:dyDescent="0.2">
      <c r="B37" s="17"/>
      <c r="E37" s="12" t="s">
        <v>47</v>
      </c>
      <c r="F37" s="73">
        <f>ROUND((SUM(BG138:BG2984)),  2)</f>
        <v>0</v>
      </c>
      <c r="I37" s="86">
        <v>0.21</v>
      </c>
      <c r="J37" s="73">
        <f>0</f>
        <v>0</v>
      </c>
      <c r="L37" s="17"/>
      <c r="AZ37" s="2" t="s">
        <v>253</v>
      </c>
      <c r="BA37" s="2"/>
      <c r="BB37" s="2"/>
      <c r="BC37" s="2" t="s">
        <v>254</v>
      </c>
      <c r="BD37" s="2" t="s">
        <v>90</v>
      </c>
    </row>
    <row r="38" spans="2:56" s="16" customFormat="1" ht="14.45" hidden="1" customHeight="1" x14ac:dyDescent="0.2">
      <c r="B38" s="17"/>
      <c r="E38" s="12" t="s">
        <v>48</v>
      </c>
      <c r="F38" s="73">
        <f>ROUND((SUM(BH138:BH2984)),  2)</f>
        <v>0</v>
      </c>
      <c r="I38" s="86">
        <v>0.12</v>
      </c>
      <c r="J38" s="73">
        <f>0</f>
        <v>0</v>
      </c>
      <c r="L38" s="17"/>
      <c r="AZ38" s="2" t="s">
        <v>255</v>
      </c>
      <c r="BA38" s="2"/>
      <c r="BB38" s="2"/>
      <c r="BC38" s="2" t="s">
        <v>256</v>
      </c>
      <c r="BD38" s="2" t="s">
        <v>90</v>
      </c>
    </row>
    <row r="39" spans="2:56" s="16" customFormat="1" ht="14.45" hidden="1" customHeight="1" x14ac:dyDescent="0.2">
      <c r="B39" s="17"/>
      <c r="E39" s="12" t="s">
        <v>49</v>
      </c>
      <c r="F39" s="73">
        <f>ROUND((SUM(BI138:BI2984)),  2)</f>
        <v>0</v>
      </c>
      <c r="I39" s="86">
        <v>0</v>
      </c>
      <c r="J39" s="73">
        <f>0</f>
        <v>0</v>
      </c>
      <c r="L39" s="17"/>
      <c r="AZ39" s="2" t="s">
        <v>257</v>
      </c>
      <c r="BA39" s="2"/>
      <c r="BB39" s="2"/>
      <c r="BC39" s="2" t="s">
        <v>258</v>
      </c>
      <c r="BD39" s="2" t="s">
        <v>90</v>
      </c>
    </row>
    <row r="40" spans="2:56" s="16" customFormat="1" ht="6.95" hidden="1" customHeight="1" x14ac:dyDescent="0.2">
      <c r="B40" s="17"/>
      <c r="L40" s="17"/>
      <c r="AZ40" s="2" t="s">
        <v>259</v>
      </c>
      <c r="BA40" s="2"/>
      <c r="BB40" s="2"/>
      <c r="BC40" s="2" t="s">
        <v>260</v>
      </c>
      <c r="BD40" s="2" t="s">
        <v>90</v>
      </c>
    </row>
    <row r="41" spans="2:56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  <c r="AZ41" s="2" t="s">
        <v>261</v>
      </c>
      <c r="BA41" s="2"/>
      <c r="BB41" s="2"/>
      <c r="BC41" s="2" t="s">
        <v>262</v>
      </c>
      <c r="BD41" s="2" t="s">
        <v>90</v>
      </c>
    </row>
    <row r="42" spans="2:56" s="16" customFormat="1" ht="14.45" hidden="1" customHeight="1" x14ac:dyDescent="0.2">
      <c r="B42" s="17"/>
      <c r="L42" s="17"/>
      <c r="AZ42" s="2" t="s">
        <v>263</v>
      </c>
      <c r="BA42" s="2"/>
      <c r="BB42" s="2"/>
      <c r="BC42" s="2" t="s">
        <v>264</v>
      </c>
      <c r="BD42" s="2" t="s">
        <v>90</v>
      </c>
    </row>
    <row r="43" spans="2:56" ht="14.45" hidden="1" customHeight="1" x14ac:dyDescent="0.2">
      <c r="B43" s="5"/>
      <c r="L43" s="5"/>
      <c r="AZ43" s="2" t="s">
        <v>265</v>
      </c>
      <c r="BA43" s="2"/>
      <c r="BB43" s="2"/>
      <c r="BC43" s="2" t="s">
        <v>266</v>
      </c>
      <c r="BD43" s="2" t="s">
        <v>90</v>
      </c>
    </row>
    <row r="44" spans="2:56" ht="14.45" hidden="1" customHeight="1" x14ac:dyDescent="0.2">
      <c r="B44" s="5"/>
      <c r="L44" s="5"/>
      <c r="AZ44" s="2" t="s">
        <v>267</v>
      </c>
      <c r="BA44" s="2"/>
      <c r="BB44" s="2"/>
      <c r="BC44" s="2" t="s">
        <v>268</v>
      </c>
      <c r="BD44" s="2" t="s">
        <v>90</v>
      </c>
    </row>
    <row r="45" spans="2:56" ht="14.45" hidden="1" customHeight="1" x14ac:dyDescent="0.2">
      <c r="B45" s="5"/>
      <c r="L45" s="5"/>
      <c r="AZ45" s="2" t="s">
        <v>269</v>
      </c>
      <c r="BA45" s="2"/>
      <c r="BB45" s="2"/>
      <c r="BC45" s="2" t="s">
        <v>270</v>
      </c>
      <c r="BD45" s="2" t="s">
        <v>90</v>
      </c>
    </row>
    <row r="46" spans="2:56" ht="14.45" hidden="1" customHeight="1" x14ac:dyDescent="0.2">
      <c r="B46" s="5"/>
      <c r="L46" s="5"/>
      <c r="AZ46" s="2" t="s">
        <v>271</v>
      </c>
      <c r="BA46" s="2"/>
      <c r="BB46" s="2"/>
      <c r="BC46" s="2" t="s">
        <v>272</v>
      </c>
      <c r="BD46" s="2" t="s">
        <v>90</v>
      </c>
    </row>
    <row r="47" spans="2:56" ht="14.45" hidden="1" customHeight="1" x14ac:dyDescent="0.2">
      <c r="B47" s="5"/>
      <c r="L47" s="5"/>
      <c r="AZ47" s="2" t="s">
        <v>273</v>
      </c>
      <c r="BA47" s="2"/>
      <c r="BB47" s="2"/>
      <c r="BC47" s="2" t="s">
        <v>274</v>
      </c>
      <c r="BD47" s="2" t="s">
        <v>90</v>
      </c>
    </row>
    <row r="48" spans="2:56" ht="14.45" hidden="1" customHeight="1" x14ac:dyDescent="0.2">
      <c r="B48" s="5"/>
      <c r="L48" s="5"/>
      <c r="AZ48" s="2" t="s">
        <v>275</v>
      </c>
      <c r="BA48" s="2"/>
      <c r="BB48" s="2"/>
      <c r="BC48" s="2" t="s">
        <v>276</v>
      </c>
      <c r="BD48" s="2" t="s">
        <v>90</v>
      </c>
    </row>
    <row r="49" spans="2:56" ht="14.45" hidden="1" customHeight="1" x14ac:dyDescent="0.2">
      <c r="B49" s="5"/>
      <c r="L49" s="5"/>
      <c r="AZ49" s="2" t="s">
        <v>277</v>
      </c>
      <c r="BA49" s="2"/>
      <c r="BB49" s="2"/>
      <c r="BC49" s="2" t="s">
        <v>278</v>
      </c>
      <c r="BD49" s="2" t="s">
        <v>90</v>
      </c>
    </row>
    <row r="50" spans="2:56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  <c r="AZ50" s="2" t="s">
        <v>279</v>
      </c>
      <c r="BA50" s="2"/>
      <c r="BB50" s="2"/>
      <c r="BC50" s="2" t="s">
        <v>280</v>
      </c>
      <c r="BD50" s="2" t="s">
        <v>90</v>
      </c>
    </row>
    <row r="51" spans="2:56" hidden="1" x14ac:dyDescent="0.2">
      <c r="B51" s="5"/>
      <c r="L51" s="5"/>
      <c r="AZ51" s="2" t="s">
        <v>281</v>
      </c>
      <c r="BA51" s="2"/>
      <c r="BB51" s="2"/>
      <c r="BC51" s="2" t="s">
        <v>282</v>
      </c>
      <c r="BD51" s="2" t="s">
        <v>90</v>
      </c>
    </row>
    <row r="52" spans="2:56" hidden="1" x14ac:dyDescent="0.2">
      <c r="B52" s="5"/>
      <c r="L52" s="5"/>
      <c r="AZ52" s="2" t="s">
        <v>283</v>
      </c>
      <c r="BA52" s="2"/>
      <c r="BB52" s="2"/>
      <c r="BC52" s="2" t="s">
        <v>284</v>
      </c>
      <c r="BD52" s="2" t="s">
        <v>90</v>
      </c>
    </row>
    <row r="53" spans="2:56" hidden="1" x14ac:dyDescent="0.2">
      <c r="B53" s="5"/>
      <c r="L53" s="5"/>
      <c r="AZ53" s="2" t="s">
        <v>285</v>
      </c>
      <c r="BA53" s="2"/>
      <c r="BB53" s="2"/>
      <c r="BC53" s="2" t="s">
        <v>286</v>
      </c>
      <c r="BD53" s="2" t="s">
        <v>90</v>
      </c>
    </row>
    <row r="54" spans="2:56" hidden="1" x14ac:dyDescent="0.2">
      <c r="B54" s="5"/>
      <c r="L54" s="5"/>
      <c r="AZ54" s="2" t="s">
        <v>287</v>
      </c>
      <c r="BA54" s="2"/>
      <c r="BB54" s="2"/>
      <c r="BC54" s="2" t="s">
        <v>288</v>
      </c>
      <c r="BD54" s="2" t="s">
        <v>90</v>
      </c>
    </row>
    <row r="55" spans="2:56" hidden="1" x14ac:dyDescent="0.2">
      <c r="B55" s="5"/>
      <c r="L55" s="5"/>
      <c r="AZ55" s="2" t="s">
        <v>289</v>
      </c>
      <c r="BA55" s="2"/>
      <c r="BB55" s="2"/>
      <c r="BC55" s="2" t="s">
        <v>187</v>
      </c>
      <c r="BD55" s="2" t="s">
        <v>90</v>
      </c>
    </row>
    <row r="56" spans="2:56" hidden="1" x14ac:dyDescent="0.2">
      <c r="B56" s="5"/>
      <c r="L56" s="5"/>
      <c r="AZ56" s="2" t="s">
        <v>290</v>
      </c>
      <c r="BA56" s="2"/>
      <c r="BB56" s="2"/>
      <c r="BC56" s="2" t="s">
        <v>291</v>
      </c>
      <c r="BD56" s="2" t="s">
        <v>90</v>
      </c>
    </row>
    <row r="57" spans="2:56" hidden="1" x14ac:dyDescent="0.2">
      <c r="B57" s="5"/>
      <c r="L57" s="5"/>
      <c r="AZ57" s="2" t="s">
        <v>292</v>
      </c>
      <c r="BA57" s="2"/>
      <c r="BB57" s="2"/>
      <c r="BC57" s="2" t="s">
        <v>293</v>
      </c>
      <c r="BD57" s="2" t="s">
        <v>90</v>
      </c>
    </row>
    <row r="58" spans="2:56" hidden="1" x14ac:dyDescent="0.2">
      <c r="B58" s="5"/>
      <c r="L58" s="5"/>
      <c r="AZ58" s="2" t="s">
        <v>294</v>
      </c>
      <c r="BA58" s="2"/>
      <c r="BB58" s="2"/>
      <c r="BC58" s="2" t="s">
        <v>295</v>
      </c>
      <c r="BD58" s="2" t="s">
        <v>90</v>
      </c>
    </row>
    <row r="59" spans="2:56" hidden="1" x14ac:dyDescent="0.2">
      <c r="B59" s="5"/>
      <c r="L59" s="5"/>
      <c r="AZ59" s="2" t="s">
        <v>296</v>
      </c>
      <c r="BA59" s="2"/>
      <c r="BB59" s="2"/>
      <c r="BC59" s="2" t="s">
        <v>297</v>
      </c>
      <c r="BD59" s="2" t="s">
        <v>90</v>
      </c>
    </row>
    <row r="60" spans="2:56" hidden="1" x14ac:dyDescent="0.2">
      <c r="B60" s="5"/>
      <c r="L60" s="5"/>
      <c r="AZ60" s="2" t="s">
        <v>298</v>
      </c>
      <c r="BA60" s="2"/>
      <c r="BB60" s="2"/>
      <c r="BC60" s="2" t="s">
        <v>219</v>
      </c>
      <c r="BD60" s="2" t="s">
        <v>90</v>
      </c>
    </row>
    <row r="61" spans="2:56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56" hidden="1" x14ac:dyDescent="0.2">
      <c r="B62" s="5"/>
      <c r="L62" s="5"/>
    </row>
    <row r="63" spans="2:56" hidden="1" x14ac:dyDescent="0.2">
      <c r="B63" s="5"/>
      <c r="L63" s="5"/>
    </row>
    <row r="64" spans="2:56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ARS - Architektonicko-stavební část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>Alej Svobody 703 Plzeň 1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286">
        <f>IF(E20="","",E20)</f>
        <v>0</v>
      </c>
      <c r="I94" s="12" t="s">
        <v>34</v>
      </c>
      <c r="J94" s="304" t="str">
        <f>E26</f>
        <v>Propos Liberec s.r.o.</v>
      </c>
      <c r="K94" s="327"/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304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305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70" customFormat="1" ht="19.899999999999999" customHeight="1" x14ac:dyDescent="0.2">
      <c r="B101" s="103"/>
      <c r="D101" s="104" t="s">
        <v>306</v>
      </c>
      <c r="E101" s="105"/>
      <c r="F101" s="105"/>
      <c r="G101" s="105"/>
      <c r="H101" s="105"/>
      <c r="I101" s="105"/>
      <c r="J101" s="106">
        <f>J147</f>
        <v>0</v>
      </c>
      <c r="L101" s="103"/>
    </row>
    <row r="102" spans="2:47" s="70" customFormat="1" ht="19.899999999999999" customHeight="1" x14ac:dyDescent="0.2">
      <c r="B102" s="103"/>
      <c r="D102" s="104" t="s">
        <v>307</v>
      </c>
      <c r="E102" s="105"/>
      <c r="F102" s="105"/>
      <c r="G102" s="105"/>
      <c r="H102" s="105"/>
      <c r="I102" s="105"/>
      <c r="J102" s="106">
        <f>J439</f>
        <v>0</v>
      </c>
      <c r="L102" s="103"/>
    </row>
    <row r="103" spans="2:47" s="70" customFormat="1" ht="19.899999999999999" customHeight="1" x14ac:dyDescent="0.2">
      <c r="B103" s="103"/>
      <c r="D103" s="104" t="s">
        <v>308</v>
      </c>
      <c r="E103" s="105"/>
      <c r="F103" s="105"/>
      <c r="G103" s="105"/>
      <c r="H103" s="105"/>
      <c r="I103" s="105"/>
      <c r="J103" s="106">
        <f>J719</f>
        <v>0</v>
      </c>
      <c r="L103" s="103"/>
    </row>
    <row r="104" spans="2:47" s="70" customFormat="1" ht="19.899999999999999" customHeight="1" x14ac:dyDescent="0.2">
      <c r="B104" s="103"/>
      <c r="D104" s="104" t="s">
        <v>309</v>
      </c>
      <c r="E104" s="105"/>
      <c r="F104" s="105"/>
      <c r="G104" s="105"/>
      <c r="H104" s="105"/>
      <c r="I104" s="105"/>
      <c r="J104" s="106">
        <f>J870</f>
        <v>0</v>
      </c>
      <c r="L104" s="103"/>
    </row>
    <row r="105" spans="2:47" s="98" customFormat="1" ht="24.95" customHeight="1" x14ac:dyDescent="0.2">
      <c r="B105" s="99"/>
      <c r="D105" s="100" t="s">
        <v>310</v>
      </c>
      <c r="E105" s="101"/>
      <c r="F105" s="101"/>
      <c r="G105" s="101"/>
      <c r="H105" s="101"/>
      <c r="I105" s="101"/>
      <c r="J105" s="102">
        <f>J872</f>
        <v>0</v>
      </c>
      <c r="L105" s="99"/>
    </row>
    <row r="106" spans="2:47" s="70" customFormat="1" ht="19.899999999999999" customHeight="1" x14ac:dyDescent="0.2">
      <c r="B106" s="103"/>
      <c r="D106" s="104" t="s">
        <v>311</v>
      </c>
      <c r="E106" s="105"/>
      <c r="F106" s="105"/>
      <c r="G106" s="105"/>
      <c r="H106" s="105"/>
      <c r="I106" s="105"/>
      <c r="J106" s="106">
        <f>J873</f>
        <v>0</v>
      </c>
      <c r="L106" s="103"/>
    </row>
    <row r="107" spans="2:47" s="70" customFormat="1" ht="19.899999999999999" customHeight="1" x14ac:dyDescent="0.2">
      <c r="B107" s="103"/>
      <c r="D107" s="104" t="s">
        <v>312</v>
      </c>
      <c r="E107" s="105"/>
      <c r="F107" s="105"/>
      <c r="G107" s="105"/>
      <c r="H107" s="105"/>
      <c r="I107" s="105"/>
      <c r="J107" s="106">
        <f>J902</f>
        <v>0</v>
      </c>
      <c r="L107" s="103"/>
    </row>
    <row r="108" spans="2:47" s="70" customFormat="1" ht="19.899999999999999" customHeight="1" x14ac:dyDescent="0.2">
      <c r="B108" s="103"/>
      <c r="D108" s="104" t="s">
        <v>313</v>
      </c>
      <c r="E108" s="105"/>
      <c r="F108" s="105"/>
      <c r="G108" s="105"/>
      <c r="H108" s="105"/>
      <c r="I108" s="105"/>
      <c r="J108" s="106">
        <f>J975</f>
        <v>0</v>
      </c>
      <c r="L108" s="103"/>
    </row>
    <row r="109" spans="2:47" s="70" customFormat="1" ht="19.899999999999999" customHeight="1" x14ac:dyDescent="0.2">
      <c r="B109" s="103"/>
      <c r="D109" s="104" t="s">
        <v>314</v>
      </c>
      <c r="E109" s="105"/>
      <c r="F109" s="105"/>
      <c r="G109" s="105"/>
      <c r="H109" s="105"/>
      <c r="I109" s="105"/>
      <c r="J109" s="106">
        <f>J1031</f>
        <v>0</v>
      </c>
      <c r="L109" s="103"/>
    </row>
    <row r="110" spans="2:47" s="70" customFormat="1" ht="19.899999999999999" customHeight="1" x14ac:dyDescent="0.2">
      <c r="B110" s="103"/>
      <c r="D110" s="104" t="s">
        <v>315</v>
      </c>
      <c r="E110" s="105"/>
      <c r="F110" s="105"/>
      <c r="G110" s="105"/>
      <c r="H110" s="105"/>
      <c r="I110" s="105"/>
      <c r="J110" s="106">
        <f>J1703</f>
        <v>0</v>
      </c>
      <c r="L110" s="103"/>
    </row>
    <row r="111" spans="2:47" s="70" customFormat="1" ht="19.899999999999999" customHeight="1" x14ac:dyDescent="0.2">
      <c r="B111" s="103"/>
      <c r="D111" s="104" t="s">
        <v>316</v>
      </c>
      <c r="E111" s="105"/>
      <c r="F111" s="105"/>
      <c r="G111" s="105"/>
      <c r="H111" s="105"/>
      <c r="I111" s="105"/>
      <c r="J111" s="106">
        <f>J1997</f>
        <v>0</v>
      </c>
      <c r="L111" s="103"/>
    </row>
    <row r="112" spans="2:47" s="70" customFormat="1" ht="19.899999999999999" customHeight="1" x14ac:dyDescent="0.2">
      <c r="B112" s="103"/>
      <c r="D112" s="104" t="s">
        <v>317</v>
      </c>
      <c r="E112" s="105"/>
      <c r="F112" s="105"/>
      <c r="G112" s="105"/>
      <c r="H112" s="105"/>
      <c r="I112" s="105"/>
      <c r="J112" s="106">
        <f>J2032</f>
        <v>0</v>
      </c>
      <c r="L112" s="103"/>
    </row>
    <row r="113" spans="2:12" s="70" customFormat="1" ht="19.899999999999999" customHeight="1" x14ac:dyDescent="0.2">
      <c r="B113" s="103"/>
      <c r="D113" s="104" t="s">
        <v>318</v>
      </c>
      <c r="E113" s="105"/>
      <c r="F113" s="105"/>
      <c r="G113" s="105"/>
      <c r="H113" s="105"/>
      <c r="I113" s="105"/>
      <c r="J113" s="106">
        <f>J2360</f>
        <v>0</v>
      </c>
      <c r="L113" s="103"/>
    </row>
    <row r="114" spans="2:12" s="70" customFormat="1" ht="19.899999999999999" customHeight="1" x14ac:dyDescent="0.2">
      <c r="B114" s="103"/>
      <c r="D114" s="104" t="s">
        <v>319</v>
      </c>
      <c r="E114" s="105"/>
      <c r="F114" s="105"/>
      <c r="G114" s="105"/>
      <c r="H114" s="105"/>
      <c r="I114" s="105"/>
      <c r="J114" s="106">
        <f>J2430</f>
        <v>0</v>
      </c>
      <c r="L114" s="103"/>
    </row>
    <row r="115" spans="2:12" s="70" customFormat="1" ht="19.899999999999999" customHeight="1" x14ac:dyDescent="0.2">
      <c r="B115" s="103"/>
      <c r="D115" s="104" t="s">
        <v>320</v>
      </c>
      <c r="E115" s="105"/>
      <c r="F115" s="105"/>
      <c r="G115" s="105"/>
      <c r="H115" s="105"/>
      <c r="I115" s="105"/>
      <c r="J115" s="106">
        <f>J2831</f>
        <v>0</v>
      </c>
      <c r="L115" s="103"/>
    </row>
    <row r="116" spans="2:12" s="70" customFormat="1" ht="19.899999999999999" customHeight="1" x14ac:dyDescent="0.2">
      <c r="B116" s="103"/>
      <c r="D116" s="104" t="s">
        <v>321</v>
      </c>
      <c r="E116" s="105"/>
      <c r="F116" s="105"/>
      <c r="G116" s="105"/>
      <c r="H116" s="105"/>
      <c r="I116" s="105"/>
      <c r="J116" s="106">
        <f>J2859</f>
        <v>0</v>
      </c>
      <c r="L116" s="103"/>
    </row>
    <row r="117" spans="2:12" s="16" customFormat="1" ht="21.75" customHeight="1" x14ac:dyDescent="0.2">
      <c r="B117" s="17"/>
      <c r="L117" s="17"/>
    </row>
    <row r="118" spans="2:12" s="16" customFormat="1" ht="6.95" customHeight="1" x14ac:dyDescent="0.2">
      <c r="B118" s="30"/>
      <c r="C118" s="19"/>
      <c r="D118" s="19"/>
      <c r="E118" s="19"/>
      <c r="F118" s="19"/>
      <c r="G118" s="19"/>
      <c r="H118" s="19"/>
      <c r="I118" s="19"/>
      <c r="J118" s="19"/>
      <c r="K118" s="19"/>
      <c r="L118" s="17"/>
    </row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ARS - Architektonicko-stavební část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tr">
        <f>F14</f>
        <v>Alej Svobody 703 Plzeň 1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23.25" customHeight="1" x14ac:dyDescent="0.2">
      <c r="B135" s="17"/>
      <c r="C135" s="12" t="s">
        <v>28</v>
      </c>
      <c r="F135" s="10">
        <f>IF(E20="","",E20)</f>
        <v>0</v>
      </c>
      <c r="I135" s="12" t="s">
        <v>34</v>
      </c>
      <c r="J135" s="15" t="str">
        <f>E26</f>
        <v>Propos Liberec s.r.o.</v>
      </c>
      <c r="L135" s="17"/>
    </row>
    <row r="136" spans="2:65" s="16" customFormat="1" ht="18.7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P139+P872</f>
        <v>0</v>
      </c>
      <c r="Q138" s="39"/>
      <c r="R138" s="113">
        <f>R139+R872</f>
        <v>1078.5251464799999</v>
      </c>
      <c r="S138" s="39"/>
      <c r="T138" s="114">
        <f>T139+T872</f>
        <v>3.3766018999999998</v>
      </c>
      <c r="AT138" s="2" t="s">
        <v>79</v>
      </c>
      <c r="AU138" s="2" t="s">
        <v>303</v>
      </c>
      <c r="BK138" s="115">
        <f>BK139+BK872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P140+P147+P439+P719+P870</f>
        <v>0</v>
      </c>
      <c r="R139" s="122">
        <f>R140+R147+R439+R719+R870</f>
        <v>757.28912677999995</v>
      </c>
      <c r="T139" s="123">
        <f>T140+T147+T439+T719+T870</f>
        <v>2.1873799999999997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BK140+BK147+BK439+BK719+BK870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90</v>
      </c>
      <c r="F140" s="126" t="s">
        <v>338</v>
      </c>
      <c r="J140" s="127">
        <f>BK140</f>
        <v>0</v>
      </c>
      <c r="L140" s="117"/>
      <c r="M140" s="121"/>
      <c r="P140" s="122">
        <f>SUM(P141:P146)</f>
        <v>0</v>
      </c>
      <c r="R140" s="122">
        <f>SUM(R141:R146)</f>
        <v>10.618560000000002</v>
      </c>
      <c r="T140" s="123">
        <f>SUM(T141:T146)</f>
        <v>0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SUM(BK141:BK146)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340</v>
      </c>
      <c r="F141" s="130" t="s">
        <v>341</v>
      </c>
      <c r="G141" s="131" t="s">
        <v>342</v>
      </c>
      <c r="H141" s="132">
        <v>4.9160000000000004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2.16</v>
      </c>
      <c r="R141" s="137">
        <f>Q141*H141</f>
        <v>10.618560000000002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345</v>
      </c>
    </row>
    <row r="142" spans="2:65" s="141" customFormat="1" x14ac:dyDescent="0.2">
      <c r="B142" s="142"/>
      <c r="D142" s="143" t="s">
        <v>346</v>
      </c>
      <c r="E142" s="144"/>
      <c r="F142" s="145" t="s">
        <v>347</v>
      </c>
      <c r="H142" s="144"/>
      <c r="L142" s="142"/>
      <c r="M142" s="146"/>
      <c r="T142" s="147"/>
      <c r="AT142" s="144" t="s">
        <v>346</v>
      </c>
      <c r="AU142" s="144" t="s">
        <v>90</v>
      </c>
      <c r="AV142" s="141" t="s">
        <v>87</v>
      </c>
      <c r="AW142" s="141" t="s">
        <v>33</v>
      </c>
      <c r="AX142" s="141" t="s">
        <v>80</v>
      </c>
      <c r="AY142" s="144" t="s">
        <v>337</v>
      </c>
    </row>
    <row r="143" spans="2:65" s="148" customFormat="1" x14ac:dyDescent="0.2">
      <c r="B143" s="149"/>
      <c r="D143" s="143" t="s">
        <v>346</v>
      </c>
      <c r="E143" s="150"/>
      <c r="F143" s="151" t="s">
        <v>348</v>
      </c>
      <c r="H143" s="152">
        <v>4.0140000000000002</v>
      </c>
      <c r="L143" s="149"/>
      <c r="M143" s="153"/>
      <c r="T143" s="154"/>
      <c r="AT143" s="150" t="s">
        <v>346</v>
      </c>
      <c r="AU143" s="150" t="s">
        <v>90</v>
      </c>
      <c r="AV143" s="148" t="s">
        <v>90</v>
      </c>
      <c r="AW143" s="148" t="s">
        <v>33</v>
      </c>
      <c r="AX143" s="148" t="s">
        <v>80</v>
      </c>
      <c r="AY143" s="150" t="s">
        <v>337</v>
      </c>
    </row>
    <row r="144" spans="2:65" s="141" customFormat="1" x14ac:dyDescent="0.2">
      <c r="B144" s="142"/>
      <c r="D144" s="143" t="s">
        <v>346</v>
      </c>
      <c r="E144" s="144"/>
      <c r="F144" s="145" t="s">
        <v>349</v>
      </c>
      <c r="H144" s="144"/>
      <c r="L144" s="142"/>
      <c r="M144" s="146"/>
      <c r="T144" s="147"/>
      <c r="AT144" s="144" t="s">
        <v>346</v>
      </c>
      <c r="AU144" s="144" t="s">
        <v>90</v>
      </c>
      <c r="AV144" s="141" t="s">
        <v>87</v>
      </c>
      <c r="AW144" s="141" t="s">
        <v>33</v>
      </c>
      <c r="AX144" s="141" t="s">
        <v>80</v>
      </c>
      <c r="AY144" s="144" t="s">
        <v>337</v>
      </c>
    </row>
    <row r="145" spans="2:65" s="148" customFormat="1" x14ac:dyDescent="0.2">
      <c r="B145" s="149"/>
      <c r="D145" s="143" t="s">
        <v>346</v>
      </c>
      <c r="E145" s="150"/>
      <c r="F145" s="151" t="s">
        <v>350</v>
      </c>
      <c r="H145" s="152">
        <v>0.90200000000000002</v>
      </c>
      <c r="L145" s="149"/>
      <c r="M145" s="153"/>
      <c r="T145" s="154"/>
      <c r="AT145" s="150" t="s">
        <v>346</v>
      </c>
      <c r="AU145" s="150" t="s">
        <v>90</v>
      </c>
      <c r="AV145" s="148" t="s">
        <v>90</v>
      </c>
      <c r="AW145" s="148" t="s">
        <v>33</v>
      </c>
      <c r="AX145" s="148" t="s">
        <v>80</v>
      </c>
      <c r="AY145" s="150" t="s">
        <v>337</v>
      </c>
    </row>
    <row r="146" spans="2:65" s="155" customFormat="1" x14ac:dyDescent="0.2">
      <c r="B146" s="156"/>
      <c r="D146" s="143" t="s">
        <v>346</v>
      </c>
      <c r="E146" s="157"/>
      <c r="F146" s="158" t="s">
        <v>351</v>
      </c>
      <c r="H146" s="159">
        <v>4.9160000000000004</v>
      </c>
      <c r="L146" s="156"/>
      <c r="M146" s="160"/>
      <c r="T146" s="161"/>
      <c r="AT146" s="157" t="s">
        <v>346</v>
      </c>
      <c r="AU146" s="157" t="s">
        <v>90</v>
      </c>
      <c r="AV146" s="155" t="s">
        <v>344</v>
      </c>
      <c r="AW146" s="155" t="s">
        <v>33</v>
      </c>
      <c r="AX146" s="155" t="s">
        <v>87</v>
      </c>
      <c r="AY146" s="157" t="s">
        <v>337</v>
      </c>
    </row>
    <row r="147" spans="2:65" s="116" customFormat="1" ht="22.9" customHeight="1" x14ac:dyDescent="0.2">
      <c r="B147" s="117"/>
      <c r="D147" s="118" t="s">
        <v>79</v>
      </c>
      <c r="E147" s="126" t="s">
        <v>113</v>
      </c>
      <c r="F147" s="126" t="s">
        <v>352</v>
      </c>
      <c r="J147" s="127">
        <f>BK147</f>
        <v>0</v>
      </c>
      <c r="L147" s="117"/>
      <c r="M147" s="121"/>
      <c r="P147" s="122">
        <f>SUM(P148:P438)</f>
        <v>0</v>
      </c>
      <c r="R147" s="122">
        <f>SUM(R148:R438)</f>
        <v>194.13060923000003</v>
      </c>
      <c r="T147" s="123">
        <f>SUM(T148:T438)</f>
        <v>0</v>
      </c>
      <c r="AR147" s="118" t="s">
        <v>87</v>
      </c>
      <c r="AT147" s="124" t="s">
        <v>79</v>
      </c>
      <c r="AU147" s="124" t="s">
        <v>87</v>
      </c>
      <c r="AY147" s="118" t="s">
        <v>337</v>
      </c>
      <c r="BK147" s="125">
        <f>SUM(BK148:BK438)</f>
        <v>0</v>
      </c>
    </row>
    <row r="148" spans="2:65" s="16" customFormat="1" ht="16.5" customHeight="1" x14ac:dyDescent="0.2">
      <c r="B148" s="17"/>
      <c r="C148" s="128">
        <v>2</v>
      </c>
      <c r="D148" s="128" t="s">
        <v>339</v>
      </c>
      <c r="E148" s="129" t="s">
        <v>353</v>
      </c>
      <c r="F148" s="130" t="s">
        <v>354</v>
      </c>
      <c r="G148" s="131" t="s">
        <v>342</v>
      </c>
      <c r="H148" s="132">
        <v>4.9649999999999999</v>
      </c>
      <c r="I148" s="133"/>
      <c r="J148" s="134">
        <f>ROUND(I148*H148,2)</f>
        <v>0</v>
      </c>
      <c r="K148" s="130" t="s">
        <v>343</v>
      </c>
      <c r="L148" s="17"/>
      <c r="M148" s="135"/>
      <c r="N148" s="136" t="s">
        <v>45</v>
      </c>
      <c r="P148" s="137">
        <f>O148*H148</f>
        <v>0</v>
      </c>
      <c r="Q148" s="137">
        <v>1.8774999999999999</v>
      </c>
      <c r="R148" s="137">
        <f>Q148*H148</f>
        <v>9.3217874999999992</v>
      </c>
      <c r="S148" s="137">
        <v>0</v>
      </c>
      <c r="T148" s="138">
        <f>S148*H148</f>
        <v>0</v>
      </c>
      <c r="AR148" s="139" t="s">
        <v>344</v>
      </c>
      <c r="AT148" s="139" t="s">
        <v>339</v>
      </c>
      <c r="AU148" s="139" t="s">
        <v>90</v>
      </c>
      <c r="AY148" s="2" t="s">
        <v>337</v>
      </c>
      <c r="BE148" s="140">
        <f>IF(N148="základní",J148,0)</f>
        <v>0</v>
      </c>
      <c r="BF148" s="140">
        <f>IF(N148="snížená",J148,0)</f>
        <v>0</v>
      </c>
      <c r="BG148" s="140">
        <f>IF(N148="zákl. přenesená",J148,0)</f>
        <v>0</v>
      </c>
      <c r="BH148" s="140">
        <f>IF(N148="sníž. přenesená",J148,0)</f>
        <v>0</v>
      </c>
      <c r="BI148" s="140">
        <f>IF(N148="nulová",J148,0)</f>
        <v>0</v>
      </c>
      <c r="BJ148" s="2" t="s">
        <v>87</v>
      </c>
      <c r="BK148" s="140">
        <f>ROUND(I148*H148,2)</f>
        <v>0</v>
      </c>
      <c r="BL148" s="2" t="s">
        <v>344</v>
      </c>
      <c r="BM148" s="139" t="s">
        <v>355</v>
      </c>
    </row>
    <row r="149" spans="2:65" s="141" customFormat="1" x14ac:dyDescent="0.2">
      <c r="B149" s="142"/>
      <c r="D149" s="143" t="s">
        <v>346</v>
      </c>
      <c r="E149" s="144"/>
      <c r="F149" s="145" t="s">
        <v>356</v>
      </c>
      <c r="H149" s="144"/>
      <c r="L149" s="142"/>
      <c r="M149" s="146"/>
      <c r="T149" s="147"/>
      <c r="AT149" s="144" t="s">
        <v>346</v>
      </c>
      <c r="AU149" s="144" t="s">
        <v>90</v>
      </c>
      <c r="AV149" s="141" t="s">
        <v>87</v>
      </c>
      <c r="AW149" s="141" t="s">
        <v>33</v>
      </c>
      <c r="AX149" s="141" t="s">
        <v>80</v>
      </c>
      <c r="AY149" s="144" t="s">
        <v>337</v>
      </c>
    </row>
    <row r="150" spans="2:65" s="141" customFormat="1" x14ac:dyDescent="0.2">
      <c r="B150" s="142"/>
      <c r="D150" s="143" t="s">
        <v>346</v>
      </c>
      <c r="E150" s="144"/>
      <c r="F150" s="145" t="s">
        <v>357</v>
      </c>
      <c r="H150" s="144"/>
      <c r="L150" s="142"/>
      <c r="M150" s="146"/>
      <c r="T150" s="147"/>
      <c r="AT150" s="144" t="s">
        <v>346</v>
      </c>
      <c r="AU150" s="144" t="s">
        <v>90</v>
      </c>
      <c r="AV150" s="141" t="s">
        <v>87</v>
      </c>
      <c r="AW150" s="141" t="s">
        <v>33</v>
      </c>
      <c r="AX150" s="141" t="s">
        <v>80</v>
      </c>
      <c r="AY150" s="144" t="s">
        <v>337</v>
      </c>
    </row>
    <row r="151" spans="2:65" s="148" customFormat="1" x14ac:dyDescent="0.2">
      <c r="B151" s="149"/>
      <c r="D151" s="143" t="s">
        <v>346</v>
      </c>
      <c r="E151" s="150"/>
      <c r="F151" s="151" t="s">
        <v>358</v>
      </c>
      <c r="H151" s="152">
        <v>2.5920000000000001</v>
      </c>
      <c r="L151" s="149"/>
      <c r="M151" s="153"/>
      <c r="T151" s="154"/>
      <c r="AT151" s="150" t="s">
        <v>346</v>
      </c>
      <c r="AU151" s="150" t="s">
        <v>90</v>
      </c>
      <c r="AV151" s="148" t="s">
        <v>90</v>
      </c>
      <c r="AW151" s="148" t="s">
        <v>33</v>
      </c>
      <c r="AX151" s="148" t="s">
        <v>80</v>
      </c>
      <c r="AY151" s="150" t="s">
        <v>337</v>
      </c>
    </row>
    <row r="152" spans="2:65" s="148" customFormat="1" x14ac:dyDescent="0.2">
      <c r="B152" s="149"/>
      <c r="D152" s="143" t="s">
        <v>346</v>
      </c>
      <c r="E152" s="150"/>
      <c r="F152" s="151" t="s">
        <v>359</v>
      </c>
      <c r="H152" s="152">
        <v>0.17100000000000001</v>
      </c>
      <c r="L152" s="149"/>
      <c r="M152" s="153"/>
      <c r="T152" s="154"/>
      <c r="AT152" s="150" t="s">
        <v>346</v>
      </c>
      <c r="AU152" s="150" t="s">
        <v>90</v>
      </c>
      <c r="AV152" s="148" t="s">
        <v>90</v>
      </c>
      <c r="AW152" s="148" t="s">
        <v>33</v>
      </c>
      <c r="AX152" s="148" t="s">
        <v>80</v>
      </c>
      <c r="AY152" s="150" t="s">
        <v>337</v>
      </c>
    </row>
    <row r="153" spans="2:65" s="141" customFormat="1" x14ac:dyDescent="0.2">
      <c r="B153" s="142"/>
      <c r="D153" s="143" t="s">
        <v>346</v>
      </c>
      <c r="E153" s="144"/>
      <c r="F153" s="145" t="s">
        <v>360</v>
      </c>
      <c r="H153" s="144"/>
      <c r="L153" s="142"/>
      <c r="M153" s="146"/>
      <c r="T153" s="147"/>
      <c r="AT153" s="144" t="s">
        <v>346</v>
      </c>
      <c r="AU153" s="144" t="s">
        <v>90</v>
      </c>
      <c r="AV153" s="141" t="s">
        <v>87</v>
      </c>
      <c r="AW153" s="141" t="s">
        <v>33</v>
      </c>
      <c r="AX153" s="141" t="s">
        <v>80</v>
      </c>
      <c r="AY153" s="144" t="s">
        <v>337</v>
      </c>
    </row>
    <row r="154" spans="2:65" s="148" customFormat="1" x14ac:dyDescent="0.2">
      <c r="B154" s="149"/>
      <c r="D154" s="143" t="s">
        <v>346</v>
      </c>
      <c r="E154" s="150"/>
      <c r="F154" s="151" t="s">
        <v>361</v>
      </c>
      <c r="H154" s="152">
        <v>0.432</v>
      </c>
      <c r="L154" s="149"/>
      <c r="M154" s="153"/>
      <c r="T154" s="154"/>
      <c r="AT154" s="150" t="s">
        <v>346</v>
      </c>
      <c r="AU154" s="150" t="s">
        <v>90</v>
      </c>
      <c r="AV154" s="148" t="s">
        <v>90</v>
      </c>
      <c r="AW154" s="148" t="s">
        <v>33</v>
      </c>
      <c r="AX154" s="148" t="s">
        <v>80</v>
      </c>
      <c r="AY154" s="150" t="s">
        <v>337</v>
      </c>
    </row>
    <row r="155" spans="2:65" s="141" customFormat="1" x14ac:dyDescent="0.2">
      <c r="B155" s="142"/>
      <c r="D155" s="143" t="s">
        <v>346</v>
      </c>
      <c r="E155" s="144"/>
      <c r="F155" s="145" t="s">
        <v>362</v>
      </c>
      <c r="H155" s="144"/>
      <c r="L155" s="142"/>
      <c r="M155" s="146"/>
      <c r="T155" s="147"/>
      <c r="AT155" s="144" t="s">
        <v>346</v>
      </c>
      <c r="AU155" s="144" t="s">
        <v>90</v>
      </c>
      <c r="AV155" s="141" t="s">
        <v>87</v>
      </c>
      <c r="AW155" s="141" t="s">
        <v>33</v>
      </c>
      <c r="AX155" s="141" t="s">
        <v>80</v>
      </c>
      <c r="AY155" s="144" t="s">
        <v>337</v>
      </c>
    </row>
    <row r="156" spans="2:65" s="141" customFormat="1" x14ac:dyDescent="0.2">
      <c r="B156" s="142"/>
      <c r="D156" s="143" t="s">
        <v>346</v>
      </c>
      <c r="E156" s="144"/>
      <c r="F156" s="145" t="s">
        <v>363</v>
      </c>
      <c r="H156" s="144"/>
      <c r="L156" s="142"/>
      <c r="M156" s="146"/>
      <c r="T156" s="147"/>
      <c r="AT156" s="144" t="s">
        <v>346</v>
      </c>
      <c r="AU156" s="144" t="s">
        <v>90</v>
      </c>
      <c r="AV156" s="141" t="s">
        <v>87</v>
      </c>
      <c r="AW156" s="141" t="s">
        <v>33</v>
      </c>
      <c r="AX156" s="141" t="s">
        <v>80</v>
      </c>
      <c r="AY156" s="144" t="s">
        <v>337</v>
      </c>
    </row>
    <row r="157" spans="2:65" s="148" customFormat="1" x14ac:dyDescent="0.2">
      <c r="B157" s="149"/>
      <c r="D157" s="143" t="s">
        <v>346</v>
      </c>
      <c r="E157" s="150"/>
      <c r="F157" s="151" t="s">
        <v>364</v>
      </c>
      <c r="H157" s="152">
        <v>0.182</v>
      </c>
      <c r="L157" s="149"/>
      <c r="M157" s="153"/>
      <c r="T157" s="154"/>
      <c r="AT157" s="150" t="s">
        <v>346</v>
      </c>
      <c r="AU157" s="150" t="s">
        <v>90</v>
      </c>
      <c r="AV157" s="148" t="s">
        <v>90</v>
      </c>
      <c r="AW157" s="148" t="s">
        <v>33</v>
      </c>
      <c r="AX157" s="148" t="s">
        <v>80</v>
      </c>
      <c r="AY157" s="150" t="s">
        <v>337</v>
      </c>
    </row>
    <row r="158" spans="2:65" s="141" customFormat="1" x14ac:dyDescent="0.2">
      <c r="B158" s="142"/>
      <c r="D158" s="143" t="s">
        <v>346</v>
      </c>
      <c r="E158" s="144"/>
      <c r="F158" s="145" t="s">
        <v>365</v>
      </c>
      <c r="H158" s="144"/>
      <c r="L158" s="142"/>
      <c r="M158" s="146"/>
      <c r="T158" s="147"/>
      <c r="AT158" s="144" t="s">
        <v>346</v>
      </c>
      <c r="AU158" s="144" t="s">
        <v>90</v>
      </c>
      <c r="AV158" s="141" t="s">
        <v>87</v>
      </c>
      <c r="AW158" s="141" t="s">
        <v>33</v>
      </c>
      <c r="AX158" s="141" t="s">
        <v>80</v>
      </c>
      <c r="AY158" s="144" t="s">
        <v>337</v>
      </c>
    </row>
    <row r="159" spans="2:65" s="148" customFormat="1" x14ac:dyDescent="0.2">
      <c r="B159" s="149"/>
      <c r="D159" s="143" t="s">
        <v>346</v>
      </c>
      <c r="E159" s="150"/>
      <c r="F159" s="151" t="s">
        <v>366</v>
      </c>
      <c r="H159" s="152">
        <v>0.13200000000000001</v>
      </c>
      <c r="L159" s="149"/>
      <c r="M159" s="153"/>
      <c r="T159" s="154"/>
      <c r="AT159" s="150" t="s">
        <v>346</v>
      </c>
      <c r="AU159" s="150" t="s">
        <v>90</v>
      </c>
      <c r="AV159" s="148" t="s">
        <v>90</v>
      </c>
      <c r="AW159" s="148" t="s">
        <v>33</v>
      </c>
      <c r="AX159" s="148" t="s">
        <v>80</v>
      </c>
      <c r="AY159" s="150" t="s">
        <v>337</v>
      </c>
    </row>
    <row r="160" spans="2:65" s="141" customFormat="1" x14ac:dyDescent="0.2">
      <c r="B160" s="142"/>
      <c r="D160" s="143" t="s">
        <v>346</v>
      </c>
      <c r="E160" s="144"/>
      <c r="F160" s="145" t="s">
        <v>367</v>
      </c>
      <c r="H160" s="144"/>
      <c r="L160" s="142"/>
      <c r="M160" s="146"/>
      <c r="T160" s="147"/>
      <c r="AT160" s="144" t="s">
        <v>346</v>
      </c>
      <c r="AU160" s="144" t="s">
        <v>90</v>
      </c>
      <c r="AV160" s="141" t="s">
        <v>87</v>
      </c>
      <c r="AW160" s="141" t="s">
        <v>33</v>
      </c>
      <c r="AX160" s="141" t="s">
        <v>80</v>
      </c>
      <c r="AY160" s="144" t="s">
        <v>337</v>
      </c>
    </row>
    <row r="161" spans="2:65" s="141" customFormat="1" x14ac:dyDescent="0.2">
      <c r="B161" s="142"/>
      <c r="D161" s="143" t="s">
        <v>346</v>
      </c>
      <c r="E161" s="144"/>
      <c r="F161" s="145" t="s">
        <v>363</v>
      </c>
      <c r="H161" s="144"/>
      <c r="L161" s="142"/>
      <c r="M161" s="146"/>
      <c r="T161" s="147"/>
      <c r="AT161" s="144" t="s">
        <v>346</v>
      </c>
      <c r="AU161" s="144" t="s">
        <v>90</v>
      </c>
      <c r="AV161" s="141" t="s">
        <v>87</v>
      </c>
      <c r="AW161" s="141" t="s">
        <v>33</v>
      </c>
      <c r="AX161" s="141" t="s">
        <v>80</v>
      </c>
      <c r="AY161" s="144" t="s">
        <v>337</v>
      </c>
    </row>
    <row r="162" spans="2:65" s="148" customFormat="1" x14ac:dyDescent="0.2">
      <c r="B162" s="149"/>
      <c r="D162" s="143" t="s">
        <v>346</v>
      </c>
      <c r="E162" s="150"/>
      <c r="F162" s="151" t="s">
        <v>366</v>
      </c>
      <c r="H162" s="152">
        <v>0.13200000000000001</v>
      </c>
      <c r="L162" s="149"/>
      <c r="M162" s="153"/>
      <c r="T162" s="154"/>
      <c r="AT162" s="150" t="s">
        <v>346</v>
      </c>
      <c r="AU162" s="150" t="s">
        <v>90</v>
      </c>
      <c r="AV162" s="148" t="s">
        <v>90</v>
      </c>
      <c r="AW162" s="148" t="s">
        <v>33</v>
      </c>
      <c r="AX162" s="148" t="s">
        <v>80</v>
      </c>
      <c r="AY162" s="150" t="s">
        <v>337</v>
      </c>
    </row>
    <row r="163" spans="2:65" s="141" customFormat="1" x14ac:dyDescent="0.2">
      <c r="B163" s="142"/>
      <c r="D163" s="143" t="s">
        <v>346</v>
      </c>
      <c r="E163" s="144"/>
      <c r="F163" s="145" t="s">
        <v>368</v>
      </c>
      <c r="H163" s="144"/>
      <c r="L163" s="142"/>
      <c r="M163" s="146"/>
      <c r="T163" s="147"/>
      <c r="AT163" s="144" t="s">
        <v>346</v>
      </c>
      <c r="AU163" s="144" t="s">
        <v>90</v>
      </c>
      <c r="AV163" s="141" t="s">
        <v>87</v>
      </c>
      <c r="AW163" s="141" t="s">
        <v>33</v>
      </c>
      <c r="AX163" s="141" t="s">
        <v>80</v>
      </c>
      <c r="AY163" s="144" t="s">
        <v>337</v>
      </c>
    </row>
    <row r="164" spans="2:65" s="141" customFormat="1" x14ac:dyDescent="0.2">
      <c r="B164" s="142"/>
      <c r="D164" s="143" t="s">
        <v>346</v>
      </c>
      <c r="E164" s="144"/>
      <c r="F164" s="145" t="s">
        <v>363</v>
      </c>
      <c r="H164" s="144"/>
      <c r="L164" s="142"/>
      <c r="M164" s="146"/>
      <c r="T164" s="147"/>
      <c r="AT164" s="144" t="s">
        <v>346</v>
      </c>
      <c r="AU164" s="144" t="s">
        <v>90</v>
      </c>
      <c r="AV164" s="141" t="s">
        <v>87</v>
      </c>
      <c r="AW164" s="141" t="s">
        <v>33</v>
      </c>
      <c r="AX164" s="141" t="s">
        <v>80</v>
      </c>
      <c r="AY164" s="144" t="s">
        <v>337</v>
      </c>
    </row>
    <row r="165" spans="2:65" s="148" customFormat="1" x14ac:dyDescent="0.2">
      <c r="B165" s="149"/>
      <c r="D165" s="143" t="s">
        <v>346</v>
      </c>
      <c r="E165" s="150"/>
      <c r="F165" s="151" t="s">
        <v>369</v>
      </c>
      <c r="H165" s="152">
        <v>0.16200000000000001</v>
      </c>
      <c r="L165" s="149"/>
      <c r="M165" s="153"/>
      <c r="T165" s="154"/>
      <c r="AT165" s="150" t="s">
        <v>346</v>
      </c>
      <c r="AU165" s="150" t="s">
        <v>90</v>
      </c>
      <c r="AV165" s="148" t="s">
        <v>90</v>
      </c>
      <c r="AW165" s="148" t="s">
        <v>33</v>
      </c>
      <c r="AX165" s="148" t="s">
        <v>80</v>
      </c>
      <c r="AY165" s="150" t="s">
        <v>337</v>
      </c>
    </row>
    <row r="166" spans="2:65" s="141" customFormat="1" x14ac:dyDescent="0.2">
      <c r="B166" s="142"/>
      <c r="D166" s="143" t="s">
        <v>346</v>
      </c>
      <c r="E166" s="144"/>
      <c r="F166" s="145" t="s">
        <v>370</v>
      </c>
      <c r="H166" s="144"/>
      <c r="L166" s="142"/>
      <c r="M166" s="146"/>
      <c r="T166" s="147"/>
      <c r="AT166" s="144" t="s">
        <v>346</v>
      </c>
      <c r="AU166" s="144" t="s">
        <v>90</v>
      </c>
      <c r="AV166" s="141" t="s">
        <v>87</v>
      </c>
      <c r="AW166" s="141" t="s">
        <v>33</v>
      </c>
      <c r="AX166" s="141" t="s">
        <v>80</v>
      </c>
      <c r="AY166" s="144" t="s">
        <v>337</v>
      </c>
    </row>
    <row r="167" spans="2:65" s="141" customFormat="1" x14ac:dyDescent="0.2">
      <c r="B167" s="142"/>
      <c r="D167" s="143" t="s">
        <v>346</v>
      </c>
      <c r="E167" s="144"/>
      <c r="F167" s="145" t="s">
        <v>363</v>
      </c>
      <c r="H167" s="144"/>
      <c r="L167" s="142"/>
      <c r="M167" s="146"/>
      <c r="T167" s="147"/>
      <c r="AT167" s="144" t="s">
        <v>346</v>
      </c>
      <c r="AU167" s="144" t="s">
        <v>90</v>
      </c>
      <c r="AV167" s="141" t="s">
        <v>87</v>
      </c>
      <c r="AW167" s="141" t="s">
        <v>33</v>
      </c>
      <c r="AX167" s="141" t="s">
        <v>80</v>
      </c>
      <c r="AY167" s="144" t="s">
        <v>337</v>
      </c>
    </row>
    <row r="168" spans="2:65" s="148" customFormat="1" x14ac:dyDescent="0.2">
      <c r="B168" s="149"/>
      <c r="D168" s="143" t="s">
        <v>346</v>
      </c>
      <c r="E168" s="150"/>
      <c r="F168" s="151" t="s">
        <v>369</v>
      </c>
      <c r="H168" s="152">
        <v>0.16200000000000001</v>
      </c>
      <c r="L168" s="149"/>
      <c r="M168" s="153"/>
      <c r="T168" s="154"/>
      <c r="AT168" s="150" t="s">
        <v>346</v>
      </c>
      <c r="AU168" s="150" t="s">
        <v>90</v>
      </c>
      <c r="AV168" s="148" t="s">
        <v>90</v>
      </c>
      <c r="AW168" s="148" t="s">
        <v>33</v>
      </c>
      <c r="AX168" s="148" t="s">
        <v>80</v>
      </c>
      <c r="AY168" s="150" t="s">
        <v>337</v>
      </c>
    </row>
    <row r="169" spans="2:65" s="148" customFormat="1" x14ac:dyDescent="0.2">
      <c r="B169" s="149"/>
      <c r="D169" s="143" t="s">
        <v>346</v>
      </c>
      <c r="E169" s="150"/>
      <c r="F169" s="151" t="s">
        <v>371</v>
      </c>
      <c r="H169" s="152">
        <v>0</v>
      </c>
      <c r="L169" s="149"/>
      <c r="M169" s="153"/>
      <c r="T169" s="154"/>
      <c r="AT169" s="150" t="s">
        <v>346</v>
      </c>
      <c r="AU169" s="150" t="s">
        <v>90</v>
      </c>
      <c r="AV169" s="148" t="s">
        <v>90</v>
      </c>
      <c r="AW169" s="148" t="s">
        <v>33</v>
      </c>
      <c r="AX169" s="148" t="s">
        <v>80</v>
      </c>
      <c r="AY169" s="150" t="s">
        <v>337</v>
      </c>
    </row>
    <row r="170" spans="2:65" s="141" customFormat="1" x14ac:dyDescent="0.2">
      <c r="B170" s="142"/>
      <c r="D170" s="143" t="s">
        <v>346</v>
      </c>
      <c r="E170" s="144"/>
      <c r="F170" s="145" t="s">
        <v>372</v>
      </c>
      <c r="H170" s="144"/>
      <c r="L170" s="142"/>
      <c r="M170" s="146"/>
      <c r="T170" s="147"/>
      <c r="AT170" s="144" t="s">
        <v>346</v>
      </c>
      <c r="AU170" s="144" t="s">
        <v>90</v>
      </c>
      <c r="AV170" s="141" t="s">
        <v>87</v>
      </c>
      <c r="AW170" s="141" t="s">
        <v>33</v>
      </c>
      <c r="AX170" s="141" t="s">
        <v>80</v>
      </c>
      <c r="AY170" s="144" t="s">
        <v>337</v>
      </c>
    </row>
    <row r="171" spans="2:65" s="148" customFormat="1" x14ac:dyDescent="0.2">
      <c r="B171" s="149"/>
      <c r="D171" s="143" t="s">
        <v>346</v>
      </c>
      <c r="E171" s="150"/>
      <c r="F171" s="151" t="s">
        <v>373</v>
      </c>
      <c r="H171" s="152">
        <v>1</v>
      </c>
      <c r="L171" s="149"/>
      <c r="M171" s="153"/>
      <c r="T171" s="154"/>
      <c r="AT171" s="150" t="s">
        <v>346</v>
      </c>
      <c r="AU171" s="150" t="s">
        <v>90</v>
      </c>
      <c r="AV171" s="148" t="s">
        <v>90</v>
      </c>
      <c r="AW171" s="148" t="s">
        <v>33</v>
      </c>
      <c r="AX171" s="148" t="s">
        <v>80</v>
      </c>
      <c r="AY171" s="150" t="s">
        <v>337</v>
      </c>
    </row>
    <row r="172" spans="2:65" s="155" customFormat="1" x14ac:dyDescent="0.2">
      <c r="B172" s="156"/>
      <c r="D172" s="143" t="s">
        <v>346</v>
      </c>
      <c r="E172" s="157"/>
      <c r="F172" s="158" t="s">
        <v>351</v>
      </c>
      <c r="H172" s="159">
        <v>4.9649999999999999</v>
      </c>
      <c r="L172" s="156"/>
      <c r="M172" s="160"/>
      <c r="T172" s="161"/>
      <c r="AT172" s="157" t="s">
        <v>346</v>
      </c>
      <c r="AU172" s="157" t="s">
        <v>90</v>
      </c>
      <c r="AV172" s="155" t="s">
        <v>344</v>
      </c>
      <c r="AW172" s="155" t="s">
        <v>33</v>
      </c>
      <c r="AX172" s="155" t="s">
        <v>87</v>
      </c>
      <c r="AY172" s="157" t="s">
        <v>337</v>
      </c>
    </row>
    <row r="173" spans="2:65" s="16" customFormat="1" ht="16.5" customHeight="1" x14ac:dyDescent="0.2">
      <c r="B173" s="17"/>
      <c r="C173" s="128">
        <v>3</v>
      </c>
      <c r="D173" s="128" t="s">
        <v>339</v>
      </c>
      <c r="E173" s="129" t="s">
        <v>374</v>
      </c>
      <c r="F173" s="130" t="s">
        <v>375</v>
      </c>
      <c r="G173" s="131" t="s">
        <v>342</v>
      </c>
      <c r="H173" s="132">
        <v>67.602000000000004</v>
      </c>
      <c r="I173" s="133"/>
      <c r="J173" s="134">
        <f>ROUND(I173*H173,2)</f>
        <v>0</v>
      </c>
      <c r="K173" s="130" t="s">
        <v>343</v>
      </c>
      <c r="L173" s="17"/>
      <c r="M173" s="135"/>
      <c r="N173" s="136" t="s">
        <v>45</v>
      </c>
      <c r="P173" s="137">
        <f>O173*H173</f>
        <v>0</v>
      </c>
      <c r="Q173" s="137">
        <v>1.8774999999999999</v>
      </c>
      <c r="R173" s="137">
        <f>Q173*H173</f>
        <v>126.92275500000001</v>
      </c>
      <c r="S173" s="137">
        <v>0</v>
      </c>
      <c r="T173" s="138">
        <f>S173*H173</f>
        <v>0</v>
      </c>
      <c r="AR173" s="139" t="s">
        <v>344</v>
      </c>
      <c r="AT173" s="139" t="s">
        <v>339</v>
      </c>
      <c r="AU173" s="139" t="s">
        <v>90</v>
      </c>
      <c r="AY173" s="2" t="s">
        <v>337</v>
      </c>
      <c r="BE173" s="140">
        <f>IF(N173="základní",J173,0)</f>
        <v>0</v>
      </c>
      <c r="BF173" s="140">
        <f>IF(N173="snížená",J173,0)</f>
        <v>0</v>
      </c>
      <c r="BG173" s="140">
        <f>IF(N173="zákl. přenesená",J173,0)</f>
        <v>0</v>
      </c>
      <c r="BH173" s="140">
        <f>IF(N173="sníž. přenesená",J173,0)</f>
        <v>0</v>
      </c>
      <c r="BI173" s="140">
        <f>IF(N173="nulová",J173,0)</f>
        <v>0</v>
      </c>
      <c r="BJ173" s="2" t="s">
        <v>87</v>
      </c>
      <c r="BK173" s="140">
        <f>ROUND(I173*H173,2)</f>
        <v>0</v>
      </c>
      <c r="BL173" s="2" t="s">
        <v>344</v>
      </c>
      <c r="BM173" s="139" t="s">
        <v>376</v>
      </c>
    </row>
    <row r="174" spans="2:65" s="141" customFormat="1" x14ac:dyDescent="0.2">
      <c r="B174" s="142"/>
      <c r="D174" s="143" t="s">
        <v>346</v>
      </c>
      <c r="E174" s="144"/>
      <c r="F174" s="145" t="s">
        <v>356</v>
      </c>
      <c r="H174" s="144"/>
      <c r="L174" s="142"/>
      <c r="M174" s="146"/>
      <c r="T174" s="147"/>
      <c r="AT174" s="144" t="s">
        <v>346</v>
      </c>
      <c r="AU174" s="144" t="s">
        <v>90</v>
      </c>
      <c r="AV174" s="141" t="s">
        <v>87</v>
      </c>
      <c r="AW174" s="141" t="s">
        <v>33</v>
      </c>
      <c r="AX174" s="141" t="s">
        <v>80</v>
      </c>
      <c r="AY174" s="144" t="s">
        <v>337</v>
      </c>
    </row>
    <row r="175" spans="2:65" s="141" customFormat="1" x14ac:dyDescent="0.2">
      <c r="B175" s="142"/>
      <c r="D175" s="143" t="s">
        <v>346</v>
      </c>
      <c r="E175" s="144"/>
      <c r="F175" s="145" t="s">
        <v>357</v>
      </c>
      <c r="H175" s="144"/>
      <c r="L175" s="142"/>
      <c r="M175" s="146"/>
      <c r="T175" s="147"/>
      <c r="AT175" s="144" t="s">
        <v>346</v>
      </c>
      <c r="AU175" s="144" t="s">
        <v>90</v>
      </c>
      <c r="AV175" s="141" t="s">
        <v>87</v>
      </c>
      <c r="AW175" s="141" t="s">
        <v>33</v>
      </c>
      <c r="AX175" s="141" t="s">
        <v>80</v>
      </c>
      <c r="AY175" s="144" t="s">
        <v>337</v>
      </c>
    </row>
    <row r="176" spans="2:65" s="148" customFormat="1" x14ac:dyDescent="0.2">
      <c r="B176" s="149"/>
      <c r="D176" s="143" t="s">
        <v>346</v>
      </c>
      <c r="E176" s="150"/>
      <c r="F176" s="151" t="s">
        <v>377</v>
      </c>
      <c r="H176" s="152">
        <v>0.45900000000000002</v>
      </c>
      <c r="L176" s="149"/>
      <c r="M176" s="153"/>
      <c r="T176" s="154"/>
      <c r="AT176" s="150" t="s">
        <v>346</v>
      </c>
      <c r="AU176" s="150" t="s">
        <v>90</v>
      </c>
      <c r="AV176" s="148" t="s">
        <v>90</v>
      </c>
      <c r="AW176" s="148" t="s">
        <v>33</v>
      </c>
      <c r="AX176" s="148" t="s">
        <v>80</v>
      </c>
      <c r="AY176" s="150" t="s">
        <v>337</v>
      </c>
    </row>
    <row r="177" spans="2:51" s="141" customFormat="1" x14ac:dyDescent="0.2">
      <c r="B177" s="142"/>
      <c r="D177" s="143" t="s">
        <v>346</v>
      </c>
      <c r="E177" s="144"/>
      <c r="F177" s="145" t="s">
        <v>360</v>
      </c>
      <c r="H177" s="144"/>
      <c r="L177" s="142"/>
      <c r="M177" s="146"/>
      <c r="T177" s="147"/>
      <c r="AT177" s="144" t="s">
        <v>346</v>
      </c>
      <c r="AU177" s="144" t="s">
        <v>90</v>
      </c>
      <c r="AV177" s="141" t="s">
        <v>87</v>
      </c>
      <c r="AW177" s="141" t="s">
        <v>33</v>
      </c>
      <c r="AX177" s="141" t="s">
        <v>80</v>
      </c>
      <c r="AY177" s="144" t="s">
        <v>337</v>
      </c>
    </row>
    <row r="178" spans="2:51" s="148" customFormat="1" x14ac:dyDescent="0.2">
      <c r="B178" s="149"/>
      <c r="D178" s="143" t="s">
        <v>346</v>
      </c>
      <c r="E178" s="150"/>
      <c r="F178" s="151" t="s">
        <v>378</v>
      </c>
      <c r="H178" s="152">
        <v>0.86399999999999999</v>
      </c>
      <c r="L178" s="149"/>
      <c r="M178" s="153"/>
      <c r="T178" s="154"/>
      <c r="AT178" s="150" t="s">
        <v>346</v>
      </c>
      <c r="AU178" s="150" t="s">
        <v>90</v>
      </c>
      <c r="AV178" s="148" t="s">
        <v>90</v>
      </c>
      <c r="AW178" s="148" t="s">
        <v>33</v>
      </c>
      <c r="AX178" s="148" t="s">
        <v>80</v>
      </c>
      <c r="AY178" s="150" t="s">
        <v>337</v>
      </c>
    </row>
    <row r="179" spans="2:51" s="148" customFormat="1" x14ac:dyDescent="0.2">
      <c r="B179" s="149"/>
      <c r="D179" s="143" t="s">
        <v>346</v>
      </c>
      <c r="E179" s="150"/>
      <c r="F179" s="151" t="s">
        <v>361</v>
      </c>
      <c r="H179" s="152">
        <v>0.432</v>
      </c>
      <c r="L179" s="149"/>
      <c r="M179" s="153"/>
      <c r="T179" s="154"/>
      <c r="AT179" s="150" t="s">
        <v>346</v>
      </c>
      <c r="AU179" s="150" t="s">
        <v>90</v>
      </c>
      <c r="AV179" s="148" t="s">
        <v>90</v>
      </c>
      <c r="AW179" s="148" t="s">
        <v>33</v>
      </c>
      <c r="AX179" s="148" t="s">
        <v>80</v>
      </c>
      <c r="AY179" s="150" t="s">
        <v>337</v>
      </c>
    </row>
    <row r="180" spans="2:51" s="141" customFormat="1" x14ac:dyDescent="0.2">
      <c r="B180" s="142"/>
      <c r="D180" s="143" t="s">
        <v>346</v>
      </c>
      <c r="E180" s="144"/>
      <c r="F180" s="145" t="s">
        <v>362</v>
      </c>
      <c r="H180" s="144"/>
      <c r="L180" s="142"/>
      <c r="M180" s="146"/>
      <c r="T180" s="147"/>
      <c r="AT180" s="144" t="s">
        <v>346</v>
      </c>
      <c r="AU180" s="144" t="s">
        <v>90</v>
      </c>
      <c r="AV180" s="141" t="s">
        <v>87</v>
      </c>
      <c r="AW180" s="141" t="s">
        <v>33</v>
      </c>
      <c r="AX180" s="141" t="s">
        <v>80</v>
      </c>
      <c r="AY180" s="144" t="s">
        <v>337</v>
      </c>
    </row>
    <row r="181" spans="2:51" s="141" customFormat="1" x14ac:dyDescent="0.2">
      <c r="B181" s="142"/>
      <c r="D181" s="143" t="s">
        <v>346</v>
      </c>
      <c r="E181" s="144"/>
      <c r="F181" s="145" t="s">
        <v>379</v>
      </c>
      <c r="H181" s="144"/>
      <c r="L181" s="142"/>
      <c r="M181" s="146"/>
      <c r="T181" s="147"/>
      <c r="AT181" s="144" t="s">
        <v>346</v>
      </c>
      <c r="AU181" s="144" t="s">
        <v>90</v>
      </c>
      <c r="AV181" s="141" t="s">
        <v>87</v>
      </c>
      <c r="AW181" s="141" t="s">
        <v>33</v>
      </c>
      <c r="AX181" s="141" t="s">
        <v>80</v>
      </c>
      <c r="AY181" s="144" t="s">
        <v>337</v>
      </c>
    </row>
    <row r="182" spans="2:51" s="148" customFormat="1" x14ac:dyDescent="0.2">
      <c r="B182" s="149"/>
      <c r="D182" s="143" t="s">
        <v>346</v>
      </c>
      <c r="E182" s="150"/>
      <c r="F182" s="151" t="s">
        <v>380</v>
      </c>
      <c r="H182" s="152">
        <v>0.308</v>
      </c>
      <c r="L182" s="149"/>
      <c r="M182" s="153"/>
      <c r="T182" s="154"/>
      <c r="AT182" s="150" t="s">
        <v>346</v>
      </c>
      <c r="AU182" s="150" t="s">
        <v>90</v>
      </c>
      <c r="AV182" s="148" t="s">
        <v>90</v>
      </c>
      <c r="AW182" s="148" t="s">
        <v>33</v>
      </c>
      <c r="AX182" s="148" t="s">
        <v>80</v>
      </c>
      <c r="AY182" s="150" t="s">
        <v>337</v>
      </c>
    </row>
    <row r="183" spans="2:51" s="148" customFormat="1" x14ac:dyDescent="0.2">
      <c r="B183" s="149"/>
      <c r="D183" s="143" t="s">
        <v>346</v>
      </c>
      <c r="E183" s="150"/>
      <c r="F183" s="151" t="s">
        <v>381</v>
      </c>
      <c r="H183" s="152">
        <v>0.61499999999999999</v>
      </c>
      <c r="L183" s="149"/>
      <c r="M183" s="153"/>
      <c r="T183" s="154"/>
      <c r="AT183" s="150" t="s">
        <v>346</v>
      </c>
      <c r="AU183" s="150" t="s">
        <v>90</v>
      </c>
      <c r="AV183" s="148" t="s">
        <v>90</v>
      </c>
      <c r="AW183" s="148" t="s">
        <v>33</v>
      </c>
      <c r="AX183" s="148" t="s">
        <v>80</v>
      </c>
      <c r="AY183" s="150" t="s">
        <v>337</v>
      </c>
    </row>
    <row r="184" spans="2:51" s="141" customFormat="1" x14ac:dyDescent="0.2">
      <c r="B184" s="142"/>
      <c r="D184" s="143" t="s">
        <v>346</v>
      </c>
      <c r="E184" s="144"/>
      <c r="F184" s="145" t="s">
        <v>363</v>
      </c>
      <c r="H184" s="144"/>
      <c r="L184" s="142"/>
      <c r="M184" s="146"/>
      <c r="T184" s="147"/>
      <c r="AT184" s="144" t="s">
        <v>346</v>
      </c>
      <c r="AU184" s="144" t="s">
        <v>90</v>
      </c>
      <c r="AV184" s="141" t="s">
        <v>87</v>
      </c>
      <c r="AW184" s="141" t="s">
        <v>33</v>
      </c>
      <c r="AX184" s="141" t="s">
        <v>80</v>
      </c>
      <c r="AY184" s="144" t="s">
        <v>337</v>
      </c>
    </row>
    <row r="185" spans="2:51" s="148" customFormat="1" x14ac:dyDescent="0.2">
      <c r="B185" s="149"/>
      <c r="D185" s="143" t="s">
        <v>346</v>
      </c>
      <c r="E185" s="150"/>
      <c r="F185" s="151" t="s">
        <v>382</v>
      </c>
      <c r="H185" s="152">
        <v>0.504</v>
      </c>
      <c r="L185" s="149"/>
      <c r="M185" s="153"/>
      <c r="T185" s="154"/>
      <c r="AT185" s="150" t="s">
        <v>346</v>
      </c>
      <c r="AU185" s="150" t="s">
        <v>90</v>
      </c>
      <c r="AV185" s="148" t="s">
        <v>90</v>
      </c>
      <c r="AW185" s="148" t="s">
        <v>33</v>
      </c>
      <c r="AX185" s="148" t="s">
        <v>80</v>
      </c>
      <c r="AY185" s="150" t="s">
        <v>337</v>
      </c>
    </row>
    <row r="186" spans="2:51" s="148" customFormat="1" x14ac:dyDescent="0.2">
      <c r="B186" s="149"/>
      <c r="D186" s="143" t="s">
        <v>346</v>
      </c>
      <c r="E186" s="150"/>
      <c r="F186" s="151" t="s">
        <v>383</v>
      </c>
      <c r="H186" s="152">
        <v>0.28899999999999998</v>
      </c>
      <c r="L186" s="149"/>
      <c r="M186" s="153"/>
      <c r="T186" s="154"/>
      <c r="AT186" s="150" t="s">
        <v>346</v>
      </c>
      <c r="AU186" s="150" t="s">
        <v>90</v>
      </c>
      <c r="AV186" s="148" t="s">
        <v>90</v>
      </c>
      <c r="AW186" s="148" t="s">
        <v>33</v>
      </c>
      <c r="AX186" s="148" t="s">
        <v>80</v>
      </c>
      <c r="AY186" s="150" t="s">
        <v>337</v>
      </c>
    </row>
    <row r="187" spans="2:51" s="148" customFormat="1" x14ac:dyDescent="0.2">
      <c r="B187" s="149"/>
      <c r="D187" s="143" t="s">
        <v>346</v>
      </c>
      <c r="E187" s="150"/>
      <c r="F187" s="151" t="s">
        <v>384</v>
      </c>
      <c r="H187" s="152">
        <v>0.97499999999999998</v>
      </c>
      <c r="L187" s="149"/>
      <c r="M187" s="153"/>
      <c r="T187" s="154"/>
      <c r="AT187" s="150" t="s">
        <v>346</v>
      </c>
      <c r="AU187" s="150" t="s">
        <v>90</v>
      </c>
      <c r="AV187" s="148" t="s">
        <v>90</v>
      </c>
      <c r="AW187" s="148" t="s">
        <v>33</v>
      </c>
      <c r="AX187" s="148" t="s">
        <v>80</v>
      </c>
      <c r="AY187" s="150" t="s">
        <v>337</v>
      </c>
    </row>
    <row r="188" spans="2:51" s="148" customFormat="1" x14ac:dyDescent="0.2">
      <c r="B188" s="149"/>
      <c r="D188" s="143" t="s">
        <v>346</v>
      </c>
      <c r="E188" s="150"/>
      <c r="F188" s="151" t="s">
        <v>385</v>
      </c>
      <c r="H188" s="152">
        <v>1.734</v>
      </c>
      <c r="L188" s="149"/>
      <c r="M188" s="153"/>
      <c r="T188" s="154"/>
      <c r="AT188" s="150" t="s">
        <v>346</v>
      </c>
      <c r="AU188" s="150" t="s">
        <v>90</v>
      </c>
      <c r="AV188" s="148" t="s">
        <v>90</v>
      </c>
      <c r="AW188" s="148" t="s">
        <v>33</v>
      </c>
      <c r="AX188" s="148" t="s">
        <v>80</v>
      </c>
      <c r="AY188" s="150" t="s">
        <v>337</v>
      </c>
    </row>
    <row r="189" spans="2:51" s="148" customFormat="1" x14ac:dyDescent="0.2">
      <c r="B189" s="149"/>
      <c r="D189" s="143" t="s">
        <v>346</v>
      </c>
      <c r="E189" s="150"/>
      <c r="F189" s="151" t="s">
        <v>386</v>
      </c>
      <c r="H189" s="152">
        <v>1.3859999999999999</v>
      </c>
      <c r="L189" s="149"/>
      <c r="M189" s="153"/>
      <c r="T189" s="154"/>
      <c r="AT189" s="150" t="s">
        <v>346</v>
      </c>
      <c r="AU189" s="150" t="s">
        <v>90</v>
      </c>
      <c r="AV189" s="148" t="s">
        <v>90</v>
      </c>
      <c r="AW189" s="148" t="s">
        <v>33</v>
      </c>
      <c r="AX189" s="148" t="s">
        <v>80</v>
      </c>
      <c r="AY189" s="150" t="s">
        <v>337</v>
      </c>
    </row>
    <row r="190" spans="2:51" s="148" customFormat="1" x14ac:dyDescent="0.2">
      <c r="B190" s="149"/>
      <c r="D190" s="143" t="s">
        <v>346</v>
      </c>
      <c r="E190" s="150"/>
      <c r="F190" s="151" t="s">
        <v>387</v>
      </c>
      <c r="H190" s="152">
        <v>1.012</v>
      </c>
      <c r="L190" s="149"/>
      <c r="M190" s="153"/>
      <c r="T190" s="154"/>
      <c r="AT190" s="150" t="s">
        <v>346</v>
      </c>
      <c r="AU190" s="150" t="s">
        <v>90</v>
      </c>
      <c r="AV190" s="148" t="s">
        <v>90</v>
      </c>
      <c r="AW190" s="148" t="s">
        <v>33</v>
      </c>
      <c r="AX190" s="148" t="s">
        <v>80</v>
      </c>
      <c r="AY190" s="150" t="s">
        <v>337</v>
      </c>
    </row>
    <row r="191" spans="2:51" s="141" customFormat="1" x14ac:dyDescent="0.2">
      <c r="B191" s="142"/>
      <c r="D191" s="143" t="s">
        <v>346</v>
      </c>
      <c r="E191" s="144"/>
      <c r="F191" s="145" t="s">
        <v>365</v>
      </c>
      <c r="H191" s="144"/>
      <c r="L191" s="142"/>
      <c r="M191" s="146"/>
      <c r="T191" s="147"/>
      <c r="AT191" s="144" t="s">
        <v>346</v>
      </c>
      <c r="AU191" s="144" t="s">
        <v>90</v>
      </c>
      <c r="AV191" s="141" t="s">
        <v>87</v>
      </c>
      <c r="AW191" s="141" t="s">
        <v>33</v>
      </c>
      <c r="AX191" s="141" t="s">
        <v>80</v>
      </c>
      <c r="AY191" s="144" t="s">
        <v>337</v>
      </c>
    </row>
    <row r="192" spans="2:51" s="148" customFormat="1" x14ac:dyDescent="0.2">
      <c r="B192" s="149"/>
      <c r="D192" s="143" t="s">
        <v>346</v>
      </c>
      <c r="E192" s="150"/>
      <c r="F192" s="151" t="s">
        <v>388</v>
      </c>
      <c r="H192" s="152">
        <v>0.39400000000000002</v>
      </c>
      <c r="L192" s="149"/>
      <c r="M192" s="153"/>
      <c r="T192" s="154"/>
      <c r="AT192" s="150" t="s">
        <v>346</v>
      </c>
      <c r="AU192" s="150" t="s">
        <v>90</v>
      </c>
      <c r="AV192" s="148" t="s">
        <v>90</v>
      </c>
      <c r="AW192" s="148" t="s">
        <v>33</v>
      </c>
      <c r="AX192" s="148" t="s">
        <v>80</v>
      </c>
      <c r="AY192" s="150" t="s">
        <v>337</v>
      </c>
    </row>
    <row r="193" spans="2:51" s="141" customFormat="1" x14ac:dyDescent="0.2">
      <c r="B193" s="142"/>
      <c r="D193" s="143" t="s">
        <v>346</v>
      </c>
      <c r="E193" s="144"/>
      <c r="F193" s="145" t="s">
        <v>389</v>
      </c>
      <c r="H193" s="144"/>
      <c r="L193" s="142"/>
      <c r="M193" s="146"/>
      <c r="T193" s="147"/>
      <c r="AT193" s="144" t="s">
        <v>346</v>
      </c>
      <c r="AU193" s="144" t="s">
        <v>90</v>
      </c>
      <c r="AV193" s="141" t="s">
        <v>87</v>
      </c>
      <c r="AW193" s="141" t="s">
        <v>33</v>
      </c>
      <c r="AX193" s="141" t="s">
        <v>80</v>
      </c>
      <c r="AY193" s="144" t="s">
        <v>337</v>
      </c>
    </row>
    <row r="194" spans="2:51" s="148" customFormat="1" x14ac:dyDescent="0.2">
      <c r="B194" s="149"/>
      <c r="D194" s="143" t="s">
        <v>346</v>
      </c>
      <c r="E194" s="150"/>
      <c r="F194" s="151" t="s">
        <v>390</v>
      </c>
      <c r="H194" s="152">
        <v>2.04</v>
      </c>
      <c r="L194" s="149"/>
      <c r="M194" s="153"/>
      <c r="T194" s="154"/>
      <c r="AT194" s="150" t="s">
        <v>346</v>
      </c>
      <c r="AU194" s="150" t="s">
        <v>90</v>
      </c>
      <c r="AV194" s="148" t="s">
        <v>90</v>
      </c>
      <c r="AW194" s="148" t="s">
        <v>33</v>
      </c>
      <c r="AX194" s="148" t="s">
        <v>80</v>
      </c>
      <c r="AY194" s="150" t="s">
        <v>337</v>
      </c>
    </row>
    <row r="195" spans="2:51" s="141" customFormat="1" x14ac:dyDescent="0.2">
      <c r="B195" s="142"/>
      <c r="D195" s="143" t="s">
        <v>346</v>
      </c>
      <c r="E195" s="144"/>
      <c r="F195" s="145" t="s">
        <v>391</v>
      </c>
      <c r="H195" s="144"/>
      <c r="L195" s="142"/>
      <c r="M195" s="146"/>
      <c r="T195" s="147"/>
      <c r="AT195" s="144" t="s">
        <v>346</v>
      </c>
      <c r="AU195" s="144" t="s">
        <v>90</v>
      </c>
      <c r="AV195" s="141" t="s">
        <v>87</v>
      </c>
      <c r="AW195" s="141" t="s">
        <v>33</v>
      </c>
      <c r="AX195" s="141" t="s">
        <v>80</v>
      </c>
      <c r="AY195" s="144" t="s">
        <v>337</v>
      </c>
    </row>
    <row r="196" spans="2:51" s="141" customFormat="1" x14ac:dyDescent="0.2">
      <c r="B196" s="142"/>
      <c r="D196" s="143" t="s">
        <v>346</v>
      </c>
      <c r="E196" s="144"/>
      <c r="F196" s="145" t="s">
        <v>392</v>
      </c>
      <c r="H196" s="144"/>
      <c r="L196" s="142"/>
      <c r="M196" s="146"/>
      <c r="T196" s="147"/>
      <c r="AT196" s="144" t="s">
        <v>346</v>
      </c>
      <c r="AU196" s="144" t="s">
        <v>90</v>
      </c>
      <c r="AV196" s="141" t="s">
        <v>87</v>
      </c>
      <c r="AW196" s="141" t="s">
        <v>33</v>
      </c>
      <c r="AX196" s="141" t="s">
        <v>80</v>
      </c>
      <c r="AY196" s="144" t="s">
        <v>337</v>
      </c>
    </row>
    <row r="197" spans="2:51" s="148" customFormat="1" x14ac:dyDescent="0.2">
      <c r="B197" s="149"/>
      <c r="D197" s="143" t="s">
        <v>346</v>
      </c>
      <c r="E197" s="150"/>
      <c r="F197" s="151" t="s">
        <v>393</v>
      </c>
      <c r="H197" s="152">
        <v>-1.08</v>
      </c>
      <c r="L197" s="149"/>
      <c r="M197" s="153"/>
      <c r="T197" s="154"/>
      <c r="AT197" s="150" t="s">
        <v>346</v>
      </c>
      <c r="AU197" s="150" t="s">
        <v>90</v>
      </c>
      <c r="AV197" s="148" t="s">
        <v>90</v>
      </c>
      <c r="AW197" s="148" t="s">
        <v>33</v>
      </c>
      <c r="AX197" s="148" t="s">
        <v>80</v>
      </c>
      <c r="AY197" s="150" t="s">
        <v>337</v>
      </c>
    </row>
    <row r="198" spans="2:51" s="141" customFormat="1" x14ac:dyDescent="0.2">
      <c r="B198" s="142"/>
      <c r="D198" s="143" t="s">
        <v>346</v>
      </c>
      <c r="E198" s="144"/>
      <c r="F198" s="145" t="s">
        <v>394</v>
      </c>
      <c r="H198" s="144"/>
      <c r="L198" s="142"/>
      <c r="M198" s="146"/>
      <c r="T198" s="147"/>
      <c r="AT198" s="144" t="s">
        <v>346</v>
      </c>
      <c r="AU198" s="144" t="s">
        <v>90</v>
      </c>
      <c r="AV198" s="141" t="s">
        <v>87</v>
      </c>
      <c r="AW198" s="141" t="s">
        <v>33</v>
      </c>
      <c r="AX198" s="141" t="s">
        <v>80</v>
      </c>
      <c r="AY198" s="144" t="s">
        <v>337</v>
      </c>
    </row>
    <row r="199" spans="2:51" s="148" customFormat="1" x14ac:dyDescent="0.2">
      <c r="B199" s="149"/>
      <c r="D199" s="143" t="s">
        <v>346</v>
      </c>
      <c r="E199" s="150"/>
      <c r="F199" s="151" t="s">
        <v>395</v>
      </c>
      <c r="H199" s="152">
        <v>18.356999999999999</v>
      </c>
      <c r="L199" s="149"/>
      <c r="M199" s="153"/>
      <c r="T199" s="154"/>
      <c r="AT199" s="150" t="s">
        <v>346</v>
      </c>
      <c r="AU199" s="150" t="s">
        <v>90</v>
      </c>
      <c r="AV199" s="148" t="s">
        <v>90</v>
      </c>
      <c r="AW199" s="148" t="s">
        <v>33</v>
      </c>
      <c r="AX199" s="148" t="s">
        <v>80</v>
      </c>
      <c r="AY199" s="150" t="s">
        <v>337</v>
      </c>
    </row>
    <row r="200" spans="2:51" s="141" customFormat="1" x14ac:dyDescent="0.2">
      <c r="B200" s="142"/>
      <c r="D200" s="143" t="s">
        <v>346</v>
      </c>
      <c r="E200" s="144"/>
      <c r="F200" s="145" t="s">
        <v>396</v>
      </c>
      <c r="H200" s="144"/>
      <c r="L200" s="142"/>
      <c r="M200" s="146"/>
      <c r="T200" s="147"/>
      <c r="AT200" s="144" t="s">
        <v>346</v>
      </c>
      <c r="AU200" s="144" t="s">
        <v>90</v>
      </c>
      <c r="AV200" s="141" t="s">
        <v>87</v>
      </c>
      <c r="AW200" s="141" t="s">
        <v>33</v>
      </c>
      <c r="AX200" s="141" t="s">
        <v>80</v>
      </c>
      <c r="AY200" s="144" t="s">
        <v>337</v>
      </c>
    </row>
    <row r="201" spans="2:51" s="141" customFormat="1" x14ac:dyDescent="0.2">
      <c r="B201" s="142"/>
      <c r="D201" s="143" t="s">
        <v>346</v>
      </c>
      <c r="E201" s="144"/>
      <c r="F201" s="145" t="s">
        <v>397</v>
      </c>
      <c r="H201" s="144"/>
      <c r="L201" s="142"/>
      <c r="M201" s="146"/>
      <c r="T201" s="147"/>
      <c r="AT201" s="144" t="s">
        <v>346</v>
      </c>
      <c r="AU201" s="144" t="s">
        <v>90</v>
      </c>
      <c r="AV201" s="141" t="s">
        <v>87</v>
      </c>
      <c r="AW201" s="141" t="s">
        <v>33</v>
      </c>
      <c r="AX201" s="141" t="s">
        <v>80</v>
      </c>
      <c r="AY201" s="144" t="s">
        <v>337</v>
      </c>
    </row>
    <row r="202" spans="2:51" s="148" customFormat="1" x14ac:dyDescent="0.2">
      <c r="B202" s="149"/>
      <c r="D202" s="143" t="s">
        <v>346</v>
      </c>
      <c r="E202" s="150"/>
      <c r="F202" s="151" t="s">
        <v>398</v>
      </c>
      <c r="H202" s="152">
        <v>-9.6920000000000002</v>
      </c>
      <c r="L202" s="149"/>
      <c r="M202" s="153"/>
      <c r="T202" s="154"/>
      <c r="AT202" s="150" t="s">
        <v>346</v>
      </c>
      <c r="AU202" s="150" t="s">
        <v>90</v>
      </c>
      <c r="AV202" s="148" t="s">
        <v>90</v>
      </c>
      <c r="AW202" s="148" t="s">
        <v>33</v>
      </c>
      <c r="AX202" s="148" t="s">
        <v>80</v>
      </c>
      <c r="AY202" s="150" t="s">
        <v>337</v>
      </c>
    </row>
    <row r="203" spans="2:51" s="141" customFormat="1" x14ac:dyDescent="0.2">
      <c r="B203" s="142"/>
      <c r="D203" s="143" t="s">
        <v>346</v>
      </c>
      <c r="E203" s="144"/>
      <c r="F203" s="145" t="s">
        <v>399</v>
      </c>
      <c r="H203" s="144"/>
      <c r="L203" s="142"/>
      <c r="M203" s="146"/>
      <c r="T203" s="147"/>
      <c r="AT203" s="144" t="s">
        <v>346</v>
      </c>
      <c r="AU203" s="144" t="s">
        <v>90</v>
      </c>
      <c r="AV203" s="141" t="s">
        <v>87</v>
      </c>
      <c r="AW203" s="141" t="s">
        <v>33</v>
      </c>
      <c r="AX203" s="141" t="s">
        <v>80</v>
      </c>
      <c r="AY203" s="144" t="s">
        <v>337</v>
      </c>
    </row>
    <row r="204" spans="2:51" s="148" customFormat="1" x14ac:dyDescent="0.2">
      <c r="B204" s="149"/>
      <c r="D204" s="143" t="s">
        <v>346</v>
      </c>
      <c r="E204" s="150"/>
      <c r="F204" s="151" t="s">
        <v>400</v>
      </c>
      <c r="H204" s="152">
        <v>-0.77</v>
      </c>
      <c r="L204" s="149"/>
      <c r="M204" s="153"/>
      <c r="T204" s="154"/>
      <c r="AT204" s="150" t="s">
        <v>346</v>
      </c>
      <c r="AU204" s="150" t="s">
        <v>90</v>
      </c>
      <c r="AV204" s="148" t="s">
        <v>90</v>
      </c>
      <c r="AW204" s="148" t="s">
        <v>33</v>
      </c>
      <c r="AX204" s="148" t="s">
        <v>80</v>
      </c>
      <c r="AY204" s="150" t="s">
        <v>337</v>
      </c>
    </row>
    <row r="205" spans="2:51" s="141" customFormat="1" x14ac:dyDescent="0.2">
      <c r="B205" s="142"/>
      <c r="D205" s="143" t="s">
        <v>346</v>
      </c>
      <c r="E205" s="144"/>
      <c r="F205" s="145" t="s">
        <v>367</v>
      </c>
      <c r="H205" s="144"/>
      <c r="L205" s="142"/>
      <c r="M205" s="146"/>
      <c r="T205" s="147"/>
      <c r="AT205" s="144" t="s">
        <v>346</v>
      </c>
      <c r="AU205" s="144" t="s">
        <v>90</v>
      </c>
      <c r="AV205" s="141" t="s">
        <v>87</v>
      </c>
      <c r="AW205" s="141" t="s">
        <v>33</v>
      </c>
      <c r="AX205" s="141" t="s">
        <v>80</v>
      </c>
      <c r="AY205" s="144" t="s">
        <v>337</v>
      </c>
    </row>
    <row r="206" spans="2:51" s="141" customFormat="1" x14ac:dyDescent="0.2">
      <c r="B206" s="142"/>
      <c r="D206" s="143" t="s">
        <v>346</v>
      </c>
      <c r="E206" s="144"/>
      <c r="F206" s="145" t="s">
        <v>379</v>
      </c>
      <c r="H206" s="144"/>
      <c r="L206" s="142"/>
      <c r="M206" s="146"/>
      <c r="T206" s="147"/>
      <c r="AT206" s="144" t="s">
        <v>346</v>
      </c>
      <c r="AU206" s="144" t="s">
        <v>90</v>
      </c>
      <c r="AV206" s="141" t="s">
        <v>87</v>
      </c>
      <c r="AW206" s="141" t="s">
        <v>33</v>
      </c>
      <c r="AX206" s="141" t="s">
        <v>80</v>
      </c>
      <c r="AY206" s="144" t="s">
        <v>337</v>
      </c>
    </row>
    <row r="207" spans="2:51" s="148" customFormat="1" x14ac:dyDescent="0.2">
      <c r="B207" s="149"/>
      <c r="D207" s="143" t="s">
        <v>346</v>
      </c>
      <c r="E207" s="150"/>
      <c r="F207" s="151" t="s">
        <v>380</v>
      </c>
      <c r="H207" s="152">
        <v>0.308</v>
      </c>
      <c r="L207" s="149"/>
      <c r="M207" s="153"/>
      <c r="T207" s="154"/>
      <c r="AT207" s="150" t="s">
        <v>346</v>
      </c>
      <c r="AU207" s="150" t="s">
        <v>90</v>
      </c>
      <c r="AV207" s="148" t="s">
        <v>90</v>
      </c>
      <c r="AW207" s="148" t="s">
        <v>33</v>
      </c>
      <c r="AX207" s="148" t="s">
        <v>80</v>
      </c>
      <c r="AY207" s="150" t="s">
        <v>337</v>
      </c>
    </row>
    <row r="208" spans="2:51" s="148" customFormat="1" x14ac:dyDescent="0.2">
      <c r="B208" s="149"/>
      <c r="D208" s="143" t="s">
        <v>346</v>
      </c>
      <c r="E208" s="150"/>
      <c r="F208" s="151" t="s">
        <v>381</v>
      </c>
      <c r="H208" s="152">
        <v>0.61499999999999999</v>
      </c>
      <c r="L208" s="149"/>
      <c r="M208" s="153"/>
      <c r="T208" s="154"/>
      <c r="AT208" s="150" t="s">
        <v>346</v>
      </c>
      <c r="AU208" s="150" t="s">
        <v>90</v>
      </c>
      <c r="AV208" s="148" t="s">
        <v>90</v>
      </c>
      <c r="AW208" s="148" t="s">
        <v>33</v>
      </c>
      <c r="AX208" s="148" t="s">
        <v>80</v>
      </c>
      <c r="AY208" s="150" t="s">
        <v>337</v>
      </c>
    </row>
    <row r="209" spans="2:51" s="141" customFormat="1" x14ac:dyDescent="0.2">
      <c r="B209" s="142"/>
      <c r="D209" s="143" t="s">
        <v>346</v>
      </c>
      <c r="E209" s="144"/>
      <c r="F209" s="145" t="s">
        <v>363</v>
      </c>
      <c r="H209" s="144"/>
      <c r="L209" s="142"/>
      <c r="M209" s="146"/>
      <c r="T209" s="147"/>
      <c r="AT209" s="144" t="s">
        <v>346</v>
      </c>
      <c r="AU209" s="144" t="s">
        <v>90</v>
      </c>
      <c r="AV209" s="141" t="s">
        <v>87</v>
      </c>
      <c r="AW209" s="141" t="s">
        <v>33</v>
      </c>
      <c r="AX209" s="141" t="s">
        <v>80</v>
      </c>
      <c r="AY209" s="144" t="s">
        <v>337</v>
      </c>
    </row>
    <row r="210" spans="2:51" s="148" customFormat="1" x14ac:dyDescent="0.2">
      <c r="B210" s="149"/>
      <c r="D210" s="143" t="s">
        <v>346</v>
      </c>
      <c r="E210" s="150"/>
      <c r="F210" s="151" t="s">
        <v>382</v>
      </c>
      <c r="H210" s="152">
        <v>0.504</v>
      </c>
      <c r="L210" s="149"/>
      <c r="M210" s="153"/>
      <c r="T210" s="154"/>
      <c r="AT210" s="150" t="s">
        <v>346</v>
      </c>
      <c r="AU210" s="150" t="s">
        <v>90</v>
      </c>
      <c r="AV210" s="148" t="s">
        <v>90</v>
      </c>
      <c r="AW210" s="148" t="s">
        <v>33</v>
      </c>
      <c r="AX210" s="148" t="s">
        <v>80</v>
      </c>
      <c r="AY210" s="150" t="s">
        <v>337</v>
      </c>
    </row>
    <row r="211" spans="2:51" s="148" customFormat="1" x14ac:dyDescent="0.2">
      <c r="B211" s="149"/>
      <c r="D211" s="143" t="s">
        <v>346</v>
      </c>
      <c r="E211" s="150"/>
      <c r="F211" s="151" t="s">
        <v>401</v>
      </c>
      <c r="H211" s="152">
        <v>1.524</v>
      </c>
      <c r="L211" s="149"/>
      <c r="M211" s="153"/>
      <c r="T211" s="154"/>
      <c r="AT211" s="150" t="s">
        <v>346</v>
      </c>
      <c r="AU211" s="150" t="s">
        <v>90</v>
      </c>
      <c r="AV211" s="148" t="s">
        <v>90</v>
      </c>
      <c r="AW211" s="148" t="s">
        <v>33</v>
      </c>
      <c r="AX211" s="148" t="s">
        <v>80</v>
      </c>
      <c r="AY211" s="150" t="s">
        <v>337</v>
      </c>
    </row>
    <row r="212" spans="2:51" s="148" customFormat="1" x14ac:dyDescent="0.2">
      <c r="B212" s="149"/>
      <c r="D212" s="143" t="s">
        <v>346</v>
      </c>
      <c r="E212" s="150"/>
      <c r="F212" s="151" t="s">
        <v>402</v>
      </c>
      <c r="H212" s="152">
        <v>1.23</v>
      </c>
      <c r="L212" s="149"/>
      <c r="M212" s="153"/>
      <c r="T212" s="154"/>
      <c r="AT212" s="150" t="s">
        <v>346</v>
      </c>
      <c r="AU212" s="150" t="s">
        <v>90</v>
      </c>
      <c r="AV212" s="148" t="s">
        <v>90</v>
      </c>
      <c r="AW212" s="148" t="s">
        <v>33</v>
      </c>
      <c r="AX212" s="148" t="s">
        <v>80</v>
      </c>
      <c r="AY212" s="150" t="s">
        <v>337</v>
      </c>
    </row>
    <row r="213" spans="2:51" s="148" customFormat="1" x14ac:dyDescent="0.2">
      <c r="B213" s="149"/>
      <c r="D213" s="143" t="s">
        <v>346</v>
      </c>
      <c r="E213" s="150"/>
      <c r="F213" s="151" t="s">
        <v>386</v>
      </c>
      <c r="H213" s="152">
        <v>1.3859999999999999</v>
      </c>
      <c r="L213" s="149"/>
      <c r="M213" s="153"/>
      <c r="T213" s="154"/>
      <c r="AT213" s="150" t="s">
        <v>346</v>
      </c>
      <c r="AU213" s="150" t="s">
        <v>90</v>
      </c>
      <c r="AV213" s="148" t="s">
        <v>90</v>
      </c>
      <c r="AW213" s="148" t="s">
        <v>33</v>
      </c>
      <c r="AX213" s="148" t="s">
        <v>80</v>
      </c>
      <c r="AY213" s="150" t="s">
        <v>337</v>
      </c>
    </row>
    <row r="214" spans="2:51" s="148" customFormat="1" x14ac:dyDescent="0.2">
      <c r="B214" s="149"/>
      <c r="D214" s="143" t="s">
        <v>346</v>
      </c>
      <c r="E214" s="150"/>
      <c r="F214" s="151" t="s">
        <v>403</v>
      </c>
      <c r="H214" s="152">
        <v>1.5629999999999999</v>
      </c>
      <c r="L214" s="149"/>
      <c r="M214" s="153"/>
      <c r="T214" s="154"/>
      <c r="AT214" s="150" t="s">
        <v>346</v>
      </c>
      <c r="AU214" s="150" t="s">
        <v>90</v>
      </c>
      <c r="AV214" s="148" t="s">
        <v>90</v>
      </c>
      <c r="AW214" s="148" t="s">
        <v>33</v>
      </c>
      <c r="AX214" s="148" t="s">
        <v>80</v>
      </c>
      <c r="AY214" s="150" t="s">
        <v>337</v>
      </c>
    </row>
    <row r="215" spans="2:51" s="141" customFormat="1" x14ac:dyDescent="0.2">
      <c r="B215" s="142"/>
      <c r="D215" s="143" t="s">
        <v>346</v>
      </c>
      <c r="E215" s="144"/>
      <c r="F215" s="145" t="s">
        <v>365</v>
      </c>
      <c r="H215" s="144"/>
      <c r="L215" s="142"/>
      <c r="M215" s="146"/>
      <c r="T215" s="147"/>
      <c r="AT215" s="144" t="s">
        <v>346</v>
      </c>
      <c r="AU215" s="144" t="s">
        <v>90</v>
      </c>
      <c r="AV215" s="141" t="s">
        <v>87</v>
      </c>
      <c r="AW215" s="141" t="s">
        <v>33</v>
      </c>
      <c r="AX215" s="141" t="s">
        <v>80</v>
      </c>
      <c r="AY215" s="144" t="s">
        <v>337</v>
      </c>
    </row>
    <row r="216" spans="2:51" s="141" customFormat="1" x14ac:dyDescent="0.2">
      <c r="B216" s="142"/>
      <c r="D216" s="143" t="s">
        <v>346</v>
      </c>
      <c r="E216" s="144"/>
      <c r="F216" s="145" t="s">
        <v>389</v>
      </c>
      <c r="H216" s="144"/>
      <c r="L216" s="142"/>
      <c r="M216" s="146"/>
      <c r="T216" s="147"/>
      <c r="AT216" s="144" t="s">
        <v>346</v>
      </c>
      <c r="AU216" s="144" t="s">
        <v>90</v>
      </c>
      <c r="AV216" s="141" t="s">
        <v>87</v>
      </c>
      <c r="AW216" s="141" t="s">
        <v>33</v>
      </c>
      <c r="AX216" s="141" t="s">
        <v>80</v>
      </c>
      <c r="AY216" s="144" t="s">
        <v>337</v>
      </c>
    </row>
    <row r="217" spans="2:51" s="148" customFormat="1" x14ac:dyDescent="0.2">
      <c r="B217" s="149"/>
      <c r="D217" s="143" t="s">
        <v>346</v>
      </c>
      <c r="E217" s="150"/>
      <c r="F217" s="151" t="s">
        <v>404</v>
      </c>
      <c r="H217" s="152">
        <v>6.1189999999999998</v>
      </c>
      <c r="L217" s="149"/>
      <c r="M217" s="153"/>
      <c r="T217" s="154"/>
      <c r="AT217" s="150" t="s">
        <v>346</v>
      </c>
      <c r="AU217" s="150" t="s">
        <v>90</v>
      </c>
      <c r="AV217" s="148" t="s">
        <v>90</v>
      </c>
      <c r="AW217" s="148" t="s">
        <v>33</v>
      </c>
      <c r="AX217" s="148" t="s">
        <v>80</v>
      </c>
      <c r="AY217" s="150" t="s">
        <v>337</v>
      </c>
    </row>
    <row r="218" spans="2:51" s="141" customFormat="1" x14ac:dyDescent="0.2">
      <c r="B218" s="142"/>
      <c r="D218" s="143" t="s">
        <v>346</v>
      </c>
      <c r="E218" s="144"/>
      <c r="F218" s="145" t="s">
        <v>391</v>
      </c>
      <c r="H218" s="144"/>
      <c r="L218" s="142"/>
      <c r="M218" s="146"/>
      <c r="T218" s="147"/>
      <c r="AT218" s="144" t="s">
        <v>346</v>
      </c>
      <c r="AU218" s="144" t="s">
        <v>90</v>
      </c>
      <c r="AV218" s="141" t="s">
        <v>87</v>
      </c>
      <c r="AW218" s="141" t="s">
        <v>33</v>
      </c>
      <c r="AX218" s="141" t="s">
        <v>80</v>
      </c>
      <c r="AY218" s="144" t="s">
        <v>337</v>
      </c>
    </row>
    <row r="219" spans="2:51" s="141" customFormat="1" x14ac:dyDescent="0.2">
      <c r="B219" s="142"/>
      <c r="D219" s="143" t="s">
        <v>346</v>
      </c>
      <c r="E219" s="144"/>
      <c r="F219" s="145" t="s">
        <v>405</v>
      </c>
      <c r="H219" s="144"/>
      <c r="L219" s="142"/>
      <c r="M219" s="146"/>
      <c r="T219" s="147"/>
      <c r="AT219" s="144" t="s">
        <v>346</v>
      </c>
      <c r="AU219" s="144" t="s">
        <v>90</v>
      </c>
      <c r="AV219" s="141" t="s">
        <v>87</v>
      </c>
      <c r="AW219" s="141" t="s">
        <v>33</v>
      </c>
      <c r="AX219" s="141" t="s">
        <v>80</v>
      </c>
      <c r="AY219" s="144" t="s">
        <v>337</v>
      </c>
    </row>
    <row r="220" spans="2:51" s="148" customFormat="1" x14ac:dyDescent="0.2">
      <c r="B220" s="149"/>
      <c r="D220" s="143" t="s">
        <v>346</v>
      </c>
      <c r="E220" s="150"/>
      <c r="F220" s="151" t="s">
        <v>406</v>
      </c>
      <c r="H220" s="152">
        <v>-1.1519999999999999</v>
      </c>
      <c r="L220" s="149"/>
      <c r="M220" s="153"/>
      <c r="T220" s="154"/>
      <c r="AT220" s="150" t="s">
        <v>346</v>
      </c>
      <c r="AU220" s="150" t="s">
        <v>90</v>
      </c>
      <c r="AV220" s="148" t="s">
        <v>90</v>
      </c>
      <c r="AW220" s="148" t="s">
        <v>33</v>
      </c>
      <c r="AX220" s="148" t="s">
        <v>80</v>
      </c>
      <c r="AY220" s="150" t="s">
        <v>337</v>
      </c>
    </row>
    <row r="221" spans="2:51" s="141" customFormat="1" x14ac:dyDescent="0.2">
      <c r="B221" s="142"/>
      <c r="D221" s="143" t="s">
        <v>346</v>
      </c>
      <c r="E221" s="144"/>
      <c r="F221" s="145" t="s">
        <v>407</v>
      </c>
      <c r="H221" s="144"/>
      <c r="L221" s="142"/>
      <c r="M221" s="146"/>
      <c r="T221" s="147"/>
      <c r="AT221" s="144" t="s">
        <v>346</v>
      </c>
      <c r="AU221" s="144" t="s">
        <v>90</v>
      </c>
      <c r="AV221" s="141" t="s">
        <v>87</v>
      </c>
      <c r="AW221" s="141" t="s">
        <v>33</v>
      </c>
      <c r="AX221" s="141" t="s">
        <v>80</v>
      </c>
      <c r="AY221" s="144" t="s">
        <v>337</v>
      </c>
    </row>
    <row r="222" spans="2:51" s="148" customFormat="1" x14ac:dyDescent="0.2">
      <c r="B222" s="149"/>
      <c r="D222" s="143" t="s">
        <v>346</v>
      </c>
      <c r="E222" s="150"/>
      <c r="F222" s="151" t="s">
        <v>408</v>
      </c>
      <c r="H222" s="152">
        <v>-0.81</v>
      </c>
      <c r="L222" s="149"/>
      <c r="M222" s="153"/>
      <c r="T222" s="154"/>
      <c r="AT222" s="150" t="s">
        <v>346</v>
      </c>
      <c r="AU222" s="150" t="s">
        <v>90</v>
      </c>
      <c r="AV222" s="148" t="s">
        <v>90</v>
      </c>
      <c r="AW222" s="148" t="s">
        <v>33</v>
      </c>
      <c r="AX222" s="148" t="s">
        <v>80</v>
      </c>
      <c r="AY222" s="150" t="s">
        <v>337</v>
      </c>
    </row>
    <row r="223" spans="2:51" s="141" customFormat="1" x14ac:dyDescent="0.2">
      <c r="B223" s="142"/>
      <c r="D223" s="143" t="s">
        <v>346</v>
      </c>
      <c r="E223" s="144"/>
      <c r="F223" s="145" t="s">
        <v>409</v>
      </c>
      <c r="H223" s="144"/>
      <c r="L223" s="142"/>
      <c r="M223" s="146"/>
      <c r="T223" s="147"/>
      <c r="AT223" s="144" t="s">
        <v>346</v>
      </c>
      <c r="AU223" s="144" t="s">
        <v>90</v>
      </c>
      <c r="AV223" s="141" t="s">
        <v>87</v>
      </c>
      <c r="AW223" s="141" t="s">
        <v>33</v>
      </c>
      <c r="AX223" s="141" t="s">
        <v>80</v>
      </c>
      <c r="AY223" s="144" t="s">
        <v>337</v>
      </c>
    </row>
    <row r="224" spans="2:51" s="148" customFormat="1" x14ac:dyDescent="0.2">
      <c r="B224" s="149"/>
      <c r="D224" s="143" t="s">
        <v>346</v>
      </c>
      <c r="E224" s="150"/>
      <c r="F224" s="151" t="s">
        <v>410</v>
      </c>
      <c r="H224" s="152">
        <v>-1.204</v>
      </c>
      <c r="L224" s="149"/>
      <c r="M224" s="153"/>
      <c r="T224" s="154"/>
      <c r="AT224" s="150" t="s">
        <v>346</v>
      </c>
      <c r="AU224" s="150" t="s">
        <v>90</v>
      </c>
      <c r="AV224" s="148" t="s">
        <v>90</v>
      </c>
      <c r="AW224" s="148" t="s">
        <v>33</v>
      </c>
      <c r="AX224" s="148" t="s">
        <v>80</v>
      </c>
      <c r="AY224" s="150" t="s">
        <v>337</v>
      </c>
    </row>
    <row r="225" spans="2:51" s="141" customFormat="1" x14ac:dyDescent="0.2">
      <c r="B225" s="142"/>
      <c r="D225" s="143" t="s">
        <v>346</v>
      </c>
      <c r="E225" s="144"/>
      <c r="F225" s="145" t="s">
        <v>394</v>
      </c>
      <c r="H225" s="144"/>
      <c r="L225" s="142"/>
      <c r="M225" s="146"/>
      <c r="T225" s="147"/>
      <c r="AT225" s="144" t="s">
        <v>346</v>
      </c>
      <c r="AU225" s="144" t="s">
        <v>90</v>
      </c>
      <c r="AV225" s="141" t="s">
        <v>87</v>
      </c>
      <c r="AW225" s="141" t="s">
        <v>33</v>
      </c>
      <c r="AX225" s="141" t="s">
        <v>80</v>
      </c>
      <c r="AY225" s="144" t="s">
        <v>337</v>
      </c>
    </row>
    <row r="226" spans="2:51" s="148" customFormat="1" x14ac:dyDescent="0.2">
      <c r="B226" s="149"/>
      <c r="D226" s="143" t="s">
        <v>346</v>
      </c>
      <c r="E226" s="150"/>
      <c r="F226" s="151" t="s">
        <v>411</v>
      </c>
      <c r="H226" s="152">
        <v>13.462</v>
      </c>
      <c r="L226" s="149"/>
      <c r="M226" s="153"/>
      <c r="T226" s="154"/>
      <c r="AT226" s="150" t="s">
        <v>346</v>
      </c>
      <c r="AU226" s="150" t="s">
        <v>90</v>
      </c>
      <c r="AV226" s="148" t="s">
        <v>90</v>
      </c>
      <c r="AW226" s="148" t="s">
        <v>33</v>
      </c>
      <c r="AX226" s="148" t="s">
        <v>80</v>
      </c>
      <c r="AY226" s="150" t="s">
        <v>337</v>
      </c>
    </row>
    <row r="227" spans="2:51" s="141" customFormat="1" x14ac:dyDescent="0.2">
      <c r="B227" s="142"/>
      <c r="D227" s="143" t="s">
        <v>346</v>
      </c>
      <c r="E227" s="144"/>
      <c r="F227" s="145" t="s">
        <v>396</v>
      </c>
      <c r="H227" s="144"/>
      <c r="L227" s="142"/>
      <c r="M227" s="146"/>
      <c r="T227" s="147"/>
      <c r="AT227" s="144" t="s">
        <v>346</v>
      </c>
      <c r="AU227" s="144" t="s">
        <v>90</v>
      </c>
      <c r="AV227" s="141" t="s">
        <v>87</v>
      </c>
      <c r="AW227" s="141" t="s">
        <v>33</v>
      </c>
      <c r="AX227" s="141" t="s">
        <v>80</v>
      </c>
      <c r="AY227" s="144" t="s">
        <v>337</v>
      </c>
    </row>
    <row r="228" spans="2:51" s="141" customFormat="1" x14ac:dyDescent="0.2">
      <c r="B228" s="142"/>
      <c r="D228" s="143" t="s">
        <v>346</v>
      </c>
      <c r="E228" s="144"/>
      <c r="F228" s="145" t="s">
        <v>397</v>
      </c>
      <c r="H228" s="144"/>
      <c r="L228" s="142"/>
      <c r="M228" s="146"/>
      <c r="T228" s="147"/>
      <c r="AT228" s="144" t="s">
        <v>346</v>
      </c>
      <c r="AU228" s="144" t="s">
        <v>90</v>
      </c>
      <c r="AV228" s="141" t="s">
        <v>87</v>
      </c>
      <c r="AW228" s="141" t="s">
        <v>33</v>
      </c>
      <c r="AX228" s="141" t="s">
        <v>80</v>
      </c>
      <c r="AY228" s="144" t="s">
        <v>337</v>
      </c>
    </row>
    <row r="229" spans="2:51" s="148" customFormat="1" x14ac:dyDescent="0.2">
      <c r="B229" s="149"/>
      <c r="D229" s="143" t="s">
        <v>346</v>
      </c>
      <c r="E229" s="150"/>
      <c r="F229" s="151" t="s">
        <v>412</v>
      </c>
      <c r="H229" s="152">
        <v>-6.923</v>
      </c>
      <c r="L229" s="149"/>
      <c r="M229" s="153"/>
      <c r="T229" s="154"/>
      <c r="AT229" s="150" t="s">
        <v>346</v>
      </c>
      <c r="AU229" s="150" t="s">
        <v>90</v>
      </c>
      <c r="AV229" s="148" t="s">
        <v>90</v>
      </c>
      <c r="AW229" s="148" t="s">
        <v>33</v>
      </c>
      <c r="AX229" s="148" t="s">
        <v>80</v>
      </c>
      <c r="AY229" s="150" t="s">
        <v>337</v>
      </c>
    </row>
    <row r="230" spans="2:51" s="141" customFormat="1" x14ac:dyDescent="0.2">
      <c r="B230" s="142"/>
      <c r="D230" s="143" t="s">
        <v>346</v>
      </c>
      <c r="E230" s="144"/>
      <c r="F230" s="145" t="s">
        <v>399</v>
      </c>
      <c r="H230" s="144"/>
      <c r="L230" s="142"/>
      <c r="M230" s="146"/>
      <c r="T230" s="147"/>
      <c r="AT230" s="144" t="s">
        <v>346</v>
      </c>
      <c r="AU230" s="144" t="s">
        <v>90</v>
      </c>
      <c r="AV230" s="141" t="s">
        <v>87</v>
      </c>
      <c r="AW230" s="141" t="s">
        <v>33</v>
      </c>
      <c r="AX230" s="141" t="s">
        <v>80</v>
      </c>
      <c r="AY230" s="144" t="s">
        <v>337</v>
      </c>
    </row>
    <row r="231" spans="2:51" s="148" customFormat="1" x14ac:dyDescent="0.2">
      <c r="B231" s="149"/>
      <c r="D231" s="143" t="s">
        <v>346</v>
      </c>
      <c r="E231" s="150"/>
      <c r="F231" s="151" t="s">
        <v>400</v>
      </c>
      <c r="H231" s="152">
        <v>-0.77</v>
      </c>
      <c r="L231" s="149"/>
      <c r="M231" s="153"/>
      <c r="T231" s="154"/>
      <c r="AT231" s="150" t="s">
        <v>346</v>
      </c>
      <c r="AU231" s="150" t="s">
        <v>90</v>
      </c>
      <c r="AV231" s="148" t="s">
        <v>90</v>
      </c>
      <c r="AW231" s="148" t="s">
        <v>33</v>
      </c>
      <c r="AX231" s="148" t="s">
        <v>80</v>
      </c>
      <c r="AY231" s="150" t="s">
        <v>337</v>
      </c>
    </row>
    <row r="232" spans="2:51" s="141" customFormat="1" x14ac:dyDescent="0.2">
      <c r="B232" s="142"/>
      <c r="D232" s="143" t="s">
        <v>346</v>
      </c>
      <c r="E232" s="144"/>
      <c r="F232" s="145" t="s">
        <v>368</v>
      </c>
      <c r="H232" s="144"/>
      <c r="L232" s="142"/>
      <c r="M232" s="146"/>
      <c r="T232" s="147"/>
      <c r="AT232" s="144" t="s">
        <v>346</v>
      </c>
      <c r="AU232" s="144" t="s">
        <v>90</v>
      </c>
      <c r="AV232" s="141" t="s">
        <v>87</v>
      </c>
      <c r="AW232" s="141" t="s">
        <v>33</v>
      </c>
      <c r="AX232" s="141" t="s">
        <v>80</v>
      </c>
      <c r="AY232" s="144" t="s">
        <v>337</v>
      </c>
    </row>
    <row r="233" spans="2:51" s="141" customFormat="1" x14ac:dyDescent="0.2">
      <c r="B233" s="142"/>
      <c r="D233" s="143" t="s">
        <v>346</v>
      </c>
      <c r="E233" s="144"/>
      <c r="F233" s="145" t="s">
        <v>379</v>
      </c>
      <c r="H233" s="144"/>
      <c r="L233" s="142"/>
      <c r="M233" s="146"/>
      <c r="T233" s="147"/>
      <c r="AT233" s="144" t="s">
        <v>346</v>
      </c>
      <c r="AU233" s="144" t="s">
        <v>90</v>
      </c>
      <c r="AV233" s="141" t="s">
        <v>87</v>
      </c>
      <c r="AW233" s="141" t="s">
        <v>33</v>
      </c>
      <c r="AX233" s="141" t="s">
        <v>80</v>
      </c>
      <c r="AY233" s="144" t="s">
        <v>337</v>
      </c>
    </row>
    <row r="234" spans="2:51" s="148" customFormat="1" x14ac:dyDescent="0.2">
      <c r="B234" s="149"/>
      <c r="D234" s="143" t="s">
        <v>346</v>
      </c>
      <c r="E234" s="150"/>
      <c r="F234" s="151" t="s">
        <v>380</v>
      </c>
      <c r="H234" s="152">
        <v>0.308</v>
      </c>
      <c r="L234" s="149"/>
      <c r="M234" s="153"/>
      <c r="T234" s="154"/>
      <c r="AT234" s="150" t="s">
        <v>346</v>
      </c>
      <c r="AU234" s="150" t="s">
        <v>90</v>
      </c>
      <c r="AV234" s="148" t="s">
        <v>90</v>
      </c>
      <c r="AW234" s="148" t="s">
        <v>33</v>
      </c>
      <c r="AX234" s="148" t="s">
        <v>80</v>
      </c>
      <c r="AY234" s="150" t="s">
        <v>337</v>
      </c>
    </row>
    <row r="235" spans="2:51" s="148" customFormat="1" x14ac:dyDescent="0.2">
      <c r="B235" s="149"/>
      <c r="D235" s="143" t="s">
        <v>346</v>
      </c>
      <c r="E235" s="150"/>
      <c r="F235" s="151" t="s">
        <v>381</v>
      </c>
      <c r="H235" s="152">
        <v>0.61499999999999999</v>
      </c>
      <c r="L235" s="149"/>
      <c r="M235" s="153"/>
      <c r="T235" s="154"/>
      <c r="AT235" s="150" t="s">
        <v>346</v>
      </c>
      <c r="AU235" s="150" t="s">
        <v>90</v>
      </c>
      <c r="AV235" s="148" t="s">
        <v>90</v>
      </c>
      <c r="AW235" s="148" t="s">
        <v>33</v>
      </c>
      <c r="AX235" s="148" t="s">
        <v>80</v>
      </c>
      <c r="AY235" s="150" t="s">
        <v>337</v>
      </c>
    </row>
    <row r="236" spans="2:51" s="141" customFormat="1" x14ac:dyDescent="0.2">
      <c r="B236" s="142"/>
      <c r="D236" s="143" t="s">
        <v>346</v>
      </c>
      <c r="E236" s="144"/>
      <c r="F236" s="145" t="s">
        <v>363</v>
      </c>
      <c r="H236" s="144"/>
      <c r="L236" s="142"/>
      <c r="M236" s="146"/>
      <c r="T236" s="147"/>
      <c r="AT236" s="144" t="s">
        <v>346</v>
      </c>
      <c r="AU236" s="144" t="s">
        <v>90</v>
      </c>
      <c r="AV236" s="141" t="s">
        <v>87</v>
      </c>
      <c r="AW236" s="141" t="s">
        <v>33</v>
      </c>
      <c r="AX236" s="141" t="s">
        <v>80</v>
      </c>
      <c r="AY236" s="144" t="s">
        <v>337</v>
      </c>
    </row>
    <row r="237" spans="2:51" s="148" customFormat="1" x14ac:dyDescent="0.2">
      <c r="B237" s="149"/>
      <c r="D237" s="143" t="s">
        <v>346</v>
      </c>
      <c r="E237" s="150"/>
      <c r="F237" s="151" t="s">
        <v>382</v>
      </c>
      <c r="H237" s="152">
        <v>0.504</v>
      </c>
      <c r="L237" s="149"/>
      <c r="M237" s="153"/>
      <c r="T237" s="154"/>
      <c r="AT237" s="150" t="s">
        <v>346</v>
      </c>
      <c r="AU237" s="150" t="s">
        <v>90</v>
      </c>
      <c r="AV237" s="148" t="s">
        <v>90</v>
      </c>
      <c r="AW237" s="148" t="s">
        <v>33</v>
      </c>
      <c r="AX237" s="148" t="s">
        <v>80</v>
      </c>
      <c r="AY237" s="150" t="s">
        <v>337</v>
      </c>
    </row>
    <row r="238" spans="2:51" s="148" customFormat="1" x14ac:dyDescent="0.2">
      <c r="B238" s="149"/>
      <c r="D238" s="143" t="s">
        <v>346</v>
      </c>
      <c r="E238" s="150"/>
      <c r="F238" s="151" t="s">
        <v>401</v>
      </c>
      <c r="H238" s="152">
        <v>1.524</v>
      </c>
      <c r="L238" s="149"/>
      <c r="M238" s="153"/>
      <c r="T238" s="154"/>
      <c r="AT238" s="150" t="s">
        <v>346</v>
      </c>
      <c r="AU238" s="150" t="s">
        <v>90</v>
      </c>
      <c r="AV238" s="148" t="s">
        <v>90</v>
      </c>
      <c r="AW238" s="148" t="s">
        <v>33</v>
      </c>
      <c r="AX238" s="148" t="s">
        <v>80</v>
      </c>
      <c r="AY238" s="150" t="s">
        <v>337</v>
      </c>
    </row>
    <row r="239" spans="2:51" s="148" customFormat="1" x14ac:dyDescent="0.2">
      <c r="B239" s="149"/>
      <c r="D239" s="143" t="s">
        <v>346</v>
      </c>
      <c r="E239" s="150"/>
      <c r="F239" s="151" t="s">
        <v>402</v>
      </c>
      <c r="H239" s="152">
        <v>1.23</v>
      </c>
      <c r="L239" s="149"/>
      <c r="M239" s="153"/>
      <c r="T239" s="154"/>
      <c r="AT239" s="150" t="s">
        <v>346</v>
      </c>
      <c r="AU239" s="150" t="s">
        <v>90</v>
      </c>
      <c r="AV239" s="148" t="s">
        <v>90</v>
      </c>
      <c r="AW239" s="148" t="s">
        <v>33</v>
      </c>
      <c r="AX239" s="148" t="s">
        <v>80</v>
      </c>
      <c r="AY239" s="150" t="s">
        <v>337</v>
      </c>
    </row>
    <row r="240" spans="2:51" s="148" customFormat="1" x14ac:dyDescent="0.2">
      <c r="B240" s="149"/>
      <c r="D240" s="143" t="s">
        <v>346</v>
      </c>
      <c r="E240" s="150"/>
      <c r="F240" s="151" t="s">
        <v>413</v>
      </c>
      <c r="H240" s="152">
        <v>1.337</v>
      </c>
      <c r="L240" s="149"/>
      <c r="M240" s="153"/>
      <c r="T240" s="154"/>
      <c r="AT240" s="150" t="s">
        <v>346</v>
      </c>
      <c r="AU240" s="150" t="s">
        <v>90</v>
      </c>
      <c r="AV240" s="148" t="s">
        <v>90</v>
      </c>
      <c r="AW240" s="148" t="s">
        <v>33</v>
      </c>
      <c r="AX240" s="148" t="s">
        <v>80</v>
      </c>
      <c r="AY240" s="150" t="s">
        <v>337</v>
      </c>
    </row>
    <row r="241" spans="2:51" s="148" customFormat="1" x14ac:dyDescent="0.2">
      <c r="B241" s="149"/>
      <c r="D241" s="143" t="s">
        <v>346</v>
      </c>
      <c r="E241" s="150"/>
      <c r="F241" s="151" t="s">
        <v>414</v>
      </c>
      <c r="H241" s="152">
        <v>0.79400000000000004</v>
      </c>
      <c r="L241" s="149"/>
      <c r="M241" s="153"/>
      <c r="T241" s="154"/>
      <c r="AT241" s="150" t="s">
        <v>346</v>
      </c>
      <c r="AU241" s="150" t="s">
        <v>90</v>
      </c>
      <c r="AV241" s="148" t="s">
        <v>90</v>
      </c>
      <c r="AW241" s="148" t="s">
        <v>33</v>
      </c>
      <c r="AX241" s="148" t="s">
        <v>80</v>
      </c>
      <c r="AY241" s="150" t="s">
        <v>337</v>
      </c>
    </row>
    <row r="242" spans="2:51" s="148" customFormat="1" x14ac:dyDescent="0.2">
      <c r="B242" s="149"/>
      <c r="D242" s="143" t="s">
        <v>346</v>
      </c>
      <c r="E242" s="150"/>
      <c r="F242" s="151" t="s">
        <v>415</v>
      </c>
      <c r="H242" s="152">
        <v>0.98399999999999999</v>
      </c>
      <c r="L242" s="149"/>
      <c r="M242" s="153"/>
      <c r="T242" s="154"/>
      <c r="AT242" s="150" t="s">
        <v>346</v>
      </c>
      <c r="AU242" s="150" t="s">
        <v>90</v>
      </c>
      <c r="AV242" s="148" t="s">
        <v>90</v>
      </c>
      <c r="AW242" s="148" t="s">
        <v>33</v>
      </c>
      <c r="AX242" s="148" t="s">
        <v>80</v>
      </c>
      <c r="AY242" s="150" t="s">
        <v>337</v>
      </c>
    </row>
    <row r="243" spans="2:51" s="148" customFormat="1" x14ac:dyDescent="0.2">
      <c r="B243" s="149"/>
      <c r="D243" s="143" t="s">
        <v>346</v>
      </c>
      <c r="E243" s="150"/>
      <c r="F243" s="151" t="s">
        <v>416</v>
      </c>
      <c r="H243" s="152">
        <v>0.82199999999999995</v>
      </c>
      <c r="L243" s="149"/>
      <c r="M243" s="153"/>
      <c r="T243" s="154"/>
      <c r="AT243" s="150" t="s">
        <v>346</v>
      </c>
      <c r="AU243" s="150" t="s">
        <v>90</v>
      </c>
      <c r="AV243" s="148" t="s">
        <v>90</v>
      </c>
      <c r="AW243" s="148" t="s">
        <v>33</v>
      </c>
      <c r="AX243" s="148" t="s">
        <v>80</v>
      </c>
      <c r="AY243" s="150" t="s">
        <v>337</v>
      </c>
    </row>
    <row r="244" spans="2:51" s="141" customFormat="1" x14ac:dyDescent="0.2">
      <c r="B244" s="142"/>
      <c r="D244" s="143" t="s">
        <v>346</v>
      </c>
      <c r="E244" s="144"/>
      <c r="F244" s="145" t="s">
        <v>365</v>
      </c>
      <c r="H244" s="144"/>
      <c r="L244" s="142"/>
      <c r="M244" s="146"/>
      <c r="T244" s="147"/>
      <c r="AT244" s="144" t="s">
        <v>346</v>
      </c>
      <c r="AU244" s="144" t="s">
        <v>90</v>
      </c>
      <c r="AV244" s="141" t="s">
        <v>87</v>
      </c>
      <c r="AW244" s="141" t="s">
        <v>33</v>
      </c>
      <c r="AX244" s="141" t="s">
        <v>80</v>
      </c>
      <c r="AY244" s="144" t="s">
        <v>337</v>
      </c>
    </row>
    <row r="245" spans="2:51" s="141" customFormat="1" x14ac:dyDescent="0.2">
      <c r="B245" s="142"/>
      <c r="D245" s="143" t="s">
        <v>346</v>
      </c>
      <c r="E245" s="144"/>
      <c r="F245" s="145" t="s">
        <v>389</v>
      </c>
      <c r="H245" s="144"/>
      <c r="L245" s="142"/>
      <c r="M245" s="146"/>
      <c r="T245" s="147"/>
      <c r="AT245" s="144" t="s">
        <v>346</v>
      </c>
      <c r="AU245" s="144" t="s">
        <v>90</v>
      </c>
      <c r="AV245" s="141" t="s">
        <v>87</v>
      </c>
      <c r="AW245" s="141" t="s">
        <v>33</v>
      </c>
      <c r="AX245" s="141" t="s">
        <v>80</v>
      </c>
      <c r="AY245" s="144" t="s">
        <v>337</v>
      </c>
    </row>
    <row r="246" spans="2:51" s="148" customFormat="1" x14ac:dyDescent="0.2">
      <c r="B246" s="149"/>
      <c r="D246" s="143" t="s">
        <v>346</v>
      </c>
      <c r="E246" s="150"/>
      <c r="F246" s="151" t="s">
        <v>390</v>
      </c>
      <c r="H246" s="152">
        <v>2.04</v>
      </c>
      <c r="L246" s="149"/>
      <c r="M246" s="153"/>
      <c r="T246" s="154"/>
      <c r="AT246" s="150" t="s">
        <v>346</v>
      </c>
      <c r="AU246" s="150" t="s">
        <v>90</v>
      </c>
      <c r="AV246" s="148" t="s">
        <v>90</v>
      </c>
      <c r="AW246" s="148" t="s">
        <v>33</v>
      </c>
      <c r="AX246" s="148" t="s">
        <v>80</v>
      </c>
      <c r="AY246" s="150" t="s">
        <v>337</v>
      </c>
    </row>
    <row r="247" spans="2:51" s="141" customFormat="1" x14ac:dyDescent="0.2">
      <c r="B247" s="142"/>
      <c r="D247" s="143" t="s">
        <v>346</v>
      </c>
      <c r="E247" s="144"/>
      <c r="F247" s="145" t="s">
        <v>391</v>
      </c>
      <c r="H247" s="144"/>
      <c r="L247" s="142"/>
      <c r="M247" s="146"/>
      <c r="T247" s="147"/>
      <c r="AT247" s="144" t="s">
        <v>346</v>
      </c>
      <c r="AU247" s="144" t="s">
        <v>90</v>
      </c>
      <c r="AV247" s="141" t="s">
        <v>87</v>
      </c>
      <c r="AW247" s="141" t="s">
        <v>33</v>
      </c>
      <c r="AX247" s="141" t="s">
        <v>80</v>
      </c>
      <c r="AY247" s="144" t="s">
        <v>337</v>
      </c>
    </row>
    <row r="248" spans="2:51" s="141" customFormat="1" x14ac:dyDescent="0.2">
      <c r="B248" s="142"/>
      <c r="D248" s="143" t="s">
        <v>346</v>
      </c>
      <c r="E248" s="144"/>
      <c r="F248" s="145" t="s">
        <v>405</v>
      </c>
      <c r="H248" s="144"/>
      <c r="L248" s="142"/>
      <c r="M248" s="146"/>
      <c r="T248" s="147"/>
      <c r="AT248" s="144" t="s">
        <v>346</v>
      </c>
      <c r="AU248" s="144" t="s">
        <v>90</v>
      </c>
      <c r="AV248" s="141" t="s">
        <v>87</v>
      </c>
      <c r="AW248" s="141" t="s">
        <v>33</v>
      </c>
      <c r="AX248" s="141" t="s">
        <v>80</v>
      </c>
      <c r="AY248" s="144" t="s">
        <v>337</v>
      </c>
    </row>
    <row r="249" spans="2:51" s="148" customFormat="1" x14ac:dyDescent="0.2">
      <c r="B249" s="149"/>
      <c r="D249" s="143" t="s">
        <v>346</v>
      </c>
      <c r="E249" s="150"/>
      <c r="F249" s="151" t="s">
        <v>406</v>
      </c>
      <c r="H249" s="152">
        <v>-1.1519999999999999</v>
      </c>
      <c r="L249" s="149"/>
      <c r="M249" s="153"/>
      <c r="T249" s="154"/>
      <c r="AT249" s="150" t="s">
        <v>346</v>
      </c>
      <c r="AU249" s="150" t="s">
        <v>90</v>
      </c>
      <c r="AV249" s="148" t="s">
        <v>90</v>
      </c>
      <c r="AW249" s="148" t="s">
        <v>33</v>
      </c>
      <c r="AX249" s="148" t="s">
        <v>80</v>
      </c>
      <c r="AY249" s="150" t="s">
        <v>337</v>
      </c>
    </row>
    <row r="250" spans="2:51" s="141" customFormat="1" x14ac:dyDescent="0.2">
      <c r="B250" s="142"/>
      <c r="D250" s="143" t="s">
        <v>346</v>
      </c>
      <c r="E250" s="144"/>
      <c r="F250" s="145" t="s">
        <v>394</v>
      </c>
      <c r="H250" s="144"/>
      <c r="L250" s="142"/>
      <c r="M250" s="146"/>
      <c r="T250" s="147"/>
      <c r="AT250" s="144" t="s">
        <v>346</v>
      </c>
      <c r="AU250" s="144" t="s">
        <v>90</v>
      </c>
      <c r="AV250" s="141" t="s">
        <v>87</v>
      </c>
      <c r="AW250" s="141" t="s">
        <v>33</v>
      </c>
      <c r="AX250" s="141" t="s">
        <v>80</v>
      </c>
      <c r="AY250" s="144" t="s">
        <v>337</v>
      </c>
    </row>
    <row r="251" spans="2:51" s="148" customFormat="1" x14ac:dyDescent="0.2">
      <c r="B251" s="149"/>
      <c r="D251" s="143" t="s">
        <v>346</v>
      </c>
      <c r="E251" s="150"/>
      <c r="F251" s="151" t="s">
        <v>395</v>
      </c>
      <c r="H251" s="152">
        <v>18.356999999999999</v>
      </c>
      <c r="L251" s="149"/>
      <c r="M251" s="153"/>
      <c r="T251" s="154"/>
      <c r="AT251" s="150" t="s">
        <v>346</v>
      </c>
      <c r="AU251" s="150" t="s">
        <v>90</v>
      </c>
      <c r="AV251" s="148" t="s">
        <v>90</v>
      </c>
      <c r="AW251" s="148" t="s">
        <v>33</v>
      </c>
      <c r="AX251" s="148" t="s">
        <v>80</v>
      </c>
      <c r="AY251" s="150" t="s">
        <v>337</v>
      </c>
    </row>
    <row r="252" spans="2:51" s="141" customFormat="1" x14ac:dyDescent="0.2">
      <c r="B252" s="142"/>
      <c r="D252" s="143" t="s">
        <v>346</v>
      </c>
      <c r="E252" s="144"/>
      <c r="F252" s="145" t="s">
        <v>396</v>
      </c>
      <c r="H252" s="144"/>
      <c r="L252" s="142"/>
      <c r="M252" s="146"/>
      <c r="T252" s="147"/>
      <c r="AT252" s="144" t="s">
        <v>346</v>
      </c>
      <c r="AU252" s="144" t="s">
        <v>90</v>
      </c>
      <c r="AV252" s="141" t="s">
        <v>87</v>
      </c>
      <c r="AW252" s="141" t="s">
        <v>33</v>
      </c>
      <c r="AX252" s="141" t="s">
        <v>80</v>
      </c>
      <c r="AY252" s="144" t="s">
        <v>337</v>
      </c>
    </row>
    <row r="253" spans="2:51" s="141" customFormat="1" x14ac:dyDescent="0.2">
      <c r="B253" s="142"/>
      <c r="D253" s="143" t="s">
        <v>346</v>
      </c>
      <c r="E253" s="144"/>
      <c r="F253" s="145" t="s">
        <v>397</v>
      </c>
      <c r="H253" s="144"/>
      <c r="L253" s="142"/>
      <c r="M253" s="146"/>
      <c r="T253" s="147"/>
      <c r="AT253" s="144" t="s">
        <v>346</v>
      </c>
      <c r="AU253" s="144" t="s">
        <v>90</v>
      </c>
      <c r="AV253" s="141" t="s">
        <v>87</v>
      </c>
      <c r="AW253" s="141" t="s">
        <v>33</v>
      </c>
      <c r="AX253" s="141" t="s">
        <v>80</v>
      </c>
      <c r="AY253" s="144" t="s">
        <v>337</v>
      </c>
    </row>
    <row r="254" spans="2:51" s="148" customFormat="1" x14ac:dyDescent="0.2">
      <c r="B254" s="149"/>
      <c r="D254" s="143" t="s">
        <v>346</v>
      </c>
      <c r="E254" s="150"/>
      <c r="F254" s="151" t="s">
        <v>398</v>
      </c>
      <c r="H254" s="152">
        <v>-9.6920000000000002</v>
      </c>
      <c r="L254" s="149"/>
      <c r="M254" s="153"/>
      <c r="T254" s="154"/>
      <c r="AT254" s="150" t="s">
        <v>346</v>
      </c>
      <c r="AU254" s="150" t="s">
        <v>90</v>
      </c>
      <c r="AV254" s="148" t="s">
        <v>90</v>
      </c>
      <c r="AW254" s="148" t="s">
        <v>33</v>
      </c>
      <c r="AX254" s="148" t="s">
        <v>80</v>
      </c>
      <c r="AY254" s="150" t="s">
        <v>337</v>
      </c>
    </row>
    <row r="255" spans="2:51" s="141" customFormat="1" x14ac:dyDescent="0.2">
      <c r="B255" s="142"/>
      <c r="D255" s="143" t="s">
        <v>346</v>
      </c>
      <c r="E255" s="144"/>
      <c r="F255" s="145" t="s">
        <v>399</v>
      </c>
      <c r="H255" s="144"/>
      <c r="L255" s="142"/>
      <c r="M255" s="146"/>
      <c r="T255" s="147"/>
      <c r="AT255" s="144" t="s">
        <v>346</v>
      </c>
      <c r="AU255" s="144" t="s">
        <v>90</v>
      </c>
      <c r="AV255" s="141" t="s">
        <v>87</v>
      </c>
      <c r="AW255" s="141" t="s">
        <v>33</v>
      </c>
      <c r="AX255" s="141" t="s">
        <v>80</v>
      </c>
      <c r="AY255" s="144" t="s">
        <v>337</v>
      </c>
    </row>
    <row r="256" spans="2:51" s="148" customFormat="1" x14ac:dyDescent="0.2">
      <c r="B256" s="149"/>
      <c r="D256" s="143" t="s">
        <v>346</v>
      </c>
      <c r="E256" s="150"/>
      <c r="F256" s="151" t="s">
        <v>400</v>
      </c>
      <c r="H256" s="152">
        <v>-0.77</v>
      </c>
      <c r="L256" s="149"/>
      <c r="M256" s="153"/>
      <c r="T256" s="154"/>
      <c r="AT256" s="150" t="s">
        <v>346</v>
      </c>
      <c r="AU256" s="150" t="s">
        <v>90</v>
      </c>
      <c r="AV256" s="148" t="s">
        <v>90</v>
      </c>
      <c r="AW256" s="148" t="s">
        <v>33</v>
      </c>
      <c r="AX256" s="148" t="s">
        <v>80</v>
      </c>
      <c r="AY256" s="150" t="s">
        <v>337</v>
      </c>
    </row>
    <row r="257" spans="2:51" s="141" customFormat="1" x14ac:dyDescent="0.2">
      <c r="B257" s="142"/>
      <c r="D257" s="143" t="s">
        <v>346</v>
      </c>
      <c r="E257" s="144"/>
      <c r="F257" s="145" t="s">
        <v>370</v>
      </c>
      <c r="H257" s="144"/>
      <c r="L257" s="142"/>
      <c r="M257" s="146"/>
      <c r="T257" s="147"/>
      <c r="AT257" s="144" t="s">
        <v>346</v>
      </c>
      <c r="AU257" s="144" t="s">
        <v>90</v>
      </c>
      <c r="AV257" s="141" t="s">
        <v>87</v>
      </c>
      <c r="AW257" s="141" t="s">
        <v>33</v>
      </c>
      <c r="AX257" s="141" t="s">
        <v>80</v>
      </c>
      <c r="AY257" s="144" t="s">
        <v>337</v>
      </c>
    </row>
    <row r="258" spans="2:51" s="148" customFormat="1" x14ac:dyDescent="0.2">
      <c r="B258" s="149"/>
      <c r="D258" s="143" t="s">
        <v>346</v>
      </c>
      <c r="E258" s="150"/>
      <c r="F258" s="151" t="s">
        <v>380</v>
      </c>
      <c r="H258" s="152">
        <v>0.308</v>
      </c>
      <c r="L258" s="149"/>
      <c r="M258" s="153"/>
      <c r="T258" s="154"/>
      <c r="AT258" s="150" t="s">
        <v>346</v>
      </c>
      <c r="AU258" s="150" t="s">
        <v>90</v>
      </c>
      <c r="AV258" s="148" t="s">
        <v>90</v>
      </c>
      <c r="AW258" s="148" t="s">
        <v>33</v>
      </c>
      <c r="AX258" s="148" t="s">
        <v>80</v>
      </c>
      <c r="AY258" s="150" t="s">
        <v>337</v>
      </c>
    </row>
    <row r="259" spans="2:51" s="148" customFormat="1" x14ac:dyDescent="0.2">
      <c r="B259" s="149"/>
      <c r="D259" s="143" t="s">
        <v>346</v>
      </c>
      <c r="E259" s="150"/>
      <c r="F259" s="151" t="s">
        <v>381</v>
      </c>
      <c r="H259" s="152">
        <v>0.61499999999999999</v>
      </c>
      <c r="L259" s="149"/>
      <c r="M259" s="153"/>
      <c r="T259" s="154"/>
      <c r="AT259" s="150" t="s">
        <v>346</v>
      </c>
      <c r="AU259" s="150" t="s">
        <v>90</v>
      </c>
      <c r="AV259" s="148" t="s">
        <v>90</v>
      </c>
      <c r="AW259" s="148" t="s">
        <v>33</v>
      </c>
      <c r="AX259" s="148" t="s">
        <v>80</v>
      </c>
      <c r="AY259" s="150" t="s">
        <v>337</v>
      </c>
    </row>
    <row r="260" spans="2:51" s="141" customFormat="1" x14ac:dyDescent="0.2">
      <c r="B260" s="142"/>
      <c r="D260" s="143" t="s">
        <v>346</v>
      </c>
      <c r="E260" s="144"/>
      <c r="F260" s="145" t="s">
        <v>363</v>
      </c>
      <c r="H260" s="144"/>
      <c r="L260" s="142"/>
      <c r="M260" s="146"/>
      <c r="T260" s="147"/>
      <c r="AT260" s="144" t="s">
        <v>346</v>
      </c>
      <c r="AU260" s="144" t="s">
        <v>90</v>
      </c>
      <c r="AV260" s="141" t="s">
        <v>87</v>
      </c>
      <c r="AW260" s="141" t="s">
        <v>33</v>
      </c>
      <c r="AX260" s="141" t="s">
        <v>80</v>
      </c>
      <c r="AY260" s="144" t="s">
        <v>337</v>
      </c>
    </row>
    <row r="261" spans="2:51" s="148" customFormat="1" x14ac:dyDescent="0.2">
      <c r="B261" s="149"/>
      <c r="D261" s="143" t="s">
        <v>346</v>
      </c>
      <c r="E261" s="150"/>
      <c r="F261" s="151" t="s">
        <v>382</v>
      </c>
      <c r="H261" s="152">
        <v>0.504</v>
      </c>
      <c r="L261" s="149"/>
      <c r="M261" s="153"/>
      <c r="T261" s="154"/>
      <c r="AT261" s="150" t="s">
        <v>346</v>
      </c>
      <c r="AU261" s="150" t="s">
        <v>90</v>
      </c>
      <c r="AV261" s="148" t="s">
        <v>90</v>
      </c>
      <c r="AW261" s="148" t="s">
        <v>33</v>
      </c>
      <c r="AX261" s="148" t="s">
        <v>80</v>
      </c>
      <c r="AY261" s="150" t="s">
        <v>337</v>
      </c>
    </row>
    <row r="262" spans="2:51" s="148" customFormat="1" x14ac:dyDescent="0.2">
      <c r="B262" s="149"/>
      <c r="D262" s="143" t="s">
        <v>346</v>
      </c>
      <c r="E262" s="150"/>
      <c r="F262" s="151" t="s">
        <v>401</v>
      </c>
      <c r="H262" s="152">
        <v>1.524</v>
      </c>
      <c r="L262" s="149"/>
      <c r="M262" s="153"/>
      <c r="T262" s="154"/>
      <c r="AT262" s="150" t="s">
        <v>346</v>
      </c>
      <c r="AU262" s="150" t="s">
        <v>90</v>
      </c>
      <c r="AV262" s="148" t="s">
        <v>90</v>
      </c>
      <c r="AW262" s="148" t="s">
        <v>33</v>
      </c>
      <c r="AX262" s="148" t="s">
        <v>80</v>
      </c>
      <c r="AY262" s="150" t="s">
        <v>337</v>
      </c>
    </row>
    <row r="263" spans="2:51" s="148" customFormat="1" x14ac:dyDescent="0.2">
      <c r="B263" s="149"/>
      <c r="D263" s="143" t="s">
        <v>346</v>
      </c>
      <c r="E263" s="150"/>
      <c r="F263" s="151" t="s">
        <v>402</v>
      </c>
      <c r="H263" s="152">
        <v>1.23</v>
      </c>
      <c r="L263" s="149"/>
      <c r="M263" s="153"/>
      <c r="T263" s="154"/>
      <c r="AT263" s="150" t="s">
        <v>346</v>
      </c>
      <c r="AU263" s="150" t="s">
        <v>90</v>
      </c>
      <c r="AV263" s="148" t="s">
        <v>90</v>
      </c>
      <c r="AW263" s="148" t="s">
        <v>33</v>
      </c>
      <c r="AX263" s="148" t="s">
        <v>80</v>
      </c>
      <c r="AY263" s="150" t="s">
        <v>337</v>
      </c>
    </row>
    <row r="264" spans="2:51" s="148" customFormat="1" x14ac:dyDescent="0.2">
      <c r="B264" s="149"/>
      <c r="D264" s="143" t="s">
        <v>346</v>
      </c>
      <c r="E264" s="150"/>
      <c r="F264" s="151" t="s">
        <v>386</v>
      </c>
      <c r="H264" s="152">
        <v>1.3859999999999999</v>
      </c>
      <c r="L264" s="149"/>
      <c r="M264" s="153"/>
      <c r="T264" s="154"/>
      <c r="AT264" s="150" t="s">
        <v>346</v>
      </c>
      <c r="AU264" s="150" t="s">
        <v>90</v>
      </c>
      <c r="AV264" s="148" t="s">
        <v>90</v>
      </c>
      <c r="AW264" s="148" t="s">
        <v>33</v>
      </c>
      <c r="AX264" s="148" t="s">
        <v>80</v>
      </c>
      <c r="AY264" s="150" t="s">
        <v>337</v>
      </c>
    </row>
    <row r="265" spans="2:51" s="148" customFormat="1" x14ac:dyDescent="0.2">
      <c r="B265" s="149"/>
      <c r="D265" s="143" t="s">
        <v>346</v>
      </c>
      <c r="E265" s="150"/>
      <c r="F265" s="151" t="s">
        <v>414</v>
      </c>
      <c r="H265" s="152">
        <v>0.79400000000000004</v>
      </c>
      <c r="L265" s="149"/>
      <c r="M265" s="153"/>
      <c r="T265" s="154"/>
      <c r="AT265" s="150" t="s">
        <v>346</v>
      </c>
      <c r="AU265" s="150" t="s">
        <v>90</v>
      </c>
      <c r="AV265" s="148" t="s">
        <v>90</v>
      </c>
      <c r="AW265" s="148" t="s">
        <v>33</v>
      </c>
      <c r="AX265" s="148" t="s">
        <v>80</v>
      </c>
      <c r="AY265" s="150" t="s">
        <v>337</v>
      </c>
    </row>
    <row r="266" spans="2:51" s="148" customFormat="1" x14ac:dyDescent="0.2">
      <c r="B266" s="149"/>
      <c r="D266" s="143" t="s">
        <v>346</v>
      </c>
      <c r="E266" s="150"/>
      <c r="F266" s="151" t="s">
        <v>415</v>
      </c>
      <c r="H266" s="152">
        <v>0.98399999999999999</v>
      </c>
      <c r="L266" s="149"/>
      <c r="M266" s="153"/>
      <c r="T266" s="154"/>
      <c r="AT266" s="150" t="s">
        <v>346</v>
      </c>
      <c r="AU266" s="150" t="s">
        <v>90</v>
      </c>
      <c r="AV266" s="148" t="s">
        <v>90</v>
      </c>
      <c r="AW266" s="148" t="s">
        <v>33</v>
      </c>
      <c r="AX266" s="148" t="s">
        <v>80</v>
      </c>
      <c r="AY266" s="150" t="s">
        <v>337</v>
      </c>
    </row>
    <row r="267" spans="2:51" s="148" customFormat="1" x14ac:dyDescent="0.2">
      <c r="B267" s="149"/>
      <c r="D267" s="143" t="s">
        <v>346</v>
      </c>
      <c r="E267" s="150"/>
      <c r="F267" s="151" t="s">
        <v>416</v>
      </c>
      <c r="H267" s="152">
        <v>0.82199999999999995</v>
      </c>
      <c r="L267" s="149"/>
      <c r="M267" s="153"/>
      <c r="T267" s="154"/>
      <c r="AT267" s="150" t="s">
        <v>346</v>
      </c>
      <c r="AU267" s="150" t="s">
        <v>90</v>
      </c>
      <c r="AV267" s="148" t="s">
        <v>90</v>
      </c>
      <c r="AW267" s="148" t="s">
        <v>33</v>
      </c>
      <c r="AX267" s="148" t="s">
        <v>80</v>
      </c>
      <c r="AY267" s="150" t="s">
        <v>337</v>
      </c>
    </row>
    <row r="268" spans="2:51" s="141" customFormat="1" x14ac:dyDescent="0.2">
      <c r="B268" s="142"/>
      <c r="D268" s="143" t="s">
        <v>346</v>
      </c>
      <c r="E268" s="144"/>
      <c r="F268" s="145" t="s">
        <v>365</v>
      </c>
      <c r="H268" s="144"/>
      <c r="L268" s="142"/>
      <c r="M268" s="146"/>
      <c r="T268" s="147"/>
      <c r="AT268" s="144" t="s">
        <v>346</v>
      </c>
      <c r="AU268" s="144" t="s">
        <v>90</v>
      </c>
      <c r="AV268" s="141" t="s">
        <v>87</v>
      </c>
      <c r="AW268" s="141" t="s">
        <v>33</v>
      </c>
      <c r="AX268" s="141" t="s">
        <v>80</v>
      </c>
      <c r="AY268" s="144" t="s">
        <v>337</v>
      </c>
    </row>
    <row r="269" spans="2:51" s="141" customFormat="1" x14ac:dyDescent="0.2">
      <c r="B269" s="142"/>
      <c r="D269" s="143" t="s">
        <v>346</v>
      </c>
      <c r="E269" s="144"/>
      <c r="F269" s="145" t="s">
        <v>389</v>
      </c>
      <c r="H269" s="144"/>
      <c r="L269" s="142"/>
      <c r="M269" s="146"/>
      <c r="T269" s="147"/>
      <c r="AT269" s="144" t="s">
        <v>346</v>
      </c>
      <c r="AU269" s="144" t="s">
        <v>90</v>
      </c>
      <c r="AV269" s="141" t="s">
        <v>87</v>
      </c>
      <c r="AW269" s="141" t="s">
        <v>33</v>
      </c>
      <c r="AX269" s="141" t="s">
        <v>80</v>
      </c>
      <c r="AY269" s="144" t="s">
        <v>337</v>
      </c>
    </row>
    <row r="270" spans="2:51" s="148" customFormat="1" x14ac:dyDescent="0.2">
      <c r="B270" s="149"/>
      <c r="D270" s="143" t="s">
        <v>346</v>
      </c>
      <c r="E270" s="150"/>
      <c r="F270" s="151" t="s">
        <v>390</v>
      </c>
      <c r="H270" s="152">
        <v>2.04</v>
      </c>
      <c r="L270" s="149"/>
      <c r="M270" s="153"/>
      <c r="T270" s="154"/>
      <c r="AT270" s="150" t="s">
        <v>346</v>
      </c>
      <c r="AU270" s="150" t="s">
        <v>90</v>
      </c>
      <c r="AV270" s="148" t="s">
        <v>90</v>
      </c>
      <c r="AW270" s="148" t="s">
        <v>33</v>
      </c>
      <c r="AX270" s="148" t="s">
        <v>80</v>
      </c>
      <c r="AY270" s="150" t="s">
        <v>337</v>
      </c>
    </row>
    <row r="271" spans="2:51" s="141" customFormat="1" x14ac:dyDescent="0.2">
      <c r="B271" s="142"/>
      <c r="D271" s="143" t="s">
        <v>346</v>
      </c>
      <c r="E271" s="144"/>
      <c r="F271" s="145" t="s">
        <v>391</v>
      </c>
      <c r="H271" s="144"/>
      <c r="L271" s="142"/>
      <c r="M271" s="146"/>
      <c r="T271" s="147"/>
      <c r="AT271" s="144" t="s">
        <v>346</v>
      </c>
      <c r="AU271" s="144" t="s">
        <v>90</v>
      </c>
      <c r="AV271" s="141" t="s">
        <v>87</v>
      </c>
      <c r="AW271" s="141" t="s">
        <v>33</v>
      </c>
      <c r="AX271" s="141" t="s">
        <v>80</v>
      </c>
      <c r="AY271" s="144" t="s">
        <v>337</v>
      </c>
    </row>
    <row r="272" spans="2:51" s="141" customFormat="1" x14ac:dyDescent="0.2">
      <c r="B272" s="142"/>
      <c r="D272" s="143" t="s">
        <v>346</v>
      </c>
      <c r="E272" s="144"/>
      <c r="F272" s="145" t="s">
        <v>392</v>
      </c>
      <c r="H272" s="144"/>
      <c r="L272" s="142"/>
      <c r="M272" s="146"/>
      <c r="T272" s="147"/>
      <c r="AT272" s="144" t="s">
        <v>346</v>
      </c>
      <c r="AU272" s="144" t="s">
        <v>90</v>
      </c>
      <c r="AV272" s="141" t="s">
        <v>87</v>
      </c>
      <c r="AW272" s="141" t="s">
        <v>33</v>
      </c>
      <c r="AX272" s="141" t="s">
        <v>80</v>
      </c>
      <c r="AY272" s="144" t="s">
        <v>337</v>
      </c>
    </row>
    <row r="273" spans="2:65" s="148" customFormat="1" x14ac:dyDescent="0.2">
      <c r="B273" s="149"/>
      <c r="D273" s="143" t="s">
        <v>346</v>
      </c>
      <c r="E273" s="150"/>
      <c r="F273" s="151" t="s">
        <v>393</v>
      </c>
      <c r="H273" s="152">
        <v>-1.08</v>
      </c>
      <c r="L273" s="149"/>
      <c r="M273" s="153"/>
      <c r="T273" s="154"/>
      <c r="AT273" s="150" t="s">
        <v>346</v>
      </c>
      <c r="AU273" s="150" t="s">
        <v>90</v>
      </c>
      <c r="AV273" s="148" t="s">
        <v>90</v>
      </c>
      <c r="AW273" s="148" t="s">
        <v>33</v>
      </c>
      <c r="AX273" s="148" t="s">
        <v>80</v>
      </c>
      <c r="AY273" s="150" t="s">
        <v>337</v>
      </c>
    </row>
    <row r="274" spans="2:65" s="141" customFormat="1" x14ac:dyDescent="0.2">
      <c r="B274" s="142"/>
      <c r="D274" s="143" t="s">
        <v>346</v>
      </c>
      <c r="E274" s="144"/>
      <c r="F274" s="145" t="s">
        <v>394</v>
      </c>
      <c r="H274" s="144"/>
      <c r="L274" s="142"/>
      <c r="M274" s="146"/>
      <c r="T274" s="147"/>
      <c r="AT274" s="144" t="s">
        <v>346</v>
      </c>
      <c r="AU274" s="144" t="s">
        <v>90</v>
      </c>
      <c r="AV274" s="141" t="s">
        <v>87</v>
      </c>
      <c r="AW274" s="141" t="s">
        <v>33</v>
      </c>
      <c r="AX274" s="141" t="s">
        <v>80</v>
      </c>
      <c r="AY274" s="144" t="s">
        <v>337</v>
      </c>
    </row>
    <row r="275" spans="2:65" s="148" customFormat="1" x14ac:dyDescent="0.2">
      <c r="B275" s="149"/>
      <c r="D275" s="143" t="s">
        <v>346</v>
      </c>
      <c r="E275" s="150"/>
      <c r="F275" s="151" t="s">
        <v>395</v>
      </c>
      <c r="H275" s="152">
        <v>18.356999999999999</v>
      </c>
      <c r="L275" s="149"/>
      <c r="M275" s="153"/>
      <c r="T275" s="154"/>
      <c r="AT275" s="150" t="s">
        <v>346</v>
      </c>
      <c r="AU275" s="150" t="s">
        <v>90</v>
      </c>
      <c r="AV275" s="148" t="s">
        <v>90</v>
      </c>
      <c r="AW275" s="148" t="s">
        <v>33</v>
      </c>
      <c r="AX275" s="148" t="s">
        <v>80</v>
      </c>
      <c r="AY275" s="150" t="s">
        <v>337</v>
      </c>
    </row>
    <row r="276" spans="2:65" s="141" customFormat="1" x14ac:dyDescent="0.2">
      <c r="B276" s="142"/>
      <c r="D276" s="143" t="s">
        <v>346</v>
      </c>
      <c r="E276" s="144"/>
      <c r="F276" s="145" t="s">
        <v>396</v>
      </c>
      <c r="H276" s="144"/>
      <c r="L276" s="142"/>
      <c r="M276" s="146"/>
      <c r="T276" s="147"/>
      <c r="AT276" s="144" t="s">
        <v>346</v>
      </c>
      <c r="AU276" s="144" t="s">
        <v>90</v>
      </c>
      <c r="AV276" s="141" t="s">
        <v>87</v>
      </c>
      <c r="AW276" s="141" t="s">
        <v>33</v>
      </c>
      <c r="AX276" s="141" t="s">
        <v>80</v>
      </c>
      <c r="AY276" s="144" t="s">
        <v>337</v>
      </c>
    </row>
    <row r="277" spans="2:65" s="141" customFormat="1" x14ac:dyDescent="0.2">
      <c r="B277" s="142"/>
      <c r="D277" s="143" t="s">
        <v>346</v>
      </c>
      <c r="E277" s="144"/>
      <c r="F277" s="145" t="s">
        <v>397</v>
      </c>
      <c r="H277" s="144"/>
      <c r="L277" s="142"/>
      <c r="M277" s="146"/>
      <c r="T277" s="147"/>
      <c r="AT277" s="144" t="s">
        <v>346</v>
      </c>
      <c r="AU277" s="144" t="s">
        <v>90</v>
      </c>
      <c r="AV277" s="141" t="s">
        <v>87</v>
      </c>
      <c r="AW277" s="141" t="s">
        <v>33</v>
      </c>
      <c r="AX277" s="141" t="s">
        <v>80</v>
      </c>
      <c r="AY277" s="144" t="s">
        <v>337</v>
      </c>
    </row>
    <row r="278" spans="2:65" s="148" customFormat="1" x14ac:dyDescent="0.2">
      <c r="B278" s="149"/>
      <c r="D278" s="143" t="s">
        <v>346</v>
      </c>
      <c r="E278" s="150"/>
      <c r="F278" s="151" t="s">
        <v>398</v>
      </c>
      <c r="H278" s="152">
        <v>-9.6920000000000002</v>
      </c>
      <c r="L278" s="149"/>
      <c r="M278" s="153"/>
      <c r="T278" s="154"/>
      <c r="AT278" s="150" t="s">
        <v>346</v>
      </c>
      <c r="AU278" s="150" t="s">
        <v>90</v>
      </c>
      <c r="AV278" s="148" t="s">
        <v>90</v>
      </c>
      <c r="AW278" s="148" t="s">
        <v>33</v>
      </c>
      <c r="AX278" s="148" t="s">
        <v>80</v>
      </c>
      <c r="AY278" s="150" t="s">
        <v>337</v>
      </c>
    </row>
    <row r="279" spans="2:65" s="141" customFormat="1" x14ac:dyDescent="0.2">
      <c r="B279" s="142"/>
      <c r="D279" s="143" t="s">
        <v>346</v>
      </c>
      <c r="E279" s="144"/>
      <c r="F279" s="145" t="s">
        <v>399</v>
      </c>
      <c r="H279" s="144"/>
      <c r="L279" s="142"/>
      <c r="M279" s="146"/>
      <c r="T279" s="147"/>
      <c r="AT279" s="144" t="s">
        <v>346</v>
      </c>
      <c r="AU279" s="144" t="s">
        <v>90</v>
      </c>
      <c r="AV279" s="141" t="s">
        <v>87</v>
      </c>
      <c r="AW279" s="141" t="s">
        <v>33</v>
      </c>
      <c r="AX279" s="141" t="s">
        <v>80</v>
      </c>
      <c r="AY279" s="144" t="s">
        <v>337</v>
      </c>
    </row>
    <row r="280" spans="2:65" s="148" customFormat="1" x14ac:dyDescent="0.2">
      <c r="B280" s="149"/>
      <c r="D280" s="143" t="s">
        <v>346</v>
      </c>
      <c r="E280" s="150"/>
      <c r="F280" s="151" t="s">
        <v>400</v>
      </c>
      <c r="H280" s="152">
        <v>-0.77</v>
      </c>
      <c r="L280" s="149"/>
      <c r="M280" s="153"/>
      <c r="T280" s="154"/>
      <c r="AT280" s="150" t="s">
        <v>346</v>
      </c>
      <c r="AU280" s="150" t="s">
        <v>90</v>
      </c>
      <c r="AV280" s="148" t="s">
        <v>90</v>
      </c>
      <c r="AW280" s="148" t="s">
        <v>33</v>
      </c>
      <c r="AX280" s="148" t="s">
        <v>80</v>
      </c>
      <c r="AY280" s="150" t="s">
        <v>337</v>
      </c>
    </row>
    <row r="281" spans="2:65" s="155" customFormat="1" x14ac:dyDescent="0.2">
      <c r="B281" s="156"/>
      <c r="D281" s="143" t="s">
        <v>346</v>
      </c>
      <c r="E281" s="157"/>
      <c r="F281" s="158" t="s">
        <v>351</v>
      </c>
      <c r="H281" s="159">
        <v>67.602000000000004</v>
      </c>
      <c r="L281" s="156"/>
      <c r="M281" s="160"/>
      <c r="T281" s="161"/>
      <c r="AT281" s="157" t="s">
        <v>346</v>
      </c>
      <c r="AU281" s="157" t="s">
        <v>90</v>
      </c>
      <c r="AV281" s="155" t="s">
        <v>344</v>
      </c>
      <c r="AW281" s="155" t="s">
        <v>33</v>
      </c>
      <c r="AX281" s="155" t="s">
        <v>87</v>
      </c>
      <c r="AY281" s="157" t="s">
        <v>337</v>
      </c>
    </row>
    <row r="282" spans="2:65" s="16" customFormat="1" ht="16.5" customHeight="1" x14ac:dyDescent="0.2">
      <c r="B282" s="17"/>
      <c r="C282" s="128">
        <v>4</v>
      </c>
      <c r="D282" s="128" t="s">
        <v>339</v>
      </c>
      <c r="E282" s="129" t="s">
        <v>417</v>
      </c>
      <c r="F282" s="130" t="s">
        <v>418</v>
      </c>
      <c r="G282" s="131" t="s">
        <v>342</v>
      </c>
      <c r="H282" s="132">
        <v>1.073</v>
      </c>
      <c r="I282" s="133"/>
      <c r="J282" s="134">
        <f>ROUND(I282*H282,2)</f>
        <v>0</v>
      </c>
      <c r="K282" s="130" t="s">
        <v>343</v>
      </c>
      <c r="L282" s="17"/>
      <c r="M282" s="135"/>
      <c r="N282" s="136" t="s">
        <v>45</v>
      </c>
      <c r="P282" s="137">
        <f>O282*H282</f>
        <v>0</v>
      </c>
      <c r="Q282" s="137">
        <v>2.39757</v>
      </c>
      <c r="R282" s="137">
        <f>Q282*H282</f>
        <v>2.5725926100000001</v>
      </c>
      <c r="S282" s="137">
        <v>0</v>
      </c>
      <c r="T282" s="138">
        <f>S282*H282</f>
        <v>0</v>
      </c>
      <c r="AR282" s="139" t="s">
        <v>344</v>
      </c>
      <c r="AT282" s="139" t="s">
        <v>339</v>
      </c>
      <c r="AU282" s="139" t="s">
        <v>90</v>
      </c>
      <c r="AY282" s="2" t="s">
        <v>337</v>
      </c>
      <c r="BE282" s="140">
        <f>IF(N282="základní",J282,0)</f>
        <v>0</v>
      </c>
      <c r="BF282" s="140">
        <f>IF(N282="snížená",J282,0)</f>
        <v>0</v>
      </c>
      <c r="BG282" s="140">
        <f>IF(N282="zákl. přenesená",J282,0)</f>
        <v>0</v>
      </c>
      <c r="BH282" s="140">
        <f>IF(N282="sníž. přenesená",J282,0)</f>
        <v>0</v>
      </c>
      <c r="BI282" s="140">
        <f>IF(N282="nulová",J282,0)</f>
        <v>0</v>
      </c>
      <c r="BJ282" s="2" t="s">
        <v>87</v>
      </c>
      <c r="BK282" s="140">
        <f>ROUND(I282*H282,2)</f>
        <v>0</v>
      </c>
      <c r="BL282" s="2" t="s">
        <v>344</v>
      </c>
      <c r="BM282" s="139" t="s">
        <v>419</v>
      </c>
    </row>
    <row r="283" spans="2:65" s="141" customFormat="1" x14ac:dyDescent="0.2">
      <c r="B283" s="142"/>
      <c r="D283" s="143" t="s">
        <v>346</v>
      </c>
      <c r="E283" s="144"/>
      <c r="F283" s="145" t="s">
        <v>420</v>
      </c>
      <c r="H283" s="144"/>
      <c r="L283" s="142"/>
      <c r="M283" s="146"/>
      <c r="T283" s="147"/>
      <c r="AT283" s="144" t="s">
        <v>346</v>
      </c>
      <c r="AU283" s="144" t="s">
        <v>90</v>
      </c>
      <c r="AV283" s="141" t="s">
        <v>87</v>
      </c>
      <c r="AW283" s="141" t="s">
        <v>33</v>
      </c>
      <c r="AX283" s="141" t="s">
        <v>80</v>
      </c>
      <c r="AY283" s="144" t="s">
        <v>337</v>
      </c>
    </row>
    <row r="284" spans="2:65" s="148" customFormat="1" x14ac:dyDescent="0.2">
      <c r="B284" s="149"/>
      <c r="D284" s="143" t="s">
        <v>346</v>
      </c>
      <c r="E284" s="150"/>
      <c r="F284" s="151" t="s">
        <v>421</v>
      </c>
      <c r="H284" s="152">
        <v>1.073</v>
      </c>
      <c r="L284" s="149"/>
      <c r="M284" s="153"/>
      <c r="T284" s="154"/>
      <c r="AT284" s="150" t="s">
        <v>346</v>
      </c>
      <c r="AU284" s="150" t="s">
        <v>90</v>
      </c>
      <c r="AV284" s="148" t="s">
        <v>90</v>
      </c>
      <c r="AW284" s="148" t="s">
        <v>33</v>
      </c>
      <c r="AX284" s="148" t="s">
        <v>87</v>
      </c>
      <c r="AY284" s="150" t="s">
        <v>337</v>
      </c>
    </row>
    <row r="285" spans="2:65" s="16" customFormat="1" ht="16.5" customHeight="1" x14ac:dyDescent="0.2">
      <c r="B285" s="17"/>
      <c r="C285" s="128">
        <v>5</v>
      </c>
      <c r="D285" s="128" t="s">
        <v>339</v>
      </c>
      <c r="E285" s="129" t="s">
        <v>423</v>
      </c>
      <c r="F285" s="130" t="s">
        <v>424</v>
      </c>
      <c r="G285" s="131" t="s">
        <v>425</v>
      </c>
      <c r="H285" s="132">
        <v>76.183999999999997</v>
      </c>
      <c r="I285" s="133"/>
      <c r="J285" s="134">
        <f>ROUND(I285*H285,2)</f>
        <v>0</v>
      </c>
      <c r="K285" s="130" t="s">
        <v>343</v>
      </c>
      <c r="L285" s="17"/>
      <c r="M285" s="135"/>
      <c r="N285" s="136" t="s">
        <v>45</v>
      </c>
      <c r="P285" s="137">
        <f>O285*H285</f>
        <v>0</v>
      </c>
      <c r="Q285" s="137">
        <v>0.21224000000000001</v>
      </c>
      <c r="R285" s="137">
        <f>Q285*H285</f>
        <v>16.169292160000001</v>
      </c>
      <c r="S285" s="137">
        <v>0</v>
      </c>
      <c r="T285" s="138">
        <f>S285*H285</f>
        <v>0</v>
      </c>
      <c r="AR285" s="139" t="s">
        <v>344</v>
      </c>
      <c r="AT285" s="139" t="s">
        <v>339</v>
      </c>
      <c r="AU285" s="139" t="s">
        <v>90</v>
      </c>
      <c r="AY285" s="2" t="s">
        <v>337</v>
      </c>
      <c r="BE285" s="140">
        <f>IF(N285="základní",J285,0)</f>
        <v>0</v>
      </c>
      <c r="BF285" s="140">
        <f>IF(N285="snížená",J285,0)</f>
        <v>0</v>
      </c>
      <c r="BG285" s="140">
        <f>IF(N285="zákl. přenesená",J285,0)</f>
        <v>0</v>
      </c>
      <c r="BH285" s="140">
        <f>IF(N285="sníž. přenesená",J285,0)</f>
        <v>0</v>
      </c>
      <c r="BI285" s="140">
        <f>IF(N285="nulová",J285,0)</f>
        <v>0</v>
      </c>
      <c r="BJ285" s="2" t="s">
        <v>87</v>
      </c>
      <c r="BK285" s="140">
        <f>ROUND(I285*H285,2)</f>
        <v>0</v>
      </c>
      <c r="BL285" s="2" t="s">
        <v>344</v>
      </c>
      <c r="BM285" s="139" t="s">
        <v>426</v>
      </c>
    </row>
    <row r="286" spans="2:65" s="141" customFormat="1" x14ac:dyDescent="0.2">
      <c r="B286" s="142"/>
      <c r="D286" s="143" t="s">
        <v>346</v>
      </c>
      <c r="E286" s="144"/>
      <c r="F286" s="145" t="s">
        <v>427</v>
      </c>
      <c r="H286" s="144"/>
      <c r="L286" s="142"/>
      <c r="M286" s="146"/>
      <c r="T286" s="147"/>
      <c r="AT286" s="144" t="s">
        <v>346</v>
      </c>
      <c r="AU286" s="144" t="s">
        <v>90</v>
      </c>
      <c r="AV286" s="141" t="s">
        <v>87</v>
      </c>
      <c r="AW286" s="141" t="s">
        <v>33</v>
      </c>
      <c r="AX286" s="141" t="s">
        <v>80</v>
      </c>
      <c r="AY286" s="144" t="s">
        <v>337</v>
      </c>
    </row>
    <row r="287" spans="2:65" s="141" customFormat="1" x14ac:dyDescent="0.2">
      <c r="B287" s="142"/>
      <c r="D287" s="143" t="s">
        <v>346</v>
      </c>
      <c r="E287" s="144"/>
      <c r="F287" s="145" t="s">
        <v>428</v>
      </c>
      <c r="H287" s="144"/>
      <c r="L287" s="142"/>
      <c r="M287" s="146"/>
      <c r="T287" s="147"/>
      <c r="AT287" s="144" t="s">
        <v>346</v>
      </c>
      <c r="AU287" s="144" t="s">
        <v>90</v>
      </c>
      <c r="AV287" s="141" t="s">
        <v>87</v>
      </c>
      <c r="AW287" s="141" t="s">
        <v>33</v>
      </c>
      <c r="AX287" s="141" t="s">
        <v>80</v>
      </c>
      <c r="AY287" s="144" t="s">
        <v>337</v>
      </c>
    </row>
    <row r="288" spans="2:65" s="148" customFormat="1" x14ac:dyDescent="0.2">
      <c r="B288" s="149"/>
      <c r="D288" s="143" t="s">
        <v>346</v>
      </c>
      <c r="E288" s="150"/>
      <c r="F288" s="151" t="s">
        <v>429</v>
      </c>
      <c r="H288" s="152">
        <v>76.183999999999997</v>
      </c>
      <c r="L288" s="149"/>
      <c r="M288" s="153"/>
      <c r="T288" s="154"/>
      <c r="AT288" s="150" t="s">
        <v>346</v>
      </c>
      <c r="AU288" s="150" t="s">
        <v>90</v>
      </c>
      <c r="AV288" s="148" t="s">
        <v>90</v>
      </c>
      <c r="AW288" s="148" t="s">
        <v>33</v>
      </c>
      <c r="AX288" s="148" t="s">
        <v>87</v>
      </c>
      <c r="AY288" s="150" t="s">
        <v>337</v>
      </c>
    </row>
    <row r="289" spans="2:65" s="16" customFormat="1" ht="16.5" customHeight="1" x14ac:dyDescent="0.2">
      <c r="B289" s="17"/>
      <c r="C289" s="128">
        <v>6</v>
      </c>
      <c r="D289" s="128" t="s">
        <v>339</v>
      </c>
      <c r="E289" s="129" t="s">
        <v>431</v>
      </c>
      <c r="F289" s="130" t="s">
        <v>432</v>
      </c>
      <c r="G289" s="131" t="s">
        <v>425</v>
      </c>
      <c r="H289" s="132">
        <v>51.95</v>
      </c>
      <c r="I289" s="133"/>
      <c r="J289" s="134">
        <f>ROUND(I289*H289,2)</f>
        <v>0</v>
      </c>
      <c r="K289" s="130"/>
      <c r="L289" s="17"/>
      <c r="M289" s="135"/>
      <c r="N289" s="136" t="s">
        <v>45</v>
      </c>
      <c r="P289" s="137">
        <f>O289*H289</f>
        <v>0</v>
      </c>
      <c r="Q289" s="137">
        <v>0.21224000000000001</v>
      </c>
      <c r="R289" s="137">
        <f>Q289*H289</f>
        <v>11.025868000000001</v>
      </c>
      <c r="S289" s="137">
        <v>0</v>
      </c>
      <c r="T289" s="138">
        <f>S289*H289</f>
        <v>0</v>
      </c>
      <c r="AR289" s="139" t="s">
        <v>344</v>
      </c>
      <c r="AT289" s="139" t="s">
        <v>339</v>
      </c>
      <c r="AU289" s="139" t="s">
        <v>90</v>
      </c>
      <c r="AY289" s="2" t="s">
        <v>337</v>
      </c>
      <c r="BE289" s="140">
        <f>IF(N289="základní",J289,0)</f>
        <v>0</v>
      </c>
      <c r="BF289" s="140">
        <f>IF(N289="snížená",J289,0)</f>
        <v>0</v>
      </c>
      <c r="BG289" s="140">
        <f>IF(N289="zákl. přenesená",J289,0)</f>
        <v>0</v>
      </c>
      <c r="BH289" s="140">
        <f>IF(N289="sníž. přenesená",J289,0)</f>
        <v>0</v>
      </c>
      <c r="BI289" s="140">
        <f>IF(N289="nulová",J289,0)</f>
        <v>0</v>
      </c>
      <c r="BJ289" s="2" t="s">
        <v>87</v>
      </c>
      <c r="BK289" s="140">
        <f>ROUND(I289*H289,2)</f>
        <v>0</v>
      </c>
      <c r="BL289" s="2" t="s">
        <v>344</v>
      </c>
      <c r="BM289" s="139" t="s">
        <v>433</v>
      </c>
    </row>
    <row r="290" spans="2:65" s="141" customFormat="1" x14ac:dyDescent="0.2">
      <c r="B290" s="142"/>
      <c r="D290" s="143" t="s">
        <v>346</v>
      </c>
      <c r="E290" s="144"/>
      <c r="F290" s="145" t="s">
        <v>434</v>
      </c>
      <c r="H290" s="144"/>
      <c r="L290" s="142"/>
      <c r="M290" s="146"/>
      <c r="T290" s="147"/>
      <c r="AT290" s="144" t="s">
        <v>346</v>
      </c>
      <c r="AU290" s="144" t="s">
        <v>90</v>
      </c>
      <c r="AV290" s="141" t="s">
        <v>87</v>
      </c>
      <c r="AW290" s="141" t="s">
        <v>33</v>
      </c>
      <c r="AX290" s="141" t="s">
        <v>80</v>
      </c>
      <c r="AY290" s="144" t="s">
        <v>337</v>
      </c>
    </row>
    <row r="291" spans="2:65" s="141" customFormat="1" x14ac:dyDescent="0.2">
      <c r="B291" s="142"/>
      <c r="D291" s="143" t="s">
        <v>346</v>
      </c>
      <c r="E291" s="144"/>
      <c r="F291" s="145" t="s">
        <v>435</v>
      </c>
      <c r="H291" s="144"/>
      <c r="L291" s="142"/>
      <c r="M291" s="146"/>
      <c r="T291" s="147"/>
      <c r="AT291" s="144" t="s">
        <v>346</v>
      </c>
      <c r="AU291" s="144" t="s">
        <v>90</v>
      </c>
      <c r="AV291" s="141" t="s">
        <v>87</v>
      </c>
      <c r="AW291" s="141" t="s">
        <v>33</v>
      </c>
      <c r="AX291" s="141" t="s">
        <v>80</v>
      </c>
      <c r="AY291" s="144" t="s">
        <v>337</v>
      </c>
    </row>
    <row r="292" spans="2:65" s="148" customFormat="1" x14ac:dyDescent="0.2">
      <c r="B292" s="149"/>
      <c r="D292" s="143" t="s">
        <v>346</v>
      </c>
      <c r="E292" s="150"/>
      <c r="F292" s="151" t="s">
        <v>436</v>
      </c>
      <c r="H292" s="152">
        <v>50.25</v>
      </c>
      <c r="L292" s="149"/>
      <c r="M292" s="153"/>
      <c r="T292" s="154"/>
      <c r="AT292" s="150" t="s">
        <v>346</v>
      </c>
      <c r="AU292" s="150" t="s">
        <v>90</v>
      </c>
      <c r="AV292" s="148" t="s">
        <v>90</v>
      </c>
      <c r="AW292" s="148" t="s">
        <v>33</v>
      </c>
      <c r="AX292" s="148" t="s">
        <v>80</v>
      </c>
      <c r="AY292" s="150" t="s">
        <v>337</v>
      </c>
    </row>
    <row r="293" spans="2:65" s="148" customFormat="1" x14ac:dyDescent="0.2">
      <c r="B293" s="149"/>
      <c r="D293" s="143" t="s">
        <v>346</v>
      </c>
      <c r="E293" s="150"/>
      <c r="F293" s="151" t="s">
        <v>437</v>
      </c>
      <c r="H293" s="152">
        <v>-6.7</v>
      </c>
      <c r="L293" s="149"/>
      <c r="M293" s="153"/>
      <c r="T293" s="154"/>
      <c r="AT293" s="150" t="s">
        <v>346</v>
      </c>
      <c r="AU293" s="150" t="s">
        <v>90</v>
      </c>
      <c r="AV293" s="148" t="s">
        <v>90</v>
      </c>
      <c r="AW293" s="148" t="s">
        <v>33</v>
      </c>
      <c r="AX293" s="148" t="s">
        <v>80</v>
      </c>
      <c r="AY293" s="150" t="s">
        <v>337</v>
      </c>
    </row>
    <row r="294" spans="2:65" s="141" customFormat="1" x14ac:dyDescent="0.2">
      <c r="B294" s="142"/>
      <c r="D294" s="143" t="s">
        <v>346</v>
      </c>
      <c r="E294" s="144"/>
      <c r="F294" s="145" t="s">
        <v>438</v>
      </c>
      <c r="H294" s="144"/>
      <c r="L294" s="142"/>
      <c r="M294" s="146"/>
      <c r="T294" s="147"/>
      <c r="AT294" s="144" t="s">
        <v>346</v>
      </c>
      <c r="AU294" s="144" t="s">
        <v>90</v>
      </c>
      <c r="AV294" s="141" t="s">
        <v>87</v>
      </c>
      <c r="AW294" s="141" t="s">
        <v>33</v>
      </c>
      <c r="AX294" s="141" t="s">
        <v>80</v>
      </c>
      <c r="AY294" s="144" t="s">
        <v>337</v>
      </c>
    </row>
    <row r="295" spans="2:65" s="148" customFormat="1" x14ac:dyDescent="0.2">
      <c r="B295" s="149"/>
      <c r="D295" s="143" t="s">
        <v>346</v>
      </c>
      <c r="E295" s="150"/>
      <c r="F295" s="151" t="s">
        <v>439</v>
      </c>
      <c r="H295" s="152">
        <v>9.3000000000000007</v>
      </c>
      <c r="L295" s="149"/>
      <c r="M295" s="153"/>
      <c r="T295" s="154"/>
      <c r="AT295" s="150" t="s">
        <v>346</v>
      </c>
      <c r="AU295" s="150" t="s">
        <v>90</v>
      </c>
      <c r="AV295" s="148" t="s">
        <v>90</v>
      </c>
      <c r="AW295" s="148" t="s">
        <v>33</v>
      </c>
      <c r="AX295" s="148" t="s">
        <v>80</v>
      </c>
      <c r="AY295" s="150" t="s">
        <v>337</v>
      </c>
    </row>
    <row r="296" spans="2:65" s="148" customFormat="1" x14ac:dyDescent="0.2">
      <c r="B296" s="149"/>
      <c r="D296" s="143" t="s">
        <v>346</v>
      </c>
      <c r="E296" s="150"/>
      <c r="F296" s="151" t="s">
        <v>440</v>
      </c>
      <c r="H296" s="152">
        <v>-0.9</v>
      </c>
      <c r="L296" s="149"/>
      <c r="M296" s="153"/>
      <c r="T296" s="154"/>
      <c r="AT296" s="150" t="s">
        <v>346</v>
      </c>
      <c r="AU296" s="150" t="s">
        <v>90</v>
      </c>
      <c r="AV296" s="148" t="s">
        <v>90</v>
      </c>
      <c r="AW296" s="148" t="s">
        <v>33</v>
      </c>
      <c r="AX296" s="148" t="s">
        <v>80</v>
      </c>
      <c r="AY296" s="150" t="s">
        <v>337</v>
      </c>
    </row>
    <row r="297" spans="2:65" s="155" customFormat="1" x14ac:dyDescent="0.2">
      <c r="B297" s="156"/>
      <c r="D297" s="143" t="s">
        <v>346</v>
      </c>
      <c r="E297" s="157"/>
      <c r="F297" s="158" t="s">
        <v>351</v>
      </c>
      <c r="H297" s="159">
        <v>51.95</v>
      </c>
      <c r="L297" s="156"/>
      <c r="M297" s="160"/>
      <c r="T297" s="161"/>
      <c r="AT297" s="157" t="s">
        <v>346</v>
      </c>
      <c r="AU297" s="157" t="s">
        <v>90</v>
      </c>
      <c r="AV297" s="155" t="s">
        <v>344</v>
      </c>
      <c r="AW297" s="155" t="s">
        <v>33</v>
      </c>
      <c r="AX297" s="155" t="s">
        <v>87</v>
      </c>
      <c r="AY297" s="157" t="s">
        <v>337</v>
      </c>
    </row>
    <row r="298" spans="2:65" s="16" customFormat="1" ht="24.2" customHeight="1" x14ac:dyDescent="0.2">
      <c r="B298" s="17"/>
      <c r="C298" s="128">
        <v>7</v>
      </c>
      <c r="D298" s="128" t="s">
        <v>339</v>
      </c>
      <c r="E298" s="129" t="s">
        <v>442</v>
      </c>
      <c r="F298" s="130" t="s">
        <v>443</v>
      </c>
      <c r="G298" s="131" t="s">
        <v>425</v>
      </c>
      <c r="H298" s="132">
        <v>7.1550000000000002</v>
      </c>
      <c r="I298" s="133"/>
      <c r="J298" s="134">
        <f>ROUND(I298*H298,2)</f>
        <v>0</v>
      </c>
      <c r="K298" s="130" t="s">
        <v>343</v>
      </c>
      <c r="L298" s="17"/>
      <c r="M298" s="135"/>
      <c r="N298" s="136" t="s">
        <v>45</v>
      </c>
      <c r="P298" s="137">
        <f>O298*H298</f>
        <v>0</v>
      </c>
      <c r="Q298" s="137">
        <v>0.24134</v>
      </c>
      <c r="R298" s="137">
        <f>Q298*H298</f>
        <v>1.7267877</v>
      </c>
      <c r="S298" s="137">
        <v>0</v>
      </c>
      <c r="T298" s="138">
        <f>S298*H298</f>
        <v>0</v>
      </c>
      <c r="AR298" s="139" t="s">
        <v>344</v>
      </c>
      <c r="AT298" s="139" t="s">
        <v>339</v>
      </c>
      <c r="AU298" s="139" t="s">
        <v>90</v>
      </c>
      <c r="AY298" s="2" t="s">
        <v>337</v>
      </c>
      <c r="BE298" s="140">
        <f>IF(N298="základní",J298,0)</f>
        <v>0</v>
      </c>
      <c r="BF298" s="140">
        <f>IF(N298="snížená",J298,0)</f>
        <v>0</v>
      </c>
      <c r="BG298" s="140">
        <f>IF(N298="zákl. přenesená",J298,0)</f>
        <v>0</v>
      </c>
      <c r="BH298" s="140">
        <f>IF(N298="sníž. přenesená",J298,0)</f>
        <v>0</v>
      </c>
      <c r="BI298" s="140">
        <f>IF(N298="nulová",J298,0)</f>
        <v>0</v>
      </c>
      <c r="BJ298" s="2" t="s">
        <v>87</v>
      </c>
      <c r="BK298" s="140">
        <f>ROUND(I298*H298,2)</f>
        <v>0</v>
      </c>
      <c r="BL298" s="2" t="s">
        <v>344</v>
      </c>
      <c r="BM298" s="139" t="s">
        <v>444</v>
      </c>
    </row>
    <row r="299" spans="2:65" s="141" customFormat="1" x14ac:dyDescent="0.2">
      <c r="B299" s="142"/>
      <c r="D299" s="143" t="s">
        <v>346</v>
      </c>
      <c r="E299" s="144"/>
      <c r="F299" s="145" t="s">
        <v>357</v>
      </c>
      <c r="H299" s="144"/>
      <c r="L299" s="142"/>
      <c r="M299" s="146"/>
      <c r="T299" s="147"/>
      <c r="AT299" s="144" t="s">
        <v>346</v>
      </c>
      <c r="AU299" s="144" t="s">
        <v>90</v>
      </c>
      <c r="AV299" s="141" t="s">
        <v>87</v>
      </c>
      <c r="AW299" s="141" t="s">
        <v>33</v>
      </c>
      <c r="AX299" s="141" t="s">
        <v>80</v>
      </c>
      <c r="AY299" s="144" t="s">
        <v>337</v>
      </c>
    </row>
    <row r="300" spans="2:65" s="148" customFormat="1" x14ac:dyDescent="0.2">
      <c r="B300" s="149"/>
      <c r="D300" s="143" t="s">
        <v>346</v>
      </c>
      <c r="E300" s="150"/>
      <c r="F300" s="151" t="s">
        <v>445</v>
      </c>
      <c r="H300" s="152">
        <v>7.1550000000000002</v>
      </c>
      <c r="L300" s="149"/>
      <c r="M300" s="153"/>
      <c r="T300" s="154"/>
      <c r="AT300" s="150" t="s">
        <v>346</v>
      </c>
      <c r="AU300" s="150" t="s">
        <v>90</v>
      </c>
      <c r="AV300" s="148" t="s">
        <v>90</v>
      </c>
      <c r="AW300" s="148" t="s">
        <v>33</v>
      </c>
      <c r="AX300" s="148" t="s">
        <v>87</v>
      </c>
      <c r="AY300" s="150" t="s">
        <v>337</v>
      </c>
    </row>
    <row r="301" spans="2:65" s="16" customFormat="1" ht="21.75" customHeight="1" x14ac:dyDescent="0.2">
      <c r="B301" s="17"/>
      <c r="C301" s="128">
        <v>8</v>
      </c>
      <c r="D301" s="128" t="s">
        <v>339</v>
      </c>
      <c r="E301" s="129" t="s">
        <v>447</v>
      </c>
      <c r="F301" s="130" t="s">
        <v>448</v>
      </c>
      <c r="G301" s="131" t="s">
        <v>449</v>
      </c>
      <c r="H301" s="132">
        <v>9</v>
      </c>
      <c r="I301" s="133"/>
      <c r="J301" s="134">
        <f>ROUND(I301*H301,2)</f>
        <v>0</v>
      </c>
      <c r="K301" s="130" t="s">
        <v>343</v>
      </c>
      <c r="L301" s="17"/>
      <c r="M301" s="135"/>
      <c r="N301" s="136" t="s">
        <v>45</v>
      </c>
      <c r="P301" s="137">
        <f>O301*H301</f>
        <v>0</v>
      </c>
      <c r="Q301" s="137">
        <v>3.8629999999999998E-2</v>
      </c>
      <c r="R301" s="137">
        <f>Q301*H301</f>
        <v>0.34766999999999998</v>
      </c>
      <c r="S301" s="137">
        <v>0</v>
      </c>
      <c r="T301" s="138">
        <f>S301*H301</f>
        <v>0</v>
      </c>
      <c r="AR301" s="139" t="s">
        <v>344</v>
      </c>
      <c r="AT301" s="139" t="s">
        <v>339</v>
      </c>
      <c r="AU301" s="139" t="s">
        <v>90</v>
      </c>
      <c r="AY301" s="2" t="s">
        <v>337</v>
      </c>
      <c r="BE301" s="140">
        <f>IF(N301="základní",J301,0)</f>
        <v>0</v>
      </c>
      <c r="BF301" s="140">
        <f>IF(N301="snížená",J301,0)</f>
        <v>0</v>
      </c>
      <c r="BG301" s="140">
        <f>IF(N301="zákl. přenesená",J301,0)</f>
        <v>0</v>
      </c>
      <c r="BH301" s="140">
        <f>IF(N301="sníž. přenesená",J301,0)</f>
        <v>0</v>
      </c>
      <c r="BI301" s="140">
        <f>IF(N301="nulová",J301,0)</f>
        <v>0</v>
      </c>
      <c r="BJ301" s="2" t="s">
        <v>87</v>
      </c>
      <c r="BK301" s="140">
        <f>ROUND(I301*H301,2)</f>
        <v>0</v>
      </c>
      <c r="BL301" s="2" t="s">
        <v>344</v>
      </c>
      <c r="BM301" s="139" t="s">
        <v>450</v>
      </c>
    </row>
    <row r="302" spans="2:65" s="141" customFormat="1" x14ac:dyDescent="0.2">
      <c r="B302" s="142"/>
      <c r="D302" s="143" t="s">
        <v>346</v>
      </c>
      <c r="E302" s="144"/>
      <c r="F302" s="145" t="s">
        <v>451</v>
      </c>
      <c r="H302" s="144"/>
      <c r="L302" s="142"/>
      <c r="M302" s="146"/>
      <c r="T302" s="147"/>
      <c r="AT302" s="144" t="s">
        <v>346</v>
      </c>
      <c r="AU302" s="144" t="s">
        <v>90</v>
      </c>
      <c r="AV302" s="141" t="s">
        <v>87</v>
      </c>
      <c r="AW302" s="141" t="s">
        <v>33</v>
      </c>
      <c r="AX302" s="141" t="s">
        <v>80</v>
      </c>
      <c r="AY302" s="144" t="s">
        <v>337</v>
      </c>
    </row>
    <row r="303" spans="2:65" s="148" customFormat="1" x14ac:dyDescent="0.2">
      <c r="B303" s="149"/>
      <c r="D303" s="143" t="s">
        <v>346</v>
      </c>
      <c r="E303" s="150"/>
      <c r="F303" s="151" t="s">
        <v>87</v>
      </c>
      <c r="H303" s="152">
        <v>1</v>
      </c>
      <c r="L303" s="149"/>
      <c r="M303" s="153"/>
      <c r="T303" s="154"/>
      <c r="AT303" s="150" t="s">
        <v>346</v>
      </c>
      <c r="AU303" s="150" t="s">
        <v>90</v>
      </c>
      <c r="AV303" s="148" t="s">
        <v>90</v>
      </c>
      <c r="AW303" s="148" t="s">
        <v>33</v>
      </c>
      <c r="AX303" s="148" t="s">
        <v>80</v>
      </c>
      <c r="AY303" s="150" t="s">
        <v>337</v>
      </c>
    </row>
    <row r="304" spans="2:65" s="141" customFormat="1" x14ac:dyDescent="0.2">
      <c r="B304" s="142"/>
      <c r="D304" s="143" t="s">
        <v>346</v>
      </c>
      <c r="E304" s="144"/>
      <c r="F304" s="145" t="s">
        <v>357</v>
      </c>
      <c r="H304" s="144"/>
      <c r="L304" s="142"/>
      <c r="M304" s="146"/>
      <c r="T304" s="147"/>
      <c r="AT304" s="144" t="s">
        <v>346</v>
      </c>
      <c r="AU304" s="144" t="s">
        <v>90</v>
      </c>
      <c r="AV304" s="141" t="s">
        <v>87</v>
      </c>
      <c r="AW304" s="141" t="s">
        <v>33</v>
      </c>
      <c r="AX304" s="141" t="s">
        <v>80</v>
      </c>
      <c r="AY304" s="144" t="s">
        <v>337</v>
      </c>
    </row>
    <row r="305" spans="2:65" s="148" customFormat="1" x14ac:dyDescent="0.2">
      <c r="B305" s="149"/>
      <c r="D305" s="143" t="s">
        <v>346</v>
      </c>
      <c r="E305" s="150"/>
      <c r="F305" s="151" t="s">
        <v>446</v>
      </c>
      <c r="H305" s="152">
        <v>8</v>
      </c>
      <c r="L305" s="149"/>
      <c r="M305" s="153"/>
      <c r="T305" s="154"/>
      <c r="AT305" s="150" t="s">
        <v>346</v>
      </c>
      <c r="AU305" s="150" t="s">
        <v>90</v>
      </c>
      <c r="AV305" s="148" t="s">
        <v>90</v>
      </c>
      <c r="AW305" s="148" t="s">
        <v>33</v>
      </c>
      <c r="AX305" s="148" t="s">
        <v>80</v>
      </c>
      <c r="AY305" s="150" t="s">
        <v>337</v>
      </c>
    </row>
    <row r="306" spans="2:65" s="155" customFormat="1" x14ac:dyDescent="0.2">
      <c r="B306" s="156"/>
      <c r="D306" s="143" t="s">
        <v>346</v>
      </c>
      <c r="E306" s="157"/>
      <c r="F306" s="158" t="s">
        <v>351</v>
      </c>
      <c r="H306" s="159">
        <v>9</v>
      </c>
      <c r="L306" s="156"/>
      <c r="M306" s="160"/>
      <c r="T306" s="161"/>
      <c r="AT306" s="157" t="s">
        <v>346</v>
      </c>
      <c r="AU306" s="157" t="s">
        <v>90</v>
      </c>
      <c r="AV306" s="155" t="s">
        <v>344</v>
      </c>
      <c r="AW306" s="155" t="s">
        <v>33</v>
      </c>
      <c r="AX306" s="155" t="s">
        <v>87</v>
      </c>
      <c r="AY306" s="157" t="s">
        <v>337</v>
      </c>
    </row>
    <row r="307" spans="2:65" s="16" customFormat="1" ht="21.75" customHeight="1" x14ac:dyDescent="0.2">
      <c r="B307" s="17"/>
      <c r="C307" s="128">
        <v>9</v>
      </c>
      <c r="D307" s="128" t="s">
        <v>339</v>
      </c>
      <c r="E307" s="129" t="s">
        <v>453</v>
      </c>
      <c r="F307" s="130" t="s">
        <v>454</v>
      </c>
      <c r="G307" s="131" t="s">
        <v>449</v>
      </c>
      <c r="H307" s="132">
        <v>2</v>
      </c>
      <c r="I307" s="133"/>
      <c r="J307" s="134">
        <f>ROUND(I307*H307,2)</f>
        <v>0</v>
      </c>
      <c r="K307" s="130" t="s">
        <v>343</v>
      </c>
      <c r="L307" s="17"/>
      <c r="M307" s="135"/>
      <c r="N307" s="136" t="s">
        <v>45</v>
      </c>
      <c r="P307" s="137">
        <f>O307*H307</f>
        <v>0</v>
      </c>
      <c r="Q307" s="137">
        <v>8.763E-2</v>
      </c>
      <c r="R307" s="137">
        <f>Q307*H307</f>
        <v>0.17526</v>
      </c>
      <c r="S307" s="137">
        <v>0</v>
      </c>
      <c r="T307" s="138">
        <f>S307*H307</f>
        <v>0</v>
      </c>
      <c r="AR307" s="139" t="s">
        <v>344</v>
      </c>
      <c r="AT307" s="139" t="s">
        <v>339</v>
      </c>
      <c r="AU307" s="139" t="s">
        <v>90</v>
      </c>
      <c r="AY307" s="2" t="s">
        <v>337</v>
      </c>
      <c r="BE307" s="140">
        <f>IF(N307="základní",J307,0)</f>
        <v>0</v>
      </c>
      <c r="BF307" s="140">
        <f>IF(N307="snížená",J307,0)</f>
        <v>0</v>
      </c>
      <c r="BG307" s="140">
        <f>IF(N307="zákl. přenesená",J307,0)</f>
        <v>0</v>
      </c>
      <c r="BH307" s="140">
        <f>IF(N307="sníž. přenesená",J307,0)</f>
        <v>0</v>
      </c>
      <c r="BI307" s="140">
        <f>IF(N307="nulová",J307,0)</f>
        <v>0</v>
      </c>
      <c r="BJ307" s="2" t="s">
        <v>87</v>
      </c>
      <c r="BK307" s="140">
        <f>ROUND(I307*H307,2)</f>
        <v>0</v>
      </c>
      <c r="BL307" s="2" t="s">
        <v>344</v>
      </c>
      <c r="BM307" s="139" t="s">
        <v>455</v>
      </c>
    </row>
    <row r="308" spans="2:65" s="141" customFormat="1" x14ac:dyDescent="0.2">
      <c r="B308" s="142"/>
      <c r="D308" s="143" t="s">
        <v>346</v>
      </c>
      <c r="E308" s="144"/>
      <c r="F308" s="145" t="s">
        <v>357</v>
      </c>
      <c r="H308" s="144"/>
      <c r="L308" s="142"/>
      <c r="M308" s="146"/>
      <c r="T308" s="147"/>
      <c r="AT308" s="144" t="s">
        <v>346</v>
      </c>
      <c r="AU308" s="144" t="s">
        <v>90</v>
      </c>
      <c r="AV308" s="141" t="s">
        <v>87</v>
      </c>
      <c r="AW308" s="141" t="s">
        <v>33</v>
      </c>
      <c r="AX308" s="141" t="s">
        <v>80</v>
      </c>
      <c r="AY308" s="144" t="s">
        <v>337</v>
      </c>
    </row>
    <row r="309" spans="2:65" s="141" customFormat="1" x14ac:dyDescent="0.2">
      <c r="B309" s="142"/>
      <c r="D309" s="143" t="s">
        <v>346</v>
      </c>
      <c r="E309" s="144"/>
      <c r="F309" s="145" t="s">
        <v>456</v>
      </c>
      <c r="H309" s="144"/>
      <c r="L309" s="142"/>
      <c r="M309" s="146"/>
      <c r="T309" s="147"/>
      <c r="AT309" s="144" t="s">
        <v>346</v>
      </c>
      <c r="AU309" s="144" t="s">
        <v>90</v>
      </c>
      <c r="AV309" s="141" t="s">
        <v>87</v>
      </c>
      <c r="AW309" s="141" t="s">
        <v>33</v>
      </c>
      <c r="AX309" s="141" t="s">
        <v>80</v>
      </c>
      <c r="AY309" s="144" t="s">
        <v>337</v>
      </c>
    </row>
    <row r="310" spans="2:65" s="148" customFormat="1" x14ac:dyDescent="0.2">
      <c r="B310" s="149"/>
      <c r="D310" s="143" t="s">
        <v>346</v>
      </c>
      <c r="E310" s="150"/>
      <c r="F310" s="151" t="s">
        <v>90</v>
      </c>
      <c r="H310" s="152">
        <v>2</v>
      </c>
      <c r="L310" s="149"/>
      <c r="M310" s="153"/>
      <c r="T310" s="154"/>
      <c r="AT310" s="150" t="s">
        <v>346</v>
      </c>
      <c r="AU310" s="150" t="s">
        <v>90</v>
      </c>
      <c r="AV310" s="148" t="s">
        <v>90</v>
      </c>
      <c r="AW310" s="148" t="s">
        <v>33</v>
      </c>
      <c r="AX310" s="148" t="s">
        <v>87</v>
      </c>
      <c r="AY310" s="150" t="s">
        <v>337</v>
      </c>
    </row>
    <row r="311" spans="2:65" s="16" customFormat="1" ht="16.5" customHeight="1" x14ac:dyDescent="0.2">
      <c r="B311" s="17"/>
      <c r="C311" s="128">
        <v>10</v>
      </c>
      <c r="D311" s="128" t="s">
        <v>339</v>
      </c>
      <c r="E311" s="129" t="s">
        <v>458</v>
      </c>
      <c r="F311" s="130" t="s">
        <v>459</v>
      </c>
      <c r="G311" s="131" t="s">
        <v>449</v>
      </c>
      <c r="H311" s="132">
        <v>1</v>
      </c>
      <c r="I311" s="133"/>
      <c r="J311" s="134">
        <f>ROUND(I311*H311,2)</f>
        <v>0</v>
      </c>
      <c r="K311" s="130" t="s">
        <v>343</v>
      </c>
      <c r="L311" s="17"/>
      <c r="M311" s="135"/>
      <c r="N311" s="136" t="s">
        <v>45</v>
      </c>
      <c r="P311" s="137">
        <f>O311*H311</f>
        <v>0</v>
      </c>
      <c r="Q311" s="137">
        <v>9.1259999999999994E-2</v>
      </c>
      <c r="R311" s="137">
        <f>Q311*H311</f>
        <v>9.1259999999999994E-2</v>
      </c>
      <c r="S311" s="137">
        <v>0</v>
      </c>
      <c r="T311" s="138">
        <f>S311*H311</f>
        <v>0</v>
      </c>
      <c r="AR311" s="139" t="s">
        <v>344</v>
      </c>
      <c r="AT311" s="139" t="s">
        <v>339</v>
      </c>
      <c r="AU311" s="139" t="s">
        <v>90</v>
      </c>
      <c r="AY311" s="2" t="s">
        <v>337</v>
      </c>
      <c r="BE311" s="140">
        <f>IF(N311="základní",J311,0)</f>
        <v>0</v>
      </c>
      <c r="BF311" s="140">
        <f>IF(N311="snížená",J311,0)</f>
        <v>0</v>
      </c>
      <c r="BG311" s="140">
        <f>IF(N311="zákl. přenesená",J311,0)</f>
        <v>0</v>
      </c>
      <c r="BH311" s="140">
        <f>IF(N311="sníž. přenesená",J311,0)</f>
        <v>0</v>
      </c>
      <c r="BI311" s="140">
        <f>IF(N311="nulová",J311,0)</f>
        <v>0</v>
      </c>
      <c r="BJ311" s="2" t="s">
        <v>87</v>
      </c>
      <c r="BK311" s="140">
        <f>ROUND(I311*H311,2)</f>
        <v>0</v>
      </c>
      <c r="BL311" s="2" t="s">
        <v>344</v>
      </c>
      <c r="BM311" s="139" t="s">
        <v>460</v>
      </c>
    </row>
    <row r="312" spans="2:65" s="141" customFormat="1" x14ac:dyDescent="0.2">
      <c r="B312" s="142"/>
      <c r="D312" s="143" t="s">
        <v>346</v>
      </c>
      <c r="E312" s="144"/>
      <c r="F312" s="145" t="s">
        <v>461</v>
      </c>
      <c r="H312" s="144"/>
      <c r="L312" s="142"/>
      <c r="M312" s="146"/>
      <c r="T312" s="147"/>
      <c r="AT312" s="144" t="s">
        <v>346</v>
      </c>
      <c r="AU312" s="144" t="s">
        <v>90</v>
      </c>
      <c r="AV312" s="141" t="s">
        <v>87</v>
      </c>
      <c r="AW312" s="141" t="s">
        <v>33</v>
      </c>
      <c r="AX312" s="141" t="s">
        <v>80</v>
      </c>
      <c r="AY312" s="144" t="s">
        <v>337</v>
      </c>
    </row>
    <row r="313" spans="2:65" s="148" customFormat="1" x14ac:dyDescent="0.2">
      <c r="B313" s="149"/>
      <c r="D313" s="143" t="s">
        <v>346</v>
      </c>
      <c r="E313" s="150"/>
      <c r="F313" s="151" t="s">
        <v>87</v>
      </c>
      <c r="H313" s="152">
        <v>1</v>
      </c>
      <c r="L313" s="149"/>
      <c r="M313" s="153"/>
      <c r="T313" s="154"/>
      <c r="AT313" s="150" t="s">
        <v>346</v>
      </c>
      <c r="AU313" s="150" t="s">
        <v>90</v>
      </c>
      <c r="AV313" s="148" t="s">
        <v>90</v>
      </c>
      <c r="AW313" s="148" t="s">
        <v>33</v>
      </c>
      <c r="AX313" s="148" t="s">
        <v>87</v>
      </c>
      <c r="AY313" s="150" t="s">
        <v>337</v>
      </c>
    </row>
    <row r="314" spans="2:65" s="16" customFormat="1" ht="21.75" customHeight="1" x14ac:dyDescent="0.2">
      <c r="B314" s="17"/>
      <c r="C314" s="128">
        <v>11</v>
      </c>
      <c r="D314" s="128" t="s">
        <v>339</v>
      </c>
      <c r="E314" s="129" t="s">
        <v>463</v>
      </c>
      <c r="F314" s="130" t="s">
        <v>464</v>
      </c>
      <c r="G314" s="131" t="s">
        <v>425</v>
      </c>
      <c r="H314" s="132">
        <v>3.4449999999999998</v>
      </c>
      <c r="I314" s="133"/>
      <c r="J314" s="134">
        <f>ROUND(I314*H314,2)</f>
        <v>0</v>
      </c>
      <c r="K314" s="130" t="s">
        <v>343</v>
      </c>
      <c r="L314" s="17"/>
      <c r="M314" s="135"/>
      <c r="N314" s="136" t="s">
        <v>45</v>
      </c>
      <c r="P314" s="137">
        <f>O314*H314</f>
        <v>0</v>
      </c>
      <c r="Q314" s="137">
        <v>6.1969999999999997E-2</v>
      </c>
      <c r="R314" s="137">
        <f>Q314*H314</f>
        <v>0.21348664999999997</v>
      </c>
      <c r="S314" s="137">
        <v>0</v>
      </c>
      <c r="T314" s="138">
        <f>S314*H314</f>
        <v>0</v>
      </c>
      <c r="AR314" s="139" t="s">
        <v>344</v>
      </c>
      <c r="AT314" s="139" t="s">
        <v>339</v>
      </c>
      <c r="AU314" s="139" t="s">
        <v>90</v>
      </c>
      <c r="AY314" s="2" t="s">
        <v>337</v>
      </c>
      <c r="BE314" s="140">
        <f>IF(N314="základní",J314,0)</f>
        <v>0</v>
      </c>
      <c r="BF314" s="140">
        <f>IF(N314="snížená",J314,0)</f>
        <v>0</v>
      </c>
      <c r="BG314" s="140">
        <f>IF(N314="zákl. přenesená",J314,0)</f>
        <v>0</v>
      </c>
      <c r="BH314" s="140">
        <f>IF(N314="sníž. přenesená",J314,0)</f>
        <v>0</v>
      </c>
      <c r="BI314" s="140">
        <f>IF(N314="nulová",J314,0)</f>
        <v>0</v>
      </c>
      <c r="BJ314" s="2" t="s">
        <v>87</v>
      </c>
      <c r="BK314" s="140">
        <f>ROUND(I314*H314,2)</f>
        <v>0</v>
      </c>
      <c r="BL314" s="2" t="s">
        <v>344</v>
      </c>
      <c r="BM314" s="139" t="s">
        <v>465</v>
      </c>
    </row>
    <row r="315" spans="2:65" s="141" customFormat="1" x14ac:dyDescent="0.2">
      <c r="B315" s="142"/>
      <c r="D315" s="143" t="s">
        <v>346</v>
      </c>
      <c r="E315" s="144"/>
      <c r="F315" s="145" t="s">
        <v>357</v>
      </c>
      <c r="H315" s="144"/>
      <c r="L315" s="142"/>
      <c r="M315" s="146"/>
      <c r="T315" s="147"/>
      <c r="AT315" s="144" t="s">
        <v>346</v>
      </c>
      <c r="AU315" s="144" t="s">
        <v>90</v>
      </c>
      <c r="AV315" s="141" t="s">
        <v>87</v>
      </c>
      <c r="AW315" s="141" t="s">
        <v>33</v>
      </c>
      <c r="AX315" s="141" t="s">
        <v>80</v>
      </c>
      <c r="AY315" s="144" t="s">
        <v>337</v>
      </c>
    </row>
    <row r="316" spans="2:65" s="148" customFormat="1" x14ac:dyDescent="0.2">
      <c r="B316" s="149"/>
      <c r="D316" s="143" t="s">
        <v>346</v>
      </c>
      <c r="E316" s="150"/>
      <c r="F316" s="151" t="s">
        <v>466</v>
      </c>
      <c r="H316" s="152">
        <v>3.4449999999999998</v>
      </c>
      <c r="L316" s="149"/>
      <c r="M316" s="153"/>
      <c r="T316" s="154"/>
      <c r="AT316" s="150" t="s">
        <v>346</v>
      </c>
      <c r="AU316" s="150" t="s">
        <v>90</v>
      </c>
      <c r="AV316" s="148" t="s">
        <v>90</v>
      </c>
      <c r="AW316" s="148" t="s">
        <v>33</v>
      </c>
      <c r="AX316" s="148" t="s">
        <v>87</v>
      </c>
      <c r="AY316" s="150" t="s">
        <v>337</v>
      </c>
    </row>
    <row r="317" spans="2:65" s="16" customFormat="1" ht="21.75" customHeight="1" x14ac:dyDescent="0.2">
      <c r="B317" s="17"/>
      <c r="C317" s="128">
        <v>12</v>
      </c>
      <c r="D317" s="128" t="s">
        <v>339</v>
      </c>
      <c r="E317" s="129" t="s">
        <v>467</v>
      </c>
      <c r="F317" s="130" t="s">
        <v>468</v>
      </c>
      <c r="G317" s="131" t="s">
        <v>425</v>
      </c>
      <c r="H317" s="132">
        <v>68.616</v>
      </c>
      <c r="I317" s="133"/>
      <c r="J317" s="134">
        <f>ROUND(I317*H317,2)</f>
        <v>0</v>
      </c>
      <c r="K317" s="130" t="s">
        <v>343</v>
      </c>
      <c r="L317" s="17"/>
      <c r="M317" s="135"/>
      <c r="N317" s="136" t="s">
        <v>45</v>
      </c>
      <c r="P317" s="137">
        <f>O317*H317</f>
        <v>0</v>
      </c>
      <c r="Q317" s="137">
        <v>7.1330000000000005E-2</v>
      </c>
      <c r="R317" s="137">
        <f>Q317*H317</f>
        <v>4.8943792799999999</v>
      </c>
      <c r="S317" s="137">
        <v>0</v>
      </c>
      <c r="T317" s="138">
        <f>S317*H317</f>
        <v>0</v>
      </c>
      <c r="AR317" s="139" t="s">
        <v>344</v>
      </c>
      <c r="AT317" s="139" t="s">
        <v>339</v>
      </c>
      <c r="AU317" s="139" t="s">
        <v>90</v>
      </c>
      <c r="AY317" s="2" t="s">
        <v>337</v>
      </c>
      <c r="BE317" s="140">
        <f>IF(N317="základní",J317,0)</f>
        <v>0</v>
      </c>
      <c r="BF317" s="140">
        <f>IF(N317="snížená",J317,0)</f>
        <v>0</v>
      </c>
      <c r="BG317" s="140">
        <f>IF(N317="zákl. přenesená",J317,0)</f>
        <v>0</v>
      </c>
      <c r="BH317" s="140">
        <f>IF(N317="sníž. přenesená",J317,0)</f>
        <v>0</v>
      </c>
      <c r="BI317" s="140">
        <f>IF(N317="nulová",J317,0)</f>
        <v>0</v>
      </c>
      <c r="BJ317" s="2" t="s">
        <v>87</v>
      </c>
      <c r="BK317" s="140">
        <f>ROUND(I317*H317,2)</f>
        <v>0</v>
      </c>
      <c r="BL317" s="2" t="s">
        <v>344</v>
      </c>
      <c r="BM317" s="139" t="s">
        <v>469</v>
      </c>
    </row>
    <row r="318" spans="2:65" s="141" customFormat="1" x14ac:dyDescent="0.2">
      <c r="B318" s="142"/>
      <c r="D318" s="143" t="s">
        <v>346</v>
      </c>
      <c r="E318" s="144"/>
      <c r="F318" s="145" t="s">
        <v>357</v>
      </c>
      <c r="H318" s="144"/>
      <c r="L318" s="142"/>
      <c r="M318" s="146"/>
      <c r="T318" s="147"/>
      <c r="AT318" s="144" t="s">
        <v>346</v>
      </c>
      <c r="AU318" s="144" t="s">
        <v>90</v>
      </c>
      <c r="AV318" s="141" t="s">
        <v>87</v>
      </c>
      <c r="AW318" s="141" t="s">
        <v>33</v>
      </c>
      <c r="AX318" s="141" t="s">
        <v>80</v>
      </c>
      <c r="AY318" s="144" t="s">
        <v>337</v>
      </c>
    </row>
    <row r="319" spans="2:65" s="148" customFormat="1" x14ac:dyDescent="0.2">
      <c r="B319" s="149"/>
      <c r="D319" s="143" t="s">
        <v>346</v>
      </c>
      <c r="E319" s="150"/>
      <c r="F319" s="151" t="s">
        <v>470</v>
      </c>
      <c r="H319" s="152">
        <v>0.29599999999999999</v>
      </c>
      <c r="L319" s="149"/>
      <c r="M319" s="153"/>
      <c r="T319" s="154"/>
      <c r="AT319" s="150" t="s">
        <v>346</v>
      </c>
      <c r="AU319" s="150" t="s">
        <v>90</v>
      </c>
      <c r="AV319" s="148" t="s">
        <v>90</v>
      </c>
      <c r="AW319" s="148" t="s">
        <v>33</v>
      </c>
      <c r="AX319" s="148" t="s">
        <v>80</v>
      </c>
      <c r="AY319" s="150" t="s">
        <v>337</v>
      </c>
    </row>
    <row r="320" spans="2:65" s="141" customFormat="1" x14ac:dyDescent="0.2">
      <c r="B320" s="142"/>
      <c r="D320" s="143" t="s">
        <v>346</v>
      </c>
      <c r="E320" s="144"/>
      <c r="F320" s="145" t="s">
        <v>471</v>
      </c>
      <c r="H320" s="144"/>
      <c r="L320" s="142"/>
      <c r="M320" s="146"/>
      <c r="T320" s="147"/>
      <c r="AT320" s="144" t="s">
        <v>346</v>
      </c>
      <c r="AU320" s="144" t="s">
        <v>90</v>
      </c>
      <c r="AV320" s="141" t="s">
        <v>87</v>
      </c>
      <c r="AW320" s="141" t="s">
        <v>33</v>
      </c>
      <c r="AX320" s="141" t="s">
        <v>80</v>
      </c>
      <c r="AY320" s="144" t="s">
        <v>337</v>
      </c>
    </row>
    <row r="321" spans="2:65" s="141" customFormat="1" x14ac:dyDescent="0.2">
      <c r="B321" s="142"/>
      <c r="D321" s="143" t="s">
        <v>346</v>
      </c>
      <c r="E321" s="144"/>
      <c r="F321" s="145" t="s">
        <v>362</v>
      </c>
      <c r="H321" s="144"/>
      <c r="L321" s="142"/>
      <c r="M321" s="146"/>
      <c r="T321" s="147"/>
      <c r="AT321" s="144" t="s">
        <v>346</v>
      </c>
      <c r="AU321" s="144" t="s">
        <v>90</v>
      </c>
      <c r="AV321" s="141" t="s">
        <v>87</v>
      </c>
      <c r="AW321" s="141" t="s">
        <v>33</v>
      </c>
      <c r="AX321" s="141" t="s">
        <v>80</v>
      </c>
      <c r="AY321" s="144" t="s">
        <v>337</v>
      </c>
    </row>
    <row r="322" spans="2:65" s="148" customFormat="1" x14ac:dyDescent="0.2">
      <c r="B322" s="149"/>
      <c r="D322" s="143" t="s">
        <v>346</v>
      </c>
      <c r="E322" s="150"/>
      <c r="F322" s="151" t="s">
        <v>472</v>
      </c>
      <c r="H322" s="152">
        <v>17.079999999999998</v>
      </c>
      <c r="L322" s="149"/>
      <c r="M322" s="153"/>
      <c r="T322" s="154"/>
      <c r="AT322" s="150" t="s">
        <v>346</v>
      </c>
      <c r="AU322" s="150" t="s">
        <v>90</v>
      </c>
      <c r="AV322" s="148" t="s">
        <v>90</v>
      </c>
      <c r="AW322" s="148" t="s">
        <v>33</v>
      </c>
      <c r="AX322" s="148" t="s">
        <v>80</v>
      </c>
      <c r="AY322" s="150" t="s">
        <v>337</v>
      </c>
    </row>
    <row r="323" spans="2:65" s="141" customFormat="1" x14ac:dyDescent="0.2">
      <c r="B323" s="142"/>
      <c r="D323" s="143" t="s">
        <v>346</v>
      </c>
      <c r="E323" s="144"/>
      <c r="F323" s="145" t="s">
        <v>367</v>
      </c>
      <c r="H323" s="144"/>
      <c r="L323" s="142"/>
      <c r="M323" s="146"/>
      <c r="T323" s="147"/>
      <c r="AT323" s="144" t="s">
        <v>346</v>
      </c>
      <c r="AU323" s="144" t="s">
        <v>90</v>
      </c>
      <c r="AV323" s="141" t="s">
        <v>87</v>
      </c>
      <c r="AW323" s="141" t="s">
        <v>33</v>
      </c>
      <c r="AX323" s="141" t="s">
        <v>80</v>
      </c>
      <c r="AY323" s="144" t="s">
        <v>337</v>
      </c>
    </row>
    <row r="324" spans="2:65" s="148" customFormat="1" x14ac:dyDescent="0.2">
      <c r="B324" s="149"/>
      <c r="D324" s="143" t="s">
        <v>346</v>
      </c>
      <c r="E324" s="150"/>
      <c r="F324" s="151" t="s">
        <v>472</v>
      </c>
      <c r="H324" s="152">
        <v>17.079999999999998</v>
      </c>
      <c r="L324" s="149"/>
      <c r="M324" s="153"/>
      <c r="T324" s="154"/>
      <c r="AT324" s="150" t="s">
        <v>346</v>
      </c>
      <c r="AU324" s="150" t="s">
        <v>90</v>
      </c>
      <c r="AV324" s="148" t="s">
        <v>90</v>
      </c>
      <c r="AW324" s="148" t="s">
        <v>33</v>
      </c>
      <c r="AX324" s="148" t="s">
        <v>80</v>
      </c>
      <c r="AY324" s="150" t="s">
        <v>337</v>
      </c>
    </row>
    <row r="325" spans="2:65" s="141" customFormat="1" x14ac:dyDescent="0.2">
      <c r="B325" s="142"/>
      <c r="D325" s="143" t="s">
        <v>346</v>
      </c>
      <c r="E325" s="144"/>
      <c r="F325" s="145" t="s">
        <v>368</v>
      </c>
      <c r="H325" s="144"/>
      <c r="L325" s="142"/>
      <c r="M325" s="146"/>
      <c r="T325" s="147"/>
      <c r="AT325" s="144" t="s">
        <v>346</v>
      </c>
      <c r="AU325" s="144" t="s">
        <v>90</v>
      </c>
      <c r="AV325" s="141" t="s">
        <v>87</v>
      </c>
      <c r="AW325" s="141" t="s">
        <v>33</v>
      </c>
      <c r="AX325" s="141" t="s">
        <v>80</v>
      </c>
      <c r="AY325" s="144" t="s">
        <v>337</v>
      </c>
    </row>
    <row r="326" spans="2:65" s="148" customFormat="1" x14ac:dyDescent="0.2">
      <c r="B326" s="149"/>
      <c r="D326" s="143" t="s">
        <v>346</v>
      </c>
      <c r="E326" s="150"/>
      <c r="F326" s="151" t="s">
        <v>472</v>
      </c>
      <c r="H326" s="152">
        <v>17.079999999999998</v>
      </c>
      <c r="L326" s="149"/>
      <c r="M326" s="153"/>
      <c r="T326" s="154"/>
      <c r="AT326" s="150" t="s">
        <v>346</v>
      </c>
      <c r="AU326" s="150" t="s">
        <v>90</v>
      </c>
      <c r="AV326" s="148" t="s">
        <v>90</v>
      </c>
      <c r="AW326" s="148" t="s">
        <v>33</v>
      </c>
      <c r="AX326" s="148" t="s">
        <v>80</v>
      </c>
      <c r="AY326" s="150" t="s">
        <v>337</v>
      </c>
    </row>
    <row r="327" spans="2:65" s="141" customFormat="1" x14ac:dyDescent="0.2">
      <c r="B327" s="142"/>
      <c r="D327" s="143" t="s">
        <v>346</v>
      </c>
      <c r="E327" s="144"/>
      <c r="F327" s="145" t="s">
        <v>370</v>
      </c>
      <c r="H327" s="144"/>
      <c r="L327" s="142"/>
      <c r="M327" s="146"/>
      <c r="T327" s="147"/>
      <c r="AT327" s="144" t="s">
        <v>346</v>
      </c>
      <c r="AU327" s="144" t="s">
        <v>90</v>
      </c>
      <c r="AV327" s="141" t="s">
        <v>87</v>
      </c>
      <c r="AW327" s="141" t="s">
        <v>33</v>
      </c>
      <c r="AX327" s="141" t="s">
        <v>80</v>
      </c>
      <c r="AY327" s="144" t="s">
        <v>337</v>
      </c>
    </row>
    <row r="328" spans="2:65" s="148" customFormat="1" x14ac:dyDescent="0.2">
      <c r="B328" s="149"/>
      <c r="D328" s="143" t="s">
        <v>346</v>
      </c>
      <c r="E328" s="150"/>
      <c r="F328" s="151" t="s">
        <v>472</v>
      </c>
      <c r="H328" s="152">
        <v>17.079999999999998</v>
      </c>
      <c r="L328" s="149"/>
      <c r="M328" s="153"/>
      <c r="T328" s="154"/>
      <c r="AT328" s="150" t="s">
        <v>346</v>
      </c>
      <c r="AU328" s="150" t="s">
        <v>90</v>
      </c>
      <c r="AV328" s="148" t="s">
        <v>90</v>
      </c>
      <c r="AW328" s="148" t="s">
        <v>33</v>
      </c>
      <c r="AX328" s="148" t="s">
        <v>80</v>
      </c>
      <c r="AY328" s="150" t="s">
        <v>337</v>
      </c>
    </row>
    <row r="329" spans="2:65" s="155" customFormat="1" x14ac:dyDescent="0.2">
      <c r="B329" s="156"/>
      <c r="D329" s="143" t="s">
        <v>346</v>
      </c>
      <c r="E329" s="157"/>
      <c r="F329" s="158" t="s">
        <v>351</v>
      </c>
      <c r="H329" s="159">
        <v>68.616</v>
      </c>
      <c r="L329" s="156"/>
      <c r="M329" s="160"/>
      <c r="T329" s="161"/>
      <c r="AT329" s="157" t="s">
        <v>346</v>
      </c>
      <c r="AU329" s="157" t="s">
        <v>90</v>
      </c>
      <c r="AV329" s="155" t="s">
        <v>344</v>
      </c>
      <c r="AW329" s="155" t="s">
        <v>33</v>
      </c>
      <c r="AX329" s="155" t="s">
        <v>87</v>
      </c>
      <c r="AY329" s="157" t="s">
        <v>337</v>
      </c>
    </row>
    <row r="330" spans="2:65" s="16" customFormat="1" ht="21.75" customHeight="1" x14ac:dyDescent="0.2">
      <c r="B330" s="17"/>
      <c r="C330" s="128">
        <v>13</v>
      </c>
      <c r="D330" s="128" t="s">
        <v>339</v>
      </c>
      <c r="E330" s="129" t="s">
        <v>474</v>
      </c>
      <c r="F330" s="130" t="s">
        <v>475</v>
      </c>
      <c r="G330" s="131" t="s">
        <v>425</v>
      </c>
      <c r="H330" s="132">
        <v>3.359</v>
      </c>
      <c r="I330" s="133"/>
      <c r="J330" s="134">
        <f>ROUND(I330*H330,2)</f>
        <v>0</v>
      </c>
      <c r="K330" s="130" t="s">
        <v>343</v>
      </c>
      <c r="L330" s="17"/>
      <c r="M330" s="135"/>
      <c r="N330" s="136" t="s">
        <v>45</v>
      </c>
      <c r="P330" s="137">
        <f>O330*H330</f>
        <v>0</v>
      </c>
      <c r="Q330" s="137">
        <v>7.009E-2</v>
      </c>
      <c r="R330" s="137">
        <f>Q330*H330</f>
        <v>0.23543231000000001</v>
      </c>
      <c r="S330" s="137">
        <v>0</v>
      </c>
      <c r="T330" s="138">
        <f>S330*H330</f>
        <v>0</v>
      </c>
      <c r="AR330" s="139" t="s">
        <v>344</v>
      </c>
      <c r="AT330" s="139" t="s">
        <v>339</v>
      </c>
      <c r="AU330" s="139" t="s">
        <v>90</v>
      </c>
      <c r="AY330" s="2" t="s">
        <v>337</v>
      </c>
      <c r="BE330" s="140">
        <f>IF(N330="základní",J330,0)</f>
        <v>0</v>
      </c>
      <c r="BF330" s="140">
        <f>IF(N330="snížená",J330,0)</f>
        <v>0</v>
      </c>
      <c r="BG330" s="140">
        <f>IF(N330="zákl. přenesená",J330,0)</f>
        <v>0</v>
      </c>
      <c r="BH330" s="140">
        <f>IF(N330="sníž. přenesená",J330,0)</f>
        <v>0</v>
      </c>
      <c r="BI330" s="140">
        <f>IF(N330="nulová",J330,0)</f>
        <v>0</v>
      </c>
      <c r="BJ330" s="2" t="s">
        <v>87</v>
      </c>
      <c r="BK330" s="140">
        <f>ROUND(I330*H330,2)</f>
        <v>0</v>
      </c>
      <c r="BL330" s="2" t="s">
        <v>344</v>
      </c>
      <c r="BM330" s="139" t="s">
        <v>476</v>
      </c>
    </row>
    <row r="331" spans="2:65" s="141" customFormat="1" x14ac:dyDescent="0.2">
      <c r="B331" s="142"/>
      <c r="D331" s="143" t="s">
        <v>346</v>
      </c>
      <c r="E331" s="144"/>
      <c r="F331" s="145" t="s">
        <v>477</v>
      </c>
      <c r="H331" s="144"/>
      <c r="L331" s="142"/>
      <c r="M331" s="146"/>
      <c r="T331" s="147"/>
      <c r="AT331" s="144" t="s">
        <v>346</v>
      </c>
      <c r="AU331" s="144" t="s">
        <v>90</v>
      </c>
      <c r="AV331" s="141" t="s">
        <v>87</v>
      </c>
      <c r="AW331" s="141" t="s">
        <v>33</v>
      </c>
      <c r="AX331" s="141" t="s">
        <v>80</v>
      </c>
      <c r="AY331" s="144" t="s">
        <v>337</v>
      </c>
    </row>
    <row r="332" spans="2:65" s="148" customFormat="1" x14ac:dyDescent="0.2">
      <c r="B332" s="149"/>
      <c r="D332" s="143" t="s">
        <v>346</v>
      </c>
      <c r="E332" s="150"/>
      <c r="F332" s="151" t="s">
        <v>478</v>
      </c>
      <c r="H332" s="152">
        <v>1.98</v>
      </c>
      <c r="L332" s="149"/>
      <c r="M332" s="153"/>
      <c r="T332" s="154"/>
      <c r="AT332" s="150" t="s">
        <v>346</v>
      </c>
      <c r="AU332" s="150" t="s">
        <v>90</v>
      </c>
      <c r="AV332" s="148" t="s">
        <v>90</v>
      </c>
      <c r="AW332" s="148" t="s">
        <v>33</v>
      </c>
      <c r="AX332" s="148" t="s">
        <v>80</v>
      </c>
      <c r="AY332" s="150" t="s">
        <v>337</v>
      </c>
    </row>
    <row r="333" spans="2:65" s="141" customFormat="1" x14ac:dyDescent="0.2">
      <c r="B333" s="142"/>
      <c r="D333" s="143" t="s">
        <v>346</v>
      </c>
      <c r="E333" s="144"/>
      <c r="F333" s="145" t="s">
        <v>357</v>
      </c>
      <c r="H333" s="144"/>
      <c r="L333" s="142"/>
      <c r="M333" s="146"/>
      <c r="T333" s="147"/>
      <c r="AT333" s="144" t="s">
        <v>346</v>
      </c>
      <c r="AU333" s="144" t="s">
        <v>90</v>
      </c>
      <c r="AV333" s="141" t="s">
        <v>87</v>
      </c>
      <c r="AW333" s="141" t="s">
        <v>33</v>
      </c>
      <c r="AX333" s="141" t="s">
        <v>80</v>
      </c>
      <c r="AY333" s="144" t="s">
        <v>337</v>
      </c>
    </row>
    <row r="334" spans="2:65" s="148" customFormat="1" x14ac:dyDescent="0.2">
      <c r="B334" s="149"/>
      <c r="D334" s="143" t="s">
        <v>346</v>
      </c>
      <c r="E334" s="150"/>
      <c r="F334" s="151" t="s">
        <v>479</v>
      </c>
      <c r="H334" s="152">
        <v>1.379</v>
      </c>
      <c r="L334" s="149"/>
      <c r="M334" s="153"/>
      <c r="T334" s="154"/>
      <c r="AT334" s="150" t="s">
        <v>346</v>
      </c>
      <c r="AU334" s="150" t="s">
        <v>90</v>
      </c>
      <c r="AV334" s="148" t="s">
        <v>90</v>
      </c>
      <c r="AW334" s="148" t="s">
        <v>33</v>
      </c>
      <c r="AX334" s="148" t="s">
        <v>80</v>
      </c>
      <c r="AY334" s="150" t="s">
        <v>337</v>
      </c>
    </row>
    <row r="335" spans="2:65" s="155" customFormat="1" x14ac:dyDescent="0.2">
      <c r="B335" s="156"/>
      <c r="D335" s="143" t="s">
        <v>346</v>
      </c>
      <c r="E335" s="157"/>
      <c r="F335" s="158" t="s">
        <v>351</v>
      </c>
      <c r="H335" s="159">
        <v>3.359</v>
      </c>
      <c r="L335" s="156"/>
      <c r="M335" s="160"/>
      <c r="T335" s="161"/>
      <c r="AT335" s="157" t="s">
        <v>346</v>
      </c>
      <c r="AU335" s="157" t="s">
        <v>90</v>
      </c>
      <c r="AV335" s="155" t="s">
        <v>344</v>
      </c>
      <c r="AW335" s="155" t="s">
        <v>33</v>
      </c>
      <c r="AX335" s="155" t="s">
        <v>87</v>
      </c>
      <c r="AY335" s="157" t="s">
        <v>337</v>
      </c>
    </row>
    <row r="336" spans="2:65" s="16" customFormat="1" ht="21.75" customHeight="1" x14ac:dyDescent="0.2">
      <c r="B336" s="17"/>
      <c r="C336" s="128">
        <v>14</v>
      </c>
      <c r="D336" s="128" t="s">
        <v>339</v>
      </c>
      <c r="E336" s="129" t="s">
        <v>481</v>
      </c>
      <c r="F336" s="130" t="s">
        <v>482</v>
      </c>
      <c r="G336" s="131" t="s">
        <v>425</v>
      </c>
      <c r="H336" s="132">
        <v>0.998</v>
      </c>
      <c r="I336" s="133"/>
      <c r="J336" s="134">
        <f>ROUND(I336*H336,2)</f>
        <v>0</v>
      </c>
      <c r="K336" s="130" t="s">
        <v>343</v>
      </c>
      <c r="L336" s="17"/>
      <c r="M336" s="135"/>
      <c r="N336" s="136" t="s">
        <v>45</v>
      </c>
      <c r="P336" s="137">
        <f>O336*H336</f>
        <v>0</v>
      </c>
      <c r="Q336" s="137">
        <v>8.0610000000000001E-2</v>
      </c>
      <c r="R336" s="137">
        <f>Q336*H336</f>
        <v>8.0448779999999998E-2</v>
      </c>
      <c r="S336" s="137">
        <v>0</v>
      </c>
      <c r="T336" s="138">
        <f>S336*H336</f>
        <v>0</v>
      </c>
      <c r="AR336" s="139" t="s">
        <v>344</v>
      </c>
      <c r="AT336" s="139" t="s">
        <v>339</v>
      </c>
      <c r="AU336" s="139" t="s">
        <v>90</v>
      </c>
      <c r="AY336" s="2" t="s">
        <v>337</v>
      </c>
      <c r="BE336" s="140">
        <f>IF(N336="základní",J336,0)</f>
        <v>0</v>
      </c>
      <c r="BF336" s="140">
        <f>IF(N336="snížená",J336,0)</f>
        <v>0</v>
      </c>
      <c r="BG336" s="140">
        <f>IF(N336="zákl. přenesená",J336,0)</f>
        <v>0</v>
      </c>
      <c r="BH336" s="140">
        <f>IF(N336="sníž. přenesená",J336,0)</f>
        <v>0</v>
      </c>
      <c r="BI336" s="140">
        <f>IF(N336="nulová",J336,0)</f>
        <v>0</v>
      </c>
      <c r="BJ336" s="2" t="s">
        <v>87</v>
      </c>
      <c r="BK336" s="140">
        <f>ROUND(I336*H336,2)</f>
        <v>0</v>
      </c>
      <c r="BL336" s="2" t="s">
        <v>344</v>
      </c>
      <c r="BM336" s="139" t="s">
        <v>483</v>
      </c>
    </row>
    <row r="337" spans="2:65" s="141" customFormat="1" x14ac:dyDescent="0.2">
      <c r="B337" s="142"/>
      <c r="D337" s="143" t="s">
        <v>346</v>
      </c>
      <c r="E337" s="144"/>
      <c r="F337" s="145" t="s">
        <v>362</v>
      </c>
      <c r="H337" s="144"/>
      <c r="L337" s="142"/>
      <c r="M337" s="146"/>
      <c r="T337" s="147"/>
      <c r="AT337" s="144" t="s">
        <v>346</v>
      </c>
      <c r="AU337" s="144" t="s">
        <v>90</v>
      </c>
      <c r="AV337" s="141" t="s">
        <v>87</v>
      </c>
      <c r="AW337" s="141" t="s">
        <v>33</v>
      </c>
      <c r="AX337" s="141" t="s">
        <v>80</v>
      </c>
      <c r="AY337" s="144" t="s">
        <v>337</v>
      </c>
    </row>
    <row r="338" spans="2:65" s="148" customFormat="1" x14ac:dyDescent="0.2">
      <c r="B338" s="149"/>
      <c r="D338" s="143" t="s">
        <v>346</v>
      </c>
      <c r="E338" s="150"/>
      <c r="F338" s="151" t="s">
        <v>484</v>
      </c>
      <c r="H338" s="152">
        <v>0.47299999999999998</v>
      </c>
      <c r="L338" s="149"/>
      <c r="M338" s="153"/>
      <c r="T338" s="154"/>
      <c r="AT338" s="150" t="s">
        <v>346</v>
      </c>
      <c r="AU338" s="150" t="s">
        <v>90</v>
      </c>
      <c r="AV338" s="148" t="s">
        <v>90</v>
      </c>
      <c r="AW338" s="148" t="s">
        <v>33</v>
      </c>
      <c r="AX338" s="148" t="s">
        <v>80</v>
      </c>
      <c r="AY338" s="150" t="s">
        <v>337</v>
      </c>
    </row>
    <row r="339" spans="2:65" s="141" customFormat="1" x14ac:dyDescent="0.2">
      <c r="B339" s="142"/>
      <c r="D339" s="143" t="s">
        <v>346</v>
      </c>
      <c r="E339" s="144"/>
      <c r="F339" s="145" t="s">
        <v>367</v>
      </c>
      <c r="H339" s="144"/>
      <c r="L339" s="142"/>
      <c r="M339" s="146"/>
      <c r="T339" s="147"/>
      <c r="AT339" s="144" t="s">
        <v>346</v>
      </c>
      <c r="AU339" s="144" t="s">
        <v>90</v>
      </c>
      <c r="AV339" s="141" t="s">
        <v>87</v>
      </c>
      <c r="AW339" s="141" t="s">
        <v>33</v>
      </c>
      <c r="AX339" s="141" t="s">
        <v>80</v>
      </c>
      <c r="AY339" s="144" t="s">
        <v>337</v>
      </c>
    </row>
    <row r="340" spans="2:65" s="148" customFormat="1" x14ac:dyDescent="0.2">
      <c r="B340" s="149"/>
      <c r="D340" s="143" t="s">
        <v>346</v>
      </c>
      <c r="E340" s="150"/>
      <c r="F340" s="151" t="s">
        <v>485</v>
      </c>
      <c r="H340" s="152">
        <v>0.52500000000000002</v>
      </c>
      <c r="L340" s="149"/>
      <c r="M340" s="153"/>
      <c r="T340" s="154"/>
      <c r="AT340" s="150" t="s">
        <v>346</v>
      </c>
      <c r="AU340" s="150" t="s">
        <v>90</v>
      </c>
      <c r="AV340" s="148" t="s">
        <v>90</v>
      </c>
      <c r="AW340" s="148" t="s">
        <v>33</v>
      </c>
      <c r="AX340" s="148" t="s">
        <v>80</v>
      </c>
      <c r="AY340" s="150" t="s">
        <v>337</v>
      </c>
    </row>
    <row r="341" spans="2:65" s="155" customFormat="1" x14ac:dyDescent="0.2">
      <c r="B341" s="156"/>
      <c r="D341" s="143" t="s">
        <v>346</v>
      </c>
      <c r="E341" s="157"/>
      <c r="F341" s="158" t="s">
        <v>351</v>
      </c>
      <c r="H341" s="159">
        <v>0.998</v>
      </c>
      <c r="L341" s="156"/>
      <c r="M341" s="160"/>
      <c r="T341" s="161"/>
      <c r="AT341" s="157" t="s">
        <v>346</v>
      </c>
      <c r="AU341" s="157" t="s">
        <v>90</v>
      </c>
      <c r="AV341" s="155" t="s">
        <v>344</v>
      </c>
      <c r="AW341" s="155" t="s">
        <v>33</v>
      </c>
      <c r="AX341" s="155" t="s">
        <v>87</v>
      </c>
      <c r="AY341" s="157" t="s">
        <v>337</v>
      </c>
    </row>
    <row r="342" spans="2:65" s="16" customFormat="1" ht="21.75" customHeight="1" x14ac:dyDescent="0.2">
      <c r="B342" s="17"/>
      <c r="C342" s="128">
        <v>15</v>
      </c>
      <c r="D342" s="128" t="s">
        <v>339</v>
      </c>
      <c r="E342" s="129" t="s">
        <v>487</v>
      </c>
      <c r="F342" s="130" t="s">
        <v>488</v>
      </c>
      <c r="G342" s="131" t="s">
        <v>425</v>
      </c>
      <c r="H342" s="132">
        <v>20.95</v>
      </c>
      <c r="I342" s="133"/>
      <c r="J342" s="134">
        <f>ROUND(I342*H342,2)</f>
        <v>0</v>
      </c>
      <c r="K342" s="130" t="s">
        <v>343</v>
      </c>
      <c r="L342" s="17"/>
      <c r="M342" s="135"/>
      <c r="N342" s="136" t="s">
        <v>45</v>
      </c>
      <c r="P342" s="137">
        <f>O342*H342</f>
        <v>0</v>
      </c>
      <c r="Q342" s="137">
        <v>7.9210000000000003E-2</v>
      </c>
      <c r="R342" s="137">
        <f>Q342*H342</f>
        <v>1.6594495</v>
      </c>
      <c r="S342" s="137">
        <v>0</v>
      </c>
      <c r="T342" s="138">
        <f>S342*H342</f>
        <v>0</v>
      </c>
      <c r="AR342" s="139" t="s">
        <v>344</v>
      </c>
      <c r="AT342" s="139" t="s">
        <v>339</v>
      </c>
      <c r="AU342" s="139" t="s">
        <v>90</v>
      </c>
      <c r="AY342" s="2" t="s">
        <v>337</v>
      </c>
      <c r="BE342" s="140">
        <f>IF(N342="základní",J342,0)</f>
        <v>0</v>
      </c>
      <c r="BF342" s="140">
        <f>IF(N342="snížená",J342,0)</f>
        <v>0</v>
      </c>
      <c r="BG342" s="140">
        <f>IF(N342="zákl. přenesená",J342,0)</f>
        <v>0</v>
      </c>
      <c r="BH342" s="140">
        <f>IF(N342="sníž. přenesená",J342,0)</f>
        <v>0</v>
      </c>
      <c r="BI342" s="140">
        <f>IF(N342="nulová",J342,0)</f>
        <v>0</v>
      </c>
      <c r="BJ342" s="2" t="s">
        <v>87</v>
      </c>
      <c r="BK342" s="140">
        <f>ROUND(I342*H342,2)</f>
        <v>0</v>
      </c>
      <c r="BL342" s="2" t="s">
        <v>344</v>
      </c>
      <c r="BM342" s="139" t="s">
        <v>489</v>
      </c>
    </row>
    <row r="343" spans="2:65" s="141" customFormat="1" x14ac:dyDescent="0.2">
      <c r="B343" s="142"/>
      <c r="D343" s="143" t="s">
        <v>346</v>
      </c>
      <c r="E343" s="144"/>
      <c r="F343" s="145" t="s">
        <v>357</v>
      </c>
      <c r="H343" s="144"/>
      <c r="L343" s="142"/>
      <c r="M343" s="146"/>
      <c r="T343" s="147"/>
      <c r="AT343" s="144" t="s">
        <v>346</v>
      </c>
      <c r="AU343" s="144" t="s">
        <v>90</v>
      </c>
      <c r="AV343" s="141" t="s">
        <v>87</v>
      </c>
      <c r="AW343" s="141" t="s">
        <v>33</v>
      </c>
      <c r="AX343" s="141" t="s">
        <v>80</v>
      </c>
      <c r="AY343" s="144" t="s">
        <v>337</v>
      </c>
    </row>
    <row r="344" spans="2:65" s="148" customFormat="1" x14ac:dyDescent="0.2">
      <c r="B344" s="149"/>
      <c r="D344" s="143" t="s">
        <v>346</v>
      </c>
      <c r="E344" s="150"/>
      <c r="F344" s="151" t="s">
        <v>490</v>
      </c>
      <c r="H344" s="152">
        <v>2.65</v>
      </c>
      <c r="L344" s="149"/>
      <c r="M344" s="153"/>
      <c r="T344" s="154"/>
      <c r="AT344" s="150" t="s">
        <v>346</v>
      </c>
      <c r="AU344" s="150" t="s">
        <v>90</v>
      </c>
      <c r="AV344" s="148" t="s">
        <v>90</v>
      </c>
      <c r="AW344" s="148" t="s">
        <v>33</v>
      </c>
      <c r="AX344" s="148" t="s">
        <v>80</v>
      </c>
      <c r="AY344" s="150" t="s">
        <v>337</v>
      </c>
    </row>
    <row r="345" spans="2:65" s="148" customFormat="1" x14ac:dyDescent="0.2">
      <c r="B345" s="149"/>
      <c r="D345" s="143" t="s">
        <v>346</v>
      </c>
      <c r="E345" s="150"/>
      <c r="F345" s="151" t="s">
        <v>491</v>
      </c>
      <c r="H345" s="152">
        <v>1.7729999999999999</v>
      </c>
      <c r="L345" s="149"/>
      <c r="M345" s="153"/>
      <c r="T345" s="154"/>
      <c r="AT345" s="150" t="s">
        <v>346</v>
      </c>
      <c r="AU345" s="150" t="s">
        <v>90</v>
      </c>
      <c r="AV345" s="148" t="s">
        <v>90</v>
      </c>
      <c r="AW345" s="148" t="s">
        <v>33</v>
      </c>
      <c r="AX345" s="148" t="s">
        <v>80</v>
      </c>
      <c r="AY345" s="150" t="s">
        <v>337</v>
      </c>
    </row>
    <row r="346" spans="2:65" s="141" customFormat="1" x14ac:dyDescent="0.2">
      <c r="B346" s="142"/>
      <c r="D346" s="143" t="s">
        <v>346</v>
      </c>
      <c r="E346" s="144"/>
      <c r="F346" s="145" t="s">
        <v>362</v>
      </c>
      <c r="H346" s="144"/>
      <c r="L346" s="142"/>
      <c r="M346" s="146"/>
      <c r="T346" s="147"/>
      <c r="AT346" s="144" t="s">
        <v>346</v>
      </c>
      <c r="AU346" s="144" t="s">
        <v>90</v>
      </c>
      <c r="AV346" s="141" t="s">
        <v>87</v>
      </c>
      <c r="AW346" s="141" t="s">
        <v>33</v>
      </c>
      <c r="AX346" s="141" t="s">
        <v>80</v>
      </c>
      <c r="AY346" s="144" t="s">
        <v>337</v>
      </c>
    </row>
    <row r="347" spans="2:65" s="148" customFormat="1" x14ac:dyDescent="0.2">
      <c r="B347" s="149"/>
      <c r="D347" s="143" t="s">
        <v>346</v>
      </c>
      <c r="E347" s="150"/>
      <c r="F347" s="151" t="s">
        <v>492</v>
      </c>
      <c r="H347" s="152">
        <v>1.5369999999999999</v>
      </c>
      <c r="L347" s="149"/>
      <c r="M347" s="153"/>
      <c r="T347" s="154"/>
      <c r="AT347" s="150" t="s">
        <v>346</v>
      </c>
      <c r="AU347" s="150" t="s">
        <v>90</v>
      </c>
      <c r="AV347" s="148" t="s">
        <v>90</v>
      </c>
      <c r="AW347" s="148" t="s">
        <v>33</v>
      </c>
      <c r="AX347" s="148" t="s">
        <v>80</v>
      </c>
      <c r="AY347" s="150" t="s">
        <v>337</v>
      </c>
    </row>
    <row r="348" spans="2:65" s="148" customFormat="1" x14ac:dyDescent="0.2">
      <c r="B348" s="149"/>
      <c r="D348" s="143" t="s">
        <v>346</v>
      </c>
      <c r="E348" s="150"/>
      <c r="F348" s="151" t="s">
        <v>493</v>
      </c>
      <c r="H348" s="152">
        <v>1.0840000000000001</v>
      </c>
      <c r="L348" s="149"/>
      <c r="M348" s="153"/>
      <c r="T348" s="154"/>
      <c r="AT348" s="150" t="s">
        <v>346</v>
      </c>
      <c r="AU348" s="150" t="s">
        <v>90</v>
      </c>
      <c r="AV348" s="148" t="s">
        <v>90</v>
      </c>
      <c r="AW348" s="148" t="s">
        <v>33</v>
      </c>
      <c r="AX348" s="148" t="s">
        <v>80</v>
      </c>
      <c r="AY348" s="150" t="s">
        <v>337</v>
      </c>
    </row>
    <row r="349" spans="2:65" s="141" customFormat="1" x14ac:dyDescent="0.2">
      <c r="B349" s="142"/>
      <c r="D349" s="143" t="s">
        <v>346</v>
      </c>
      <c r="E349" s="144"/>
      <c r="F349" s="145" t="s">
        <v>367</v>
      </c>
      <c r="H349" s="144"/>
      <c r="L349" s="142"/>
      <c r="M349" s="146"/>
      <c r="T349" s="147"/>
      <c r="AT349" s="144" t="s">
        <v>346</v>
      </c>
      <c r="AU349" s="144" t="s">
        <v>90</v>
      </c>
      <c r="AV349" s="141" t="s">
        <v>87</v>
      </c>
      <c r="AW349" s="141" t="s">
        <v>33</v>
      </c>
      <c r="AX349" s="141" t="s">
        <v>80</v>
      </c>
      <c r="AY349" s="144" t="s">
        <v>337</v>
      </c>
    </row>
    <row r="350" spans="2:65" s="148" customFormat="1" x14ac:dyDescent="0.2">
      <c r="B350" s="149"/>
      <c r="D350" s="143" t="s">
        <v>346</v>
      </c>
      <c r="E350" s="150"/>
      <c r="F350" s="151" t="s">
        <v>494</v>
      </c>
      <c r="H350" s="152">
        <v>2.0099999999999998</v>
      </c>
      <c r="L350" s="149"/>
      <c r="M350" s="153"/>
      <c r="T350" s="154"/>
      <c r="AT350" s="150" t="s">
        <v>346</v>
      </c>
      <c r="AU350" s="150" t="s">
        <v>90</v>
      </c>
      <c r="AV350" s="148" t="s">
        <v>90</v>
      </c>
      <c r="AW350" s="148" t="s">
        <v>33</v>
      </c>
      <c r="AX350" s="148" t="s">
        <v>80</v>
      </c>
      <c r="AY350" s="150" t="s">
        <v>337</v>
      </c>
    </row>
    <row r="351" spans="2:65" s="141" customFormat="1" x14ac:dyDescent="0.2">
      <c r="B351" s="142"/>
      <c r="D351" s="143" t="s">
        <v>346</v>
      </c>
      <c r="E351" s="144"/>
      <c r="F351" s="145" t="s">
        <v>368</v>
      </c>
      <c r="H351" s="144"/>
      <c r="L351" s="142"/>
      <c r="M351" s="146"/>
      <c r="T351" s="147"/>
      <c r="AT351" s="144" t="s">
        <v>346</v>
      </c>
      <c r="AU351" s="144" t="s">
        <v>90</v>
      </c>
      <c r="AV351" s="141" t="s">
        <v>87</v>
      </c>
      <c r="AW351" s="141" t="s">
        <v>33</v>
      </c>
      <c r="AX351" s="141" t="s">
        <v>80</v>
      </c>
      <c r="AY351" s="144" t="s">
        <v>337</v>
      </c>
    </row>
    <row r="352" spans="2:65" s="148" customFormat="1" x14ac:dyDescent="0.2">
      <c r="B352" s="149"/>
      <c r="D352" s="143" t="s">
        <v>346</v>
      </c>
      <c r="E352" s="150"/>
      <c r="F352" s="151" t="s">
        <v>495</v>
      </c>
      <c r="H352" s="152">
        <v>5.9480000000000004</v>
      </c>
      <c r="L352" s="149"/>
      <c r="M352" s="153"/>
      <c r="T352" s="154"/>
      <c r="AT352" s="150" t="s">
        <v>346</v>
      </c>
      <c r="AU352" s="150" t="s">
        <v>90</v>
      </c>
      <c r="AV352" s="148" t="s">
        <v>90</v>
      </c>
      <c r="AW352" s="148" t="s">
        <v>33</v>
      </c>
      <c r="AX352" s="148" t="s">
        <v>80</v>
      </c>
      <c r="AY352" s="150" t="s">
        <v>337</v>
      </c>
    </row>
    <row r="353" spans="2:65" s="141" customFormat="1" x14ac:dyDescent="0.2">
      <c r="B353" s="142"/>
      <c r="D353" s="143" t="s">
        <v>346</v>
      </c>
      <c r="E353" s="144"/>
      <c r="F353" s="145" t="s">
        <v>370</v>
      </c>
      <c r="H353" s="144"/>
      <c r="L353" s="142"/>
      <c r="M353" s="146"/>
      <c r="T353" s="147"/>
      <c r="AT353" s="144" t="s">
        <v>346</v>
      </c>
      <c r="AU353" s="144" t="s">
        <v>90</v>
      </c>
      <c r="AV353" s="141" t="s">
        <v>87</v>
      </c>
      <c r="AW353" s="141" t="s">
        <v>33</v>
      </c>
      <c r="AX353" s="141" t="s">
        <v>80</v>
      </c>
      <c r="AY353" s="144" t="s">
        <v>337</v>
      </c>
    </row>
    <row r="354" spans="2:65" s="148" customFormat="1" x14ac:dyDescent="0.2">
      <c r="B354" s="149"/>
      <c r="D354" s="143" t="s">
        <v>346</v>
      </c>
      <c r="E354" s="150"/>
      <c r="F354" s="151" t="s">
        <v>495</v>
      </c>
      <c r="H354" s="152">
        <v>5.9480000000000004</v>
      </c>
      <c r="L354" s="149"/>
      <c r="M354" s="153"/>
      <c r="T354" s="154"/>
      <c r="AT354" s="150" t="s">
        <v>346</v>
      </c>
      <c r="AU354" s="150" t="s">
        <v>90</v>
      </c>
      <c r="AV354" s="148" t="s">
        <v>90</v>
      </c>
      <c r="AW354" s="148" t="s">
        <v>33</v>
      </c>
      <c r="AX354" s="148" t="s">
        <v>80</v>
      </c>
      <c r="AY354" s="150" t="s">
        <v>337</v>
      </c>
    </row>
    <row r="355" spans="2:65" s="155" customFormat="1" x14ac:dyDescent="0.2">
      <c r="B355" s="156"/>
      <c r="D355" s="143" t="s">
        <v>346</v>
      </c>
      <c r="E355" s="157"/>
      <c r="F355" s="158" t="s">
        <v>351</v>
      </c>
      <c r="H355" s="159">
        <v>20.95</v>
      </c>
      <c r="L355" s="156"/>
      <c r="M355" s="160"/>
      <c r="T355" s="161"/>
      <c r="AT355" s="157" t="s">
        <v>346</v>
      </c>
      <c r="AU355" s="157" t="s">
        <v>90</v>
      </c>
      <c r="AV355" s="155" t="s">
        <v>344</v>
      </c>
      <c r="AW355" s="155" t="s">
        <v>33</v>
      </c>
      <c r="AX355" s="155" t="s">
        <v>87</v>
      </c>
      <c r="AY355" s="157" t="s">
        <v>337</v>
      </c>
    </row>
    <row r="356" spans="2:65" s="16" customFormat="1" ht="21.75" customHeight="1" x14ac:dyDescent="0.2">
      <c r="B356" s="17"/>
      <c r="C356" s="128">
        <v>16</v>
      </c>
      <c r="D356" s="128" t="s">
        <v>339</v>
      </c>
      <c r="E356" s="129" t="s">
        <v>497</v>
      </c>
      <c r="F356" s="130" t="s">
        <v>498</v>
      </c>
      <c r="G356" s="131" t="s">
        <v>425</v>
      </c>
      <c r="H356" s="132">
        <v>227.18799999999999</v>
      </c>
      <c r="I356" s="133"/>
      <c r="J356" s="134">
        <f>ROUND(I356*H356,2)</f>
        <v>0</v>
      </c>
      <c r="K356" s="130" t="s">
        <v>343</v>
      </c>
      <c r="L356" s="17"/>
      <c r="M356" s="135"/>
      <c r="N356" s="136" t="s">
        <v>45</v>
      </c>
      <c r="P356" s="137">
        <f>O356*H356</f>
        <v>0</v>
      </c>
      <c r="Q356" s="137">
        <v>0</v>
      </c>
      <c r="R356" s="137">
        <f>Q356*H356</f>
        <v>0</v>
      </c>
      <c r="S356" s="137">
        <v>0</v>
      </c>
      <c r="T356" s="138">
        <f>S356*H356</f>
        <v>0</v>
      </c>
      <c r="AR356" s="139" t="s">
        <v>344</v>
      </c>
      <c r="AT356" s="139" t="s">
        <v>339</v>
      </c>
      <c r="AU356" s="139" t="s">
        <v>90</v>
      </c>
      <c r="AY356" s="2" t="s">
        <v>337</v>
      </c>
      <c r="BE356" s="140">
        <f>IF(N356="základní",J356,0)</f>
        <v>0</v>
      </c>
      <c r="BF356" s="140">
        <f>IF(N356="snížená",J356,0)</f>
        <v>0</v>
      </c>
      <c r="BG356" s="140">
        <f>IF(N356="zákl. přenesená",J356,0)</f>
        <v>0</v>
      </c>
      <c r="BH356" s="140">
        <f>IF(N356="sníž. přenesená",J356,0)</f>
        <v>0</v>
      </c>
      <c r="BI356" s="140">
        <f>IF(N356="nulová",J356,0)</f>
        <v>0</v>
      </c>
      <c r="BJ356" s="2" t="s">
        <v>87</v>
      </c>
      <c r="BK356" s="140">
        <f>ROUND(I356*H356,2)</f>
        <v>0</v>
      </c>
      <c r="BL356" s="2" t="s">
        <v>344</v>
      </c>
      <c r="BM356" s="139" t="s">
        <v>499</v>
      </c>
    </row>
    <row r="357" spans="2:65" s="141" customFormat="1" x14ac:dyDescent="0.2">
      <c r="B357" s="142"/>
      <c r="D357" s="143" t="s">
        <v>346</v>
      </c>
      <c r="E357" s="144"/>
      <c r="F357" s="145" t="s">
        <v>434</v>
      </c>
      <c r="H357" s="144"/>
      <c r="L357" s="142"/>
      <c r="M357" s="146"/>
      <c r="T357" s="147"/>
      <c r="AT357" s="144" t="s">
        <v>346</v>
      </c>
      <c r="AU357" s="144" t="s">
        <v>90</v>
      </c>
      <c r="AV357" s="141" t="s">
        <v>87</v>
      </c>
      <c r="AW357" s="141" t="s">
        <v>33</v>
      </c>
      <c r="AX357" s="141" t="s">
        <v>80</v>
      </c>
      <c r="AY357" s="144" t="s">
        <v>337</v>
      </c>
    </row>
    <row r="358" spans="2:65" s="141" customFormat="1" x14ac:dyDescent="0.2">
      <c r="B358" s="142"/>
      <c r="D358" s="143" t="s">
        <v>346</v>
      </c>
      <c r="E358" s="144"/>
      <c r="F358" s="145" t="s">
        <v>500</v>
      </c>
      <c r="H358" s="144"/>
      <c r="L358" s="142"/>
      <c r="M358" s="146"/>
      <c r="T358" s="147"/>
      <c r="AT358" s="144" t="s">
        <v>346</v>
      </c>
      <c r="AU358" s="144" t="s">
        <v>90</v>
      </c>
      <c r="AV358" s="141" t="s">
        <v>87</v>
      </c>
      <c r="AW358" s="141" t="s">
        <v>33</v>
      </c>
      <c r="AX358" s="141" t="s">
        <v>80</v>
      </c>
      <c r="AY358" s="144" t="s">
        <v>337</v>
      </c>
    </row>
    <row r="359" spans="2:65" s="141" customFormat="1" x14ac:dyDescent="0.2">
      <c r="B359" s="142"/>
      <c r="D359" s="143" t="s">
        <v>346</v>
      </c>
      <c r="E359" s="144"/>
      <c r="F359" s="145" t="s">
        <v>501</v>
      </c>
      <c r="H359" s="144"/>
      <c r="L359" s="142"/>
      <c r="M359" s="146"/>
      <c r="T359" s="147"/>
      <c r="AT359" s="144" t="s">
        <v>346</v>
      </c>
      <c r="AU359" s="144" t="s">
        <v>90</v>
      </c>
      <c r="AV359" s="141" t="s">
        <v>87</v>
      </c>
      <c r="AW359" s="141" t="s">
        <v>33</v>
      </c>
      <c r="AX359" s="141" t="s">
        <v>80</v>
      </c>
      <c r="AY359" s="144" t="s">
        <v>337</v>
      </c>
    </row>
    <row r="360" spans="2:65" s="148" customFormat="1" x14ac:dyDescent="0.2">
      <c r="B360" s="149"/>
      <c r="D360" s="143" t="s">
        <v>346</v>
      </c>
      <c r="E360" s="150"/>
      <c r="F360" s="151" t="s">
        <v>502</v>
      </c>
      <c r="H360" s="152">
        <v>28.117999999999999</v>
      </c>
      <c r="L360" s="149"/>
      <c r="M360" s="153"/>
      <c r="T360" s="154"/>
      <c r="AT360" s="150" t="s">
        <v>346</v>
      </c>
      <c r="AU360" s="150" t="s">
        <v>90</v>
      </c>
      <c r="AV360" s="148" t="s">
        <v>90</v>
      </c>
      <c r="AW360" s="148" t="s">
        <v>33</v>
      </c>
      <c r="AX360" s="148" t="s">
        <v>80</v>
      </c>
      <c r="AY360" s="150" t="s">
        <v>337</v>
      </c>
    </row>
    <row r="361" spans="2:65" s="141" customFormat="1" x14ac:dyDescent="0.2">
      <c r="B361" s="142"/>
      <c r="D361" s="143" t="s">
        <v>346</v>
      </c>
      <c r="E361" s="144"/>
      <c r="F361" s="145" t="s">
        <v>503</v>
      </c>
      <c r="H361" s="144"/>
      <c r="L361" s="142"/>
      <c r="M361" s="146"/>
      <c r="T361" s="147"/>
      <c r="AT361" s="144" t="s">
        <v>346</v>
      </c>
      <c r="AU361" s="144" t="s">
        <v>90</v>
      </c>
      <c r="AV361" s="141" t="s">
        <v>87</v>
      </c>
      <c r="AW361" s="141" t="s">
        <v>33</v>
      </c>
      <c r="AX361" s="141" t="s">
        <v>80</v>
      </c>
      <c r="AY361" s="144" t="s">
        <v>337</v>
      </c>
    </row>
    <row r="362" spans="2:65" s="141" customFormat="1" x14ac:dyDescent="0.2">
      <c r="B362" s="142"/>
      <c r="D362" s="143" t="s">
        <v>346</v>
      </c>
      <c r="E362" s="144"/>
      <c r="F362" s="145" t="s">
        <v>504</v>
      </c>
      <c r="H362" s="144"/>
      <c r="L362" s="142"/>
      <c r="M362" s="146"/>
      <c r="T362" s="147"/>
      <c r="AT362" s="144" t="s">
        <v>346</v>
      </c>
      <c r="AU362" s="144" t="s">
        <v>90</v>
      </c>
      <c r="AV362" s="141" t="s">
        <v>87</v>
      </c>
      <c r="AW362" s="141" t="s">
        <v>33</v>
      </c>
      <c r="AX362" s="141" t="s">
        <v>80</v>
      </c>
      <c r="AY362" s="144" t="s">
        <v>337</v>
      </c>
    </row>
    <row r="363" spans="2:65" s="148" customFormat="1" x14ac:dyDescent="0.2">
      <c r="B363" s="149"/>
      <c r="D363" s="143" t="s">
        <v>346</v>
      </c>
      <c r="E363" s="150"/>
      <c r="F363" s="151" t="s">
        <v>505</v>
      </c>
      <c r="H363" s="152">
        <v>30.69</v>
      </c>
      <c r="L363" s="149"/>
      <c r="M363" s="153"/>
      <c r="T363" s="154"/>
      <c r="AT363" s="150" t="s">
        <v>346</v>
      </c>
      <c r="AU363" s="150" t="s">
        <v>90</v>
      </c>
      <c r="AV363" s="148" t="s">
        <v>90</v>
      </c>
      <c r="AW363" s="148" t="s">
        <v>33</v>
      </c>
      <c r="AX363" s="148" t="s">
        <v>80</v>
      </c>
      <c r="AY363" s="150" t="s">
        <v>337</v>
      </c>
    </row>
    <row r="364" spans="2:65" s="148" customFormat="1" x14ac:dyDescent="0.2">
      <c r="B364" s="149"/>
      <c r="D364" s="143" t="s">
        <v>346</v>
      </c>
      <c r="E364" s="150"/>
      <c r="F364" s="151" t="s">
        <v>506</v>
      </c>
      <c r="H364" s="152">
        <v>-1.89</v>
      </c>
      <c r="L364" s="149"/>
      <c r="M364" s="153"/>
      <c r="T364" s="154"/>
      <c r="AT364" s="150" t="s">
        <v>346</v>
      </c>
      <c r="AU364" s="150" t="s">
        <v>90</v>
      </c>
      <c r="AV364" s="148" t="s">
        <v>90</v>
      </c>
      <c r="AW364" s="148" t="s">
        <v>33</v>
      </c>
      <c r="AX364" s="148" t="s">
        <v>80</v>
      </c>
      <c r="AY364" s="150" t="s">
        <v>337</v>
      </c>
    </row>
    <row r="365" spans="2:65" s="141" customFormat="1" x14ac:dyDescent="0.2">
      <c r="B365" s="142"/>
      <c r="D365" s="143" t="s">
        <v>346</v>
      </c>
      <c r="E365" s="144"/>
      <c r="F365" s="145" t="s">
        <v>435</v>
      </c>
      <c r="H365" s="144"/>
      <c r="L365" s="142"/>
      <c r="M365" s="146"/>
      <c r="T365" s="147"/>
      <c r="AT365" s="144" t="s">
        <v>346</v>
      </c>
      <c r="AU365" s="144" t="s">
        <v>90</v>
      </c>
      <c r="AV365" s="141" t="s">
        <v>87</v>
      </c>
      <c r="AW365" s="141" t="s">
        <v>33</v>
      </c>
      <c r="AX365" s="141" t="s">
        <v>80</v>
      </c>
      <c r="AY365" s="144" t="s">
        <v>337</v>
      </c>
    </row>
    <row r="366" spans="2:65" s="148" customFormat="1" x14ac:dyDescent="0.2">
      <c r="B366" s="149"/>
      <c r="D366" s="143" t="s">
        <v>346</v>
      </c>
      <c r="E366" s="150"/>
      <c r="F366" s="151" t="s">
        <v>507</v>
      </c>
      <c r="H366" s="152">
        <v>65.325000000000003</v>
      </c>
      <c r="L366" s="149"/>
      <c r="M366" s="153"/>
      <c r="T366" s="154"/>
      <c r="AT366" s="150" t="s">
        <v>346</v>
      </c>
      <c r="AU366" s="150" t="s">
        <v>90</v>
      </c>
      <c r="AV366" s="148" t="s">
        <v>90</v>
      </c>
      <c r="AW366" s="148" t="s">
        <v>33</v>
      </c>
      <c r="AX366" s="148" t="s">
        <v>80</v>
      </c>
      <c r="AY366" s="150" t="s">
        <v>337</v>
      </c>
    </row>
    <row r="367" spans="2:65" s="148" customFormat="1" x14ac:dyDescent="0.2">
      <c r="B367" s="149"/>
      <c r="D367" s="143" t="s">
        <v>346</v>
      </c>
      <c r="E367" s="150"/>
      <c r="F367" s="151" t="s">
        <v>508</v>
      </c>
      <c r="H367" s="152">
        <v>-20.736000000000001</v>
      </c>
      <c r="L367" s="149"/>
      <c r="M367" s="153"/>
      <c r="T367" s="154"/>
      <c r="AT367" s="150" t="s">
        <v>346</v>
      </c>
      <c r="AU367" s="150" t="s">
        <v>90</v>
      </c>
      <c r="AV367" s="148" t="s">
        <v>90</v>
      </c>
      <c r="AW367" s="148" t="s">
        <v>33</v>
      </c>
      <c r="AX367" s="148" t="s">
        <v>80</v>
      </c>
      <c r="AY367" s="150" t="s">
        <v>337</v>
      </c>
    </row>
    <row r="368" spans="2:65" s="141" customFormat="1" x14ac:dyDescent="0.2">
      <c r="B368" s="142"/>
      <c r="D368" s="143" t="s">
        <v>346</v>
      </c>
      <c r="E368" s="144"/>
      <c r="F368" s="145" t="s">
        <v>438</v>
      </c>
      <c r="H368" s="144"/>
      <c r="L368" s="142"/>
      <c r="M368" s="146"/>
      <c r="T368" s="147"/>
      <c r="AT368" s="144" t="s">
        <v>346</v>
      </c>
      <c r="AU368" s="144" t="s">
        <v>90</v>
      </c>
      <c r="AV368" s="141" t="s">
        <v>87</v>
      </c>
      <c r="AW368" s="141" t="s">
        <v>33</v>
      </c>
      <c r="AX368" s="141" t="s">
        <v>80</v>
      </c>
      <c r="AY368" s="144" t="s">
        <v>337</v>
      </c>
    </row>
    <row r="369" spans="2:65" s="148" customFormat="1" x14ac:dyDescent="0.2">
      <c r="B369" s="149"/>
      <c r="D369" s="143" t="s">
        <v>346</v>
      </c>
      <c r="E369" s="150"/>
      <c r="F369" s="151" t="s">
        <v>509</v>
      </c>
      <c r="H369" s="152">
        <v>12.09</v>
      </c>
      <c r="L369" s="149"/>
      <c r="M369" s="153"/>
      <c r="T369" s="154"/>
      <c r="AT369" s="150" t="s">
        <v>346</v>
      </c>
      <c r="AU369" s="150" t="s">
        <v>90</v>
      </c>
      <c r="AV369" s="148" t="s">
        <v>90</v>
      </c>
      <c r="AW369" s="148" t="s">
        <v>33</v>
      </c>
      <c r="AX369" s="148" t="s">
        <v>80</v>
      </c>
      <c r="AY369" s="150" t="s">
        <v>337</v>
      </c>
    </row>
    <row r="370" spans="2:65" s="141" customFormat="1" x14ac:dyDescent="0.2">
      <c r="B370" s="142"/>
      <c r="D370" s="143" t="s">
        <v>346</v>
      </c>
      <c r="E370" s="144"/>
      <c r="F370" s="145" t="s">
        <v>365</v>
      </c>
      <c r="H370" s="144"/>
      <c r="L370" s="142"/>
      <c r="M370" s="146"/>
      <c r="T370" s="147"/>
      <c r="AT370" s="144" t="s">
        <v>346</v>
      </c>
      <c r="AU370" s="144" t="s">
        <v>90</v>
      </c>
      <c r="AV370" s="141" t="s">
        <v>87</v>
      </c>
      <c r="AW370" s="141" t="s">
        <v>33</v>
      </c>
      <c r="AX370" s="141" t="s">
        <v>80</v>
      </c>
      <c r="AY370" s="144" t="s">
        <v>337</v>
      </c>
    </row>
    <row r="371" spans="2:65" s="148" customFormat="1" x14ac:dyDescent="0.2">
      <c r="B371" s="149"/>
      <c r="D371" s="143" t="s">
        <v>346</v>
      </c>
      <c r="E371" s="150"/>
      <c r="F371" s="151" t="s">
        <v>510</v>
      </c>
      <c r="H371" s="152">
        <v>165.82499999999999</v>
      </c>
      <c r="L371" s="149"/>
      <c r="M371" s="153"/>
      <c r="T371" s="154"/>
      <c r="AT371" s="150" t="s">
        <v>346</v>
      </c>
      <c r="AU371" s="150" t="s">
        <v>90</v>
      </c>
      <c r="AV371" s="148" t="s">
        <v>90</v>
      </c>
      <c r="AW371" s="148" t="s">
        <v>33</v>
      </c>
      <c r="AX371" s="148" t="s">
        <v>80</v>
      </c>
      <c r="AY371" s="150" t="s">
        <v>337</v>
      </c>
    </row>
    <row r="372" spans="2:65" s="141" customFormat="1" x14ac:dyDescent="0.2">
      <c r="B372" s="142"/>
      <c r="D372" s="143" t="s">
        <v>346</v>
      </c>
      <c r="E372" s="144"/>
      <c r="F372" s="145" t="s">
        <v>511</v>
      </c>
      <c r="H372" s="144"/>
      <c r="L372" s="142"/>
      <c r="M372" s="146"/>
      <c r="T372" s="147"/>
      <c r="AT372" s="144" t="s">
        <v>346</v>
      </c>
      <c r="AU372" s="144" t="s">
        <v>90</v>
      </c>
      <c r="AV372" s="141" t="s">
        <v>87</v>
      </c>
      <c r="AW372" s="141" t="s">
        <v>33</v>
      </c>
      <c r="AX372" s="141" t="s">
        <v>80</v>
      </c>
      <c r="AY372" s="144" t="s">
        <v>337</v>
      </c>
    </row>
    <row r="373" spans="2:65" s="141" customFormat="1" x14ac:dyDescent="0.2">
      <c r="B373" s="142"/>
      <c r="D373" s="143" t="s">
        <v>346</v>
      </c>
      <c r="E373" s="144"/>
      <c r="F373" s="145" t="s">
        <v>397</v>
      </c>
      <c r="H373" s="144"/>
      <c r="L373" s="142"/>
      <c r="M373" s="146"/>
      <c r="T373" s="147"/>
      <c r="AT373" s="144" t="s">
        <v>346</v>
      </c>
      <c r="AU373" s="144" t="s">
        <v>90</v>
      </c>
      <c r="AV373" s="141" t="s">
        <v>87</v>
      </c>
      <c r="AW373" s="141" t="s">
        <v>33</v>
      </c>
      <c r="AX373" s="141" t="s">
        <v>80</v>
      </c>
      <c r="AY373" s="144" t="s">
        <v>337</v>
      </c>
    </row>
    <row r="374" spans="2:65" s="148" customFormat="1" x14ac:dyDescent="0.2">
      <c r="B374" s="149"/>
      <c r="D374" s="143" t="s">
        <v>346</v>
      </c>
      <c r="E374" s="150"/>
      <c r="F374" s="151" t="s">
        <v>512</v>
      </c>
      <c r="H374" s="152">
        <v>-73.84</v>
      </c>
      <c r="L374" s="149"/>
      <c r="M374" s="153"/>
      <c r="T374" s="154"/>
      <c r="AT374" s="150" t="s">
        <v>346</v>
      </c>
      <c r="AU374" s="150" t="s">
        <v>90</v>
      </c>
      <c r="AV374" s="148" t="s">
        <v>90</v>
      </c>
      <c r="AW374" s="148" t="s">
        <v>33</v>
      </c>
      <c r="AX374" s="148" t="s">
        <v>80</v>
      </c>
      <c r="AY374" s="150" t="s">
        <v>337</v>
      </c>
    </row>
    <row r="375" spans="2:65" s="141" customFormat="1" x14ac:dyDescent="0.2">
      <c r="B375" s="142"/>
      <c r="D375" s="143" t="s">
        <v>346</v>
      </c>
      <c r="E375" s="144"/>
      <c r="F375" s="145" t="s">
        <v>513</v>
      </c>
      <c r="H375" s="144"/>
      <c r="L375" s="142"/>
      <c r="M375" s="146"/>
      <c r="T375" s="147"/>
      <c r="AT375" s="144" t="s">
        <v>346</v>
      </c>
      <c r="AU375" s="144" t="s">
        <v>90</v>
      </c>
      <c r="AV375" s="141" t="s">
        <v>87</v>
      </c>
      <c r="AW375" s="141" t="s">
        <v>33</v>
      </c>
      <c r="AX375" s="141" t="s">
        <v>80</v>
      </c>
      <c r="AY375" s="144" t="s">
        <v>337</v>
      </c>
    </row>
    <row r="376" spans="2:65" s="141" customFormat="1" x14ac:dyDescent="0.2">
      <c r="B376" s="142"/>
      <c r="D376" s="143" t="s">
        <v>346</v>
      </c>
      <c r="E376" s="144"/>
      <c r="F376" s="145" t="s">
        <v>514</v>
      </c>
      <c r="H376" s="144"/>
      <c r="L376" s="142"/>
      <c r="M376" s="146"/>
      <c r="T376" s="147"/>
      <c r="AT376" s="144" t="s">
        <v>346</v>
      </c>
      <c r="AU376" s="144" t="s">
        <v>90</v>
      </c>
      <c r="AV376" s="141" t="s">
        <v>87</v>
      </c>
      <c r="AW376" s="141" t="s">
        <v>33</v>
      </c>
      <c r="AX376" s="141" t="s">
        <v>80</v>
      </c>
      <c r="AY376" s="144" t="s">
        <v>337</v>
      </c>
    </row>
    <row r="377" spans="2:65" s="148" customFormat="1" x14ac:dyDescent="0.2">
      <c r="B377" s="149"/>
      <c r="D377" s="143" t="s">
        <v>346</v>
      </c>
      <c r="E377" s="150"/>
      <c r="F377" s="151" t="s">
        <v>515</v>
      </c>
      <c r="H377" s="152">
        <v>40.020000000000003</v>
      </c>
      <c r="L377" s="149"/>
      <c r="M377" s="153"/>
      <c r="T377" s="154"/>
      <c r="AT377" s="150" t="s">
        <v>346</v>
      </c>
      <c r="AU377" s="150" t="s">
        <v>90</v>
      </c>
      <c r="AV377" s="148" t="s">
        <v>90</v>
      </c>
      <c r="AW377" s="148" t="s">
        <v>33</v>
      </c>
      <c r="AX377" s="148" t="s">
        <v>80</v>
      </c>
      <c r="AY377" s="150" t="s">
        <v>337</v>
      </c>
    </row>
    <row r="378" spans="2:65" s="148" customFormat="1" x14ac:dyDescent="0.2">
      <c r="B378" s="149"/>
      <c r="D378" s="143" t="s">
        <v>346</v>
      </c>
      <c r="E378" s="150"/>
      <c r="F378" s="151" t="s">
        <v>516</v>
      </c>
      <c r="H378" s="152">
        <v>-7.92</v>
      </c>
      <c r="L378" s="149"/>
      <c r="M378" s="153"/>
      <c r="T378" s="154"/>
      <c r="AT378" s="150" t="s">
        <v>346</v>
      </c>
      <c r="AU378" s="150" t="s">
        <v>90</v>
      </c>
      <c r="AV378" s="148" t="s">
        <v>90</v>
      </c>
      <c r="AW378" s="148" t="s">
        <v>33</v>
      </c>
      <c r="AX378" s="148" t="s">
        <v>80</v>
      </c>
      <c r="AY378" s="150" t="s">
        <v>337</v>
      </c>
    </row>
    <row r="379" spans="2:65" s="148" customFormat="1" x14ac:dyDescent="0.2">
      <c r="B379" s="149"/>
      <c r="D379" s="143" t="s">
        <v>346</v>
      </c>
      <c r="E379" s="150"/>
      <c r="F379" s="151" t="s">
        <v>517</v>
      </c>
      <c r="H379" s="152">
        <v>-10.494</v>
      </c>
      <c r="L379" s="149"/>
      <c r="M379" s="153"/>
      <c r="T379" s="154"/>
      <c r="AT379" s="150" t="s">
        <v>346</v>
      </c>
      <c r="AU379" s="150" t="s">
        <v>90</v>
      </c>
      <c r="AV379" s="148" t="s">
        <v>90</v>
      </c>
      <c r="AW379" s="148" t="s">
        <v>33</v>
      </c>
      <c r="AX379" s="148" t="s">
        <v>80</v>
      </c>
      <c r="AY379" s="150" t="s">
        <v>337</v>
      </c>
    </row>
    <row r="380" spans="2:65" s="155" customFormat="1" x14ac:dyDescent="0.2">
      <c r="B380" s="156"/>
      <c r="D380" s="143" t="s">
        <v>346</v>
      </c>
      <c r="E380" s="157"/>
      <c r="F380" s="158" t="s">
        <v>351</v>
      </c>
      <c r="H380" s="159">
        <v>227.18799999999999</v>
      </c>
      <c r="L380" s="156"/>
      <c r="M380" s="160"/>
      <c r="T380" s="161"/>
      <c r="AT380" s="157" t="s">
        <v>346</v>
      </c>
      <c r="AU380" s="157" t="s">
        <v>90</v>
      </c>
      <c r="AV380" s="155" t="s">
        <v>344</v>
      </c>
      <c r="AW380" s="155" t="s">
        <v>33</v>
      </c>
      <c r="AX380" s="155" t="s">
        <v>87</v>
      </c>
      <c r="AY380" s="157" t="s">
        <v>337</v>
      </c>
    </row>
    <row r="381" spans="2:65" s="16" customFormat="1" ht="16.5" customHeight="1" x14ac:dyDescent="0.2">
      <c r="B381" s="17"/>
      <c r="C381" s="128">
        <v>17</v>
      </c>
      <c r="D381" s="162" t="s">
        <v>519</v>
      </c>
      <c r="E381" s="163" t="s">
        <v>520</v>
      </c>
      <c r="F381" s="164" t="s">
        <v>521</v>
      </c>
      <c r="G381" s="165" t="s">
        <v>425</v>
      </c>
      <c r="H381" s="166">
        <v>30.93</v>
      </c>
      <c r="I381" s="167"/>
      <c r="J381" s="168">
        <f>ROUND(I381*H381,2)</f>
        <v>0</v>
      </c>
      <c r="K381" s="164"/>
      <c r="L381" s="169"/>
      <c r="M381" s="170"/>
      <c r="N381" s="171" t="s">
        <v>45</v>
      </c>
      <c r="P381" s="137">
        <f>O381*H381</f>
        <v>0</v>
      </c>
      <c r="Q381" s="137">
        <v>1.52E-2</v>
      </c>
      <c r="R381" s="137">
        <f>Q381*H381</f>
        <v>0.470136</v>
      </c>
      <c r="S381" s="137">
        <v>0</v>
      </c>
      <c r="T381" s="138">
        <f>S381*H381</f>
        <v>0</v>
      </c>
      <c r="AR381" s="139" t="s">
        <v>446</v>
      </c>
      <c r="AT381" s="139" t="s">
        <v>519</v>
      </c>
      <c r="AU381" s="139" t="s">
        <v>90</v>
      </c>
      <c r="AY381" s="2" t="s">
        <v>337</v>
      </c>
      <c r="BE381" s="140">
        <f>IF(N381="základní",J381,0)</f>
        <v>0</v>
      </c>
      <c r="BF381" s="140">
        <f>IF(N381="snížená",J381,0)</f>
        <v>0</v>
      </c>
      <c r="BG381" s="140">
        <f>IF(N381="zákl. přenesená",J381,0)</f>
        <v>0</v>
      </c>
      <c r="BH381" s="140">
        <f>IF(N381="sníž. přenesená",J381,0)</f>
        <v>0</v>
      </c>
      <c r="BI381" s="140">
        <f>IF(N381="nulová",J381,0)</f>
        <v>0</v>
      </c>
      <c r="BJ381" s="2" t="s">
        <v>87</v>
      </c>
      <c r="BK381" s="140">
        <f>ROUND(I381*H381,2)</f>
        <v>0</v>
      </c>
      <c r="BL381" s="2" t="s">
        <v>344</v>
      </c>
      <c r="BM381" s="139" t="s">
        <v>522</v>
      </c>
    </row>
    <row r="382" spans="2:65" s="141" customFormat="1" x14ac:dyDescent="0.2">
      <c r="B382" s="142"/>
      <c r="D382" s="143" t="s">
        <v>346</v>
      </c>
      <c r="E382" s="144"/>
      <c r="F382" s="145" t="s">
        <v>434</v>
      </c>
      <c r="H382" s="144"/>
      <c r="L382" s="142"/>
      <c r="M382" s="146"/>
      <c r="T382" s="147"/>
      <c r="AT382" s="144" t="s">
        <v>346</v>
      </c>
      <c r="AU382" s="144" t="s">
        <v>90</v>
      </c>
      <c r="AV382" s="141" t="s">
        <v>87</v>
      </c>
      <c r="AW382" s="141" t="s">
        <v>33</v>
      </c>
      <c r="AX382" s="141" t="s">
        <v>80</v>
      </c>
      <c r="AY382" s="144" t="s">
        <v>337</v>
      </c>
    </row>
    <row r="383" spans="2:65" s="141" customFormat="1" x14ac:dyDescent="0.2">
      <c r="B383" s="142"/>
      <c r="D383" s="143" t="s">
        <v>346</v>
      </c>
      <c r="E383" s="144"/>
      <c r="F383" s="145" t="s">
        <v>501</v>
      </c>
      <c r="H383" s="144"/>
      <c r="L383" s="142"/>
      <c r="M383" s="146"/>
      <c r="T383" s="147"/>
      <c r="AT383" s="144" t="s">
        <v>346</v>
      </c>
      <c r="AU383" s="144" t="s">
        <v>90</v>
      </c>
      <c r="AV383" s="141" t="s">
        <v>87</v>
      </c>
      <c r="AW383" s="141" t="s">
        <v>33</v>
      </c>
      <c r="AX383" s="141" t="s">
        <v>80</v>
      </c>
      <c r="AY383" s="144" t="s">
        <v>337</v>
      </c>
    </row>
    <row r="384" spans="2:65" s="148" customFormat="1" x14ac:dyDescent="0.2">
      <c r="B384" s="149"/>
      <c r="D384" s="143" t="s">
        <v>346</v>
      </c>
      <c r="E384" s="150"/>
      <c r="F384" s="151" t="s">
        <v>502</v>
      </c>
      <c r="H384" s="152">
        <v>28.117999999999999</v>
      </c>
      <c r="L384" s="149"/>
      <c r="M384" s="153"/>
      <c r="T384" s="154"/>
      <c r="AT384" s="150" t="s">
        <v>346</v>
      </c>
      <c r="AU384" s="150" t="s">
        <v>90</v>
      </c>
      <c r="AV384" s="148" t="s">
        <v>90</v>
      </c>
      <c r="AW384" s="148" t="s">
        <v>33</v>
      </c>
      <c r="AX384" s="148" t="s">
        <v>87</v>
      </c>
      <c r="AY384" s="150" t="s">
        <v>337</v>
      </c>
    </row>
    <row r="385" spans="2:65" s="148" customFormat="1" x14ac:dyDescent="0.2">
      <c r="B385" s="149"/>
      <c r="D385" s="143" t="s">
        <v>346</v>
      </c>
      <c r="F385" s="151" t="s">
        <v>523</v>
      </c>
      <c r="H385" s="152">
        <v>30.93</v>
      </c>
      <c r="L385" s="149"/>
      <c r="M385" s="153"/>
      <c r="T385" s="154"/>
      <c r="AT385" s="150" t="s">
        <v>346</v>
      </c>
      <c r="AU385" s="150" t="s">
        <v>90</v>
      </c>
      <c r="AV385" s="148" t="s">
        <v>90</v>
      </c>
      <c r="AW385" s="148" t="s">
        <v>3</v>
      </c>
      <c r="AX385" s="148" t="s">
        <v>87</v>
      </c>
      <c r="AY385" s="150" t="s">
        <v>337</v>
      </c>
    </row>
    <row r="386" spans="2:65" s="16" customFormat="1" ht="24.2" customHeight="1" x14ac:dyDescent="0.2">
      <c r="B386" s="17"/>
      <c r="C386" s="128">
        <v>18</v>
      </c>
      <c r="D386" s="162" t="s">
        <v>519</v>
      </c>
      <c r="E386" s="163" t="s">
        <v>524</v>
      </c>
      <c r="F386" s="164" t="s">
        <v>525</v>
      </c>
      <c r="G386" s="165" t="s">
        <v>425</v>
      </c>
      <c r="H386" s="166">
        <v>195.21</v>
      </c>
      <c r="I386" s="167"/>
      <c r="J386" s="168">
        <f>ROUND(I386*H386,2)</f>
        <v>0</v>
      </c>
      <c r="K386" s="164" t="s">
        <v>343</v>
      </c>
      <c r="L386" s="169"/>
      <c r="M386" s="170"/>
      <c r="N386" s="171" t="s">
        <v>45</v>
      </c>
      <c r="P386" s="137">
        <f>O386*H386</f>
        <v>0</v>
      </c>
      <c r="Q386" s="137">
        <v>1.52E-2</v>
      </c>
      <c r="R386" s="137">
        <f>Q386*H386</f>
        <v>2.9671920000000003</v>
      </c>
      <c r="S386" s="137">
        <v>0</v>
      </c>
      <c r="T386" s="138">
        <f>S386*H386</f>
        <v>0</v>
      </c>
      <c r="AR386" s="139" t="s">
        <v>446</v>
      </c>
      <c r="AT386" s="139" t="s">
        <v>519</v>
      </c>
      <c r="AU386" s="139" t="s">
        <v>90</v>
      </c>
      <c r="AY386" s="2" t="s">
        <v>337</v>
      </c>
      <c r="BE386" s="140">
        <f>IF(N386="základní",J386,0)</f>
        <v>0</v>
      </c>
      <c r="BF386" s="140">
        <f>IF(N386="snížená",J386,0)</f>
        <v>0</v>
      </c>
      <c r="BG386" s="140">
        <f>IF(N386="zákl. přenesená",J386,0)</f>
        <v>0</v>
      </c>
      <c r="BH386" s="140">
        <f>IF(N386="sníž. přenesená",J386,0)</f>
        <v>0</v>
      </c>
      <c r="BI386" s="140">
        <f>IF(N386="nulová",J386,0)</f>
        <v>0</v>
      </c>
      <c r="BJ386" s="2" t="s">
        <v>87</v>
      </c>
      <c r="BK386" s="140">
        <f>ROUND(I386*H386,2)</f>
        <v>0</v>
      </c>
      <c r="BL386" s="2" t="s">
        <v>344</v>
      </c>
      <c r="BM386" s="139" t="s">
        <v>526</v>
      </c>
    </row>
    <row r="387" spans="2:65" s="141" customFormat="1" x14ac:dyDescent="0.2">
      <c r="B387" s="142"/>
      <c r="D387" s="143" t="s">
        <v>346</v>
      </c>
      <c r="E387" s="144"/>
      <c r="F387" s="145" t="s">
        <v>434</v>
      </c>
      <c r="H387" s="144"/>
      <c r="L387" s="142"/>
      <c r="M387" s="146"/>
      <c r="T387" s="147"/>
      <c r="AT387" s="144" t="s">
        <v>346</v>
      </c>
      <c r="AU387" s="144" t="s">
        <v>90</v>
      </c>
      <c r="AV387" s="141" t="s">
        <v>87</v>
      </c>
      <c r="AW387" s="141" t="s">
        <v>33</v>
      </c>
      <c r="AX387" s="141" t="s">
        <v>80</v>
      </c>
      <c r="AY387" s="144" t="s">
        <v>337</v>
      </c>
    </row>
    <row r="388" spans="2:65" s="141" customFormat="1" x14ac:dyDescent="0.2">
      <c r="B388" s="142"/>
      <c r="D388" s="143" t="s">
        <v>346</v>
      </c>
      <c r="E388" s="144"/>
      <c r="F388" s="145" t="s">
        <v>504</v>
      </c>
      <c r="H388" s="144"/>
      <c r="L388" s="142"/>
      <c r="M388" s="146"/>
      <c r="T388" s="147"/>
      <c r="AT388" s="144" t="s">
        <v>346</v>
      </c>
      <c r="AU388" s="144" t="s">
        <v>90</v>
      </c>
      <c r="AV388" s="141" t="s">
        <v>87</v>
      </c>
      <c r="AW388" s="141" t="s">
        <v>33</v>
      </c>
      <c r="AX388" s="141" t="s">
        <v>80</v>
      </c>
      <c r="AY388" s="144" t="s">
        <v>337</v>
      </c>
    </row>
    <row r="389" spans="2:65" s="148" customFormat="1" x14ac:dyDescent="0.2">
      <c r="B389" s="149"/>
      <c r="D389" s="143" t="s">
        <v>346</v>
      </c>
      <c r="E389" s="150"/>
      <c r="F389" s="151" t="s">
        <v>505</v>
      </c>
      <c r="H389" s="152">
        <v>30.69</v>
      </c>
      <c r="L389" s="149"/>
      <c r="M389" s="153"/>
      <c r="T389" s="154"/>
      <c r="AT389" s="150" t="s">
        <v>346</v>
      </c>
      <c r="AU389" s="150" t="s">
        <v>90</v>
      </c>
      <c r="AV389" s="148" t="s">
        <v>90</v>
      </c>
      <c r="AW389" s="148" t="s">
        <v>33</v>
      </c>
      <c r="AX389" s="148" t="s">
        <v>80</v>
      </c>
      <c r="AY389" s="150" t="s">
        <v>337</v>
      </c>
    </row>
    <row r="390" spans="2:65" s="148" customFormat="1" x14ac:dyDescent="0.2">
      <c r="B390" s="149"/>
      <c r="D390" s="143" t="s">
        <v>346</v>
      </c>
      <c r="E390" s="150"/>
      <c r="F390" s="151" t="s">
        <v>506</v>
      </c>
      <c r="H390" s="152">
        <v>-1.89</v>
      </c>
      <c r="L390" s="149"/>
      <c r="M390" s="153"/>
      <c r="T390" s="154"/>
      <c r="AT390" s="150" t="s">
        <v>346</v>
      </c>
      <c r="AU390" s="150" t="s">
        <v>90</v>
      </c>
      <c r="AV390" s="148" t="s">
        <v>90</v>
      </c>
      <c r="AW390" s="148" t="s">
        <v>33</v>
      </c>
      <c r="AX390" s="148" t="s">
        <v>80</v>
      </c>
      <c r="AY390" s="150" t="s">
        <v>337</v>
      </c>
    </row>
    <row r="391" spans="2:65" s="141" customFormat="1" x14ac:dyDescent="0.2">
      <c r="B391" s="142"/>
      <c r="D391" s="143" t="s">
        <v>346</v>
      </c>
      <c r="E391" s="144"/>
      <c r="F391" s="145" t="s">
        <v>435</v>
      </c>
      <c r="H391" s="144"/>
      <c r="L391" s="142"/>
      <c r="M391" s="146"/>
      <c r="T391" s="147"/>
      <c r="AT391" s="144" t="s">
        <v>346</v>
      </c>
      <c r="AU391" s="144" t="s">
        <v>90</v>
      </c>
      <c r="AV391" s="141" t="s">
        <v>87</v>
      </c>
      <c r="AW391" s="141" t="s">
        <v>33</v>
      </c>
      <c r="AX391" s="141" t="s">
        <v>80</v>
      </c>
      <c r="AY391" s="144" t="s">
        <v>337</v>
      </c>
    </row>
    <row r="392" spans="2:65" s="148" customFormat="1" x14ac:dyDescent="0.2">
      <c r="B392" s="149"/>
      <c r="D392" s="143" t="s">
        <v>346</v>
      </c>
      <c r="E392" s="150"/>
      <c r="F392" s="151" t="s">
        <v>507</v>
      </c>
      <c r="H392" s="152">
        <v>65.325000000000003</v>
      </c>
      <c r="L392" s="149"/>
      <c r="M392" s="153"/>
      <c r="T392" s="154"/>
      <c r="AT392" s="150" t="s">
        <v>346</v>
      </c>
      <c r="AU392" s="150" t="s">
        <v>90</v>
      </c>
      <c r="AV392" s="148" t="s">
        <v>90</v>
      </c>
      <c r="AW392" s="148" t="s">
        <v>33</v>
      </c>
      <c r="AX392" s="148" t="s">
        <v>80</v>
      </c>
      <c r="AY392" s="150" t="s">
        <v>337</v>
      </c>
    </row>
    <row r="393" spans="2:65" s="148" customFormat="1" x14ac:dyDescent="0.2">
      <c r="B393" s="149"/>
      <c r="D393" s="143" t="s">
        <v>346</v>
      </c>
      <c r="E393" s="150"/>
      <c r="F393" s="151" t="s">
        <v>508</v>
      </c>
      <c r="H393" s="152">
        <v>-20.736000000000001</v>
      </c>
      <c r="L393" s="149"/>
      <c r="M393" s="153"/>
      <c r="T393" s="154"/>
      <c r="AT393" s="150" t="s">
        <v>346</v>
      </c>
      <c r="AU393" s="150" t="s">
        <v>90</v>
      </c>
      <c r="AV393" s="148" t="s">
        <v>90</v>
      </c>
      <c r="AW393" s="148" t="s">
        <v>33</v>
      </c>
      <c r="AX393" s="148" t="s">
        <v>80</v>
      </c>
      <c r="AY393" s="150" t="s">
        <v>337</v>
      </c>
    </row>
    <row r="394" spans="2:65" s="141" customFormat="1" x14ac:dyDescent="0.2">
      <c r="B394" s="142"/>
      <c r="D394" s="143" t="s">
        <v>346</v>
      </c>
      <c r="E394" s="144"/>
      <c r="F394" s="145" t="s">
        <v>438</v>
      </c>
      <c r="H394" s="144"/>
      <c r="L394" s="142"/>
      <c r="M394" s="146"/>
      <c r="T394" s="147"/>
      <c r="AT394" s="144" t="s">
        <v>346</v>
      </c>
      <c r="AU394" s="144" t="s">
        <v>90</v>
      </c>
      <c r="AV394" s="141" t="s">
        <v>87</v>
      </c>
      <c r="AW394" s="141" t="s">
        <v>33</v>
      </c>
      <c r="AX394" s="141" t="s">
        <v>80</v>
      </c>
      <c r="AY394" s="144" t="s">
        <v>337</v>
      </c>
    </row>
    <row r="395" spans="2:65" s="148" customFormat="1" x14ac:dyDescent="0.2">
      <c r="B395" s="149"/>
      <c r="D395" s="143" t="s">
        <v>346</v>
      </c>
      <c r="E395" s="150"/>
      <c r="F395" s="151" t="s">
        <v>509</v>
      </c>
      <c r="H395" s="152">
        <v>12.09</v>
      </c>
      <c r="L395" s="149"/>
      <c r="M395" s="153"/>
      <c r="T395" s="154"/>
      <c r="AT395" s="150" t="s">
        <v>346</v>
      </c>
      <c r="AU395" s="150" t="s">
        <v>90</v>
      </c>
      <c r="AV395" s="148" t="s">
        <v>90</v>
      </c>
      <c r="AW395" s="148" t="s">
        <v>33</v>
      </c>
      <c r="AX395" s="148" t="s">
        <v>80</v>
      </c>
      <c r="AY395" s="150" t="s">
        <v>337</v>
      </c>
    </row>
    <row r="396" spans="2:65" s="141" customFormat="1" x14ac:dyDescent="0.2">
      <c r="B396" s="142"/>
      <c r="D396" s="143" t="s">
        <v>346</v>
      </c>
      <c r="E396" s="144"/>
      <c r="F396" s="145" t="s">
        <v>365</v>
      </c>
      <c r="H396" s="144"/>
      <c r="L396" s="142"/>
      <c r="M396" s="146"/>
      <c r="T396" s="147"/>
      <c r="AT396" s="144" t="s">
        <v>346</v>
      </c>
      <c r="AU396" s="144" t="s">
        <v>90</v>
      </c>
      <c r="AV396" s="141" t="s">
        <v>87</v>
      </c>
      <c r="AW396" s="141" t="s">
        <v>33</v>
      </c>
      <c r="AX396" s="141" t="s">
        <v>80</v>
      </c>
      <c r="AY396" s="144" t="s">
        <v>337</v>
      </c>
    </row>
    <row r="397" spans="2:65" s="148" customFormat="1" x14ac:dyDescent="0.2">
      <c r="B397" s="149"/>
      <c r="D397" s="143" t="s">
        <v>346</v>
      </c>
      <c r="E397" s="150"/>
      <c r="F397" s="151" t="s">
        <v>510</v>
      </c>
      <c r="H397" s="152">
        <v>165.82499999999999</v>
      </c>
      <c r="L397" s="149"/>
      <c r="M397" s="153"/>
      <c r="T397" s="154"/>
      <c r="AT397" s="150" t="s">
        <v>346</v>
      </c>
      <c r="AU397" s="150" t="s">
        <v>90</v>
      </c>
      <c r="AV397" s="148" t="s">
        <v>90</v>
      </c>
      <c r="AW397" s="148" t="s">
        <v>33</v>
      </c>
      <c r="AX397" s="148" t="s">
        <v>80</v>
      </c>
      <c r="AY397" s="150" t="s">
        <v>337</v>
      </c>
    </row>
    <row r="398" spans="2:65" s="141" customFormat="1" x14ac:dyDescent="0.2">
      <c r="B398" s="142"/>
      <c r="D398" s="143" t="s">
        <v>346</v>
      </c>
      <c r="E398" s="144"/>
      <c r="F398" s="145" t="s">
        <v>511</v>
      </c>
      <c r="H398" s="144"/>
      <c r="L398" s="142"/>
      <c r="M398" s="146"/>
      <c r="T398" s="147"/>
      <c r="AT398" s="144" t="s">
        <v>346</v>
      </c>
      <c r="AU398" s="144" t="s">
        <v>90</v>
      </c>
      <c r="AV398" s="141" t="s">
        <v>87</v>
      </c>
      <c r="AW398" s="141" t="s">
        <v>33</v>
      </c>
      <c r="AX398" s="141" t="s">
        <v>80</v>
      </c>
      <c r="AY398" s="144" t="s">
        <v>337</v>
      </c>
    </row>
    <row r="399" spans="2:65" s="141" customFormat="1" x14ac:dyDescent="0.2">
      <c r="B399" s="142"/>
      <c r="D399" s="143" t="s">
        <v>346</v>
      </c>
      <c r="E399" s="144"/>
      <c r="F399" s="145" t="s">
        <v>397</v>
      </c>
      <c r="H399" s="144"/>
      <c r="L399" s="142"/>
      <c r="M399" s="146"/>
      <c r="T399" s="147"/>
      <c r="AT399" s="144" t="s">
        <v>346</v>
      </c>
      <c r="AU399" s="144" t="s">
        <v>90</v>
      </c>
      <c r="AV399" s="141" t="s">
        <v>87</v>
      </c>
      <c r="AW399" s="141" t="s">
        <v>33</v>
      </c>
      <c r="AX399" s="141" t="s">
        <v>80</v>
      </c>
      <c r="AY399" s="144" t="s">
        <v>337</v>
      </c>
    </row>
    <row r="400" spans="2:65" s="148" customFormat="1" x14ac:dyDescent="0.2">
      <c r="B400" s="149"/>
      <c r="D400" s="143" t="s">
        <v>346</v>
      </c>
      <c r="E400" s="150"/>
      <c r="F400" s="151" t="s">
        <v>512</v>
      </c>
      <c r="H400" s="152">
        <v>-73.84</v>
      </c>
      <c r="L400" s="149"/>
      <c r="M400" s="153"/>
      <c r="T400" s="154"/>
      <c r="AT400" s="150" t="s">
        <v>346</v>
      </c>
      <c r="AU400" s="150" t="s">
        <v>90</v>
      </c>
      <c r="AV400" s="148" t="s">
        <v>90</v>
      </c>
      <c r="AW400" s="148" t="s">
        <v>33</v>
      </c>
      <c r="AX400" s="148" t="s">
        <v>80</v>
      </c>
      <c r="AY400" s="150" t="s">
        <v>337</v>
      </c>
    </row>
    <row r="401" spans="2:65" s="155" customFormat="1" x14ac:dyDescent="0.2">
      <c r="B401" s="156"/>
      <c r="D401" s="143" t="s">
        <v>346</v>
      </c>
      <c r="E401" s="157"/>
      <c r="F401" s="158" t="s">
        <v>351</v>
      </c>
      <c r="H401" s="159">
        <v>177.464</v>
      </c>
      <c r="L401" s="156"/>
      <c r="M401" s="160"/>
      <c r="T401" s="161"/>
      <c r="AT401" s="157" t="s">
        <v>346</v>
      </c>
      <c r="AU401" s="157" t="s">
        <v>90</v>
      </c>
      <c r="AV401" s="155" t="s">
        <v>344</v>
      </c>
      <c r="AW401" s="155" t="s">
        <v>33</v>
      </c>
      <c r="AX401" s="155" t="s">
        <v>87</v>
      </c>
      <c r="AY401" s="157" t="s">
        <v>337</v>
      </c>
    </row>
    <row r="402" spans="2:65" s="148" customFormat="1" x14ac:dyDescent="0.2">
      <c r="B402" s="149"/>
      <c r="D402" s="143" t="s">
        <v>346</v>
      </c>
      <c r="F402" s="151" t="s">
        <v>527</v>
      </c>
      <c r="H402" s="152">
        <v>195.21</v>
      </c>
      <c r="L402" s="149"/>
      <c r="M402" s="153"/>
      <c r="T402" s="154"/>
      <c r="AT402" s="150" t="s">
        <v>346</v>
      </c>
      <c r="AU402" s="150" t="s">
        <v>90</v>
      </c>
      <c r="AV402" s="148" t="s">
        <v>90</v>
      </c>
      <c r="AW402" s="148" t="s">
        <v>3</v>
      </c>
      <c r="AX402" s="148" t="s">
        <v>87</v>
      </c>
      <c r="AY402" s="150" t="s">
        <v>337</v>
      </c>
    </row>
    <row r="403" spans="2:65" s="16" customFormat="1" ht="16.5" customHeight="1" x14ac:dyDescent="0.2">
      <c r="B403" s="17"/>
      <c r="C403" s="128">
        <v>19</v>
      </c>
      <c r="D403" s="162" t="s">
        <v>519</v>
      </c>
      <c r="E403" s="163" t="s">
        <v>529</v>
      </c>
      <c r="F403" s="164" t="s">
        <v>530</v>
      </c>
      <c r="G403" s="165" t="s">
        <v>425</v>
      </c>
      <c r="H403" s="166">
        <v>21.606000000000002</v>
      </c>
      <c r="I403" s="167"/>
      <c r="J403" s="168">
        <f>ROUND(I403*H403,2)</f>
        <v>0</v>
      </c>
      <c r="K403" s="164"/>
      <c r="L403" s="169"/>
      <c r="M403" s="170"/>
      <c r="N403" s="171" t="s">
        <v>45</v>
      </c>
      <c r="P403" s="137">
        <f>O403*H403</f>
        <v>0</v>
      </c>
      <c r="Q403" s="137">
        <v>1.6799999999999999E-2</v>
      </c>
      <c r="R403" s="137">
        <f>Q403*H403</f>
        <v>0.36298079999999999</v>
      </c>
      <c r="S403" s="137">
        <v>0</v>
      </c>
      <c r="T403" s="138">
        <f>S403*H403</f>
        <v>0</v>
      </c>
      <c r="AR403" s="139" t="s">
        <v>446</v>
      </c>
      <c r="AT403" s="139" t="s">
        <v>519</v>
      </c>
      <c r="AU403" s="139" t="s">
        <v>90</v>
      </c>
      <c r="AY403" s="2" t="s">
        <v>337</v>
      </c>
      <c r="BE403" s="140">
        <f>IF(N403="základní",J403,0)</f>
        <v>0</v>
      </c>
      <c r="BF403" s="140">
        <f>IF(N403="snížená",J403,0)</f>
        <v>0</v>
      </c>
      <c r="BG403" s="140">
        <f>IF(N403="zákl. přenesená",J403,0)</f>
        <v>0</v>
      </c>
      <c r="BH403" s="140">
        <f>IF(N403="sníž. přenesená",J403,0)</f>
        <v>0</v>
      </c>
      <c r="BI403" s="140">
        <f>IF(N403="nulová",J403,0)</f>
        <v>0</v>
      </c>
      <c r="BJ403" s="2" t="s">
        <v>87</v>
      </c>
      <c r="BK403" s="140">
        <f>ROUND(I403*H403,2)</f>
        <v>0</v>
      </c>
      <c r="BL403" s="2" t="s">
        <v>344</v>
      </c>
      <c r="BM403" s="139" t="s">
        <v>531</v>
      </c>
    </row>
    <row r="404" spans="2:65" s="141" customFormat="1" x14ac:dyDescent="0.2">
      <c r="B404" s="142"/>
      <c r="D404" s="143" t="s">
        <v>346</v>
      </c>
      <c r="E404" s="144"/>
      <c r="F404" s="145" t="s">
        <v>434</v>
      </c>
      <c r="H404" s="144"/>
      <c r="L404" s="142"/>
      <c r="M404" s="146"/>
      <c r="T404" s="147"/>
      <c r="AT404" s="144" t="s">
        <v>346</v>
      </c>
      <c r="AU404" s="144" t="s">
        <v>90</v>
      </c>
      <c r="AV404" s="141" t="s">
        <v>87</v>
      </c>
      <c r="AW404" s="141" t="s">
        <v>33</v>
      </c>
      <c r="AX404" s="141" t="s">
        <v>80</v>
      </c>
      <c r="AY404" s="144" t="s">
        <v>337</v>
      </c>
    </row>
    <row r="405" spans="2:65" s="141" customFormat="1" x14ac:dyDescent="0.2">
      <c r="B405" s="142"/>
      <c r="D405" s="143" t="s">
        <v>346</v>
      </c>
      <c r="E405" s="144"/>
      <c r="F405" s="145" t="s">
        <v>514</v>
      </c>
      <c r="H405" s="144"/>
      <c r="L405" s="142"/>
      <c r="M405" s="146"/>
      <c r="T405" s="147"/>
      <c r="AT405" s="144" t="s">
        <v>346</v>
      </c>
      <c r="AU405" s="144" t="s">
        <v>90</v>
      </c>
      <c r="AV405" s="141" t="s">
        <v>87</v>
      </c>
      <c r="AW405" s="141" t="s">
        <v>33</v>
      </c>
      <c r="AX405" s="141" t="s">
        <v>80</v>
      </c>
      <c r="AY405" s="144" t="s">
        <v>337</v>
      </c>
    </row>
    <row r="406" spans="2:65" s="148" customFormat="1" x14ac:dyDescent="0.2">
      <c r="B406" s="149"/>
      <c r="D406" s="143" t="s">
        <v>346</v>
      </c>
      <c r="E406" s="150"/>
      <c r="F406" s="151" t="s">
        <v>515</v>
      </c>
      <c r="H406" s="152">
        <v>40.020000000000003</v>
      </c>
      <c r="L406" s="149"/>
      <c r="M406" s="153"/>
      <c r="T406" s="154"/>
      <c r="AT406" s="150" t="s">
        <v>346</v>
      </c>
      <c r="AU406" s="150" t="s">
        <v>90</v>
      </c>
      <c r="AV406" s="148" t="s">
        <v>90</v>
      </c>
      <c r="AW406" s="148" t="s">
        <v>33</v>
      </c>
      <c r="AX406" s="148" t="s">
        <v>80</v>
      </c>
      <c r="AY406" s="150" t="s">
        <v>337</v>
      </c>
    </row>
    <row r="407" spans="2:65" s="148" customFormat="1" x14ac:dyDescent="0.2">
      <c r="B407" s="149"/>
      <c r="D407" s="143" t="s">
        <v>346</v>
      </c>
      <c r="E407" s="150"/>
      <c r="F407" s="151" t="s">
        <v>516</v>
      </c>
      <c r="H407" s="152">
        <v>-7.92</v>
      </c>
      <c r="L407" s="149"/>
      <c r="M407" s="153"/>
      <c r="T407" s="154"/>
      <c r="AT407" s="150" t="s">
        <v>346</v>
      </c>
      <c r="AU407" s="150" t="s">
        <v>90</v>
      </c>
      <c r="AV407" s="148" t="s">
        <v>90</v>
      </c>
      <c r="AW407" s="148" t="s">
        <v>33</v>
      </c>
      <c r="AX407" s="148" t="s">
        <v>80</v>
      </c>
      <c r="AY407" s="150" t="s">
        <v>337</v>
      </c>
    </row>
    <row r="408" spans="2:65" s="148" customFormat="1" x14ac:dyDescent="0.2">
      <c r="B408" s="149"/>
      <c r="D408" s="143" t="s">
        <v>346</v>
      </c>
      <c r="E408" s="150"/>
      <c r="F408" s="151" t="s">
        <v>517</v>
      </c>
      <c r="H408" s="152">
        <v>-10.494</v>
      </c>
      <c r="L408" s="149"/>
      <c r="M408" s="153"/>
      <c r="T408" s="154"/>
      <c r="AT408" s="150" t="s">
        <v>346</v>
      </c>
      <c r="AU408" s="150" t="s">
        <v>90</v>
      </c>
      <c r="AV408" s="148" t="s">
        <v>90</v>
      </c>
      <c r="AW408" s="148" t="s">
        <v>33</v>
      </c>
      <c r="AX408" s="148" t="s">
        <v>80</v>
      </c>
      <c r="AY408" s="150" t="s">
        <v>337</v>
      </c>
    </row>
    <row r="409" spans="2:65" s="155" customFormat="1" x14ac:dyDescent="0.2">
      <c r="B409" s="156"/>
      <c r="D409" s="143" t="s">
        <v>346</v>
      </c>
      <c r="E409" s="157"/>
      <c r="F409" s="158" t="s">
        <v>351</v>
      </c>
      <c r="H409" s="159">
        <v>21.606000000000002</v>
      </c>
      <c r="L409" s="156"/>
      <c r="M409" s="160"/>
      <c r="T409" s="161"/>
      <c r="AT409" s="157" t="s">
        <v>346</v>
      </c>
      <c r="AU409" s="157" t="s">
        <v>90</v>
      </c>
      <c r="AV409" s="155" t="s">
        <v>344</v>
      </c>
      <c r="AW409" s="155" t="s">
        <v>33</v>
      </c>
      <c r="AX409" s="155" t="s">
        <v>87</v>
      </c>
      <c r="AY409" s="157" t="s">
        <v>337</v>
      </c>
    </row>
    <row r="410" spans="2:65" s="16" customFormat="1" ht="21.75" customHeight="1" x14ac:dyDescent="0.2">
      <c r="B410" s="17"/>
      <c r="C410" s="128">
        <v>20</v>
      </c>
      <c r="D410" s="128" t="s">
        <v>339</v>
      </c>
      <c r="E410" s="129" t="s">
        <v>533</v>
      </c>
      <c r="F410" s="130" t="s">
        <v>534</v>
      </c>
      <c r="G410" s="131" t="s">
        <v>535</v>
      </c>
      <c r="H410" s="132">
        <v>681.56399999999996</v>
      </c>
      <c r="I410" s="133"/>
      <c r="J410" s="134">
        <f>ROUND(I410*H410,2)</f>
        <v>0</v>
      </c>
      <c r="K410" s="130"/>
      <c r="L410" s="17"/>
      <c r="M410" s="135"/>
      <c r="N410" s="136" t="s">
        <v>45</v>
      </c>
      <c r="P410" s="137">
        <f>O410*H410</f>
        <v>0</v>
      </c>
      <c r="Q410" s="137">
        <v>0</v>
      </c>
      <c r="R410" s="137">
        <f>Q410*H410</f>
        <v>0</v>
      </c>
      <c r="S410" s="137">
        <v>0</v>
      </c>
      <c r="T410" s="138">
        <f>S410*H410</f>
        <v>0</v>
      </c>
      <c r="AR410" s="139" t="s">
        <v>344</v>
      </c>
      <c r="AT410" s="139" t="s">
        <v>339</v>
      </c>
      <c r="AU410" s="139" t="s">
        <v>90</v>
      </c>
      <c r="AY410" s="2" t="s">
        <v>337</v>
      </c>
      <c r="BE410" s="140">
        <f>IF(N410="základní",J410,0)</f>
        <v>0</v>
      </c>
      <c r="BF410" s="140">
        <f>IF(N410="snížená",J410,0)</f>
        <v>0</v>
      </c>
      <c r="BG410" s="140">
        <f>IF(N410="zákl. přenesená",J410,0)</f>
        <v>0</v>
      </c>
      <c r="BH410" s="140">
        <f>IF(N410="sníž. přenesená",J410,0)</f>
        <v>0</v>
      </c>
      <c r="BI410" s="140">
        <f>IF(N410="nulová",J410,0)</f>
        <v>0</v>
      </c>
      <c r="BJ410" s="2" t="s">
        <v>87</v>
      </c>
      <c r="BK410" s="140">
        <f>ROUND(I410*H410,2)</f>
        <v>0</v>
      </c>
      <c r="BL410" s="2" t="s">
        <v>344</v>
      </c>
      <c r="BM410" s="139" t="s">
        <v>536</v>
      </c>
    </row>
    <row r="411" spans="2:65" s="141" customFormat="1" x14ac:dyDescent="0.2">
      <c r="B411" s="142"/>
      <c r="D411" s="143" t="s">
        <v>346</v>
      </c>
      <c r="E411" s="144"/>
      <c r="F411" s="145" t="s">
        <v>537</v>
      </c>
      <c r="H411" s="144"/>
      <c r="L411" s="142"/>
      <c r="M411" s="146"/>
      <c r="T411" s="147"/>
      <c r="AT411" s="144" t="s">
        <v>346</v>
      </c>
      <c r="AU411" s="144" t="s">
        <v>90</v>
      </c>
      <c r="AV411" s="141" t="s">
        <v>87</v>
      </c>
      <c r="AW411" s="141" t="s">
        <v>33</v>
      </c>
      <c r="AX411" s="141" t="s">
        <v>80</v>
      </c>
      <c r="AY411" s="144" t="s">
        <v>337</v>
      </c>
    </row>
    <row r="412" spans="2:65" s="148" customFormat="1" x14ac:dyDescent="0.2">
      <c r="B412" s="149"/>
      <c r="D412" s="143" t="s">
        <v>346</v>
      </c>
      <c r="E412" s="150"/>
      <c r="F412" s="151" t="s">
        <v>538</v>
      </c>
      <c r="H412" s="152">
        <v>681.56399999999996</v>
      </c>
      <c r="L412" s="149"/>
      <c r="M412" s="153"/>
      <c r="T412" s="154"/>
      <c r="AT412" s="150" t="s">
        <v>346</v>
      </c>
      <c r="AU412" s="150" t="s">
        <v>90</v>
      </c>
      <c r="AV412" s="148" t="s">
        <v>90</v>
      </c>
      <c r="AW412" s="148" t="s">
        <v>33</v>
      </c>
      <c r="AX412" s="148" t="s">
        <v>87</v>
      </c>
      <c r="AY412" s="150" t="s">
        <v>337</v>
      </c>
    </row>
    <row r="413" spans="2:65" s="16" customFormat="1" ht="16.5" customHeight="1" x14ac:dyDescent="0.2">
      <c r="B413" s="17"/>
      <c r="C413" s="128">
        <v>21</v>
      </c>
      <c r="D413" s="128" t="s">
        <v>339</v>
      </c>
      <c r="E413" s="129" t="s">
        <v>539</v>
      </c>
      <c r="F413" s="130" t="s">
        <v>540</v>
      </c>
      <c r="G413" s="131" t="s">
        <v>425</v>
      </c>
      <c r="H413" s="132">
        <v>16.164999999999999</v>
      </c>
      <c r="I413" s="133"/>
      <c r="J413" s="134">
        <f>ROUND(I413*H413,2)</f>
        <v>0</v>
      </c>
      <c r="K413" s="130" t="s">
        <v>343</v>
      </c>
      <c r="L413" s="17"/>
      <c r="M413" s="135"/>
      <c r="N413" s="136" t="s">
        <v>45</v>
      </c>
      <c r="P413" s="137">
        <f>O413*H413</f>
        <v>0</v>
      </c>
      <c r="Q413" s="137">
        <v>6.1719999999999997E-2</v>
      </c>
      <c r="R413" s="137">
        <f>Q413*H413</f>
        <v>0.99770379999999992</v>
      </c>
      <c r="S413" s="137">
        <v>0</v>
      </c>
      <c r="T413" s="138">
        <f>S413*H413</f>
        <v>0</v>
      </c>
      <c r="AR413" s="139" t="s">
        <v>344</v>
      </c>
      <c r="AT413" s="139" t="s">
        <v>339</v>
      </c>
      <c r="AU413" s="139" t="s">
        <v>90</v>
      </c>
      <c r="AY413" s="2" t="s">
        <v>337</v>
      </c>
      <c r="BE413" s="140">
        <f>IF(N413="základní",J413,0)</f>
        <v>0</v>
      </c>
      <c r="BF413" s="140">
        <f>IF(N413="snížená",J413,0)</f>
        <v>0</v>
      </c>
      <c r="BG413" s="140">
        <f>IF(N413="zákl. přenesená",J413,0)</f>
        <v>0</v>
      </c>
      <c r="BH413" s="140">
        <f>IF(N413="sníž. přenesená",J413,0)</f>
        <v>0</v>
      </c>
      <c r="BI413" s="140">
        <f>IF(N413="nulová",J413,0)</f>
        <v>0</v>
      </c>
      <c r="BJ413" s="2" t="s">
        <v>87</v>
      </c>
      <c r="BK413" s="140">
        <f>ROUND(I413*H413,2)</f>
        <v>0</v>
      </c>
      <c r="BL413" s="2" t="s">
        <v>344</v>
      </c>
      <c r="BM413" s="139" t="s">
        <v>541</v>
      </c>
    </row>
    <row r="414" spans="2:65" s="141" customFormat="1" x14ac:dyDescent="0.2">
      <c r="B414" s="142"/>
      <c r="D414" s="143" t="s">
        <v>346</v>
      </c>
      <c r="E414" s="144"/>
      <c r="F414" s="145" t="s">
        <v>357</v>
      </c>
      <c r="H414" s="144"/>
      <c r="L414" s="142"/>
      <c r="M414" s="146"/>
      <c r="T414" s="147"/>
      <c r="AT414" s="144" t="s">
        <v>346</v>
      </c>
      <c r="AU414" s="144" t="s">
        <v>90</v>
      </c>
      <c r="AV414" s="141" t="s">
        <v>87</v>
      </c>
      <c r="AW414" s="141" t="s">
        <v>33</v>
      </c>
      <c r="AX414" s="141" t="s">
        <v>80</v>
      </c>
      <c r="AY414" s="144" t="s">
        <v>337</v>
      </c>
    </row>
    <row r="415" spans="2:65" s="148" customFormat="1" x14ac:dyDescent="0.2">
      <c r="B415" s="149"/>
      <c r="D415" s="143" t="s">
        <v>346</v>
      </c>
      <c r="E415" s="150"/>
      <c r="F415" s="151" t="s">
        <v>542</v>
      </c>
      <c r="H415" s="152">
        <v>16.164999999999999</v>
      </c>
      <c r="L415" s="149"/>
      <c r="M415" s="153"/>
      <c r="T415" s="154"/>
      <c r="AT415" s="150" t="s">
        <v>346</v>
      </c>
      <c r="AU415" s="150" t="s">
        <v>90</v>
      </c>
      <c r="AV415" s="148" t="s">
        <v>90</v>
      </c>
      <c r="AW415" s="148" t="s">
        <v>33</v>
      </c>
      <c r="AX415" s="148" t="s">
        <v>80</v>
      </c>
      <c r="AY415" s="150" t="s">
        <v>337</v>
      </c>
    </row>
    <row r="416" spans="2:65" s="155" customFormat="1" x14ac:dyDescent="0.2">
      <c r="B416" s="156"/>
      <c r="D416" s="143" t="s">
        <v>346</v>
      </c>
      <c r="E416" s="157"/>
      <c r="F416" s="158" t="s">
        <v>351</v>
      </c>
      <c r="H416" s="159">
        <v>16.164999999999999</v>
      </c>
      <c r="L416" s="156"/>
      <c r="M416" s="160"/>
      <c r="T416" s="161"/>
      <c r="AT416" s="157" t="s">
        <v>346</v>
      </c>
      <c r="AU416" s="157" t="s">
        <v>90</v>
      </c>
      <c r="AV416" s="155" t="s">
        <v>344</v>
      </c>
      <c r="AW416" s="155" t="s">
        <v>33</v>
      </c>
      <c r="AX416" s="155" t="s">
        <v>87</v>
      </c>
      <c r="AY416" s="157" t="s">
        <v>337</v>
      </c>
    </row>
    <row r="417" spans="2:65" s="16" customFormat="1" ht="16.5" customHeight="1" x14ac:dyDescent="0.2">
      <c r="B417" s="17"/>
      <c r="C417" s="128">
        <v>22</v>
      </c>
      <c r="D417" s="128" t="s">
        <v>339</v>
      </c>
      <c r="E417" s="129" t="s">
        <v>544</v>
      </c>
      <c r="F417" s="130" t="s">
        <v>545</v>
      </c>
      <c r="G417" s="131" t="s">
        <v>425</v>
      </c>
      <c r="H417" s="132">
        <v>175.434</v>
      </c>
      <c r="I417" s="133"/>
      <c r="J417" s="134">
        <f>ROUND(I417*H417,2)</f>
        <v>0</v>
      </c>
      <c r="K417" s="130" t="s">
        <v>343</v>
      </c>
      <c r="L417" s="17"/>
      <c r="M417" s="135"/>
      <c r="N417" s="136" t="s">
        <v>45</v>
      </c>
      <c r="P417" s="137">
        <f>O417*H417</f>
        <v>0</v>
      </c>
      <c r="Q417" s="137">
        <v>7.9210000000000003E-2</v>
      </c>
      <c r="R417" s="137">
        <f>Q417*H417</f>
        <v>13.896127140000001</v>
      </c>
      <c r="S417" s="137">
        <v>0</v>
      </c>
      <c r="T417" s="138">
        <f>S417*H417</f>
        <v>0</v>
      </c>
      <c r="AR417" s="139" t="s">
        <v>344</v>
      </c>
      <c r="AT417" s="139" t="s">
        <v>339</v>
      </c>
      <c r="AU417" s="139" t="s">
        <v>90</v>
      </c>
      <c r="AY417" s="2" t="s">
        <v>337</v>
      </c>
      <c r="BE417" s="140">
        <f>IF(N417="základní",J417,0)</f>
        <v>0</v>
      </c>
      <c r="BF417" s="140">
        <f>IF(N417="snížená",J417,0)</f>
        <v>0</v>
      </c>
      <c r="BG417" s="140">
        <f>IF(N417="zákl. přenesená",J417,0)</f>
        <v>0</v>
      </c>
      <c r="BH417" s="140">
        <f>IF(N417="sníž. přenesená",J417,0)</f>
        <v>0</v>
      </c>
      <c r="BI417" s="140">
        <f>IF(N417="nulová",J417,0)</f>
        <v>0</v>
      </c>
      <c r="BJ417" s="2" t="s">
        <v>87</v>
      </c>
      <c r="BK417" s="140">
        <f>ROUND(I417*H417,2)</f>
        <v>0</v>
      </c>
      <c r="BL417" s="2" t="s">
        <v>344</v>
      </c>
      <c r="BM417" s="139" t="s">
        <v>546</v>
      </c>
    </row>
    <row r="418" spans="2:65" s="141" customFormat="1" x14ac:dyDescent="0.2">
      <c r="B418" s="142"/>
      <c r="D418" s="143" t="s">
        <v>346</v>
      </c>
      <c r="E418" s="144"/>
      <c r="F418" s="145" t="s">
        <v>547</v>
      </c>
      <c r="H418" s="144"/>
      <c r="L418" s="142"/>
      <c r="M418" s="146"/>
      <c r="T418" s="147"/>
      <c r="AT418" s="144" t="s">
        <v>346</v>
      </c>
      <c r="AU418" s="144" t="s">
        <v>90</v>
      </c>
      <c r="AV418" s="141" t="s">
        <v>87</v>
      </c>
      <c r="AW418" s="141" t="s">
        <v>33</v>
      </c>
      <c r="AX418" s="141" t="s">
        <v>80</v>
      </c>
      <c r="AY418" s="144" t="s">
        <v>337</v>
      </c>
    </row>
    <row r="419" spans="2:65" s="141" customFormat="1" x14ac:dyDescent="0.2">
      <c r="B419" s="142"/>
      <c r="D419" s="143" t="s">
        <v>346</v>
      </c>
      <c r="E419" s="144"/>
      <c r="F419" s="145" t="s">
        <v>451</v>
      </c>
      <c r="H419" s="144"/>
      <c r="L419" s="142"/>
      <c r="M419" s="146"/>
      <c r="T419" s="147"/>
      <c r="AT419" s="144" t="s">
        <v>346</v>
      </c>
      <c r="AU419" s="144" t="s">
        <v>90</v>
      </c>
      <c r="AV419" s="141" t="s">
        <v>87</v>
      </c>
      <c r="AW419" s="141" t="s">
        <v>33</v>
      </c>
      <c r="AX419" s="141" t="s">
        <v>80</v>
      </c>
      <c r="AY419" s="144" t="s">
        <v>337</v>
      </c>
    </row>
    <row r="420" spans="2:65" s="148" customFormat="1" x14ac:dyDescent="0.2">
      <c r="B420" s="149"/>
      <c r="D420" s="143" t="s">
        <v>346</v>
      </c>
      <c r="E420" s="150"/>
      <c r="F420" s="151" t="s">
        <v>548</v>
      </c>
      <c r="H420" s="152">
        <v>13.406000000000001</v>
      </c>
      <c r="L420" s="149"/>
      <c r="M420" s="153"/>
      <c r="T420" s="154"/>
      <c r="AT420" s="150" t="s">
        <v>346</v>
      </c>
      <c r="AU420" s="150" t="s">
        <v>90</v>
      </c>
      <c r="AV420" s="148" t="s">
        <v>90</v>
      </c>
      <c r="AW420" s="148" t="s">
        <v>33</v>
      </c>
      <c r="AX420" s="148" t="s">
        <v>80</v>
      </c>
      <c r="AY420" s="150" t="s">
        <v>337</v>
      </c>
    </row>
    <row r="421" spans="2:65" s="148" customFormat="1" x14ac:dyDescent="0.2">
      <c r="B421" s="149"/>
      <c r="D421" s="143" t="s">
        <v>346</v>
      </c>
      <c r="E421" s="150"/>
      <c r="F421" s="151" t="s">
        <v>549</v>
      </c>
      <c r="H421" s="152">
        <v>-1.55</v>
      </c>
      <c r="L421" s="149"/>
      <c r="M421" s="153"/>
      <c r="T421" s="154"/>
      <c r="AT421" s="150" t="s">
        <v>346</v>
      </c>
      <c r="AU421" s="150" t="s">
        <v>90</v>
      </c>
      <c r="AV421" s="148" t="s">
        <v>90</v>
      </c>
      <c r="AW421" s="148" t="s">
        <v>33</v>
      </c>
      <c r="AX421" s="148" t="s">
        <v>80</v>
      </c>
      <c r="AY421" s="150" t="s">
        <v>337</v>
      </c>
    </row>
    <row r="422" spans="2:65" s="141" customFormat="1" x14ac:dyDescent="0.2">
      <c r="B422" s="142"/>
      <c r="D422" s="143" t="s">
        <v>346</v>
      </c>
      <c r="E422" s="144"/>
      <c r="F422" s="145" t="s">
        <v>357</v>
      </c>
      <c r="H422" s="144"/>
      <c r="L422" s="142"/>
      <c r="M422" s="146"/>
      <c r="T422" s="147"/>
      <c r="AT422" s="144" t="s">
        <v>346</v>
      </c>
      <c r="AU422" s="144" t="s">
        <v>90</v>
      </c>
      <c r="AV422" s="141" t="s">
        <v>87</v>
      </c>
      <c r="AW422" s="141" t="s">
        <v>33</v>
      </c>
      <c r="AX422" s="141" t="s">
        <v>80</v>
      </c>
      <c r="AY422" s="144" t="s">
        <v>337</v>
      </c>
    </row>
    <row r="423" spans="2:65" s="148" customFormat="1" x14ac:dyDescent="0.2">
      <c r="B423" s="149"/>
      <c r="D423" s="143" t="s">
        <v>346</v>
      </c>
      <c r="E423" s="150"/>
      <c r="F423" s="151" t="s">
        <v>550</v>
      </c>
      <c r="H423" s="152">
        <v>47.832999999999998</v>
      </c>
      <c r="L423" s="149"/>
      <c r="M423" s="153"/>
      <c r="T423" s="154"/>
      <c r="AT423" s="150" t="s">
        <v>346</v>
      </c>
      <c r="AU423" s="150" t="s">
        <v>90</v>
      </c>
      <c r="AV423" s="148" t="s">
        <v>90</v>
      </c>
      <c r="AW423" s="148" t="s">
        <v>33</v>
      </c>
      <c r="AX423" s="148" t="s">
        <v>80</v>
      </c>
      <c r="AY423" s="150" t="s">
        <v>337</v>
      </c>
    </row>
    <row r="424" spans="2:65" s="148" customFormat="1" x14ac:dyDescent="0.2">
      <c r="B424" s="149"/>
      <c r="D424" s="143" t="s">
        <v>346</v>
      </c>
      <c r="E424" s="150"/>
      <c r="F424" s="151" t="s">
        <v>551</v>
      </c>
      <c r="H424" s="152">
        <v>19.279</v>
      </c>
      <c r="L424" s="149"/>
      <c r="M424" s="153"/>
      <c r="T424" s="154"/>
      <c r="AT424" s="150" t="s">
        <v>346</v>
      </c>
      <c r="AU424" s="150" t="s">
        <v>90</v>
      </c>
      <c r="AV424" s="148" t="s">
        <v>90</v>
      </c>
      <c r="AW424" s="148" t="s">
        <v>33</v>
      </c>
      <c r="AX424" s="148" t="s">
        <v>80</v>
      </c>
      <c r="AY424" s="150" t="s">
        <v>337</v>
      </c>
    </row>
    <row r="425" spans="2:65" s="148" customFormat="1" x14ac:dyDescent="0.2">
      <c r="B425" s="149"/>
      <c r="D425" s="143" t="s">
        <v>346</v>
      </c>
      <c r="E425" s="150"/>
      <c r="F425" s="151" t="s">
        <v>552</v>
      </c>
      <c r="H425" s="152">
        <v>9.8710000000000004</v>
      </c>
      <c r="L425" s="149"/>
      <c r="M425" s="153"/>
      <c r="T425" s="154"/>
      <c r="AT425" s="150" t="s">
        <v>346</v>
      </c>
      <c r="AU425" s="150" t="s">
        <v>90</v>
      </c>
      <c r="AV425" s="148" t="s">
        <v>90</v>
      </c>
      <c r="AW425" s="148" t="s">
        <v>33</v>
      </c>
      <c r="AX425" s="148" t="s">
        <v>80</v>
      </c>
      <c r="AY425" s="150" t="s">
        <v>337</v>
      </c>
    </row>
    <row r="426" spans="2:65" s="148" customFormat="1" x14ac:dyDescent="0.2">
      <c r="B426" s="149"/>
      <c r="D426" s="143" t="s">
        <v>346</v>
      </c>
      <c r="E426" s="150"/>
      <c r="F426" s="151" t="s">
        <v>553</v>
      </c>
      <c r="H426" s="152">
        <v>11.792999999999999</v>
      </c>
      <c r="L426" s="149"/>
      <c r="M426" s="153"/>
      <c r="T426" s="154"/>
      <c r="AT426" s="150" t="s">
        <v>346</v>
      </c>
      <c r="AU426" s="150" t="s">
        <v>90</v>
      </c>
      <c r="AV426" s="148" t="s">
        <v>90</v>
      </c>
      <c r="AW426" s="148" t="s">
        <v>33</v>
      </c>
      <c r="AX426" s="148" t="s">
        <v>80</v>
      </c>
      <c r="AY426" s="150" t="s">
        <v>337</v>
      </c>
    </row>
    <row r="427" spans="2:65" s="148" customFormat="1" x14ac:dyDescent="0.2">
      <c r="B427" s="149"/>
      <c r="D427" s="143" t="s">
        <v>346</v>
      </c>
      <c r="E427" s="150"/>
      <c r="F427" s="151" t="s">
        <v>554</v>
      </c>
      <c r="H427" s="152">
        <v>35.841000000000001</v>
      </c>
      <c r="L427" s="149"/>
      <c r="M427" s="153"/>
      <c r="T427" s="154"/>
      <c r="AT427" s="150" t="s">
        <v>346</v>
      </c>
      <c r="AU427" s="150" t="s">
        <v>90</v>
      </c>
      <c r="AV427" s="148" t="s">
        <v>90</v>
      </c>
      <c r="AW427" s="148" t="s">
        <v>33</v>
      </c>
      <c r="AX427" s="148" t="s">
        <v>80</v>
      </c>
      <c r="AY427" s="150" t="s">
        <v>337</v>
      </c>
    </row>
    <row r="428" spans="2:65" s="148" customFormat="1" x14ac:dyDescent="0.2">
      <c r="B428" s="149"/>
      <c r="D428" s="143" t="s">
        <v>346</v>
      </c>
      <c r="E428" s="150"/>
      <c r="F428" s="151" t="s">
        <v>555</v>
      </c>
      <c r="H428" s="152">
        <v>14.641</v>
      </c>
      <c r="L428" s="149"/>
      <c r="M428" s="153"/>
      <c r="T428" s="154"/>
      <c r="AT428" s="150" t="s">
        <v>346</v>
      </c>
      <c r="AU428" s="150" t="s">
        <v>90</v>
      </c>
      <c r="AV428" s="148" t="s">
        <v>90</v>
      </c>
      <c r="AW428" s="148" t="s">
        <v>33</v>
      </c>
      <c r="AX428" s="148" t="s">
        <v>80</v>
      </c>
      <c r="AY428" s="150" t="s">
        <v>337</v>
      </c>
    </row>
    <row r="429" spans="2:65" s="148" customFormat="1" x14ac:dyDescent="0.2">
      <c r="B429" s="149"/>
      <c r="D429" s="143" t="s">
        <v>346</v>
      </c>
      <c r="E429" s="150"/>
      <c r="F429" s="151" t="s">
        <v>556</v>
      </c>
      <c r="H429" s="152">
        <v>21.530999999999999</v>
      </c>
      <c r="L429" s="149"/>
      <c r="M429" s="153"/>
      <c r="T429" s="154"/>
      <c r="AT429" s="150" t="s">
        <v>346</v>
      </c>
      <c r="AU429" s="150" t="s">
        <v>90</v>
      </c>
      <c r="AV429" s="148" t="s">
        <v>90</v>
      </c>
      <c r="AW429" s="148" t="s">
        <v>33</v>
      </c>
      <c r="AX429" s="148" t="s">
        <v>80</v>
      </c>
      <c r="AY429" s="150" t="s">
        <v>337</v>
      </c>
    </row>
    <row r="430" spans="2:65" s="148" customFormat="1" x14ac:dyDescent="0.2">
      <c r="B430" s="149"/>
      <c r="D430" s="143" t="s">
        <v>346</v>
      </c>
      <c r="E430" s="150"/>
      <c r="F430" s="151" t="s">
        <v>557</v>
      </c>
      <c r="H430" s="152">
        <v>21.068000000000001</v>
      </c>
      <c r="L430" s="149"/>
      <c r="M430" s="153"/>
      <c r="T430" s="154"/>
      <c r="AT430" s="150" t="s">
        <v>346</v>
      </c>
      <c r="AU430" s="150" t="s">
        <v>90</v>
      </c>
      <c r="AV430" s="148" t="s">
        <v>90</v>
      </c>
      <c r="AW430" s="148" t="s">
        <v>33</v>
      </c>
      <c r="AX430" s="148" t="s">
        <v>80</v>
      </c>
      <c r="AY430" s="150" t="s">
        <v>337</v>
      </c>
    </row>
    <row r="431" spans="2:65" s="148" customFormat="1" x14ac:dyDescent="0.2">
      <c r="B431" s="149"/>
      <c r="D431" s="143" t="s">
        <v>346</v>
      </c>
      <c r="E431" s="150"/>
      <c r="F431" s="151" t="s">
        <v>558</v>
      </c>
      <c r="H431" s="152">
        <v>4.7699999999999996</v>
      </c>
      <c r="L431" s="149"/>
      <c r="M431" s="153"/>
      <c r="T431" s="154"/>
      <c r="AT431" s="150" t="s">
        <v>346</v>
      </c>
      <c r="AU431" s="150" t="s">
        <v>90</v>
      </c>
      <c r="AV431" s="148" t="s">
        <v>90</v>
      </c>
      <c r="AW431" s="148" t="s">
        <v>33</v>
      </c>
      <c r="AX431" s="148" t="s">
        <v>80</v>
      </c>
      <c r="AY431" s="150" t="s">
        <v>337</v>
      </c>
    </row>
    <row r="432" spans="2:65" s="141" customFormat="1" x14ac:dyDescent="0.2">
      <c r="B432" s="142"/>
      <c r="D432" s="143" t="s">
        <v>346</v>
      </c>
      <c r="E432" s="144"/>
      <c r="F432" s="145" t="s">
        <v>559</v>
      </c>
      <c r="H432" s="144"/>
      <c r="L432" s="142"/>
      <c r="M432" s="146"/>
      <c r="T432" s="147"/>
      <c r="AT432" s="144" t="s">
        <v>346</v>
      </c>
      <c r="AU432" s="144" t="s">
        <v>90</v>
      </c>
      <c r="AV432" s="141" t="s">
        <v>87</v>
      </c>
      <c r="AW432" s="141" t="s">
        <v>33</v>
      </c>
      <c r="AX432" s="141" t="s">
        <v>80</v>
      </c>
      <c r="AY432" s="144" t="s">
        <v>337</v>
      </c>
    </row>
    <row r="433" spans="2:65" s="148" customFormat="1" x14ac:dyDescent="0.2">
      <c r="B433" s="149"/>
      <c r="D433" s="143" t="s">
        <v>346</v>
      </c>
      <c r="E433" s="150"/>
      <c r="F433" s="151" t="s">
        <v>560</v>
      </c>
      <c r="H433" s="152">
        <v>-1.379</v>
      </c>
      <c r="L433" s="149"/>
      <c r="M433" s="153"/>
      <c r="T433" s="154"/>
      <c r="AT433" s="150" t="s">
        <v>346</v>
      </c>
      <c r="AU433" s="150" t="s">
        <v>90</v>
      </c>
      <c r="AV433" s="148" t="s">
        <v>90</v>
      </c>
      <c r="AW433" s="148" t="s">
        <v>33</v>
      </c>
      <c r="AX433" s="148" t="s">
        <v>80</v>
      </c>
      <c r="AY433" s="150" t="s">
        <v>337</v>
      </c>
    </row>
    <row r="434" spans="2:65" s="148" customFormat="1" x14ac:dyDescent="0.2">
      <c r="B434" s="149"/>
      <c r="D434" s="143" t="s">
        <v>346</v>
      </c>
      <c r="E434" s="150"/>
      <c r="F434" s="151" t="s">
        <v>561</v>
      </c>
      <c r="H434" s="152">
        <v>-1.5760000000000001</v>
      </c>
      <c r="L434" s="149"/>
      <c r="M434" s="153"/>
      <c r="T434" s="154"/>
      <c r="AT434" s="150" t="s">
        <v>346</v>
      </c>
      <c r="AU434" s="150" t="s">
        <v>90</v>
      </c>
      <c r="AV434" s="148" t="s">
        <v>90</v>
      </c>
      <c r="AW434" s="148" t="s">
        <v>33</v>
      </c>
      <c r="AX434" s="148" t="s">
        <v>80</v>
      </c>
      <c r="AY434" s="150" t="s">
        <v>337</v>
      </c>
    </row>
    <row r="435" spans="2:65" s="148" customFormat="1" x14ac:dyDescent="0.2">
      <c r="B435" s="149"/>
      <c r="D435" s="143" t="s">
        <v>346</v>
      </c>
      <c r="E435" s="150"/>
      <c r="F435" s="151" t="s">
        <v>562</v>
      </c>
      <c r="H435" s="152">
        <v>-14.183999999999999</v>
      </c>
      <c r="L435" s="149"/>
      <c r="M435" s="153"/>
      <c r="T435" s="154"/>
      <c r="AT435" s="150" t="s">
        <v>346</v>
      </c>
      <c r="AU435" s="150" t="s">
        <v>90</v>
      </c>
      <c r="AV435" s="148" t="s">
        <v>90</v>
      </c>
      <c r="AW435" s="148" t="s">
        <v>33</v>
      </c>
      <c r="AX435" s="148" t="s">
        <v>80</v>
      </c>
      <c r="AY435" s="150" t="s">
        <v>337</v>
      </c>
    </row>
    <row r="436" spans="2:65" s="148" customFormat="1" x14ac:dyDescent="0.2">
      <c r="B436" s="149"/>
      <c r="D436" s="143" t="s">
        <v>346</v>
      </c>
      <c r="E436" s="150"/>
      <c r="F436" s="151" t="s">
        <v>563</v>
      </c>
      <c r="H436" s="152">
        <v>-2.758</v>
      </c>
      <c r="L436" s="149"/>
      <c r="M436" s="153"/>
      <c r="T436" s="154"/>
      <c r="AT436" s="150" t="s">
        <v>346</v>
      </c>
      <c r="AU436" s="150" t="s">
        <v>90</v>
      </c>
      <c r="AV436" s="148" t="s">
        <v>90</v>
      </c>
      <c r="AW436" s="148" t="s">
        <v>33</v>
      </c>
      <c r="AX436" s="148" t="s">
        <v>80</v>
      </c>
      <c r="AY436" s="150" t="s">
        <v>337</v>
      </c>
    </row>
    <row r="437" spans="2:65" s="148" customFormat="1" x14ac:dyDescent="0.2">
      <c r="B437" s="149"/>
      <c r="D437" s="143" t="s">
        <v>346</v>
      </c>
      <c r="E437" s="150"/>
      <c r="F437" s="151" t="s">
        <v>564</v>
      </c>
      <c r="H437" s="152">
        <v>-3.1520000000000001</v>
      </c>
      <c r="L437" s="149"/>
      <c r="M437" s="153"/>
      <c r="T437" s="154"/>
      <c r="AT437" s="150" t="s">
        <v>346</v>
      </c>
      <c r="AU437" s="150" t="s">
        <v>90</v>
      </c>
      <c r="AV437" s="148" t="s">
        <v>90</v>
      </c>
      <c r="AW437" s="148" t="s">
        <v>33</v>
      </c>
      <c r="AX437" s="148" t="s">
        <v>80</v>
      </c>
      <c r="AY437" s="150" t="s">
        <v>337</v>
      </c>
    </row>
    <row r="438" spans="2:65" s="155" customFormat="1" x14ac:dyDescent="0.2">
      <c r="B438" s="156"/>
      <c r="D438" s="143" t="s">
        <v>346</v>
      </c>
      <c r="E438" s="157"/>
      <c r="F438" s="158" t="s">
        <v>351</v>
      </c>
      <c r="H438" s="159">
        <v>175.434</v>
      </c>
      <c r="L438" s="156"/>
      <c r="M438" s="160"/>
      <c r="T438" s="161"/>
      <c r="AT438" s="157" t="s">
        <v>346</v>
      </c>
      <c r="AU438" s="157" t="s">
        <v>90</v>
      </c>
      <c r="AV438" s="155" t="s">
        <v>344</v>
      </c>
      <c r="AW438" s="155" t="s">
        <v>33</v>
      </c>
      <c r="AX438" s="155" t="s">
        <v>87</v>
      </c>
      <c r="AY438" s="157" t="s">
        <v>337</v>
      </c>
    </row>
    <row r="439" spans="2:65" s="116" customFormat="1" ht="22.9" customHeight="1" x14ac:dyDescent="0.2">
      <c r="B439" s="117"/>
      <c r="D439" s="118" t="s">
        <v>79</v>
      </c>
      <c r="E439" s="126" t="s">
        <v>430</v>
      </c>
      <c r="F439" s="126" t="s">
        <v>565</v>
      </c>
      <c r="J439" s="127">
        <f>BK439</f>
        <v>0</v>
      </c>
      <c r="L439" s="117"/>
      <c r="M439" s="121"/>
      <c r="P439" s="122">
        <f>SUM(P440:P718)</f>
        <v>0</v>
      </c>
      <c r="R439" s="122">
        <f>SUM(R440:R718)</f>
        <v>552.25715704999993</v>
      </c>
      <c r="T439" s="123">
        <f>SUM(T440:T718)</f>
        <v>2.1873799999999997</v>
      </c>
      <c r="AR439" s="118" t="s">
        <v>87</v>
      </c>
      <c r="AT439" s="124" t="s">
        <v>79</v>
      </c>
      <c r="AU439" s="124" t="s">
        <v>87</v>
      </c>
      <c r="AY439" s="118" t="s">
        <v>337</v>
      </c>
      <c r="BK439" s="125">
        <f>SUM(BK440:BK718)</f>
        <v>0</v>
      </c>
    </row>
    <row r="440" spans="2:65" s="16" customFormat="1" ht="16.5" customHeight="1" x14ac:dyDescent="0.2">
      <c r="B440" s="17"/>
      <c r="C440" s="128">
        <v>23</v>
      </c>
      <c r="D440" s="128" t="s">
        <v>339</v>
      </c>
      <c r="E440" s="129" t="s">
        <v>566</v>
      </c>
      <c r="F440" s="130" t="s">
        <v>567</v>
      </c>
      <c r="G440" s="131" t="s">
        <v>425</v>
      </c>
      <c r="H440" s="132">
        <v>50.83</v>
      </c>
      <c r="I440" s="133"/>
      <c r="J440" s="134">
        <f>ROUND(I440*H440,2)</f>
        <v>0</v>
      </c>
      <c r="K440" s="130" t="s">
        <v>343</v>
      </c>
      <c r="L440" s="17"/>
      <c r="M440" s="135"/>
      <c r="N440" s="136" t="s">
        <v>45</v>
      </c>
      <c r="P440" s="137">
        <f>O440*H440</f>
        <v>0</v>
      </c>
      <c r="Q440" s="137">
        <v>7.3499999999999998E-3</v>
      </c>
      <c r="R440" s="137">
        <f>Q440*H440</f>
        <v>0.3736005</v>
      </c>
      <c r="S440" s="137">
        <v>0</v>
      </c>
      <c r="T440" s="138">
        <f>S440*H440</f>
        <v>0</v>
      </c>
      <c r="AR440" s="139" t="s">
        <v>344</v>
      </c>
      <c r="AT440" s="139" t="s">
        <v>339</v>
      </c>
      <c r="AU440" s="139" t="s">
        <v>90</v>
      </c>
      <c r="AY440" s="2" t="s">
        <v>337</v>
      </c>
      <c r="BE440" s="140">
        <f>IF(N440="základní",J440,0)</f>
        <v>0</v>
      </c>
      <c r="BF440" s="140">
        <f>IF(N440="snížená",J440,0)</f>
        <v>0</v>
      </c>
      <c r="BG440" s="140">
        <f>IF(N440="zákl. přenesená",J440,0)</f>
        <v>0</v>
      </c>
      <c r="BH440" s="140">
        <f>IF(N440="sníž. přenesená",J440,0)</f>
        <v>0</v>
      </c>
      <c r="BI440" s="140">
        <f>IF(N440="nulová",J440,0)</f>
        <v>0</v>
      </c>
      <c r="BJ440" s="2" t="s">
        <v>87</v>
      </c>
      <c r="BK440" s="140">
        <f>ROUND(I440*H440,2)</f>
        <v>0</v>
      </c>
      <c r="BL440" s="2" t="s">
        <v>344</v>
      </c>
      <c r="BM440" s="139" t="s">
        <v>568</v>
      </c>
    </row>
    <row r="441" spans="2:65" s="16" customFormat="1" ht="16.5" customHeight="1" x14ac:dyDescent="0.2">
      <c r="B441" s="17"/>
      <c r="C441" s="128">
        <v>24</v>
      </c>
      <c r="D441" s="128" t="s">
        <v>339</v>
      </c>
      <c r="E441" s="129" t="s">
        <v>570</v>
      </c>
      <c r="F441" s="130" t="s">
        <v>571</v>
      </c>
      <c r="G441" s="131" t="s">
        <v>425</v>
      </c>
      <c r="H441" s="132">
        <v>33.53</v>
      </c>
      <c r="I441" s="133"/>
      <c r="J441" s="134">
        <f>ROUND(I441*H441,2)</f>
        <v>0</v>
      </c>
      <c r="K441" s="130" t="s">
        <v>343</v>
      </c>
      <c r="L441" s="17"/>
      <c r="M441" s="135"/>
      <c r="N441" s="136" t="s">
        <v>45</v>
      </c>
      <c r="P441" s="137">
        <f>O441*H441</f>
        <v>0</v>
      </c>
      <c r="Q441" s="137">
        <v>2.63E-4</v>
      </c>
      <c r="R441" s="137">
        <f>Q441*H441</f>
        <v>8.8183900000000006E-3</v>
      </c>
      <c r="S441" s="137">
        <v>0</v>
      </c>
      <c r="T441" s="138">
        <f>S441*H441</f>
        <v>0</v>
      </c>
      <c r="AR441" s="139" t="s">
        <v>344</v>
      </c>
      <c r="AT441" s="139" t="s">
        <v>339</v>
      </c>
      <c r="AU441" s="139" t="s">
        <v>90</v>
      </c>
      <c r="AY441" s="2" t="s">
        <v>337</v>
      </c>
      <c r="BE441" s="140">
        <f>IF(N441="základní",J441,0)</f>
        <v>0</v>
      </c>
      <c r="BF441" s="140">
        <f>IF(N441="snížená",J441,0)</f>
        <v>0</v>
      </c>
      <c r="BG441" s="140">
        <f>IF(N441="zákl. přenesená",J441,0)</f>
        <v>0</v>
      </c>
      <c r="BH441" s="140">
        <f>IF(N441="sníž. přenesená",J441,0)</f>
        <v>0</v>
      </c>
      <c r="BI441" s="140">
        <f>IF(N441="nulová",J441,0)</f>
        <v>0</v>
      </c>
      <c r="BJ441" s="2" t="s">
        <v>87</v>
      </c>
      <c r="BK441" s="140">
        <f>ROUND(I441*H441,2)</f>
        <v>0</v>
      </c>
      <c r="BL441" s="2" t="s">
        <v>344</v>
      </c>
      <c r="BM441" s="139" t="s">
        <v>572</v>
      </c>
    </row>
    <row r="442" spans="2:65" s="16" customFormat="1" ht="16.5" customHeight="1" x14ac:dyDescent="0.2">
      <c r="B442" s="17"/>
      <c r="C442" s="128">
        <v>25</v>
      </c>
      <c r="D442" s="128" t="s">
        <v>339</v>
      </c>
      <c r="E442" s="129" t="s">
        <v>573</v>
      </c>
      <c r="F442" s="130" t="s">
        <v>574</v>
      </c>
      <c r="G442" s="131" t="s">
        <v>425</v>
      </c>
      <c r="H442" s="132">
        <v>406.58100000000002</v>
      </c>
      <c r="I442" s="133"/>
      <c r="J442" s="134">
        <f>ROUND(I442*H442,2)</f>
        <v>0</v>
      </c>
      <c r="K442" s="130" t="s">
        <v>343</v>
      </c>
      <c r="L442" s="17"/>
      <c r="M442" s="135"/>
      <c r="N442" s="136" t="s">
        <v>45</v>
      </c>
      <c r="P442" s="137">
        <f>O442*H442</f>
        <v>0</v>
      </c>
      <c r="Q442" s="137">
        <v>2.5999999999999998E-4</v>
      </c>
      <c r="R442" s="137">
        <f>Q442*H442</f>
        <v>0.10571106</v>
      </c>
      <c r="S442" s="137">
        <v>0</v>
      </c>
      <c r="T442" s="138">
        <f>S442*H442</f>
        <v>0</v>
      </c>
      <c r="AR442" s="139" t="s">
        <v>344</v>
      </c>
      <c r="AT442" s="139" t="s">
        <v>339</v>
      </c>
      <c r="AU442" s="139" t="s">
        <v>90</v>
      </c>
      <c r="AY442" s="2" t="s">
        <v>337</v>
      </c>
      <c r="BE442" s="140">
        <f>IF(N442="základní",J442,0)</f>
        <v>0</v>
      </c>
      <c r="BF442" s="140">
        <f>IF(N442="snížená",J442,0)</f>
        <v>0</v>
      </c>
      <c r="BG442" s="140">
        <f>IF(N442="zákl. přenesená",J442,0)</f>
        <v>0</v>
      </c>
      <c r="BH442" s="140">
        <f>IF(N442="sníž. přenesená",J442,0)</f>
        <v>0</v>
      </c>
      <c r="BI442" s="140">
        <f>IF(N442="nulová",J442,0)</f>
        <v>0</v>
      </c>
      <c r="BJ442" s="2" t="s">
        <v>87</v>
      </c>
      <c r="BK442" s="140">
        <f>ROUND(I442*H442,2)</f>
        <v>0</v>
      </c>
      <c r="BL442" s="2" t="s">
        <v>344</v>
      </c>
      <c r="BM442" s="139" t="s">
        <v>575</v>
      </c>
    </row>
    <row r="443" spans="2:65" s="141" customFormat="1" x14ac:dyDescent="0.2">
      <c r="B443" s="142"/>
      <c r="D443" s="143" t="s">
        <v>346</v>
      </c>
      <c r="E443" s="144"/>
      <c r="F443" s="145" t="s">
        <v>576</v>
      </c>
      <c r="H443" s="144"/>
      <c r="L443" s="142"/>
      <c r="M443" s="146"/>
      <c r="T443" s="147"/>
      <c r="AT443" s="144" t="s">
        <v>346</v>
      </c>
      <c r="AU443" s="144" t="s">
        <v>90</v>
      </c>
      <c r="AV443" s="141" t="s">
        <v>87</v>
      </c>
      <c r="AW443" s="141" t="s">
        <v>33</v>
      </c>
      <c r="AX443" s="141" t="s">
        <v>80</v>
      </c>
      <c r="AY443" s="144" t="s">
        <v>337</v>
      </c>
    </row>
    <row r="444" spans="2:65" s="148" customFormat="1" x14ac:dyDescent="0.2">
      <c r="B444" s="149"/>
      <c r="D444" s="143" t="s">
        <v>346</v>
      </c>
      <c r="E444" s="150"/>
      <c r="F444" s="151" t="s">
        <v>273</v>
      </c>
      <c r="H444" s="152">
        <v>135.30000000000001</v>
      </c>
      <c r="L444" s="149"/>
      <c r="M444" s="153"/>
      <c r="T444" s="154"/>
      <c r="AT444" s="150" t="s">
        <v>346</v>
      </c>
      <c r="AU444" s="150" t="s">
        <v>90</v>
      </c>
      <c r="AV444" s="148" t="s">
        <v>90</v>
      </c>
      <c r="AW444" s="148" t="s">
        <v>33</v>
      </c>
      <c r="AX444" s="148" t="s">
        <v>80</v>
      </c>
      <c r="AY444" s="150" t="s">
        <v>337</v>
      </c>
    </row>
    <row r="445" spans="2:65" s="148" customFormat="1" x14ac:dyDescent="0.2">
      <c r="B445" s="149"/>
      <c r="D445" s="143" t="s">
        <v>346</v>
      </c>
      <c r="E445" s="150"/>
      <c r="F445" s="151" t="s">
        <v>271</v>
      </c>
      <c r="H445" s="152">
        <v>271.28100000000001</v>
      </c>
      <c r="L445" s="149"/>
      <c r="M445" s="153"/>
      <c r="T445" s="154"/>
      <c r="AT445" s="150" t="s">
        <v>346</v>
      </c>
      <c r="AU445" s="150" t="s">
        <v>90</v>
      </c>
      <c r="AV445" s="148" t="s">
        <v>90</v>
      </c>
      <c r="AW445" s="148" t="s">
        <v>33</v>
      </c>
      <c r="AX445" s="148" t="s">
        <v>80</v>
      </c>
      <c r="AY445" s="150" t="s">
        <v>337</v>
      </c>
    </row>
    <row r="446" spans="2:65" s="155" customFormat="1" x14ac:dyDescent="0.2">
      <c r="B446" s="156"/>
      <c r="D446" s="143" t="s">
        <v>346</v>
      </c>
      <c r="E446" s="157"/>
      <c r="F446" s="158" t="s">
        <v>351</v>
      </c>
      <c r="H446" s="159">
        <v>406.58100000000002</v>
      </c>
      <c r="L446" s="156"/>
      <c r="M446" s="160"/>
      <c r="T446" s="161"/>
      <c r="AT446" s="157" t="s">
        <v>346</v>
      </c>
      <c r="AU446" s="157" t="s">
        <v>90</v>
      </c>
      <c r="AV446" s="155" t="s">
        <v>344</v>
      </c>
      <c r="AW446" s="155" t="s">
        <v>33</v>
      </c>
      <c r="AX446" s="155" t="s">
        <v>87</v>
      </c>
      <c r="AY446" s="157" t="s">
        <v>337</v>
      </c>
    </row>
    <row r="447" spans="2:65" s="16" customFormat="1" ht="16.5" customHeight="1" x14ac:dyDescent="0.2">
      <c r="B447" s="17"/>
      <c r="C447" s="128">
        <v>26</v>
      </c>
      <c r="D447" s="128" t="s">
        <v>339</v>
      </c>
      <c r="E447" s="129" t="s">
        <v>578</v>
      </c>
      <c r="F447" s="130" t="s">
        <v>579</v>
      </c>
      <c r="G447" s="131" t="s">
        <v>425</v>
      </c>
      <c r="H447" s="132">
        <v>102.72</v>
      </c>
      <c r="I447" s="133"/>
      <c r="J447" s="134">
        <f>ROUND(I447*H447,2)</f>
        <v>0</v>
      </c>
      <c r="K447" s="130" t="s">
        <v>343</v>
      </c>
      <c r="L447" s="17"/>
      <c r="M447" s="135"/>
      <c r="N447" s="136" t="s">
        <v>45</v>
      </c>
      <c r="P447" s="137">
        <f>O447*H447</f>
        <v>0</v>
      </c>
      <c r="Q447" s="137">
        <v>8.0000000000000002E-3</v>
      </c>
      <c r="R447" s="137">
        <f>Q447*H447</f>
        <v>0.82176000000000005</v>
      </c>
      <c r="S447" s="137">
        <v>0</v>
      </c>
      <c r="T447" s="138">
        <f>S447*H447</f>
        <v>0</v>
      </c>
      <c r="AR447" s="139" t="s">
        <v>344</v>
      </c>
      <c r="AT447" s="139" t="s">
        <v>339</v>
      </c>
      <c r="AU447" s="139" t="s">
        <v>90</v>
      </c>
      <c r="AY447" s="2" t="s">
        <v>337</v>
      </c>
      <c r="BE447" s="140">
        <f>IF(N447="základní",J447,0)</f>
        <v>0</v>
      </c>
      <c r="BF447" s="140">
        <f>IF(N447="snížená",J447,0)</f>
        <v>0</v>
      </c>
      <c r="BG447" s="140">
        <f>IF(N447="zákl. přenesená",J447,0)</f>
        <v>0</v>
      </c>
      <c r="BH447" s="140">
        <f>IF(N447="sníž. přenesená",J447,0)</f>
        <v>0</v>
      </c>
      <c r="BI447" s="140">
        <f>IF(N447="nulová",J447,0)</f>
        <v>0</v>
      </c>
      <c r="BJ447" s="2" t="s">
        <v>87</v>
      </c>
      <c r="BK447" s="140">
        <f>ROUND(I447*H447,2)</f>
        <v>0</v>
      </c>
      <c r="BL447" s="2" t="s">
        <v>344</v>
      </c>
      <c r="BM447" s="139" t="s">
        <v>580</v>
      </c>
    </row>
    <row r="448" spans="2:65" s="148" customFormat="1" x14ac:dyDescent="0.2">
      <c r="B448" s="149"/>
      <c r="D448" s="143" t="s">
        <v>346</v>
      </c>
      <c r="E448" s="150"/>
      <c r="F448" s="151" t="s">
        <v>581</v>
      </c>
      <c r="H448" s="152">
        <v>11.83</v>
      </c>
      <c r="L448" s="149"/>
      <c r="M448" s="153"/>
      <c r="T448" s="154"/>
      <c r="AT448" s="150" t="s">
        <v>346</v>
      </c>
      <c r="AU448" s="150" t="s">
        <v>90</v>
      </c>
      <c r="AV448" s="148" t="s">
        <v>90</v>
      </c>
      <c r="AW448" s="148" t="s">
        <v>33</v>
      </c>
      <c r="AX448" s="148" t="s">
        <v>80</v>
      </c>
      <c r="AY448" s="150" t="s">
        <v>337</v>
      </c>
    </row>
    <row r="449" spans="2:65" s="148" customFormat="1" x14ac:dyDescent="0.2">
      <c r="B449" s="149"/>
      <c r="D449" s="143" t="s">
        <v>346</v>
      </c>
      <c r="E449" s="150"/>
      <c r="F449" s="151" t="s">
        <v>582</v>
      </c>
      <c r="H449" s="152">
        <v>3.72</v>
      </c>
      <c r="L449" s="149"/>
      <c r="M449" s="153"/>
      <c r="T449" s="154"/>
      <c r="AT449" s="150" t="s">
        <v>346</v>
      </c>
      <c r="AU449" s="150" t="s">
        <v>90</v>
      </c>
      <c r="AV449" s="148" t="s">
        <v>90</v>
      </c>
      <c r="AW449" s="148" t="s">
        <v>33</v>
      </c>
      <c r="AX449" s="148" t="s">
        <v>80</v>
      </c>
      <c r="AY449" s="150" t="s">
        <v>337</v>
      </c>
    </row>
    <row r="450" spans="2:65" s="148" customFormat="1" x14ac:dyDescent="0.2">
      <c r="B450" s="149"/>
      <c r="D450" s="143" t="s">
        <v>346</v>
      </c>
      <c r="E450" s="150"/>
      <c r="F450" s="151" t="s">
        <v>583</v>
      </c>
      <c r="H450" s="152">
        <v>35.92</v>
      </c>
      <c r="L450" s="149"/>
      <c r="M450" s="153"/>
      <c r="T450" s="154"/>
      <c r="AT450" s="150" t="s">
        <v>346</v>
      </c>
      <c r="AU450" s="150" t="s">
        <v>90</v>
      </c>
      <c r="AV450" s="148" t="s">
        <v>90</v>
      </c>
      <c r="AW450" s="148" t="s">
        <v>33</v>
      </c>
      <c r="AX450" s="148" t="s">
        <v>80</v>
      </c>
      <c r="AY450" s="150" t="s">
        <v>337</v>
      </c>
    </row>
    <row r="451" spans="2:65" s="148" customFormat="1" x14ac:dyDescent="0.2">
      <c r="B451" s="149"/>
      <c r="D451" s="143" t="s">
        <v>346</v>
      </c>
      <c r="E451" s="150"/>
      <c r="F451" s="151" t="s">
        <v>584</v>
      </c>
      <c r="H451" s="152">
        <v>4.03</v>
      </c>
      <c r="L451" s="149"/>
      <c r="M451" s="153"/>
      <c r="T451" s="154"/>
      <c r="AT451" s="150" t="s">
        <v>346</v>
      </c>
      <c r="AU451" s="150" t="s">
        <v>90</v>
      </c>
      <c r="AV451" s="148" t="s">
        <v>90</v>
      </c>
      <c r="AW451" s="148" t="s">
        <v>33</v>
      </c>
      <c r="AX451" s="148" t="s">
        <v>80</v>
      </c>
      <c r="AY451" s="150" t="s">
        <v>337</v>
      </c>
    </row>
    <row r="452" spans="2:65" s="148" customFormat="1" x14ac:dyDescent="0.2">
      <c r="B452" s="149"/>
      <c r="D452" s="143" t="s">
        <v>346</v>
      </c>
      <c r="E452" s="150"/>
      <c r="F452" s="151" t="s">
        <v>585</v>
      </c>
      <c r="H452" s="152">
        <v>21.42</v>
      </c>
      <c r="L452" s="149"/>
      <c r="M452" s="153"/>
      <c r="T452" s="154"/>
      <c r="AT452" s="150" t="s">
        <v>346</v>
      </c>
      <c r="AU452" s="150" t="s">
        <v>90</v>
      </c>
      <c r="AV452" s="148" t="s">
        <v>90</v>
      </c>
      <c r="AW452" s="148" t="s">
        <v>33</v>
      </c>
      <c r="AX452" s="148" t="s">
        <v>80</v>
      </c>
      <c r="AY452" s="150" t="s">
        <v>337</v>
      </c>
    </row>
    <row r="453" spans="2:65" s="148" customFormat="1" x14ac:dyDescent="0.2">
      <c r="B453" s="149"/>
      <c r="D453" s="143" t="s">
        <v>346</v>
      </c>
      <c r="E453" s="150"/>
      <c r="F453" s="151" t="s">
        <v>586</v>
      </c>
      <c r="H453" s="152">
        <v>25.8</v>
      </c>
      <c r="L453" s="149"/>
      <c r="M453" s="153"/>
      <c r="T453" s="154"/>
      <c r="AT453" s="150" t="s">
        <v>346</v>
      </c>
      <c r="AU453" s="150" t="s">
        <v>90</v>
      </c>
      <c r="AV453" s="148" t="s">
        <v>90</v>
      </c>
      <c r="AW453" s="148" t="s">
        <v>33</v>
      </c>
      <c r="AX453" s="148" t="s">
        <v>80</v>
      </c>
      <c r="AY453" s="150" t="s">
        <v>337</v>
      </c>
    </row>
    <row r="454" spans="2:65" s="155" customFormat="1" x14ac:dyDescent="0.2">
      <c r="B454" s="156"/>
      <c r="D454" s="143" t="s">
        <v>346</v>
      </c>
      <c r="E454" s="157" t="s">
        <v>277</v>
      </c>
      <c r="F454" s="158" t="s">
        <v>351</v>
      </c>
      <c r="H454" s="159">
        <v>102.72</v>
      </c>
      <c r="L454" s="156"/>
      <c r="M454" s="160"/>
      <c r="T454" s="161"/>
      <c r="AT454" s="157" t="s">
        <v>346</v>
      </c>
      <c r="AU454" s="157" t="s">
        <v>90</v>
      </c>
      <c r="AV454" s="155" t="s">
        <v>344</v>
      </c>
      <c r="AW454" s="155" t="s">
        <v>33</v>
      </c>
      <c r="AX454" s="155" t="s">
        <v>87</v>
      </c>
      <c r="AY454" s="157" t="s">
        <v>337</v>
      </c>
    </row>
    <row r="455" spans="2:65" s="16" customFormat="1" ht="16.5" customHeight="1" x14ac:dyDescent="0.2">
      <c r="B455" s="17"/>
      <c r="C455" s="128">
        <v>27</v>
      </c>
      <c r="D455" s="128" t="s">
        <v>339</v>
      </c>
      <c r="E455" s="129" t="s">
        <v>588</v>
      </c>
      <c r="F455" s="130" t="s">
        <v>589</v>
      </c>
      <c r="G455" s="131" t="s">
        <v>425</v>
      </c>
      <c r="H455" s="132">
        <v>34.667000000000002</v>
      </c>
      <c r="I455" s="133"/>
      <c r="J455" s="134">
        <f>ROUND(I455*H455,2)</f>
        <v>0</v>
      </c>
      <c r="K455" s="130" t="s">
        <v>343</v>
      </c>
      <c r="L455" s="17"/>
      <c r="M455" s="135"/>
      <c r="N455" s="136" t="s">
        <v>45</v>
      </c>
      <c r="P455" s="137">
        <f>O455*H455</f>
        <v>0</v>
      </c>
      <c r="Q455" s="137">
        <v>7.3499999999999998E-3</v>
      </c>
      <c r="R455" s="137">
        <f>Q455*H455</f>
        <v>0.25480245000000001</v>
      </c>
      <c r="S455" s="137">
        <v>0</v>
      </c>
      <c r="T455" s="138">
        <f>S455*H455</f>
        <v>0</v>
      </c>
      <c r="AR455" s="139" t="s">
        <v>344</v>
      </c>
      <c r="AT455" s="139" t="s">
        <v>339</v>
      </c>
      <c r="AU455" s="139" t="s">
        <v>90</v>
      </c>
      <c r="AY455" s="2" t="s">
        <v>337</v>
      </c>
      <c r="BE455" s="140">
        <f>IF(N455="základní",J455,0)</f>
        <v>0</v>
      </c>
      <c r="BF455" s="140">
        <f>IF(N455="snížená",J455,0)</f>
        <v>0</v>
      </c>
      <c r="BG455" s="140">
        <f>IF(N455="zákl. přenesená",J455,0)</f>
        <v>0</v>
      </c>
      <c r="BH455" s="140">
        <f>IF(N455="sníž. přenesená",J455,0)</f>
        <v>0</v>
      </c>
      <c r="BI455" s="140">
        <f>IF(N455="nulová",J455,0)</f>
        <v>0</v>
      </c>
      <c r="BJ455" s="2" t="s">
        <v>87</v>
      </c>
      <c r="BK455" s="140">
        <f>ROUND(I455*H455,2)</f>
        <v>0</v>
      </c>
      <c r="BL455" s="2" t="s">
        <v>344</v>
      </c>
      <c r="BM455" s="139" t="s">
        <v>590</v>
      </c>
    </row>
    <row r="456" spans="2:65" s="148" customFormat="1" x14ac:dyDescent="0.2">
      <c r="B456" s="149"/>
      <c r="D456" s="143" t="s">
        <v>346</v>
      </c>
      <c r="E456" s="150"/>
      <c r="F456" s="151" t="s">
        <v>296</v>
      </c>
      <c r="H456" s="152">
        <v>34.667000000000002</v>
      </c>
      <c r="L456" s="149"/>
      <c r="M456" s="153"/>
      <c r="T456" s="154"/>
      <c r="AT456" s="150" t="s">
        <v>346</v>
      </c>
      <c r="AU456" s="150" t="s">
        <v>90</v>
      </c>
      <c r="AV456" s="148" t="s">
        <v>90</v>
      </c>
      <c r="AW456" s="148" t="s">
        <v>33</v>
      </c>
      <c r="AX456" s="148" t="s">
        <v>87</v>
      </c>
      <c r="AY456" s="150" t="s">
        <v>337</v>
      </c>
    </row>
    <row r="457" spans="2:65" s="16" customFormat="1" ht="16.5" customHeight="1" x14ac:dyDescent="0.2">
      <c r="B457" s="17"/>
      <c r="C457" s="128">
        <v>28</v>
      </c>
      <c r="D457" s="128" t="s">
        <v>339</v>
      </c>
      <c r="E457" s="129" t="s">
        <v>592</v>
      </c>
      <c r="F457" s="130" t="s">
        <v>593</v>
      </c>
      <c r="G457" s="131" t="s">
        <v>425</v>
      </c>
      <c r="H457" s="132">
        <v>34.667000000000002</v>
      </c>
      <c r="I457" s="133"/>
      <c r="J457" s="134">
        <f>ROUND(I457*H457,2)</f>
        <v>0</v>
      </c>
      <c r="K457" s="130" t="s">
        <v>343</v>
      </c>
      <c r="L457" s="17"/>
      <c r="M457" s="135"/>
      <c r="N457" s="136" t="s">
        <v>45</v>
      </c>
      <c r="P457" s="137">
        <f>O457*H457</f>
        <v>0</v>
      </c>
      <c r="Q457" s="137">
        <v>1.6279999999999999E-2</v>
      </c>
      <c r="R457" s="137">
        <f>Q457*H457</f>
        <v>0.56437875999999998</v>
      </c>
      <c r="S457" s="137">
        <v>0</v>
      </c>
      <c r="T457" s="138">
        <f>S457*H457</f>
        <v>0</v>
      </c>
      <c r="AR457" s="139" t="s">
        <v>344</v>
      </c>
      <c r="AT457" s="139" t="s">
        <v>339</v>
      </c>
      <c r="AU457" s="139" t="s">
        <v>90</v>
      </c>
      <c r="AY457" s="2" t="s">
        <v>337</v>
      </c>
      <c r="BE457" s="140">
        <f>IF(N457="základní",J457,0)</f>
        <v>0</v>
      </c>
      <c r="BF457" s="140">
        <f>IF(N457="snížená",J457,0)</f>
        <v>0</v>
      </c>
      <c r="BG457" s="140">
        <f>IF(N457="zákl. přenesená",J457,0)</f>
        <v>0</v>
      </c>
      <c r="BH457" s="140">
        <f>IF(N457="sníž. přenesená",J457,0)</f>
        <v>0</v>
      </c>
      <c r="BI457" s="140">
        <f>IF(N457="nulová",J457,0)</f>
        <v>0</v>
      </c>
      <c r="BJ457" s="2" t="s">
        <v>87</v>
      </c>
      <c r="BK457" s="140">
        <f>ROUND(I457*H457,2)</f>
        <v>0</v>
      </c>
      <c r="BL457" s="2" t="s">
        <v>344</v>
      </c>
      <c r="BM457" s="139" t="s">
        <v>594</v>
      </c>
    </row>
    <row r="458" spans="2:65" s="148" customFormat="1" x14ac:dyDescent="0.2">
      <c r="B458" s="149"/>
      <c r="D458" s="143" t="s">
        <v>346</v>
      </c>
      <c r="E458" s="150"/>
      <c r="F458" s="151" t="s">
        <v>595</v>
      </c>
      <c r="H458" s="152">
        <v>13.76</v>
      </c>
      <c r="L458" s="149"/>
      <c r="M458" s="153"/>
      <c r="T458" s="154"/>
      <c r="AT458" s="150" t="s">
        <v>346</v>
      </c>
      <c r="AU458" s="150" t="s">
        <v>90</v>
      </c>
      <c r="AV458" s="148" t="s">
        <v>90</v>
      </c>
      <c r="AW458" s="148" t="s">
        <v>33</v>
      </c>
      <c r="AX458" s="148" t="s">
        <v>80</v>
      </c>
      <c r="AY458" s="150" t="s">
        <v>337</v>
      </c>
    </row>
    <row r="459" spans="2:65" s="148" customFormat="1" x14ac:dyDescent="0.2">
      <c r="B459" s="149"/>
      <c r="D459" s="143" t="s">
        <v>346</v>
      </c>
      <c r="E459" s="150"/>
      <c r="F459" s="151" t="s">
        <v>596</v>
      </c>
      <c r="H459" s="152">
        <v>17.38</v>
      </c>
      <c r="L459" s="149"/>
      <c r="M459" s="153"/>
      <c r="T459" s="154"/>
      <c r="AT459" s="150" t="s">
        <v>346</v>
      </c>
      <c r="AU459" s="150" t="s">
        <v>90</v>
      </c>
      <c r="AV459" s="148" t="s">
        <v>90</v>
      </c>
      <c r="AW459" s="148" t="s">
        <v>33</v>
      </c>
      <c r="AX459" s="148" t="s">
        <v>80</v>
      </c>
      <c r="AY459" s="150" t="s">
        <v>337</v>
      </c>
    </row>
    <row r="460" spans="2:65" s="148" customFormat="1" x14ac:dyDescent="0.2">
      <c r="B460" s="149"/>
      <c r="D460" s="143" t="s">
        <v>346</v>
      </c>
      <c r="E460" s="150"/>
      <c r="F460" s="151" t="s">
        <v>597</v>
      </c>
      <c r="H460" s="152">
        <v>21.64</v>
      </c>
      <c r="L460" s="149"/>
      <c r="M460" s="153"/>
      <c r="T460" s="154"/>
      <c r="AT460" s="150" t="s">
        <v>346</v>
      </c>
      <c r="AU460" s="150" t="s">
        <v>90</v>
      </c>
      <c r="AV460" s="148" t="s">
        <v>90</v>
      </c>
      <c r="AW460" s="148" t="s">
        <v>33</v>
      </c>
      <c r="AX460" s="148" t="s">
        <v>80</v>
      </c>
      <c r="AY460" s="150" t="s">
        <v>337</v>
      </c>
    </row>
    <row r="461" spans="2:65" s="141" customFormat="1" x14ac:dyDescent="0.2">
      <c r="B461" s="142"/>
      <c r="D461" s="143" t="s">
        <v>346</v>
      </c>
      <c r="E461" s="144"/>
      <c r="F461" s="145" t="s">
        <v>598</v>
      </c>
      <c r="H461" s="144"/>
      <c r="L461" s="142"/>
      <c r="M461" s="146"/>
      <c r="T461" s="147"/>
      <c r="AT461" s="144" t="s">
        <v>346</v>
      </c>
      <c r="AU461" s="144" t="s">
        <v>90</v>
      </c>
      <c r="AV461" s="141" t="s">
        <v>87</v>
      </c>
      <c r="AW461" s="141" t="s">
        <v>33</v>
      </c>
      <c r="AX461" s="141" t="s">
        <v>80</v>
      </c>
      <c r="AY461" s="144" t="s">
        <v>337</v>
      </c>
    </row>
    <row r="462" spans="2:65" s="148" customFormat="1" x14ac:dyDescent="0.2">
      <c r="B462" s="149"/>
      <c r="D462" s="143" t="s">
        <v>346</v>
      </c>
      <c r="E462" s="150"/>
      <c r="F462" s="151" t="s">
        <v>599</v>
      </c>
      <c r="H462" s="152">
        <v>-18.113</v>
      </c>
      <c r="L462" s="149"/>
      <c r="M462" s="153"/>
      <c r="T462" s="154"/>
      <c r="AT462" s="150" t="s">
        <v>346</v>
      </c>
      <c r="AU462" s="150" t="s">
        <v>90</v>
      </c>
      <c r="AV462" s="148" t="s">
        <v>90</v>
      </c>
      <c r="AW462" s="148" t="s">
        <v>33</v>
      </c>
      <c r="AX462" s="148" t="s">
        <v>80</v>
      </c>
      <c r="AY462" s="150" t="s">
        <v>337</v>
      </c>
    </row>
    <row r="463" spans="2:65" s="155" customFormat="1" x14ac:dyDescent="0.2">
      <c r="B463" s="156"/>
      <c r="D463" s="143" t="s">
        <v>346</v>
      </c>
      <c r="E463" s="157" t="s">
        <v>296</v>
      </c>
      <c r="F463" s="158" t="s">
        <v>351</v>
      </c>
      <c r="H463" s="159">
        <v>34.667000000000002</v>
      </c>
      <c r="L463" s="156"/>
      <c r="M463" s="160"/>
      <c r="T463" s="161"/>
      <c r="AT463" s="157" t="s">
        <v>346</v>
      </c>
      <c r="AU463" s="157" t="s">
        <v>90</v>
      </c>
      <c r="AV463" s="155" t="s">
        <v>344</v>
      </c>
      <c r="AW463" s="155" t="s">
        <v>33</v>
      </c>
      <c r="AX463" s="155" t="s">
        <v>87</v>
      </c>
      <c r="AY463" s="157" t="s">
        <v>337</v>
      </c>
    </row>
    <row r="464" spans="2:65" s="16" customFormat="1" ht="16.5" customHeight="1" x14ac:dyDescent="0.2">
      <c r="B464" s="17"/>
      <c r="C464" s="128">
        <v>29</v>
      </c>
      <c r="D464" s="128" t="s">
        <v>339</v>
      </c>
      <c r="E464" s="129" t="s">
        <v>601</v>
      </c>
      <c r="F464" s="130" t="s">
        <v>602</v>
      </c>
      <c r="G464" s="131" t="s">
        <v>425</v>
      </c>
      <c r="H464" s="132">
        <v>50.83</v>
      </c>
      <c r="I464" s="133"/>
      <c r="J464" s="134">
        <f>ROUND(I464*H464,2)</f>
        <v>0</v>
      </c>
      <c r="K464" s="130" t="s">
        <v>343</v>
      </c>
      <c r="L464" s="17"/>
      <c r="M464" s="135"/>
      <c r="N464" s="136" t="s">
        <v>45</v>
      </c>
      <c r="P464" s="137">
        <f>O464*H464</f>
        <v>0</v>
      </c>
      <c r="Q464" s="137">
        <v>1.6279999999999999E-2</v>
      </c>
      <c r="R464" s="137">
        <f>Q464*H464</f>
        <v>0.82751239999999993</v>
      </c>
      <c r="S464" s="137">
        <v>0</v>
      </c>
      <c r="T464" s="138">
        <f>S464*H464</f>
        <v>0</v>
      </c>
      <c r="AR464" s="139" t="s">
        <v>344</v>
      </c>
      <c r="AT464" s="139" t="s">
        <v>339</v>
      </c>
      <c r="AU464" s="139" t="s">
        <v>90</v>
      </c>
      <c r="AY464" s="2" t="s">
        <v>337</v>
      </c>
      <c r="BE464" s="140">
        <f>IF(N464="základní",J464,0)</f>
        <v>0</v>
      </c>
      <c r="BF464" s="140">
        <f>IF(N464="snížená",J464,0)</f>
        <v>0</v>
      </c>
      <c r="BG464" s="140">
        <f>IF(N464="zákl. přenesená",J464,0)</f>
        <v>0</v>
      </c>
      <c r="BH464" s="140">
        <f>IF(N464="sníž. přenesená",J464,0)</f>
        <v>0</v>
      </c>
      <c r="BI464" s="140">
        <f>IF(N464="nulová",J464,0)</f>
        <v>0</v>
      </c>
      <c r="BJ464" s="2" t="s">
        <v>87</v>
      </c>
      <c r="BK464" s="140">
        <f>ROUND(I464*H464,2)</f>
        <v>0</v>
      </c>
      <c r="BL464" s="2" t="s">
        <v>344</v>
      </c>
      <c r="BM464" s="139" t="s">
        <v>603</v>
      </c>
    </row>
    <row r="465" spans="2:65" s="141" customFormat="1" x14ac:dyDescent="0.2">
      <c r="B465" s="142"/>
      <c r="D465" s="143" t="s">
        <v>346</v>
      </c>
      <c r="E465" s="144"/>
      <c r="F465" s="145" t="s">
        <v>604</v>
      </c>
      <c r="H465" s="144"/>
      <c r="L465" s="142"/>
      <c r="M465" s="146"/>
      <c r="T465" s="147"/>
      <c r="AT465" s="144" t="s">
        <v>346</v>
      </c>
      <c r="AU465" s="144" t="s">
        <v>90</v>
      </c>
      <c r="AV465" s="141" t="s">
        <v>87</v>
      </c>
      <c r="AW465" s="141" t="s">
        <v>33</v>
      </c>
      <c r="AX465" s="141" t="s">
        <v>80</v>
      </c>
      <c r="AY465" s="144" t="s">
        <v>337</v>
      </c>
    </row>
    <row r="466" spans="2:65" s="141" customFormat="1" x14ac:dyDescent="0.2">
      <c r="B466" s="142"/>
      <c r="D466" s="143" t="s">
        <v>346</v>
      </c>
      <c r="E466" s="144"/>
      <c r="F466" s="145" t="s">
        <v>605</v>
      </c>
      <c r="H466" s="144"/>
      <c r="L466" s="142"/>
      <c r="M466" s="146"/>
      <c r="T466" s="147"/>
      <c r="AT466" s="144" t="s">
        <v>346</v>
      </c>
      <c r="AU466" s="144" t="s">
        <v>90</v>
      </c>
      <c r="AV466" s="141" t="s">
        <v>87</v>
      </c>
      <c r="AW466" s="141" t="s">
        <v>33</v>
      </c>
      <c r="AX466" s="141" t="s">
        <v>80</v>
      </c>
      <c r="AY466" s="144" t="s">
        <v>337</v>
      </c>
    </row>
    <row r="467" spans="2:65" s="148" customFormat="1" x14ac:dyDescent="0.2">
      <c r="B467" s="149"/>
      <c r="D467" s="143" t="s">
        <v>346</v>
      </c>
      <c r="E467" s="150"/>
      <c r="F467" s="151" t="s">
        <v>606</v>
      </c>
      <c r="H467" s="152">
        <v>3.4129999999999998</v>
      </c>
      <c r="L467" s="149"/>
      <c r="M467" s="153"/>
      <c r="T467" s="154"/>
      <c r="AT467" s="150" t="s">
        <v>346</v>
      </c>
      <c r="AU467" s="150" t="s">
        <v>90</v>
      </c>
      <c r="AV467" s="148" t="s">
        <v>90</v>
      </c>
      <c r="AW467" s="148" t="s">
        <v>33</v>
      </c>
      <c r="AX467" s="148" t="s">
        <v>80</v>
      </c>
      <c r="AY467" s="150" t="s">
        <v>337</v>
      </c>
    </row>
    <row r="468" spans="2:65" s="141" customFormat="1" x14ac:dyDescent="0.2">
      <c r="B468" s="142"/>
      <c r="D468" s="143" t="s">
        <v>346</v>
      </c>
      <c r="E468" s="144"/>
      <c r="F468" s="145" t="s">
        <v>607</v>
      </c>
      <c r="H468" s="144"/>
      <c r="L468" s="142"/>
      <c r="M468" s="146"/>
      <c r="T468" s="147"/>
      <c r="AT468" s="144" t="s">
        <v>346</v>
      </c>
      <c r="AU468" s="144" t="s">
        <v>90</v>
      </c>
      <c r="AV468" s="141" t="s">
        <v>87</v>
      </c>
      <c r="AW468" s="141" t="s">
        <v>33</v>
      </c>
      <c r="AX468" s="141" t="s">
        <v>80</v>
      </c>
      <c r="AY468" s="144" t="s">
        <v>337</v>
      </c>
    </row>
    <row r="469" spans="2:65" s="148" customFormat="1" x14ac:dyDescent="0.2">
      <c r="B469" s="149"/>
      <c r="D469" s="143" t="s">
        <v>346</v>
      </c>
      <c r="E469" s="150"/>
      <c r="F469" s="151" t="s">
        <v>608</v>
      </c>
      <c r="H469" s="152">
        <v>14.7</v>
      </c>
      <c r="L469" s="149"/>
      <c r="M469" s="153"/>
      <c r="T469" s="154"/>
      <c r="AT469" s="150" t="s">
        <v>346</v>
      </c>
      <c r="AU469" s="150" t="s">
        <v>90</v>
      </c>
      <c r="AV469" s="148" t="s">
        <v>90</v>
      </c>
      <c r="AW469" s="148" t="s">
        <v>33</v>
      </c>
      <c r="AX469" s="148" t="s">
        <v>80</v>
      </c>
      <c r="AY469" s="150" t="s">
        <v>337</v>
      </c>
    </row>
    <row r="470" spans="2:65" s="172" customFormat="1" x14ac:dyDescent="0.2">
      <c r="B470" s="173"/>
      <c r="D470" s="143" t="s">
        <v>346</v>
      </c>
      <c r="E470" s="174" t="s">
        <v>294</v>
      </c>
      <c r="F470" s="175" t="s">
        <v>609</v>
      </c>
      <c r="H470" s="176">
        <v>18.113</v>
      </c>
      <c r="L470" s="173"/>
      <c r="M470" s="177"/>
      <c r="T470" s="178"/>
      <c r="AT470" s="174" t="s">
        <v>346</v>
      </c>
      <c r="AU470" s="174" t="s">
        <v>90</v>
      </c>
      <c r="AV470" s="172" t="s">
        <v>113</v>
      </c>
      <c r="AW470" s="172" t="s">
        <v>33</v>
      </c>
      <c r="AX470" s="172" t="s">
        <v>80</v>
      </c>
      <c r="AY470" s="174" t="s">
        <v>337</v>
      </c>
    </row>
    <row r="471" spans="2:65" s="141" customFormat="1" x14ac:dyDescent="0.2">
      <c r="B471" s="142"/>
      <c r="D471" s="143" t="s">
        <v>346</v>
      </c>
      <c r="E471" s="144"/>
      <c r="F471" s="145" t="s">
        <v>610</v>
      </c>
      <c r="H471" s="144"/>
      <c r="L471" s="142"/>
      <c r="M471" s="146"/>
      <c r="T471" s="147"/>
      <c r="AT471" s="144" t="s">
        <v>346</v>
      </c>
      <c r="AU471" s="144" t="s">
        <v>90</v>
      </c>
      <c r="AV471" s="141" t="s">
        <v>87</v>
      </c>
      <c r="AW471" s="141" t="s">
        <v>33</v>
      </c>
      <c r="AX471" s="141" t="s">
        <v>80</v>
      </c>
      <c r="AY471" s="144" t="s">
        <v>337</v>
      </c>
    </row>
    <row r="472" spans="2:65" s="141" customFormat="1" x14ac:dyDescent="0.2">
      <c r="B472" s="142"/>
      <c r="D472" s="143" t="s">
        <v>346</v>
      </c>
      <c r="E472" s="144"/>
      <c r="F472" s="145" t="s">
        <v>605</v>
      </c>
      <c r="H472" s="144"/>
      <c r="L472" s="142"/>
      <c r="M472" s="146"/>
      <c r="T472" s="147"/>
      <c r="AT472" s="144" t="s">
        <v>346</v>
      </c>
      <c r="AU472" s="144" t="s">
        <v>90</v>
      </c>
      <c r="AV472" s="141" t="s">
        <v>87</v>
      </c>
      <c r="AW472" s="141" t="s">
        <v>33</v>
      </c>
      <c r="AX472" s="141" t="s">
        <v>80</v>
      </c>
      <c r="AY472" s="144" t="s">
        <v>337</v>
      </c>
    </row>
    <row r="473" spans="2:65" s="148" customFormat="1" x14ac:dyDescent="0.2">
      <c r="B473" s="149"/>
      <c r="D473" s="143" t="s">
        <v>346</v>
      </c>
      <c r="E473" s="150"/>
      <c r="F473" s="151" t="s">
        <v>611</v>
      </c>
      <c r="H473" s="152">
        <v>14.19</v>
      </c>
      <c r="L473" s="149"/>
      <c r="M473" s="153"/>
      <c r="T473" s="154"/>
      <c r="AT473" s="150" t="s">
        <v>346</v>
      </c>
      <c r="AU473" s="150" t="s">
        <v>90</v>
      </c>
      <c r="AV473" s="148" t="s">
        <v>90</v>
      </c>
      <c r="AW473" s="148" t="s">
        <v>33</v>
      </c>
      <c r="AX473" s="148" t="s">
        <v>80</v>
      </c>
      <c r="AY473" s="150" t="s">
        <v>337</v>
      </c>
    </row>
    <row r="474" spans="2:65" s="141" customFormat="1" x14ac:dyDescent="0.2">
      <c r="B474" s="142"/>
      <c r="D474" s="143" t="s">
        <v>346</v>
      </c>
      <c r="E474" s="144"/>
      <c r="F474" s="145" t="s">
        <v>612</v>
      </c>
      <c r="H474" s="144"/>
      <c r="L474" s="142"/>
      <c r="M474" s="146"/>
      <c r="T474" s="147"/>
      <c r="AT474" s="144" t="s">
        <v>346</v>
      </c>
      <c r="AU474" s="144" t="s">
        <v>90</v>
      </c>
      <c r="AV474" s="141" t="s">
        <v>87</v>
      </c>
      <c r="AW474" s="141" t="s">
        <v>33</v>
      </c>
      <c r="AX474" s="141" t="s">
        <v>80</v>
      </c>
      <c r="AY474" s="144" t="s">
        <v>337</v>
      </c>
    </row>
    <row r="475" spans="2:65" s="148" customFormat="1" x14ac:dyDescent="0.2">
      <c r="B475" s="149"/>
      <c r="D475" s="143" t="s">
        <v>346</v>
      </c>
      <c r="E475" s="150"/>
      <c r="F475" s="151" t="s">
        <v>613</v>
      </c>
      <c r="H475" s="152">
        <v>18.527000000000001</v>
      </c>
      <c r="L475" s="149"/>
      <c r="M475" s="153"/>
      <c r="T475" s="154"/>
      <c r="AT475" s="150" t="s">
        <v>346</v>
      </c>
      <c r="AU475" s="150" t="s">
        <v>90</v>
      </c>
      <c r="AV475" s="148" t="s">
        <v>90</v>
      </c>
      <c r="AW475" s="148" t="s">
        <v>33</v>
      </c>
      <c r="AX475" s="148" t="s">
        <v>80</v>
      </c>
      <c r="AY475" s="150" t="s">
        <v>337</v>
      </c>
    </row>
    <row r="476" spans="2:65" s="172" customFormat="1" x14ac:dyDescent="0.2">
      <c r="B476" s="173"/>
      <c r="D476" s="143" t="s">
        <v>346</v>
      </c>
      <c r="E476" s="174" t="s">
        <v>287</v>
      </c>
      <c r="F476" s="175" t="s">
        <v>609</v>
      </c>
      <c r="H476" s="176">
        <v>32.716999999999999</v>
      </c>
      <c r="L476" s="173"/>
      <c r="M476" s="177"/>
      <c r="T476" s="178"/>
      <c r="AT476" s="174" t="s">
        <v>346</v>
      </c>
      <c r="AU476" s="174" t="s">
        <v>90</v>
      </c>
      <c r="AV476" s="172" t="s">
        <v>113</v>
      </c>
      <c r="AW476" s="172" t="s">
        <v>33</v>
      </c>
      <c r="AX476" s="172" t="s">
        <v>80</v>
      </c>
      <c r="AY476" s="174" t="s">
        <v>337</v>
      </c>
    </row>
    <row r="477" spans="2:65" s="155" customFormat="1" x14ac:dyDescent="0.2">
      <c r="B477" s="156"/>
      <c r="D477" s="143" t="s">
        <v>346</v>
      </c>
      <c r="E477" s="157"/>
      <c r="F477" s="158" t="s">
        <v>351</v>
      </c>
      <c r="H477" s="159">
        <v>50.83</v>
      </c>
      <c r="L477" s="156"/>
      <c r="M477" s="160"/>
      <c r="T477" s="161"/>
      <c r="AT477" s="157" t="s">
        <v>346</v>
      </c>
      <c r="AU477" s="157" t="s">
        <v>90</v>
      </c>
      <c r="AV477" s="155" t="s">
        <v>344</v>
      </c>
      <c r="AW477" s="155" t="s">
        <v>33</v>
      </c>
      <c r="AX477" s="155" t="s">
        <v>87</v>
      </c>
      <c r="AY477" s="157" t="s">
        <v>337</v>
      </c>
    </row>
    <row r="478" spans="2:65" s="16" customFormat="1" ht="16.5" customHeight="1" x14ac:dyDescent="0.2">
      <c r="B478" s="17"/>
      <c r="C478" s="128">
        <v>30</v>
      </c>
      <c r="D478" s="128" t="s">
        <v>339</v>
      </c>
      <c r="E478" s="129" t="s">
        <v>615</v>
      </c>
      <c r="F478" s="130" t="s">
        <v>616</v>
      </c>
      <c r="G478" s="131" t="s">
        <v>425</v>
      </c>
      <c r="H478" s="132">
        <v>102.72</v>
      </c>
      <c r="I478" s="133"/>
      <c r="J478" s="134">
        <f>ROUND(I478*H478,2)</f>
        <v>0</v>
      </c>
      <c r="K478" s="130" t="s">
        <v>343</v>
      </c>
      <c r="L478" s="17"/>
      <c r="M478" s="135"/>
      <c r="N478" s="136" t="s">
        <v>45</v>
      </c>
      <c r="P478" s="137">
        <f>O478*H478</f>
        <v>0</v>
      </c>
      <c r="Q478" s="137">
        <v>1.6199999999999999E-2</v>
      </c>
      <c r="R478" s="137">
        <f>Q478*H478</f>
        <v>1.664064</v>
      </c>
      <c r="S478" s="137">
        <v>0</v>
      </c>
      <c r="T478" s="138">
        <f>S478*H478</f>
        <v>0</v>
      </c>
      <c r="AR478" s="139" t="s">
        <v>344</v>
      </c>
      <c r="AT478" s="139" t="s">
        <v>339</v>
      </c>
      <c r="AU478" s="139" t="s">
        <v>90</v>
      </c>
      <c r="AY478" s="2" t="s">
        <v>337</v>
      </c>
      <c r="BE478" s="140">
        <f>IF(N478="základní",J478,0)</f>
        <v>0</v>
      </c>
      <c r="BF478" s="140">
        <f>IF(N478="snížená",J478,0)</f>
        <v>0</v>
      </c>
      <c r="BG478" s="140">
        <f>IF(N478="zákl. přenesená",J478,0)</f>
        <v>0</v>
      </c>
      <c r="BH478" s="140">
        <f>IF(N478="sníž. přenesená",J478,0)</f>
        <v>0</v>
      </c>
      <c r="BI478" s="140">
        <f>IF(N478="nulová",J478,0)</f>
        <v>0</v>
      </c>
      <c r="BJ478" s="2" t="s">
        <v>87</v>
      </c>
      <c r="BK478" s="140">
        <f>ROUND(I478*H478,2)</f>
        <v>0</v>
      </c>
      <c r="BL478" s="2" t="s">
        <v>344</v>
      </c>
      <c r="BM478" s="139" t="s">
        <v>617</v>
      </c>
    </row>
    <row r="479" spans="2:65" s="148" customFormat="1" x14ac:dyDescent="0.2">
      <c r="B479" s="149"/>
      <c r="D479" s="143" t="s">
        <v>346</v>
      </c>
      <c r="E479" s="150"/>
      <c r="F479" s="151" t="s">
        <v>277</v>
      </c>
      <c r="H479" s="152">
        <v>102.72</v>
      </c>
      <c r="L479" s="149"/>
      <c r="M479" s="153"/>
      <c r="T479" s="154"/>
      <c r="AT479" s="150" t="s">
        <v>346</v>
      </c>
      <c r="AU479" s="150" t="s">
        <v>90</v>
      </c>
      <c r="AV479" s="148" t="s">
        <v>90</v>
      </c>
      <c r="AW479" s="148" t="s">
        <v>33</v>
      </c>
      <c r="AX479" s="148" t="s">
        <v>87</v>
      </c>
      <c r="AY479" s="150" t="s">
        <v>337</v>
      </c>
    </row>
    <row r="480" spans="2:65" s="16" customFormat="1" ht="16.5" customHeight="1" x14ac:dyDescent="0.2">
      <c r="B480" s="17"/>
      <c r="C480" s="128">
        <v>31</v>
      </c>
      <c r="D480" s="128" t="s">
        <v>339</v>
      </c>
      <c r="E480" s="129" t="s">
        <v>618</v>
      </c>
      <c r="F480" s="130" t="s">
        <v>619</v>
      </c>
      <c r="G480" s="131" t="s">
        <v>425</v>
      </c>
      <c r="H480" s="132">
        <v>102.72</v>
      </c>
      <c r="I480" s="133"/>
      <c r="J480" s="134">
        <f>ROUND(I480*H480,2)</f>
        <v>0</v>
      </c>
      <c r="K480" s="130" t="s">
        <v>343</v>
      </c>
      <c r="L480" s="17"/>
      <c r="M480" s="135"/>
      <c r="N480" s="136" t="s">
        <v>45</v>
      </c>
      <c r="P480" s="137">
        <f>O480*H480</f>
        <v>0</v>
      </c>
      <c r="Q480" s="137">
        <v>4.0000000000000001E-3</v>
      </c>
      <c r="R480" s="137">
        <f>Q480*H480</f>
        <v>0.41088000000000002</v>
      </c>
      <c r="S480" s="137">
        <v>0</v>
      </c>
      <c r="T480" s="138">
        <f>S480*H480</f>
        <v>0</v>
      </c>
      <c r="AR480" s="139" t="s">
        <v>344</v>
      </c>
      <c r="AT480" s="139" t="s">
        <v>339</v>
      </c>
      <c r="AU480" s="139" t="s">
        <v>90</v>
      </c>
      <c r="AY480" s="2" t="s">
        <v>337</v>
      </c>
      <c r="BE480" s="140">
        <f>IF(N480="základní",J480,0)</f>
        <v>0</v>
      </c>
      <c r="BF480" s="140">
        <f>IF(N480="snížená",J480,0)</f>
        <v>0</v>
      </c>
      <c r="BG480" s="140">
        <f>IF(N480="zákl. přenesená",J480,0)</f>
        <v>0</v>
      </c>
      <c r="BH480" s="140">
        <f>IF(N480="sníž. přenesená",J480,0)</f>
        <v>0</v>
      </c>
      <c r="BI480" s="140">
        <f>IF(N480="nulová",J480,0)</f>
        <v>0</v>
      </c>
      <c r="BJ480" s="2" t="s">
        <v>87</v>
      </c>
      <c r="BK480" s="140">
        <f>ROUND(I480*H480,2)</f>
        <v>0</v>
      </c>
      <c r="BL480" s="2" t="s">
        <v>344</v>
      </c>
      <c r="BM480" s="139" t="s">
        <v>620</v>
      </c>
    </row>
    <row r="481" spans="2:65" s="148" customFormat="1" x14ac:dyDescent="0.2">
      <c r="B481" s="149"/>
      <c r="D481" s="143" t="s">
        <v>346</v>
      </c>
      <c r="E481" s="150"/>
      <c r="F481" s="151" t="s">
        <v>277</v>
      </c>
      <c r="H481" s="152">
        <v>102.72</v>
      </c>
      <c r="L481" s="149"/>
      <c r="M481" s="153"/>
      <c r="T481" s="154"/>
      <c r="AT481" s="150" t="s">
        <v>346</v>
      </c>
      <c r="AU481" s="150" t="s">
        <v>90</v>
      </c>
      <c r="AV481" s="148" t="s">
        <v>90</v>
      </c>
      <c r="AW481" s="148" t="s">
        <v>33</v>
      </c>
      <c r="AX481" s="148" t="s">
        <v>87</v>
      </c>
      <c r="AY481" s="150" t="s">
        <v>337</v>
      </c>
    </row>
    <row r="482" spans="2:65" s="16" customFormat="1" ht="16.5" customHeight="1" x14ac:dyDescent="0.2">
      <c r="B482" s="17"/>
      <c r="C482" s="128">
        <v>32</v>
      </c>
      <c r="D482" s="128" t="s">
        <v>339</v>
      </c>
      <c r="E482" s="129" t="s">
        <v>622</v>
      </c>
      <c r="F482" s="130" t="s">
        <v>623</v>
      </c>
      <c r="G482" s="131" t="s">
        <v>425</v>
      </c>
      <c r="H482" s="132">
        <v>33.53</v>
      </c>
      <c r="I482" s="133"/>
      <c r="J482" s="134">
        <f>ROUND(I482*H482,2)</f>
        <v>0</v>
      </c>
      <c r="K482" s="130" t="s">
        <v>343</v>
      </c>
      <c r="L482" s="17"/>
      <c r="M482" s="135"/>
      <c r="N482" s="136" t="s">
        <v>45</v>
      </c>
      <c r="P482" s="137">
        <f>O482*H482</f>
        <v>0</v>
      </c>
      <c r="Q482" s="137">
        <v>1.103E-2</v>
      </c>
      <c r="R482" s="137">
        <f>Q482*H482</f>
        <v>0.3698359</v>
      </c>
      <c r="S482" s="137">
        <v>0</v>
      </c>
      <c r="T482" s="138">
        <f>S482*H482</f>
        <v>0</v>
      </c>
      <c r="AR482" s="139" t="s">
        <v>344</v>
      </c>
      <c r="AT482" s="139" t="s">
        <v>339</v>
      </c>
      <c r="AU482" s="139" t="s">
        <v>90</v>
      </c>
      <c r="AY482" s="2" t="s">
        <v>337</v>
      </c>
      <c r="BE482" s="140">
        <f>IF(N482="základní",J482,0)</f>
        <v>0</v>
      </c>
      <c r="BF482" s="140">
        <f>IF(N482="snížená",J482,0)</f>
        <v>0</v>
      </c>
      <c r="BG482" s="140">
        <f>IF(N482="zákl. přenesená",J482,0)</f>
        <v>0</v>
      </c>
      <c r="BH482" s="140">
        <f>IF(N482="sníž. přenesená",J482,0)</f>
        <v>0</v>
      </c>
      <c r="BI482" s="140">
        <f>IF(N482="nulová",J482,0)</f>
        <v>0</v>
      </c>
      <c r="BJ482" s="2" t="s">
        <v>87</v>
      </c>
      <c r="BK482" s="140">
        <f>ROUND(I482*H482,2)</f>
        <v>0</v>
      </c>
      <c r="BL482" s="2" t="s">
        <v>344</v>
      </c>
      <c r="BM482" s="139" t="s">
        <v>624</v>
      </c>
    </row>
    <row r="483" spans="2:65" s="148" customFormat="1" x14ac:dyDescent="0.2">
      <c r="B483" s="149"/>
      <c r="D483" s="143" t="s">
        <v>346</v>
      </c>
      <c r="E483" s="150"/>
      <c r="F483" s="151" t="s">
        <v>625</v>
      </c>
      <c r="H483" s="152">
        <v>7.34</v>
      </c>
      <c r="L483" s="149"/>
      <c r="M483" s="153"/>
      <c r="T483" s="154"/>
      <c r="AT483" s="150" t="s">
        <v>346</v>
      </c>
      <c r="AU483" s="150" t="s">
        <v>90</v>
      </c>
      <c r="AV483" s="148" t="s">
        <v>90</v>
      </c>
      <c r="AW483" s="148" t="s">
        <v>33</v>
      </c>
      <c r="AX483" s="148" t="s">
        <v>80</v>
      </c>
      <c r="AY483" s="150" t="s">
        <v>337</v>
      </c>
    </row>
    <row r="484" spans="2:65" s="148" customFormat="1" x14ac:dyDescent="0.2">
      <c r="B484" s="149"/>
      <c r="D484" s="143" t="s">
        <v>346</v>
      </c>
      <c r="E484" s="150"/>
      <c r="F484" s="151" t="s">
        <v>626</v>
      </c>
      <c r="H484" s="152">
        <v>7.44</v>
      </c>
      <c r="L484" s="149"/>
      <c r="M484" s="153"/>
      <c r="T484" s="154"/>
      <c r="AT484" s="150" t="s">
        <v>346</v>
      </c>
      <c r="AU484" s="150" t="s">
        <v>90</v>
      </c>
      <c r="AV484" s="148" t="s">
        <v>90</v>
      </c>
      <c r="AW484" s="148" t="s">
        <v>33</v>
      </c>
      <c r="AX484" s="148" t="s">
        <v>80</v>
      </c>
      <c r="AY484" s="150" t="s">
        <v>337</v>
      </c>
    </row>
    <row r="485" spans="2:65" s="148" customFormat="1" x14ac:dyDescent="0.2">
      <c r="B485" s="149"/>
      <c r="D485" s="143" t="s">
        <v>346</v>
      </c>
      <c r="E485" s="150"/>
      <c r="F485" s="151" t="s">
        <v>627</v>
      </c>
      <c r="H485" s="152">
        <v>7.44</v>
      </c>
      <c r="L485" s="149"/>
      <c r="M485" s="153"/>
      <c r="T485" s="154"/>
      <c r="AT485" s="150" t="s">
        <v>346</v>
      </c>
      <c r="AU485" s="150" t="s">
        <v>90</v>
      </c>
      <c r="AV485" s="148" t="s">
        <v>90</v>
      </c>
      <c r="AW485" s="148" t="s">
        <v>33</v>
      </c>
      <c r="AX485" s="148" t="s">
        <v>80</v>
      </c>
      <c r="AY485" s="150" t="s">
        <v>337</v>
      </c>
    </row>
    <row r="486" spans="2:65" s="148" customFormat="1" x14ac:dyDescent="0.2">
      <c r="B486" s="149"/>
      <c r="D486" s="143" t="s">
        <v>346</v>
      </c>
      <c r="E486" s="150"/>
      <c r="F486" s="151" t="s">
        <v>628</v>
      </c>
      <c r="H486" s="152">
        <v>11.31</v>
      </c>
      <c r="L486" s="149"/>
      <c r="M486" s="153"/>
      <c r="T486" s="154"/>
      <c r="AT486" s="150" t="s">
        <v>346</v>
      </c>
      <c r="AU486" s="150" t="s">
        <v>90</v>
      </c>
      <c r="AV486" s="148" t="s">
        <v>90</v>
      </c>
      <c r="AW486" s="148" t="s">
        <v>33</v>
      </c>
      <c r="AX486" s="148" t="s">
        <v>80</v>
      </c>
      <c r="AY486" s="150" t="s">
        <v>337</v>
      </c>
    </row>
    <row r="487" spans="2:65" s="155" customFormat="1" x14ac:dyDescent="0.2">
      <c r="B487" s="156"/>
      <c r="D487" s="143" t="s">
        <v>346</v>
      </c>
      <c r="E487" s="157" t="s">
        <v>269</v>
      </c>
      <c r="F487" s="158" t="s">
        <v>351</v>
      </c>
      <c r="H487" s="159">
        <v>33.53</v>
      </c>
      <c r="L487" s="156"/>
      <c r="M487" s="160"/>
      <c r="T487" s="161"/>
      <c r="AT487" s="157" t="s">
        <v>346</v>
      </c>
      <c r="AU487" s="157" t="s">
        <v>90</v>
      </c>
      <c r="AV487" s="155" t="s">
        <v>344</v>
      </c>
      <c r="AW487" s="155" t="s">
        <v>33</v>
      </c>
      <c r="AX487" s="155" t="s">
        <v>87</v>
      </c>
      <c r="AY487" s="157" t="s">
        <v>337</v>
      </c>
    </row>
    <row r="488" spans="2:65" s="16" customFormat="1" ht="16.5" customHeight="1" x14ac:dyDescent="0.2">
      <c r="B488" s="17"/>
      <c r="C488" s="128">
        <v>33</v>
      </c>
      <c r="D488" s="128" t="s">
        <v>339</v>
      </c>
      <c r="E488" s="129" t="s">
        <v>629</v>
      </c>
      <c r="F488" s="130" t="s">
        <v>630</v>
      </c>
      <c r="G488" s="131" t="s">
        <v>425</v>
      </c>
      <c r="H488" s="132">
        <v>406.58100000000002</v>
      </c>
      <c r="I488" s="133"/>
      <c r="J488" s="134">
        <f>ROUND(I488*H488,2)</f>
        <v>0</v>
      </c>
      <c r="K488" s="130" t="s">
        <v>343</v>
      </c>
      <c r="L488" s="17"/>
      <c r="M488" s="135"/>
      <c r="N488" s="136" t="s">
        <v>45</v>
      </c>
      <c r="P488" s="137">
        <f>O488*H488</f>
        <v>0</v>
      </c>
      <c r="Q488" s="137">
        <v>1.103E-2</v>
      </c>
      <c r="R488" s="137">
        <f>Q488*H488</f>
        <v>4.4845884300000005</v>
      </c>
      <c r="S488" s="137">
        <v>0</v>
      </c>
      <c r="T488" s="138">
        <f>S488*H488</f>
        <v>0</v>
      </c>
      <c r="AR488" s="139" t="s">
        <v>344</v>
      </c>
      <c r="AT488" s="139" t="s">
        <v>339</v>
      </c>
      <c r="AU488" s="139" t="s">
        <v>90</v>
      </c>
      <c r="AY488" s="2" t="s">
        <v>337</v>
      </c>
      <c r="BE488" s="140">
        <f>IF(N488="základní",J488,0)</f>
        <v>0</v>
      </c>
      <c r="BF488" s="140">
        <f>IF(N488="snížená",J488,0)</f>
        <v>0</v>
      </c>
      <c r="BG488" s="140">
        <f>IF(N488="zákl. přenesená",J488,0)</f>
        <v>0</v>
      </c>
      <c r="BH488" s="140">
        <f>IF(N488="sníž. přenesená",J488,0)</f>
        <v>0</v>
      </c>
      <c r="BI488" s="140">
        <f>IF(N488="nulová",J488,0)</f>
        <v>0</v>
      </c>
      <c r="BJ488" s="2" t="s">
        <v>87</v>
      </c>
      <c r="BK488" s="140">
        <f>ROUND(I488*H488,2)</f>
        <v>0</v>
      </c>
      <c r="BL488" s="2" t="s">
        <v>344</v>
      </c>
      <c r="BM488" s="139" t="s">
        <v>631</v>
      </c>
    </row>
    <row r="489" spans="2:65" s="141" customFormat="1" x14ac:dyDescent="0.2">
      <c r="B489" s="142"/>
      <c r="D489" s="143" t="s">
        <v>346</v>
      </c>
      <c r="E489" s="144"/>
      <c r="F489" s="145" t="s">
        <v>604</v>
      </c>
      <c r="H489" s="144"/>
      <c r="L489" s="142"/>
      <c r="M489" s="146"/>
      <c r="T489" s="147"/>
      <c r="AT489" s="144" t="s">
        <v>346</v>
      </c>
      <c r="AU489" s="144" t="s">
        <v>90</v>
      </c>
      <c r="AV489" s="141" t="s">
        <v>87</v>
      </c>
      <c r="AW489" s="141" t="s">
        <v>33</v>
      </c>
      <c r="AX489" s="141" t="s">
        <v>80</v>
      </c>
      <c r="AY489" s="144" t="s">
        <v>337</v>
      </c>
    </row>
    <row r="490" spans="2:65" s="141" customFormat="1" x14ac:dyDescent="0.2">
      <c r="B490" s="142"/>
      <c r="D490" s="143" t="s">
        <v>346</v>
      </c>
      <c r="E490" s="144"/>
      <c r="F490" s="145" t="s">
        <v>612</v>
      </c>
      <c r="H490" s="144"/>
      <c r="L490" s="142"/>
      <c r="M490" s="146"/>
      <c r="T490" s="147"/>
      <c r="AT490" s="144" t="s">
        <v>346</v>
      </c>
      <c r="AU490" s="144" t="s">
        <v>90</v>
      </c>
      <c r="AV490" s="141" t="s">
        <v>87</v>
      </c>
      <c r="AW490" s="141" t="s">
        <v>33</v>
      </c>
      <c r="AX490" s="141" t="s">
        <v>80</v>
      </c>
      <c r="AY490" s="144" t="s">
        <v>337</v>
      </c>
    </row>
    <row r="491" spans="2:65" s="148" customFormat="1" x14ac:dyDescent="0.2">
      <c r="B491" s="149"/>
      <c r="D491" s="143" t="s">
        <v>346</v>
      </c>
      <c r="E491" s="150"/>
      <c r="F491" s="151" t="s">
        <v>632</v>
      </c>
      <c r="H491" s="152">
        <v>73.5</v>
      </c>
      <c r="L491" s="149"/>
      <c r="M491" s="153"/>
      <c r="T491" s="154"/>
      <c r="AT491" s="150" t="s">
        <v>346</v>
      </c>
      <c r="AU491" s="150" t="s">
        <v>90</v>
      </c>
      <c r="AV491" s="148" t="s">
        <v>90</v>
      </c>
      <c r="AW491" s="148" t="s">
        <v>33</v>
      </c>
      <c r="AX491" s="148" t="s">
        <v>80</v>
      </c>
      <c r="AY491" s="150" t="s">
        <v>337</v>
      </c>
    </row>
    <row r="492" spans="2:65" s="141" customFormat="1" x14ac:dyDescent="0.2">
      <c r="B492" s="142"/>
      <c r="D492" s="143" t="s">
        <v>346</v>
      </c>
      <c r="E492" s="144"/>
      <c r="F492" s="145" t="s">
        <v>633</v>
      </c>
      <c r="H492" s="144"/>
      <c r="L492" s="142"/>
      <c r="M492" s="146"/>
      <c r="T492" s="147"/>
      <c r="AT492" s="144" t="s">
        <v>346</v>
      </c>
      <c r="AU492" s="144" t="s">
        <v>90</v>
      </c>
      <c r="AV492" s="141" t="s">
        <v>87</v>
      </c>
      <c r="AW492" s="141" t="s">
        <v>33</v>
      </c>
      <c r="AX492" s="141" t="s">
        <v>80</v>
      </c>
      <c r="AY492" s="144" t="s">
        <v>337</v>
      </c>
    </row>
    <row r="493" spans="2:65" s="148" customFormat="1" x14ac:dyDescent="0.2">
      <c r="B493" s="149"/>
      <c r="D493" s="143" t="s">
        <v>346</v>
      </c>
      <c r="E493" s="150"/>
      <c r="F493" s="151" t="s">
        <v>634</v>
      </c>
      <c r="H493" s="152">
        <v>61.8</v>
      </c>
      <c r="L493" s="149"/>
      <c r="M493" s="153"/>
      <c r="T493" s="154"/>
      <c r="AT493" s="150" t="s">
        <v>346</v>
      </c>
      <c r="AU493" s="150" t="s">
        <v>90</v>
      </c>
      <c r="AV493" s="148" t="s">
        <v>90</v>
      </c>
      <c r="AW493" s="148" t="s">
        <v>33</v>
      </c>
      <c r="AX493" s="148" t="s">
        <v>80</v>
      </c>
      <c r="AY493" s="150" t="s">
        <v>337</v>
      </c>
    </row>
    <row r="494" spans="2:65" s="172" customFormat="1" x14ac:dyDescent="0.2">
      <c r="B494" s="173"/>
      <c r="D494" s="143" t="s">
        <v>346</v>
      </c>
      <c r="E494" s="174" t="s">
        <v>273</v>
      </c>
      <c r="F494" s="175" t="s">
        <v>609</v>
      </c>
      <c r="H494" s="176">
        <v>135.30000000000001</v>
      </c>
      <c r="L494" s="173"/>
      <c r="M494" s="177"/>
      <c r="T494" s="178"/>
      <c r="AT494" s="174" t="s">
        <v>346</v>
      </c>
      <c r="AU494" s="174" t="s">
        <v>90</v>
      </c>
      <c r="AV494" s="172" t="s">
        <v>113</v>
      </c>
      <c r="AW494" s="172" t="s">
        <v>33</v>
      </c>
      <c r="AX494" s="172" t="s">
        <v>80</v>
      </c>
      <c r="AY494" s="174" t="s">
        <v>337</v>
      </c>
    </row>
    <row r="495" spans="2:65" s="141" customFormat="1" x14ac:dyDescent="0.2">
      <c r="B495" s="142"/>
      <c r="D495" s="143" t="s">
        <v>346</v>
      </c>
      <c r="E495" s="144"/>
      <c r="F495" s="145" t="s">
        <v>610</v>
      </c>
      <c r="H495" s="144"/>
      <c r="L495" s="142"/>
      <c r="M495" s="146"/>
      <c r="T495" s="147"/>
      <c r="AT495" s="144" t="s">
        <v>346</v>
      </c>
      <c r="AU495" s="144" t="s">
        <v>90</v>
      </c>
      <c r="AV495" s="141" t="s">
        <v>87</v>
      </c>
      <c r="AW495" s="141" t="s">
        <v>33</v>
      </c>
      <c r="AX495" s="141" t="s">
        <v>80</v>
      </c>
      <c r="AY495" s="144" t="s">
        <v>337</v>
      </c>
    </row>
    <row r="496" spans="2:65" s="141" customFormat="1" x14ac:dyDescent="0.2">
      <c r="B496" s="142"/>
      <c r="D496" s="143" t="s">
        <v>346</v>
      </c>
      <c r="E496" s="144"/>
      <c r="F496" s="145" t="s">
        <v>612</v>
      </c>
      <c r="H496" s="144"/>
      <c r="L496" s="142"/>
      <c r="M496" s="146"/>
      <c r="T496" s="147"/>
      <c r="AT496" s="144" t="s">
        <v>346</v>
      </c>
      <c r="AU496" s="144" t="s">
        <v>90</v>
      </c>
      <c r="AV496" s="141" t="s">
        <v>87</v>
      </c>
      <c r="AW496" s="141" t="s">
        <v>33</v>
      </c>
      <c r="AX496" s="141" t="s">
        <v>80</v>
      </c>
      <c r="AY496" s="144" t="s">
        <v>337</v>
      </c>
    </row>
    <row r="497" spans="2:65" s="148" customFormat="1" x14ac:dyDescent="0.2">
      <c r="B497" s="149"/>
      <c r="D497" s="143" t="s">
        <v>346</v>
      </c>
      <c r="E497" s="150"/>
      <c r="F497" s="151" t="s">
        <v>635</v>
      </c>
      <c r="H497" s="152">
        <v>85.004999999999995</v>
      </c>
      <c r="L497" s="149"/>
      <c r="M497" s="153"/>
      <c r="T497" s="154"/>
      <c r="AT497" s="150" t="s">
        <v>346</v>
      </c>
      <c r="AU497" s="150" t="s">
        <v>90</v>
      </c>
      <c r="AV497" s="148" t="s">
        <v>90</v>
      </c>
      <c r="AW497" s="148" t="s">
        <v>33</v>
      </c>
      <c r="AX497" s="148" t="s">
        <v>80</v>
      </c>
      <c r="AY497" s="150" t="s">
        <v>337</v>
      </c>
    </row>
    <row r="498" spans="2:65" s="141" customFormat="1" x14ac:dyDescent="0.2">
      <c r="B498" s="142"/>
      <c r="D498" s="143" t="s">
        <v>346</v>
      </c>
      <c r="E498" s="144"/>
      <c r="F498" s="145" t="s">
        <v>633</v>
      </c>
      <c r="H498" s="144"/>
      <c r="L498" s="142"/>
      <c r="M498" s="146"/>
      <c r="T498" s="147"/>
      <c r="AT498" s="144" t="s">
        <v>346</v>
      </c>
      <c r="AU498" s="144" t="s">
        <v>90</v>
      </c>
      <c r="AV498" s="141" t="s">
        <v>87</v>
      </c>
      <c r="AW498" s="141" t="s">
        <v>33</v>
      </c>
      <c r="AX498" s="141" t="s">
        <v>80</v>
      </c>
      <c r="AY498" s="144" t="s">
        <v>337</v>
      </c>
    </row>
    <row r="499" spans="2:65" s="148" customFormat="1" x14ac:dyDescent="0.2">
      <c r="B499" s="149"/>
      <c r="D499" s="143" t="s">
        <v>346</v>
      </c>
      <c r="E499" s="150"/>
      <c r="F499" s="151" t="s">
        <v>636</v>
      </c>
      <c r="H499" s="152">
        <v>186.27600000000001</v>
      </c>
      <c r="L499" s="149"/>
      <c r="M499" s="153"/>
      <c r="T499" s="154"/>
      <c r="AT499" s="150" t="s">
        <v>346</v>
      </c>
      <c r="AU499" s="150" t="s">
        <v>90</v>
      </c>
      <c r="AV499" s="148" t="s">
        <v>90</v>
      </c>
      <c r="AW499" s="148" t="s">
        <v>33</v>
      </c>
      <c r="AX499" s="148" t="s">
        <v>80</v>
      </c>
      <c r="AY499" s="150" t="s">
        <v>337</v>
      </c>
    </row>
    <row r="500" spans="2:65" s="172" customFormat="1" x14ac:dyDescent="0.2">
      <c r="B500" s="173"/>
      <c r="D500" s="143" t="s">
        <v>346</v>
      </c>
      <c r="E500" s="174" t="s">
        <v>271</v>
      </c>
      <c r="F500" s="175" t="s">
        <v>609</v>
      </c>
      <c r="H500" s="176">
        <v>271.28100000000001</v>
      </c>
      <c r="L500" s="173"/>
      <c r="M500" s="177"/>
      <c r="T500" s="178"/>
      <c r="AT500" s="174" t="s">
        <v>346</v>
      </c>
      <c r="AU500" s="174" t="s">
        <v>90</v>
      </c>
      <c r="AV500" s="172" t="s">
        <v>113</v>
      </c>
      <c r="AW500" s="172" t="s">
        <v>33</v>
      </c>
      <c r="AX500" s="172" t="s">
        <v>80</v>
      </c>
      <c r="AY500" s="174" t="s">
        <v>337</v>
      </c>
    </row>
    <row r="501" spans="2:65" s="155" customFormat="1" x14ac:dyDescent="0.2">
      <c r="B501" s="156"/>
      <c r="D501" s="143" t="s">
        <v>346</v>
      </c>
      <c r="E501" s="157"/>
      <c r="F501" s="158" t="s">
        <v>351</v>
      </c>
      <c r="H501" s="159">
        <v>406.58100000000002</v>
      </c>
      <c r="L501" s="156"/>
      <c r="M501" s="160"/>
      <c r="T501" s="161"/>
      <c r="AT501" s="157" t="s">
        <v>346</v>
      </c>
      <c r="AU501" s="157" t="s">
        <v>90</v>
      </c>
      <c r="AV501" s="155" t="s">
        <v>344</v>
      </c>
      <c r="AW501" s="155" t="s">
        <v>33</v>
      </c>
      <c r="AX501" s="155" t="s">
        <v>87</v>
      </c>
      <c r="AY501" s="157" t="s">
        <v>337</v>
      </c>
    </row>
    <row r="502" spans="2:65" s="16" customFormat="1" ht="16.5" customHeight="1" x14ac:dyDescent="0.2">
      <c r="B502" s="17"/>
      <c r="C502" s="128">
        <v>34</v>
      </c>
      <c r="D502" s="128" t="s">
        <v>339</v>
      </c>
      <c r="E502" s="129" t="s">
        <v>638</v>
      </c>
      <c r="F502" s="130" t="s">
        <v>639</v>
      </c>
      <c r="G502" s="131" t="s">
        <v>425</v>
      </c>
      <c r="H502" s="132">
        <v>1214.9390000000001</v>
      </c>
      <c r="I502" s="133"/>
      <c r="J502" s="134">
        <f>ROUND(I502*H502,2)</f>
        <v>0</v>
      </c>
      <c r="K502" s="130" t="s">
        <v>343</v>
      </c>
      <c r="L502" s="17"/>
      <c r="M502" s="135"/>
      <c r="N502" s="136" t="s">
        <v>45</v>
      </c>
      <c r="P502" s="137">
        <f>O502*H502</f>
        <v>0</v>
      </c>
      <c r="Q502" s="137">
        <v>7.3499999999999998E-3</v>
      </c>
      <c r="R502" s="137">
        <f>Q502*H502</f>
        <v>8.9298016499999999</v>
      </c>
      <c r="S502" s="137">
        <v>0</v>
      </c>
      <c r="T502" s="138">
        <f>S502*H502</f>
        <v>0</v>
      </c>
      <c r="AR502" s="139" t="s">
        <v>344</v>
      </c>
      <c r="AT502" s="139" t="s">
        <v>339</v>
      </c>
      <c r="AU502" s="139" t="s">
        <v>90</v>
      </c>
      <c r="AY502" s="2" t="s">
        <v>337</v>
      </c>
      <c r="BE502" s="140">
        <f>IF(N502="základní",J502,0)</f>
        <v>0</v>
      </c>
      <c r="BF502" s="140">
        <f>IF(N502="snížená",J502,0)</f>
        <v>0</v>
      </c>
      <c r="BG502" s="140">
        <f>IF(N502="zákl. přenesená",J502,0)</f>
        <v>0</v>
      </c>
      <c r="BH502" s="140">
        <f>IF(N502="sníž. přenesená",J502,0)</f>
        <v>0</v>
      </c>
      <c r="BI502" s="140">
        <f>IF(N502="nulová",J502,0)</f>
        <v>0</v>
      </c>
      <c r="BJ502" s="2" t="s">
        <v>87</v>
      </c>
      <c r="BK502" s="140">
        <f>ROUND(I502*H502,2)</f>
        <v>0</v>
      </c>
      <c r="BL502" s="2" t="s">
        <v>344</v>
      </c>
      <c r="BM502" s="139" t="s">
        <v>640</v>
      </c>
    </row>
    <row r="503" spans="2:65" s="16" customFormat="1" ht="16.5" customHeight="1" x14ac:dyDescent="0.2">
      <c r="B503" s="17"/>
      <c r="C503" s="128">
        <v>35</v>
      </c>
      <c r="D503" s="128" t="s">
        <v>339</v>
      </c>
      <c r="E503" s="129" t="s">
        <v>641</v>
      </c>
      <c r="F503" s="130" t="s">
        <v>642</v>
      </c>
      <c r="G503" s="131" t="s">
        <v>425</v>
      </c>
      <c r="H503" s="132">
        <v>8593.9920000000002</v>
      </c>
      <c r="I503" s="133"/>
      <c r="J503" s="134">
        <f>ROUND(I503*H503,2)</f>
        <v>0</v>
      </c>
      <c r="K503" s="130" t="s">
        <v>343</v>
      </c>
      <c r="L503" s="17"/>
      <c r="M503" s="135"/>
      <c r="N503" s="136" t="s">
        <v>45</v>
      </c>
      <c r="P503" s="137">
        <f>O503*H503</f>
        <v>0</v>
      </c>
      <c r="Q503" s="137">
        <v>2.5999999999999998E-4</v>
      </c>
      <c r="R503" s="137">
        <f>Q503*H503</f>
        <v>2.23443792</v>
      </c>
      <c r="S503" s="137">
        <v>0</v>
      </c>
      <c r="T503" s="138">
        <f>S503*H503</f>
        <v>0</v>
      </c>
      <c r="AR503" s="139" t="s">
        <v>344</v>
      </c>
      <c r="AT503" s="139" t="s">
        <v>339</v>
      </c>
      <c r="AU503" s="139" t="s">
        <v>90</v>
      </c>
      <c r="AY503" s="2" t="s">
        <v>337</v>
      </c>
      <c r="BE503" s="140">
        <f>IF(N503="základní",J503,0)</f>
        <v>0</v>
      </c>
      <c r="BF503" s="140">
        <f>IF(N503="snížená",J503,0)</f>
        <v>0</v>
      </c>
      <c r="BG503" s="140">
        <f>IF(N503="zákl. přenesená",J503,0)</f>
        <v>0</v>
      </c>
      <c r="BH503" s="140">
        <f>IF(N503="sníž. přenesená",J503,0)</f>
        <v>0</v>
      </c>
      <c r="BI503" s="140">
        <f>IF(N503="nulová",J503,0)</f>
        <v>0</v>
      </c>
      <c r="BJ503" s="2" t="s">
        <v>87</v>
      </c>
      <c r="BK503" s="140">
        <f>ROUND(I503*H503,2)</f>
        <v>0</v>
      </c>
      <c r="BL503" s="2" t="s">
        <v>344</v>
      </c>
      <c r="BM503" s="139" t="s">
        <v>643</v>
      </c>
    </row>
    <row r="504" spans="2:65" s="16" customFormat="1" ht="19.5" x14ac:dyDescent="0.2">
      <c r="B504" s="17"/>
      <c r="D504" s="143" t="s">
        <v>644</v>
      </c>
      <c r="F504" s="179" t="s">
        <v>645</v>
      </c>
      <c r="L504" s="17"/>
      <c r="M504" s="180"/>
      <c r="T504" s="41"/>
      <c r="AT504" s="2" t="s">
        <v>644</v>
      </c>
      <c r="AU504" s="2" t="s">
        <v>90</v>
      </c>
    </row>
    <row r="505" spans="2:65" s="16" customFormat="1" ht="16.5" customHeight="1" x14ac:dyDescent="0.2">
      <c r="B505" s="17"/>
      <c r="C505" s="128">
        <v>36</v>
      </c>
      <c r="D505" s="128" t="s">
        <v>339</v>
      </c>
      <c r="E505" s="129" t="s">
        <v>647</v>
      </c>
      <c r="F505" s="130" t="s">
        <v>648</v>
      </c>
      <c r="G505" s="131" t="s">
        <v>425</v>
      </c>
      <c r="H505" s="132">
        <v>247.971</v>
      </c>
      <c r="I505" s="133"/>
      <c r="J505" s="134">
        <f>ROUND(I505*H505,2)</f>
        <v>0</v>
      </c>
      <c r="K505" s="130" t="s">
        <v>343</v>
      </c>
      <c r="L505" s="17"/>
      <c r="M505" s="135"/>
      <c r="N505" s="136" t="s">
        <v>45</v>
      </c>
      <c r="P505" s="137">
        <f>O505*H505</f>
        <v>0</v>
      </c>
      <c r="Q505" s="137">
        <v>8.0000000000000002E-3</v>
      </c>
      <c r="R505" s="137">
        <f>Q505*H505</f>
        <v>1.983768</v>
      </c>
      <c r="S505" s="137">
        <v>0</v>
      </c>
      <c r="T505" s="138">
        <f>S505*H505</f>
        <v>0</v>
      </c>
      <c r="AR505" s="139" t="s">
        <v>344</v>
      </c>
      <c r="AT505" s="139" t="s">
        <v>339</v>
      </c>
      <c r="AU505" s="139" t="s">
        <v>90</v>
      </c>
      <c r="AY505" s="2" t="s">
        <v>337</v>
      </c>
      <c r="BE505" s="140">
        <f>IF(N505="základní",J505,0)</f>
        <v>0</v>
      </c>
      <c r="BF505" s="140">
        <f>IF(N505="snížená",J505,0)</f>
        <v>0</v>
      </c>
      <c r="BG505" s="140">
        <f>IF(N505="zákl. přenesená",J505,0)</f>
        <v>0</v>
      </c>
      <c r="BH505" s="140">
        <f>IF(N505="sníž. přenesená",J505,0)</f>
        <v>0</v>
      </c>
      <c r="BI505" s="140">
        <f>IF(N505="nulová",J505,0)</f>
        <v>0</v>
      </c>
      <c r="BJ505" s="2" t="s">
        <v>87</v>
      </c>
      <c r="BK505" s="140">
        <f>ROUND(I505*H505,2)</f>
        <v>0</v>
      </c>
      <c r="BL505" s="2" t="s">
        <v>344</v>
      </c>
      <c r="BM505" s="139" t="s">
        <v>649</v>
      </c>
    </row>
    <row r="506" spans="2:65" s="148" customFormat="1" x14ac:dyDescent="0.2">
      <c r="B506" s="149"/>
      <c r="D506" s="143" t="s">
        <v>346</v>
      </c>
      <c r="E506" s="150"/>
      <c r="F506" s="151" t="s">
        <v>275</v>
      </c>
      <c r="H506" s="152">
        <v>233.07</v>
      </c>
      <c r="L506" s="149"/>
      <c r="M506" s="153"/>
      <c r="T506" s="154"/>
      <c r="AT506" s="150" t="s">
        <v>346</v>
      </c>
      <c r="AU506" s="150" t="s">
        <v>90</v>
      </c>
      <c r="AV506" s="148" t="s">
        <v>90</v>
      </c>
      <c r="AW506" s="148" t="s">
        <v>33</v>
      </c>
      <c r="AX506" s="148" t="s">
        <v>80</v>
      </c>
      <c r="AY506" s="150" t="s">
        <v>337</v>
      </c>
    </row>
    <row r="507" spans="2:65" s="141" customFormat="1" x14ac:dyDescent="0.2">
      <c r="B507" s="142"/>
      <c r="D507" s="143" t="s">
        <v>346</v>
      </c>
      <c r="E507" s="144"/>
      <c r="F507" s="145" t="s">
        <v>650</v>
      </c>
      <c r="H507" s="144"/>
      <c r="L507" s="142"/>
      <c r="M507" s="146"/>
      <c r="T507" s="147"/>
      <c r="AT507" s="144" t="s">
        <v>346</v>
      </c>
      <c r="AU507" s="144" t="s">
        <v>90</v>
      </c>
      <c r="AV507" s="141" t="s">
        <v>87</v>
      </c>
      <c r="AW507" s="141" t="s">
        <v>33</v>
      </c>
      <c r="AX507" s="141" t="s">
        <v>80</v>
      </c>
      <c r="AY507" s="144" t="s">
        <v>337</v>
      </c>
    </row>
    <row r="508" spans="2:65" s="141" customFormat="1" x14ac:dyDescent="0.2">
      <c r="B508" s="142"/>
      <c r="D508" s="143" t="s">
        <v>346</v>
      </c>
      <c r="E508" s="144"/>
      <c r="F508" s="145" t="s">
        <v>651</v>
      </c>
      <c r="H508" s="144"/>
      <c r="L508" s="142"/>
      <c r="M508" s="146"/>
      <c r="T508" s="147"/>
      <c r="AT508" s="144" t="s">
        <v>346</v>
      </c>
      <c r="AU508" s="144" t="s">
        <v>90</v>
      </c>
      <c r="AV508" s="141" t="s">
        <v>87</v>
      </c>
      <c r="AW508" s="141" t="s">
        <v>33</v>
      </c>
      <c r="AX508" s="141" t="s">
        <v>80</v>
      </c>
      <c r="AY508" s="144" t="s">
        <v>337</v>
      </c>
    </row>
    <row r="509" spans="2:65" s="148" customFormat="1" x14ac:dyDescent="0.2">
      <c r="B509" s="149"/>
      <c r="D509" s="143" t="s">
        <v>346</v>
      </c>
      <c r="E509" s="150"/>
      <c r="F509" s="151" t="s">
        <v>652</v>
      </c>
      <c r="H509" s="152">
        <v>14.901</v>
      </c>
      <c r="L509" s="149"/>
      <c r="M509" s="153"/>
      <c r="T509" s="154"/>
      <c r="AT509" s="150" t="s">
        <v>346</v>
      </c>
      <c r="AU509" s="150" t="s">
        <v>90</v>
      </c>
      <c r="AV509" s="148" t="s">
        <v>90</v>
      </c>
      <c r="AW509" s="148" t="s">
        <v>33</v>
      </c>
      <c r="AX509" s="148" t="s">
        <v>80</v>
      </c>
      <c r="AY509" s="150" t="s">
        <v>337</v>
      </c>
    </row>
    <row r="510" spans="2:65" s="155" customFormat="1" x14ac:dyDescent="0.2">
      <c r="B510" s="156"/>
      <c r="D510" s="143" t="s">
        <v>346</v>
      </c>
      <c r="E510" s="157"/>
      <c r="F510" s="158" t="s">
        <v>351</v>
      </c>
      <c r="H510" s="159">
        <v>247.971</v>
      </c>
      <c r="L510" s="156"/>
      <c r="M510" s="160"/>
      <c r="T510" s="161"/>
      <c r="AT510" s="157" t="s">
        <v>346</v>
      </c>
      <c r="AU510" s="157" t="s">
        <v>90</v>
      </c>
      <c r="AV510" s="155" t="s">
        <v>344</v>
      </c>
      <c r="AW510" s="155" t="s">
        <v>33</v>
      </c>
      <c r="AX510" s="155" t="s">
        <v>87</v>
      </c>
      <c r="AY510" s="157" t="s">
        <v>337</v>
      </c>
    </row>
    <row r="511" spans="2:65" s="16" customFormat="1" ht="16.5" customHeight="1" x14ac:dyDescent="0.2">
      <c r="B511" s="17"/>
      <c r="C511" s="128">
        <v>37</v>
      </c>
      <c r="D511" s="128" t="s">
        <v>339</v>
      </c>
      <c r="E511" s="129" t="s">
        <v>653</v>
      </c>
      <c r="F511" s="130" t="s">
        <v>654</v>
      </c>
      <c r="G511" s="131" t="s">
        <v>425</v>
      </c>
      <c r="H511" s="132">
        <v>6</v>
      </c>
      <c r="I511" s="133"/>
      <c r="J511" s="134">
        <f>ROUND(I511*H511,2)</f>
        <v>0</v>
      </c>
      <c r="K511" s="130" t="s">
        <v>343</v>
      </c>
      <c r="L511" s="17"/>
      <c r="M511" s="135"/>
      <c r="N511" s="136" t="s">
        <v>45</v>
      </c>
      <c r="P511" s="137">
        <f>O511*H511</f>
        <v>0</v>
      </c>
      <c r="Q511" s="137">
        <v>5.6000000000000001E-2</v>
      </c>
      <c r="R511" s="137">
        <f>Q511*H511</f>
        <v>0.33600000000000002</v>
      </c>
      <c r="S511" s="137">
        <v>0</v>
      </c>
      <c r="T511" s="138">
        <f>S511*H511</f>
        <v>0</v>
      </c>
      <c r="AR511" s="139" t="s">
        <v>344</v>
      </c>
      <c r="AT511" s="139" t="s">
        <v>339</v>
      </c>
      <c r="AU511" s="139" t="s">
        <v>90</v>
      </c>
      <c r="AY511" s="2" t="s">
        <v>337</v>
      </c>
      <c r="BE511" s="140">
        <f>IF(N511="základní",J511,0)</f>
        <v>0</v>
      </c>
      <c r="BF511" s="140">
        <f>IF(N511="snížená",J511,0)</f>
        <v>0</v>
      </c>
      <c r="BG511" s="140">
        <f>IF(N511="zákl. přenesená",J511,0)</f>
        <v>0</v>
      </c>
      <c r="BH511" s="140">
        <f>IF(N511="sníž. přenesená",J511,0)</f>
        <v>0</v>
      </c>
      <c r="BI511" s="140">
        <f>IF(N511="nulová",J511,0)</f>
        <v>0</v>
      </c>
      <c r="BJ511" s="2" t="s">
        <v>87</v>
      </c>
      <c r="BK511" s="140">
        <f>ROUND(I511*H511,2)</f>
        <v>0</v>
      </c>
      <c r="BL511" s="2" t="s">
        <v>344</v>
      </c>
      <c r="BM511" s="139" t="s">
        <v>655</v>
      </c>
    </row>
    <row r="512" spans="2:65" s="141" customFormat="1" x14ac:dyDescent="0.2">
      <c r="B512" s="142"/>
      <c r="D512" s="143" t="s">
        <v>346</v>
      </c>
      <c r="E512" s="144"/>
      <c r="F512" s="145" t="s">
        <v>656</v>
      </c>
      <c r="H512" s="144"/>
      <c r="L512" s="142"/>
      <c r="M512" s="146"/>
      <c r="T512" s="147"/>
      <c r="AT512" s="144" t="s">
        <v>346</v>
      </c>
      <c r="AU512" s="144" t="s">
        <v>90</v>
      </c>
      <c r="AV512" s="141" t="s">
        <v>87</v>
      </c>
      <c r="AW512" s="141" t="s">
        <v>33</v>
      </c>
      <c r="AX512" s="141" t="s">
        <v>80</v>
      </c>
      <c r="AY512" s="144" t="s">
        <v>337</v>
      </c>
    </row>
    <row r="513" spans="2:65" s="148" customFormat="1" x14ac:dyDescent="0.2">
      <c r="B513" s="149"/>
      <c r="D513" s="143" t="s">
        <v>346</v>
      </c>
      <c r="E513" s="150"/>
      <c r="F513" s="151" t="s">
        <v>657</v>
      </c>
      <c r="H513" s="152">
        <v>6</v>
      </c>
      <c r="L513" s="149"/>
      <c r="M513" s="153"/>
      <c r="T513" s="154"/>
      <c r="AT513" s="150" t="s">
        <v>346</v>
      </c>
      <c r="AU513" s="150" t="s">
        <v>90</v>
      </c>
      <c r="AV513" s="148" t="s">
        <v>90</v>
      </c>
      <c r="AW513" s="148" t="s">
        <v>33</v>
      </c>
      <c r="AX513" s="148" t="s">
        <v>87</v>
      </c>
      <c r="AY513" s="150" t="s">
        <v>337</v>
      </c>
    </row>
    <row r="514" spans="2:65" s="16" customFormat="1" ht="16.5" customHeight="1" x14ac:dyDescent="0.2">
      <c r="B514" s="17"/>
      <c r="C514" s="128">
        <v>38</v>
      </c>
      <c r="D514" s="128" t="s">
        <v>339</v>
      </c>
      <c r="E514" s="129" t="s">
        <v>659</v>
      </c>
      <c r="F514" s="130" t="s">
        <v>660</v>
      </c>
      <c r="G514" s="131" t="s">
        <v>425</v>
      </c>
      <c r="H514" s="132">
        <v>72.796000000000006</v>
      </c>
      <c r="I514" s="133"/>
      <c r="J514" s="134">
        <f>ROUND(I514*H514,2)</f>
        <v>0</v>
      </c>
      <c r="K514" s="130" t="s">
        <v>343</v>
      </c>
      <c r="L514" s="17"/>
      <c r="M514" s="135"/>
      <c r="N514" s="136" t="s">
        <v>45</v>
      </c>
      <c r="P514" s="137">
        <f>O514*H514</f>
        <v>0</v>
      </c>
      <c r="Q514" s="137">
        <v>1.3599999999999999E-2</v>
      </c>
      <c r="R514" s="137">
        <f>Q514*H514</f>
        <v>0.99002560000000006</v>
      </c>
      <c r="S514" s="137">
        <v>0</v>
      </c>
      <c r="T514" s="138">
        <f>S514*H514</f>
        <v>0</v>
      </c>
      <c r="AR514" s="139" t="s">
        <v>344</v>
      </c>
      <c r="AT514" s="139" t="s">
        <v>339</v>
      </c>
      <c r="AU514" s="139" t="s">
        <v>90</v>
      </c>
      <c r="AY514" s="2" t="s">
        <v>337</v>
      </c>
      <c r="BE514" s="140">
        <f>IF(N514="základní",J514,0)</f>
        <v>0</v>
      </c>
      <c r="BF514" s="140">
        <f>IF(N514="snížená",J514,0)</f>
        <v>0</v>
      </c>
      <c r="BG514" s="140">
        <f>IF(N514="zákl. přenesená",J514,0)</f>
        <v>0</v>
      </c>
      <c r="BH514" s="140">
        <f>IF(N514="sníž. přenesená",J514,0)</f>
        <v>0</v>
      </c>
      <c r="BI514" s="140">
        <f>IF(N514="nulová",J514,0)</f>
        <v>0</v>
      </c>
      <c r="BJ514" s="2" t="s">
        <v>87</v>
      </c>
      <c r="BK514" s="140">
        <f>ROUND(I514*H514,2)</f>
        <v>0</v>
      </c>
      <c r="BL514" s="2" t="s">
        <v>344</v>
      </c>
      <c r="BM514" s="139" t="s">
        <v>661</v>
      </c>
    </row>
    <row r="515" spans="2:65" s="141" customFormat="1" x14ac:dyDescent="0.2">
      <c r="B515" s="142"/>
      <c r="D515" s="143" t="s">
        <v>346</v>
      </c>
      <c r="E515" s="144"/>
      <c r="F515" s="145" t="s">
        <v>662</v>
      </c>
      <c r="H515" s="144"/>
      <c r="L515" s="142"/>
      <c r="M515" s="146"/>
      <c r="T515" s="147"/>
      <c r="AT515" s="144" t="s">
        <v>346</v>
      </c>
      <c r="AU515" s="144" t="s">
        <v>90</v>
      </c>
      <c r="AV515" s="141" t="s">
        <v>87</v>
      </c>
      <c r="AW515" s="141" t="s">
        <v>33</v>
      </c>
      <c r="AX515" s="141" t="s">
        <v>80</v>
      </c>
      <c r="AY515" s="144" t="s">
        <v>337</v>
      </c>
    </row>
    <row r="516" spans="2:65" s="141" customFormat="1" x14ac:dyDescent="0.2">
      <c r="B516" s="142"/>
      <c r="D516" s="143" t="s">
        <v>346</v>
      </c>
      <c r="E516" s="144"/>
      <c r="F516" s="145" t="s">
        <v>663</v>
      </c>
      <c r="H516" s="144"/>
      <c r="L516" s="142"/>
      <c r="M516" s="146"/>
      <c r="T516" s="147"/>
      <c r="AT516" s="144" t="s">
        <v>346</v>
      </c>
      <c r="AU516" s="144" t="s">
        <v>90</v>
      </c>
      <c r="AV516" s="141" t="s">
        <v>87</v>
      </c>
      <c r="AW516" s="141" t="s">
        <v>33</v>
      </c>
      <c r="AX516" s="141" t="s">
        <v>80</v>
      </c>
      <c r="AY516" s="144" t="s">
        <v>337</v>
      </c>
    </row>
    <row r="517" spans="2:65" s="148" customFormat="1" x14ac:dyDescent="0.2">
      <c r="B517" s="149"/>
      <c r="D517" s="143" t="s">
        <v>346</v>
      </c>
      <c r="E517" s="150"/>
      <c r="F517" s="151" t="s">
        <v>664</v>
      </c>
      <c r="H517" s="152">
        <v>14.026999999999999</v>
      </c>
      <c r="L517" s="149"/>
      <c r="M517" s="153"/>
      <c r="T517" s="154"/>
      <c r="AT517" s="150" t="s">
        <v>346</v>
      </c>
      <c r="AU517" s="150" t="s">
        <v>90</v>
      </c>
      <c r="AV517" s="148" t="s">
        <v>90</v>
      </c>
      <c r="AW517" s="148" t="s">
        <v>33</v>
      </c>
      <c r="AX517" s="148" t="s">
        <v>80</v>
      </c>
      <c r="AY517" s="150" t="s">
        <v>337</v>
      </c>
    </row>
    <row r="518" spans="2:65" s="141" customFormat="1" x14ac:dyDescent="0.2">
      <c r="B518" s="142"/>
      <c r="D518" s="143" t="s">
        <v>346</v>
      </c>
      <c r="E518" s="144"/>
      <c r="F518" s="145" t="s">
        <v>665</v>
      </c>
      <c r="H518" s="144"/>
      <c r="L518" s="142"/>
      <c r="M518" s="146"/>
      <c r="T518" s="147"/>
      <c r="AT518" s="144" t="s">
        <v>346</v>
      </c>
      <c r="AU518" s="144" t="s">
        <v>90</v>
      </c>
      <c r="AV518" s="141" t="s">
        <v>87</v>
      </c>
      <c r="AW518" s="141" t="s">
        <v>33</v>
      </c>
      <c r="AX518" s="141" t="s">
        <v>80</v>
      </c>
      <c r="AY518" s="144" t="s">
        <v>337</v>
      </c>
    </row>
    <row r="519" spans="2:65" s="148" customFormat="1" x14ac:dyDescent="0.2">
      <c r="B519" s="149"/>
      <c r="D519" s="143" t="s">
        <v>346</v>
      </c>
      <c r="E519" s="150"/>
      <c r="F519" s="151" t="s">
        <v>666</v>
      </c>
      <c r="H519" s="152">
        <v>4.5</v>
      </c>
      <c r="L519" s="149"/>
      <c r="M519" s="153"/>
      <c r="T519" s="154"/>
      <c r="AT519" s="150" t="s">
        <v>346</v>
      </c>
      <c r="AU519" s="150" t="s">
        <v>90</v>
      </c>
      <c r="AV519" s="148" t="s">
        <v>90</v>
      </c>
      <c r="AW519" s="148" t="s">
        <v>33</v>
      </c>
      <c r="AX519" s="148" t="s">
        <v>80</v>
      </c>
      <c r="AY519" s="150" t="s">
        <v>337</v>
      </c>
    </row>
    <row r="520" spans="2:65" s="141" customFormat="1" x14ac:dyDescent="0.2">
      <c r="B520" s="142"/>
      <c r="D520" s="143" t="s">
        <v>346</v>
      </c>
      <c r="E520" s="144"/>
      <c r="F520" s="145" t="s">
        <v>667</v>
      </c>
      <c r="H520" s="144"/>
      <c r="L520" s="142"/>
      <c r="M520" s="146"/>
      <c r="T520" s="147"/>
      <c r="AT520" s="144" t="s">
        <v>346</v>
      </c>
      <c r="AU520" s="144" t="s">
        <v>90</v>
      </c>
      <c r="AV520" s="141" t="s">
        <v>87</v>
      </c>
      <c r="AW520" s="141" t="s">
        <v>33</v>
      </c>
      <c r="AX520" s="141" t="s">
        <v>80</v>
      </c>
      <c r="AY520" s="144" t="s">
        <v>337</v>
      </c>
    </row>
    <row r="521" spans="2:65" s="148" customFormat="1" x14ac:dyDescent="0.2">
      <c r="B521" s="149"/>
      <c r="D521" s="143" t="s">
        <v>346</v>
      </c>
      <c r="E521" s="150"/>
      <c r="F521" s="151" t="s">
        <v>668</v>
      </c>
      <c r="H521" s="152">
        <v>7.8209999999999997</v>
      </c>
      <c r="L521" s="149"/>
      <c r="M521" s="153"/>
      <c r="T521" s="154"/>
      <c r="AT521" s="150" t="s">
        <v>346</v>
      </c>
      <c r="AU521" s="150" t="s">
        <v>90</v>
      </c>
      <c r="AV521" s="148" t="s">
        <v>90</v>
      </c>
      <c r="AW521" s="148" t="s">
        <v>33</v>
      </c>
      <c r="AX521" s="148" t="s">
        <v>80</v>
      </c>
      <c r="AY521" s="150" t="s">
        <v>337</v>
      </c>
    </row>
    <row r="522" spans="2:65" s="141" customFormat="1" x14ac:dyDescent="0.2">
      <c r="B522" s="142"/>
      <c r="D522" s="143" t="s">
        <v>346</v>
      </c>
      <c r="E522" s="144"/>
      <c r="F522" s="145" t="s">
        <v>669</v>
      </c>
      <c r="H522" s="144"/>
      <c r="L522" s="142"/>
      <c r="M522" s="146"/>
      <c r="T522" s="147"/>
      <c r="AT522" s="144" t="s">
        <v>346</v>
      </c>
      <c r="AU522" s="144" t="s">
        <v>90</v>
      </c>
      <c r="AV522" s="141" t="s">
        <v>87</v>
      </c>
      <c r="AW522" s="141" t="s">
        <v>33</v>
      </c>
      <c r="AX522" s="141" t="s">
        <v>80</v>
      </c>
      <c r="AY522" s="144" t="s">
        <v>337</v>
      </c>
    </row>
    <row r="523" spans="2:65" s="148" customFormat="1" x14ac:dyDescent="0.2">
      <c r="B523" s="149"/>
      <c r="D523" s="143" t="s">
        <v>346</v>
      </c>
      <c r="E523" s="150"/>
      <c r="F523" s="151" t="s">
        <v>668</v>
      </c>
      <c r="H523" s="152">
        <v>7.8209999999999997</v>
      </c>
      <c r="L523" s="149"/>
      <c r="M523" s="153"/>
      <c r="T523" s="154"/>
      <c r="AT523" s="150" t="s">
        <v>346</v>
      </c>
      <c r="AU523" s="150" t="s">
        <v>90</v>
      </c>
      <c r="AV523" s="148" t="s">
        <v>90</v>
      </c>
      <c r="AW523" s="148" t="s">
        <v>33</v>
      </c>
      <c r="AX523" s="148" t="s">
        <v>80</v>
      </c>
      <c r="AY523" s="150" t="s">
        <v>337</v>
      </c>
    </row>
    <row r="524" spans="2:65" s="141" customFormat="1" x14ac:dyDescent="0.2">
      <c r="B524" s="142"/>
      <c r="D524" s="143" t="s">
        <v>346</v>
      </c>
      <c r="E524" s="144"/>
      <c r="F524" s="145" t="s">
        <v>670</v>
      </c>
      <c r="H524" s="144"/>
      <c r="L524" s="142"/>
      <c r="M524" s="146"/>
      <c r="T524" s="147"/>
      <c r="AT524" s="144" t="s">
        <v>346</v>
      </c>
      <c r="AU524" s="144" t="s">
        <v>90</v>
      </c>
      <c r="AV524" s="141" t="s">
        <v>87</v>
      </c>
      <c r="AW524" s="141" t="s">
        <v>33</v>
      </c>
      <c r="AX524" s="141" t="s">
        <v>80</v>
      </c>
      <c r="AY524" s="144" t="s">
        <v>337</v>
      </c>
    </row>
    <row r="525" spans="2:65" s="148" customFormat="1" x14ac:dyDescent="0.2">
      <c r="B525" s="149"/>
      <c r="D525" s="143" t="s">
        <v>346</v>
      </c>
      <c r="E525" s="150"/>
      <c r="F525" s="151" t="s">
        <v>671</v>
      </c>
      <c r="H525" s="152">
        <v>12.727</v>
      </c>
      <c r="L525" s="149"/>
      <c r="M525" s="153"/>
      <c r="T525" s="154"/>
      <c r="AT525" s="150" t="s">
        <v>346</v>
      </c>
      <c r="AU525" s="150" t="s">
        <v>90</v>
      </c>
      <c r="AV525" s="148" t="s">
        <v>90</v>
      </c>
      <c r="AW525" s="148" t="s">
        <v>33</v>
      </c>
      <c r="AX525" s="148" t="s">
        <v>80</v>
      </c>
      <c r="AY525" s="150" t="s">
        <v>337</v>
      </c>
    </row>
    <row r="526" spans="2:65" s="141" customFormat="1" x14ac:dyDescent="0.2">
      <c r="B526" s="142"/>
      <c r="D526" s="143" t="s">
        <v>346</v>
      </c>
      <c r="E526" s="144"/>
      <c r="F526" s="145" t="s">
        <v>672</v>
      </c>
      <c r="H526" s="144"/>
      <c r="L526" s="142"/>
      <c r="M526" s="146"/>
      <c r="T526" s="147"/>
      <c r="AT526" s="144" t="s">
        <v>346</v>
      </c>
      <c r="AU526" s="144" t="s">
        <v>90</v>
      </c>
      <c r="AV526" s="141" t="s">
        <v>87</v>
      </c>
      <c r="AW526" s="141" t="s">
        <v>33</v>
      </c>
      <c r="AX526" s="141" t="s">
        <v>80</v>
      </c>
      <c r="AY526" s="144" t="s">
        <v>337</v>
      </c>
    </row>
    <row r="527" spans="2:65" s="148" customFormat="1" x14ac:dyDescent="0.2">
      <c r="B527" s="149"/>
      <c r="D527" s="143" t="s">
        <v>346</v>
      </c>
      <c r="E527" s="150"/>
      <c r="F527" s="151" t="s">
        <v>673</v>
      </c>
      <c r="H527" s="152">
        <v>11.5</v>
      </c>
      <c r="L527" s="149"/>
      <c r="M527" s="153"/>
      <c r="T527" s="154"/>
      <c r="AT527" s="150" t="s">
        <v>346</v>
      </c>
      <c r="AU527" s="150" t="s">
        <v>90</v>
      </c>
      <c r="AV527" s="148" t="s">
        <v>90</v>
      </c>
      <c r="AW527" s="148" t="s">
        <v>33</v>
      </c>
      <c r="AX527" s="148" t="s">
        <v>80</v>
      </c>
      <c r="AY527" s="150" t="s">
        <v>337</v>
      </c>
    </row>
    <row r="528" spans="2:65" s="141" customFormat="1" x14ac:dyDescent="0.2">
      <c r="B528" s="142"/>
      <c r="D528" s="143" t="s">
        <v>346</v>
      </c>
      <c r="E528" s="144"/>
      <c r="F528" s="145" t="s">
        <v>674</v>
      </c>
      <c r="H528" s="144"/>
      <c r="L528" s="142"/>
      <c r="M528" s="146"/>
      <c r="T528" s="147"/>
      <c r="AT528" s="144" t="s">
        <v>346</v>
      </c>
      <c r="AU528" s="144" t="s">
        <v>90</v>
      </c>
      <c r="AV528" s="141" t="s">
        <v>87</v>
      </c>
      <c r="AW528" s="141" t="s">
        <v>33</v>
      </c>
      <c r="AX528" s="141" t="s">
        <v>80</v>
      </c>
      <c r="AY528" s="144" t="s">
        <v>337</v>
      </c>
    </row>
    <row r="529" spans="2:65" s="148" customFormat="1" x14ac:dyDescent="0.2">
      <c r="B529" s="149"/>
      <c r="D529" s="143" t="s">
        <v>346</v>
      </c>
      <c r="E529" s="150"/>
      <c r="F529" s="151" t="s">
        <v>675</v>
      </c>
      <c r="H529" s="152">
        <v>14.4</v>
      </c>
      <c r="L529" s="149"/>
      <c r="M529" s="153"/>
      <c r="T529" s="154"/>
      <c r="AT529" s="150" t="s">
        <v>346</v>
      </c>
      <c r="AU529" s="150" t="s">
        <v>90</v>
      </c>
      <c r="AV529" s="148" t="s">
        <v>90</v>
      </c>
      <c r="AW529" s="148" t="s">
        <v>33</v>
      </c>
      <c r="AX529" s="148" t="s">
        <v>80</v>
      </c>
      <c r="AY529" s="150" t="s">
        <v>337</v>
      </c>
    </row>
    <row r="530" spans="2:65" s="172" customFormat="1" x14ac:dyDescent="0.2">
      <c r="B530" s="173"/>
      <c r="D530" s="143" t="s">
        <v>346</v>
      </c>
      <c r="E530" s="174" t="s">
        <v>283</v>
      </c>
      <c r="F530" s="175" t="s">
        <v>609</v>
      </c>
      <c r="H530" s="176">
        <v>72.796000000000006</v>
      </c>
      <c r="L530" s="173"/>
      <c r="M530" s="177"/>
      <c r="T530" s="178"/>
      <c r="AT530" s="174" t="s">
        <v>346</v>
      </c>
      <c r="AU530" s="174" t="s">
        <v>90</v>
      </c>
      <c r="AV530" s="172" t="s">
        <v>113</v>
      </c>
      <c r="AW530" s="172" t="s">
        <v>33</v>
      </c>
      <c r="AX530" s="172" t="s">
        <v>87</v>
      </c>
      <c r="AY530" s="174" t="s">
        <v>337</v>
      </c>
    </row>
    <row r="531" spans="2:65" s="16" customFormat="1" ht="16.5" customHeight="1" x14ac:dyDescent="0.2">
      <c r="B531" s="17"/>
      <c r="C531" s="128">
        <v>39</v>
      </c>
      <c r="D531" s="128" t="s">
        <v>339</v>
      </c>
      <c r="E531" s="129" t="s">
        <v>677</v>
      </c>
      <c r="F531" s="130" t="s">
        <v>678</v>
      </c>
      <c r="G531" s="131" t="s">
        <v>425</v>
      </c>
      <c r="H531" s="132">
        <v>1142.143</v>
      </c>
      <c r="I531" s="133"/>
      <c r="J531" s="134">
        <f>ROUND(I531*H531,2)</f>
        <v>0</v>
      </c>
      <c r="K531" s="130" t="s">
        <v>343</v>
      </c>
      <c r="L531" s="17"/>
      <c r="M531" s="135"/>
      <c r="N531" s="136" t="s">
        <v>45</v>
      </c>
      <c r="P531" s="137">
        <f>O531*H531</f>
        <v>0</v>
      </c>
      <c r="Q531" s="137">
        <v>1.6279999999999999E-2</v>
      </c>
      <c r="R531" s="137">
        <f>Q531*H531</f>
        <v>18.594088039999999</v>
      </c>
      <c r="S531" s="137">
        <v>0</v>
      </c>
      <c r="T531" s="138">
        <f>S531*H531</f>
        <v>0</v>
      </c>
      <c r="AR531" s="139" t="s">
        <v>344</v>
      </c>
      <c r="AT531" s="139" t="s">
        <v>339</v>
      </c>
      <c r="AU531" s="139" t="s">
        <v>90</v>
      </c>
      <c r="AY531" s="2" t="s">
        <v>337</v>
      </c>
      <c r="BE531" s="140">
        <f>IF(N531="základní",J531,0)</f>
        <v>0</v>
      </c>
      <c r="BF531" s="140">
        <f>IF(N531="snížená",J531,0)</f>
        <v>0</v>
      </c>
      <c r="BG531" s="140">
        <f>IF(N531="zákl. přenesená",J531,0)</f>
        <v>0</v>
      </c>
      <c r="BH531" s="140">
        <f>IF(N531="sníž. přenesená",J531,0)</f>
        <v>0</v>
      </c>
      <c r="BI531" s="140">
        <f>IF(N531="nulová",J531,0)</f>
        <v>0</v>
      </c>
      <c r="BJ531" s="2" t="s">
        <v>87</v>
      </c>
      <c r="BK531" s="140">
        <f>ROUND(I531*H531,2)</f>
        <v>0</v>
      </c>
      <c r="BL531" s="2" t="s">
        <v>344</v>
      </c>
      <c r="BM531" s="139" t="s">
        <v>679</v>
      </c>
    </row>
    <row r="532" spans="2:65" s="141" customFormat="1" x14ac:dyDescent="0.2">
      <c r="B532" s="142"/>
      <c r="D532" s="143" t="s">
        <v>346</v>
      </c>
      <c r="E532" s="144"/>
      <c r="F532" s="145" t="s">
        <v>680</v>
      </c>
      <c r="H532" s="144"/>
      <c r="L532" s="142"/>
      <c r="M532" s="146"/>
      <c r="T532" s="147"/>
      <c r="AT532" s="144" t="s">
        <v>346</v>
      </c>
      <c r="AU532" s="144" t="s">
        <v>90</v>
      </c>
      <c r="AV532" s="141" t="s">
        <v>87</v>
      </c>
      <c r="AW532" s="141" t="s">
        <v>33</v>
      </c>
      <c r="AX532" s="141" t="s">
        <v>80</v>
      </c>
      <c r="AY532" s="144" t="s">
        <v>337</v>
      </c>
    </row>
    <row r="533" spans="2:65" s="148" customFormat="1" x14ac:dyDescent="0.2">
      <c r="B533" s="149"/>
      <c r="D533" s="143" t="s">
        <v>346</v>
      </c>
      <c r="E533" s="150"/>
      <c r="F533" s="151" t="s">
        <v>681</v>
      </c>
      <c r="H533" s="152">
        <v>42.41</v>
      </c>
      <c r="L533" s="149"/>
      <c r="M533" s="153"/>
      <c r="T533" s="154"/>
      <c r="AT533" s="150" t="s">
        <v>346</v>
      </c>
      <c r="AU533" s="150" t="s">
        <v>90</v>
      </c>
      <c r="AV533" s="148" t="s">
        <v>90</v>
      </c>
      <c r="AW533" s="148" t="s">
        <v>33</v>
      </c>
      <c r="AX533" s="148" t="s">
        <v>80</v>
      </c>
      <c r="AY533" s="150" t="s">
        <v>337</v>
      </c>
    </row>
    <row r="534" spans="2:65" s="148" customFormat="1" x14ac:dyDescent="0.2">
      <c r="B534" s="149"/>
      <c r="D534" s="143" t="s">
        <v>346</v>
      </c>
      <c r="E534" s="150"/>
      <c r="F534" s="151" t="s">
        <v>682</v>
      </c>
      <c r="H534" s="152">
        <v>1132.45</v>
      </c>
      <c r="L534" s="149"/>
      <c r="M534" s="153"/>
      <c r="T534" s="154"/>
      <c r="AT534" s="150" t="s">
        <v>346</v>
      </c>
      <c r="AU534" s="150" t="s">
        <v>90</v>
      </c>
      <c r="AV534" s="148" t="s">
        <v>90</v>
      </c>
      <c r="AW534" s="148" t="s">
        <v>33</v>
      </c>
      <c r="AX534" s="148" t="s">
        <v>80</v>
      </c>
      <c r="AY534" s="150" t="s">
        <v>337</v>
      </c>
    </row>
    <row r="535" spans="2:65" s="141" customFormat="1" x14ac:dyDescent="0.2">
      <c r="B535" s="142"/>
      <c r="D535" s="143" t="s">
        <v>346</v>
      </c>
      <c r="E535" s="144"/>
      <c r="F535" s="145" t="s">
        <v>683</v>
      </c>
      <c r="H535" s="144"/>
      <c r="L535" s="142"/>
      <c r="M535" s="146"/>
      <c r="T535" s="147"/>
      <c r="AT535" s="144" t="s">
        <v>346</v>
      </c>
      <c r="AU535" s="144" t="s">
        <v>90</v>
      </c>
      <c r="AV535" s="141" t="s">
        <v>87</v>
      </c>
      <c r="AW535" s="141" t="s">
        <v>33</v>
      </c>
      <c r="AX535" s="141" t="s">
        <v>80</v>
      </c>
      <c r="AY535" s="144" t="s">
        <v>337</v>
      </c>
    </row>
    <row r="536" spans="2:65" s="148" customFormat="1" x14ac:dyDescent="0.2">
      <c r="B536" s="149"/>
      <c r="D536" s="143" t="s">
        <v>346</v>
      </c>
      <c r="E536" s="150"/>
      <c r="F536" s="151" t="s">
        <v>684</v>
      </c>
      <c r="H536" s="152">
        <v>-32.716999999999999</v>
      </c>
      <c r="L536" s="149"/>
      <c r="M536" s="153"/>
      <c r="T536" s="154"/>
      <c r="AT536" s="150" t="s">
        <v>346</v>
      </c>
      <c r="AU536" s="150" t="s">
        <v>90</v>
      </c>
      <c r="AV536" s="148" t="s">
        <v>90</v>
      </c>
      <c r="AW536" s="148" t="s">
        <v>33</v>
      </c>
      <c r="AX536" s="148" t="s">
        <v>80</v>
      </c>
      <c r="AY536" s="150" t="s">
        <v>337</v>
      </c>
    </row>
    <row r="537" spans="2:65" s="172" customFormat="1" x14ac:dyDescent="0.2">
      <c r="B537" s="173"/>
      <c r="D537" s="143" t="s">
        <v>346</v>
      </c>
      <c r="E537" s="174" t="s">
        <v>285</v>
      </c>
      <c r="F537" s="175" t="s">
        <v>609</v>
      </c>
      <c r="H537" s="176">
        <v>1142.143</v>
      </c>
      <c r="L537" s="173"/>
      <c r="M537" s="177"/>
      <c r="T537" s="178"/>
      <c r="AT537" s="174" t="s">
        <v>346</v>
      </c>
      <c r="AU537" s="174" t="s">
        <v>90</v>
      </c>
      <c r="AV537" s="172" t="s">
        <v>113</v>
      </c>
      <c r="AW537" s="172" t="s">
        <v>33</v>
      </c>
      <c r="AX537" s="172" t="s">
        <v>87</v>
      </c>
      <c r="AY537" s="174" t="s">
        <v>337</v>
      </c>
    </row>
    <row r="538" spans="2:65" s="16" customFormat="1" ht="16.5" customHeight="1" x14ac:dyDescent="0.2">
      <c r="B538" s="17"/>
      <c r="C538" s="128">
        <v>40</v>
      </c>
      <c r="D538" s="128" t="s">
        <v>339</v>
      </c>
      <c r="E538" s="129" t="s">
        <v>686</v>
      </c>
      <c r="F538" s="130" t="s">
        <v>687</v>
      </c>
      <c r="G538" s="131" t="s">
        <v>425</v>
      </c>
      <c r="H538" s="132">
        <v>247.971</v>
      </c>
      <c r="I538" s="133"/>
      <c r="J538" s="134">
        <f>ROUND(I538*H538,2)</f>
        <v>0</v>
      </c>
      <c r="K538" s="130" t="s">
        <v>343</v>
      </c>
      <c r="L538" s="17"/>
      <c r="M538" s="135"/>
      <c r="N538" s="136" t="s">
        <v>45</v>
      </c>
      <c r="P538" s="137">
        <f>O538*H538</f>
        <v>0</v>
      </c>
      <c r="Q538" s="137">
        <v>1.6199999999999999E-2</v>
      </c>
      <c r="R538" s="137">
        <f>Q538*H538</f>
        <v>4.0171301999999995</v>
      </c>
      <c r="S538" s="137">
        <v>0</v>
      </c>
      <c r="T538" s="138">
        <f>S538*H538</f>
        <v>0</v>
      </c>
      <c r="AR538" s="139" t="s">
        <v>344</v>
      </c>
      <c r="AT538" s="139" t="s">
        <v>339</v>
      </c>
      <c r="AU538" s="139" t="s">
        <v>90</v>
      </c>
      <c r="AY538" s="2" t="s">
        <v>337</v>
      </c>
      <c r="BE538" s="140">
        <f>IF(N538="základní",J538,0)</f>
        <v>0</v>
      </c>
      <c r="BF538" s="140">
        <f>IF(N538="snížená",J538,0)</f>
        <v>0</v>
      </c>
      <c r="BG538" s="140">
        <f>IF(N538="zákl. přenesená",J538,0)</f>
        <v>0</v>
      </c>
      <c r="BH538" s="140">
        <f>IF(N538="sníž. přenesená",J538,0)</f>
        <v>0</v>
      </c>
      <c r="BI538" s="140">
        <f>IF(N538="nulová",J538,0)</f>
        <v>0</v>
      </c>
      <c r="BJ538" s="2" t="s">
        <v>87</v>
      </c>
      <c r="BK538" s="140">
        <f>ROUND(I538*H538,2)</f>
        <v>0</v>
      </c>
      <c r="BL538" s="2" t="s">
        <v>344</v>
      </c>
      <c r="BM538" s="139" t="s">
        <v>688</v>
      </c>
    </row>
    <row r="539" spans="2:65" s="141" customFormat="1" x14ac:dyDescent="0.2">
      <c r="B539" s="142"/>
      <c r="D539" s="143" t="s">
        <v>346</v>
      </c>
      <c r="E539" s="144"/>
      <c r="F539" s="145" t="s">
        <v>680</v>
      </c>
      <c r="H539" s="144"/>
      <c r="L539" s="142"/>
      <c r="M539" s="146"/>
      <c r="T539" s="147"/>
      <c r="AT539" s="144" t="s">
        <v>346</v>
      </c>
      <c r="AU539" s="144" t="s">
        <v>90</v>
      </c>
      <c r="AV539" s="141" t="s">
        <v>87</v>
      </c>
      <c r="AW539" s="141" t="s">
        <v>33</v>
      </c>
      <c r="AX539" s="141" t="s">
        <v>80</v>
      </c>
      <c r="AY539" s="144" t="s">
        <v>337</v>
      </c>
    </row>
    <row r="540" spans="2:65" s="148" customFormat="1" x14ac:dyDescent="0.2">
      <c r="B540" s="149"/>
      <c r="D540" s="143" t="s">
        <v>346</v>
      </c>
      <c r="E540" s="150"/>
      <c r="F540" s="151" t="s">
        <v>689</v>
      </c>
      <c r="H540" s="152">
        <v>4.4800000000000004</v>
      </c>
      <c r="L540" s="149"/>
      <c r="M540" s="153"/>
      <c r="T540" s="154"/>
      <c r="AT540" s="150" t="s">
        <v>346</v>
      </c>
      <c r="AU540" s="150" t="s">
        <v>90</v>
      </c>
      <c r="AV540" s="148" t="s">
        <v>90</v>
      </c>
      <c r="AW540" s="148" t="s">
        <v>33</v>
      </c>
      <c r="AX540" s="148" t="s">
        <v>80</v>
      </c>
      <c r="AY540" s="150" t="s">
        <v>337</v>
      </c>
    </row>
    <row r="541" spans="2:65" s="148" customFormat="1" x14ac:dyDescent="0.2">
      <c r="B541" s="149"/>
      <c r="D541" s="143" t="s">
        <v>346</v>
      </c>
      <c r="E541" s="150"/>
      <c r="F541" s="151" t="s">
        <v>690</v>
      </c>
      <c r="H541" s="152">
        <v>228.59</v>
      </c>
      <c r="L541" s="149"/>
      <c r="M541" s="153"/>
      <c r="T541" s="154"/>
      <c r="AT541" s="150" t="s">
        <v>346</v>
      </c>
      <c r="AU541" s="150" t="s">
        <v>90</v>
      </c>
      <c r="AV541" s="148" t="s">
        <v>90</v>
      </c>
      <c r="AW541" s="148" t="s">
        <v>33</v>
      </c>
      <c r="AX541" s="148" t="s">
        <v>80</v>
      </c>
      <c r="AY541" s="150" t="s">
        <v>337</v>
      </c>
    </row>
    <row r="542" spans="2:65" s="172" customFormat="1" x14ac:dyDescent="0.2">
      <c r="B542" s="173"/>
      <c r="D542" s="143" t="s">
        <v>346</v>
      </c>
      <c r="E542" s="174" t="s">
        <v>275</v>
      </c>
      <c r="F542" s="175" t="s">
        <v>609</v>
      </c>
      <c r="H542" s="176">
        <v>233.07</v>
      </c>
      <c r="L542" s="173"/>
      <c r="M542" s="177"/>
      <c r="T542" s="178"/>
      <c r="AT542" s="174" t="s">
        <v>346</v>
      </c>
      <c r="AU542" s="174" t="s">
        <v>90</v>
      </c>
      <c r="AV542" s="172" t="s">
        <v>113</v>
      </c>
      <c r="AW542" s="172" t="s">
        <v>33</v>
      </c>
      <c r="AX542" s="172" t="s">
        <v>80</v>
      </c>
      <c r="AY542" s="174" t="s">
        <v>337</v>
      </c>
    </row>
    <row r="543" spans="2:65" s="141" customFormat="1" x14ac:dyDescent="0.2">
      <c r="B543" s="142"/>
      <c r="D543" s="143" t="s">
        <v>346</v>
      </c>
      <c r="E543" s="144"/>
      <c r="F543" s="145" t="s">
        <v>650</v>
      </c>
      <c r="H543" s="144"/>
      <c r="L543" s="142"/>
      <c r="M543" s="146"/>
      <c r="T543" s="147"/>
      <c r="AT543" s="144" t="s">
        <v>346</v>
      </c>
      <c r="AU543" s="144" t="s">
        <v>90</v>
      </c>
      <c r="AV543" s="141" t="s">
        <v>87</v>
      </c>
      <c r="AW543" s="141" t="s">
        <v>33</v>
      </c>
      <c r="AX543" s="141" t="s">
        <v>80</v>
      </c>
      <c r="AY543" s="144" t="s">
        <v>337</v>
      </c>
    </row>
    <row r="544" spans="2:65" s="141" customFormat="1" x14ac:dyDescent="0.2">
      <c r="B544" s="142"/>
      <c r="D544" s="143" t="s">
        <v>346</v>
      </c>
      <c r="E544" s="144"/>
      <c r="F544" s="145" t="s">
        <v>651</v>
      </c>
      <c r="H544" s="144"/>
      <c r="L544" s="142"/>
      <c r="M544" s="146"/>
      <c r="T544" s="147"/>
      <c r="AT544" s="144" t="s">
        <v>346</v>
      </c>
      <c r="AU544" s="144" t="s">
        <v>90</v>
      </c>
      <c r="AV544" s="141" t="s">
        <v>87</v>
      </c>
      <c r="AW544" s="141" t="s">
        <v>33</v>
      </c>
      <c r="AX544" s="141" t="s">
        <v>80</v>
      </c>
      <c r="AY544" s="144" t="s">
        <v>337</v>
      </c>
    </row>
    <row r="545" spans="2:65" s="148" customFormat="1" x14ac:dyDescent="0.2">
      <c r="B545" s="149"/>
      <c r="D545" s="143" t="s">
        <v>346</v>
      </c>
      <c r="E545" s="150"/>
      <c r="F545" s="151" t="s">
        <v>652</v>
      </c>
      <c r="H545" s="152">
        <v>14.901</v>
      </c>
      <c r="L545" s="149"/>
      <c r="M545" s="153"/>
      <c r="T545" s="154"/>
      <c r="AT545" s="150" t="s">
        <v>346</v>
      </c>
      <c r="AU545" s="150" t="s">
        <v>90</v>
      </c>
      <c r="AV545" s="148" t="s">
        <v>90</v>
      </c>
      <c r="AW545" s="148" t="s">
        <v>33</v>
      </c>
      <c r="AX545" s="148" t="s">
        <v>80</v>
      </c>
      <c r="AY545" s="150" t="s">
        <v>337</v>
      </c>
    </row>
    <row r="546" spans="2:65" s="172" customFormat="1" x14ac:dyDescent="0.2">
      <c r="B546" s="173"/>
      <c r="D546" s="143" t="s">
        <v>346</v>
      </c>
      <c r="E546" s="174" t="s">
        <v>279</v>
      </c>
      <c r="F546" s="175" t="s">
        <v>609</v>
      </c>
      <c r="H546" s="176">
        <v>14.901</v>
      </c>
      <c r="L546" s="173"/>
      <c r="M546" s="177"/>
      <c r="T546" s="178"/>
      <c r="AT546" s="174" t="s">
        <v>346</v>
      </c>
      <c r="AU546" s="174" t="s">
        <v>90</v>
      </c>
      <c r="AV546" s="172" t="s">
        <v>113</v>
      </c>
      <c r="AW546" s="172" t="s">
        <v>33</v>
      </c>
      <c r="AX546" s="172" t="s">
        <v>80</v>
      </c>
      <c r="AY546" s="174" t="s">
        <v>337</v>
      </c>
    </row>
    <row r="547" spans="2:65" s="155" customFormat="1" x14ac:dyDescent="0.2">
      <c r="B547" s="156"/>
      <c r="D547" s="143" t="s">
        <v>346</v>
      </c>
      <c r="E547" s="157"/>
      <c r="F547" s="158" t="s">
        <v>351</v>
      </c>
      <c r="H547" s="159">
        <v>247.971</v>
      </c>
      <c r="L547" s="156"/>
      <c r="M547" s="160"/>
      <c r="T547" s="161"/>
      <c r="AT547" s="157" t="s">
        <v>346</v>
      </c>
      <c r="AU547" s="157" t="s">
        <v>90</v>
      </c>
      <c r="AV547" s="155" t="s">
        <v>344</v>
      </c>
      <c r="AW547" s="155" t="s">
        <v>33</v>
      </c>
      <c r="AX547" s="155" t="s">
        <v>87</v>
      </c>
      <c r="AY547" s="157" t="s">
        <v>337</v>
      </c>
    </row>
    <row r="548" spans="2:65" s="16" customFormat="1" ht="16.5" customHeight="1" x14ac:dyDescent="0.2">
      <c r="B548" s="17"/>
      <c r="C548" s="128">
        <v>41</v>
      </c>
      <c r="D548" s="128" t="s">
        <v>339</v>
      </c>
      <c r="E548" s="129" t="s">
        <v>692</v>
      </c>
      <c r="F548" s="130" t="s">
        <v>693</v>
      </c>
      <c r="G548" s="131" t="s">
        <v>449</v>
      </c>
      <c r="H548" s="132">
        <v>40</v>
      </c>
      <c r="I548" s="133"/>
      <c r="J548" s="134">
        <f>ROUND(I548*H548,2)</f>
        <v>0</v>
      </c>
      <c r="K548" s="130" t="s">
        <v>343</v>
      </c>
      <c r="L548" s="17"/>
      <c r="M548" s="135"/>
      <c r="N548" s="136" t="s">
        <v>45</v>
      </c>
      <c r="P548" s="137">
        <f>O548*H548</f>
        <v>0</v>
      </c>
      <c r="Q548" s="137">
        <v>3.8199999999999998E-2</v>
      </c>
      <c r="R548" s="137">
        <f>Q548*H548</f>
        <v>1.528</v>
      </c>
      <c r="S548" s="137">
        <v>0</v>
      </c>
      <c r="T548" s="138">
        <f>S548*H548</f>
        <v>0</v>
      </c>
      <c r="AR548" s="139" t="s">
        <v>344</v>
      </c>
      <c r="AT548" s="139" t="s">
        <v>339</v>
      </c>
      <c r="AU548" s="139" t="s">
        <v>90</v>
      </c>
      <c r="AY548" s="2" t="s">
        <v>337</v>
      </c>
      <c r="BE548" s="140">
        <f>IF(N548="základní",J548,0)</f>
        <v>0</v>
      </c>
      <c r="BF548" s="140">
        <f>IF(N548="snížená",J548,0)</f>
        <v>0</v>
      </c>
      <c r="BG548" s="140">
        <f>IF(N548="zákl. přenesená",J548,0)</f>
        <v>0</v>
      </c>
      <c r="BH548" s="140">
        <f>IF(N548="sníž. přenesená",J548,0)</f>
        <v>0</v>
      </c>
      <c r="BI548" s="140">
        <f>IF(N548="nulová",J548,0)</f>
        <v>0</v>
      </c>
      <c r="BJ548" s="2" t="s">
        <v>87</v>
      </c>
      <c r="BK548" s="140">
        <f>ROUND(I548*H548,2)</f>
        <v>0</v>
      </c>
      <c r="BL548" s="2" t="s">
        <v>344</v>
      </c>
      <c r="BM548" s="139" t="s">
        <v>694</v>
      </c>
    </row>
    <row r="549" spans="2:65" s="141" customFormat="1" x14ac:dyDescent="0.2">
      <c r="B549" s="142"/>
      <c r="D549" s="143" t="s">
        <v>346</v>
      </c>
      <c r="E549" s="144"/>
      <c r="F549" s="145" t="s">
        <v>695</v>
      </c>
      <c r="H549" s="144"/>
      <c r="L549" s="142"/>
      <c r="M549" s="146"/>
      <c r="T549" s="147"/>
      <c r="AT549" s="144" t="s">
        <v>346</v>
      </c>
      <c r="AU549" s="144" t="s">
        <v>90</v>
      </c>
      <c r="AV549" s="141" t="s">
        <v>87</v>
      </c>
      <c r="AW549" s="141" t="s">
        <v>33</v>
      </c>
      <c r="AX549" s="141" t="s">
        <v>80</v>
      </c>
      <c r="AY549" s="144" t="s">
        <v>337</v>
      </c>
    </row>
    <row r="550" spans="2:65" s="141" customFormat="1" x14ac:dyDescent="0.2">
      <c r="B550" s="142"/>
      <c r="D550" s="143" t="s">
        <v>346</v>
      </c>
      <c r="E550" s="144"/>
      <c r="F550" s="145" t="s">
        <v>696</v>
      </c>
      <c r="H550" s="144"/>
      <c r="L550" s="142"/>
      <c r="M550" s="146"/>
      <c r="T550" s="147"/>
      <c r="AT550" s="144" t="s">
        <v>346</v>
      </c>
      <c r="AU550" s="144" t="s">
        <v>90</v>
      </c>
      <c r="AV550" s="141" t="s">
        <v>87</v>
      </c>
      <c r="AW550" s="141" t="s">
        <v>33</v>
      </c>
      <c r="AX550" s="141" t="s">
        <v>80</v>
      </c>
      <c r="AY550" s="144" t="s">
        <v>337</v>
      </c>
    </row>
    <row r="551" spans="2:65" s="141" customFormat="1" x14ac:dyDescent="0.2">
      <c r="B551" s="142"/>
      <c r="D551" s="143" t="s">
        <v>346</v>
      </c>
      <c r="E551" s="144"/>
      <c r="F551" s="145" t="s">
        <v>697</v>
      </c>
      <c r="H551" s="144"/>
      <c r="L551" s="142"/>
      <c r="M551" s="146"/>
      <c r="T551" s="147"/>
      <c r="AT551" s="144" t="s">
        <v>346</v>
      </c>
      <c r="AU551" s="144" t="s">
        <v>90</v>
      </c>
      <c r="AV551" s="141" t="s">
        <v>87</v>
      </c>
      <c r="AW551" s="141" t="s">
        <v>33</v>
      </c>
      <c r="AX551" s="141" t="s">
        <v>80</v>
      </c>
      <c r="AY551" s="144" t="s">
        <v>337</v>
      </c>
    </row>
    <row r="552" spans="2:65" s="148" customFormat="1" x14ac:dyDescent="0.2">
      <c r="B552" s="149"/>
      <c r="D552" s="143" t="s">
        <v>346</v>
      </c>
      <c r="E552" s="150"/>
      <c r="F552" s="151" t="s">
        <v>698</v>
      </c>
      <c r="H552" s="152">
        <v>40</v>
      </c>
      <c r="L552" s="149"/>
      <c r="M552" s="153"/>
      <c r="T552" s="154"/>
      <c r="AT552" s="150" t="s">
        <v>346</v>
      </c>
      <c r="AU552" s="150" t="s">
        <v>90</v>
      </c>
      <c r="AV552" s="148" t="s">
        <v>90</v>
      </c>
      <c r="AW552" s="148" t="s">
        <v>33</v>
      </c>
      <c r="AX552" s="148" t="s">
        <v>87</v>
      </c>
      <c r="AY552" s="150" t="s">
        <v>337</v>
      </c>
    </row>
    <row r="553" spans="2:65" s="16" customFormat="1" ht="16.5" customHeight="1" x14ac:dyDescent="0.2">
      <c r="B553" s="17"/>
      <c r="C553" s="128">
        <v>42</v>
      </c>
      <c r="D553" s="128" t="s">
        <v>339</v>
      </c>
      <c r="E553" s="129" t="s">
        <v>700</v>
      </c>
      <c r="F553" s="130" t="s">
        <v>701</v>
      </c>
      <c r="G553" s="131" t="s">
        <v>449</v>
      </c>
      <c r="H553" s="132">
        <v>20</v>
      </c>
      <c r="I553" s="133"/>
      <c r="J553" s="134">
        <f>ROUND(I553*H553,2)</f>
        <v>0</v>
      </c>
      <c r="K553" s="130" t="s">
        <v>343</v>
      </c>
      <c r="L553" s="17"/>
      <c r="M553" s="135"/>
      <c r="N553" s="136" t="s">
        <v>45</v>
      </c>
      <c r="P553" s="137">
        <f>O553*H553</f>
        <v>0</v>
      </c>
      <c r="Q553" s="137">
        <v>0.14699999999999999</v>
      </c>
      <c r="R553" s="137">
        <f>Q553*H553</f>
        <v>2.94</v>
      </c>
      <c r="S553" s="137">
        <v>0</v>
      </c>
      <c r="T553" s="138">
        <f>S553*H553</f>
        <v>0</v>
      </c>
      <c r="AR553" s="139" t="s">
        <v>344</v>
      </c>
      <c r="AT553" s="139" t="s">
        <v>339</v>
      </c>
      <c r="AU553" s="139" t="s">
        <v>90</v>
      </c>
      <c r="AY553" s="2" t="s">
        <v>337</v>
      </c>
      <c r="BE553" s="140">
        <f>IF(N553="základní",J553,0)</f>
        <v>0</v>
      </c>
      <c r="BF553" s="140">
        <f>IF(N553="snížená",J553,0)</f>
        <v>0</v>
      </c>
      <c r="BG553" s="140">
        <f>IF(N553="zákl. přenesená",J553,0)</f>
        <v>0</v>
      </c>
      <c r="BH553" s="140">
        <f>IF(N553="sníž. přenesená",J553,0)</f>
        <v>0</v>
      </c>
      <c r="BI553" s="140">
        <f>IF(N553="nulová",J553,0)</f>
        <v>0</v>
      </c>
      <c r="BJ553" s="2" t="s">
        <v>87</v>
      </c>
      <c r="BK553" s="140">
        <f>ROUND(I553*H553,2)</f>
        <v>0</v>
      </c>
      <c r="BL553" s="2" t="s">
        <v>344</v>
      </c>
      <c r="BM553" s="139" t="s">
        <v>702</v>
      </c>
    </row>
    <row r="554" spans="2:65" s="141" customFormat="1" x14ac:dyDescent="0.2">
      <c r="B554" s="142"/>
      <c r="D554" s="143" t="s">
        <v>346</v>
      </c>
      <c r="E554" s="144"/>
      <c r="F554" s="145" t="s">
        <v>695</v>
      </c>
      <c r="H554" s="144"/>
      <c r="L554" s="142"/>
      <c r="M554" s="146"/>
      <c r="T554" s="147"/>
      <c r="AT554" s="144" t="s">
        <v>346</v>
      </c>
      <c r="AU554" s="144" t="s">
        <v>90</v>
      </c>
      <c r="AV554" s="141" t="s">
        <v>87</v>
      </c>
      <c r="AW554" s="141" t="s">
        <v>33</v>
      </c>
      <c r="AX554" s="141" t="s">
        <v>80</v>
      </c>
      <c r="AY554" s="144" t="s">
        <v>337</v>
      </c>
    </row>
    <row r="555" spans="2:65" s="141" customFormat="1" x14ac:dyDescent="0.2">
      <c r="B555" s="142"/>
      <c r="D555" s="143" t="s">
        <v>346</v>
      </c>
      <c r="E555" s="144"/>
      <c r="F555" s="145" t="s">
        <v>696</v>
      </c>
      <c r="H555" s="144"/>
      <c r="L555" s="142"/>
      <c r="M555" s="146"/>
      <c r="T555" s="147"/>
      <c r="AT555" s="144" t="s">
        <v>346</v>
      </c>
      <c r="AU555" s="144" t="s">
        <v>90</v>
      </c>
      <c r="AV555" s="141" t="s">
        <v>87</v>
      </c>
      <c r="AW555" s="141" t="s">
        <v>33</v>
      </c>
      <c r="AX555" s="141" t="s">
        <v>80</v>
      </c>
      <c r="AY555" s="144" t="s">
        <v>337</v>
      </c>
    </row>
    <row r="556" spans="2:65" s="141" customFormat="1" x14ac:dyDescent="0.2">
      <c r="B556" s="142"/>
      <c r="D556" s="143" t="s">
        <v>346</v>
      </c>
      <c r="E556" s="144"/>
      <c r="F556" s="145" t="s">
        <v>703</v>
      </c>
      <c r="H556" s="144"/>
      <c r="L556" s="142"/>
      <c r="M556" s="146"/>
      <c r="T556" s="147"/>
      <c r="AT556" s="144" t="s">
        <v>346</v>
      </c>
      <c r="AU556" s="144" t="s">
        <v>90</v>
      </c>
      <c r="AV556" s="141" t="s">
        <v>87</v>
      </c>
      <c r="AW556" s="141" t="s">
        <v>33</v>
      </c>
      <c r="AX556" s="141" t="s">
        <v>80</v>
      </c>
      <c r="AY556" s="144" t="s">
        <v>337</v>
      </c>
    </row>
    <row r="557" spans="2:65" s="148" customFormat="1" x14ac:dyDescent="0.2">
      <c r="B557" s="149"/>
      <c r="D557" s="143" t="s">
        <v>346</v>
      </c>
      <c r="E557" s="150"/>
      <c r="F557" s="151" t="s">
        <v>704</v>
      </c>
      <c r="H557" s="152">
        <v>20</v>
      </c>
      <c r="L557" s="149"/>
      <c r="M557" s="153"/>
      <c r="T557" s="154"/>
      <c r="AT557" s="150" t="s">
        <v>346</v>
      </c>
      <c r="AU557" s="150" t="s">
        <v>90</v>
      </c>
      <c r="AV557" s="148" t="s">
        <v>90</v>
      </c>
      <c r="AW557" s="148" t="s">
        <v>33</v>
      </c>
      <c r="AX557" s="148" t="s">
        <v>87</v>
      </c>
      <c r="AY557" s="150" t="s">
        <v>337</v>
      </c>
    </row>
    <row r="558" spans="2:65" s="16" customFormat="1" ht="16.5" customHeight="1" x14ac:dyDescent="0.2">
      <c r="B558" s="17"/>
      <c r="C558" s="128">
        <v>43</v>
      </c>
      <c r="D558" s="128" t="s">
        <v>339</v>
      </c>
      <c r="E558" s="129" t="s">
        <v>705</v>
      </c>
      <c r="F558" s="130" t="s">
        <v>706</v>
      </c>
      <c r="G558" s="131" t="s">
        <v>425</v>
      </c>
      <c r="H558" s="132">
        <v>233.07</v>
      </c>
      <c r="I558" s="133"/>
      <c r="J558" s="134">
        <f>ROUND(I558*H558,2)</f>
        <v>0</v>
      </c>
      <c r="K558" s="130" t="s">
        <v>343</v>
      </c>
      <c r="L558" s="17"/>
      <c r="M558" s="135"/>
      <c r="N558" s="136" t="s">
        <v>45</v>
      </c>
      <c r="P558" s="137">
        <f>O558*H558</f>
        <v>0</v>
      </c>
      <c r="Q558" s="137">
        <v>4.0000000000000001E-3</v>
      </c>
      <c r="R558" s="137">
        <f>Q558*H558</f>
        <v>0.93228</v>
      </c>
      <c r="S558" s="137">
        <v>0</v>
      </c>
      <c r="T558" s="138">
        <f>S558*H558</f>
        <v>0</v>
      </c>
      <c r="AR558" s="139" t="s">
        <v>344</v>
      </c>
      <c r="AT558" s="139" t="s">
        <v>339</v>
      </c>
      <c r="AU558" s="139" t="s">
        <v>90</v>
      </c>
      <c r="AY558" s="2" t="s">
        <v>337</v>
      </c>
      <c r="BE558" s="140">
        <f>IF(N558="základní",J558,0)</f>
        <v>0</v>
      </c>
      <c r="BF558" s="140">
        <f>IF(N558="snížená",J558,0)</f>
        <v>0</v>
      </c>
      <c r="BG558" s="140">
        <f>IF(N558="zákl. přenesená",J558,0)</f>
        <v>0</v>
      </c>
      <c r="BH558" s="140">
        <f>IF(N558="sníž. přenesená",J558,0)</f>
        <v>0</v>
      </c>
      <c r="BI558" s="140">
        <f>IF(N558="nulová",J558,0)</f>
        <v>0</v>
      </c>
      <c r="BJ558" s="2" t="s">
        <v>87</v>
      </c>
      <c r="BK558" s="140">
        <f>ROUND(I558*H558,2)</f>
        <v>0</v>
      </c>
      <c r="BL558" s="2" t="s">
        <v>344</v>
      </c>
      <c r="BM558" s="139" t="s">
        <v>707</v>
      </c>
    </row>
    <row r="559" spans="2:65" s="148" customFormat="1" x14ac:dyDescent="0.2">
      <c r="B559" s="149"/>
      <c r="D559" s="143" t="s">
        <v>346</v>
      </c>
      <c r="E559" s="150"/>
      <c r="F559" s="151" t="s">
        <v>275</v>
      </c>
      <c r="H559" s="152">
        <v>233.07</v>
      </c>
      <c r="L559" s="149"/>
      <c r="M559" s="153"/>
      <c r="T559" s="154"/>
      <c r="AT559" s="150" t="s">
        <v>346</v>
      </c>
      <c r="AU559" s="150" t="s">
        <v>90</v>
      </c>
      <c r="AV559" s="148" t="s">
        <v>90</v>
      </c>
      <c r="AW559" s="148" t="s">
        <v>33</v>
      </c>
      <c r="AX559" s="148" t="s">
        <v>87</v>
      </c>
      <c r="AY559" s="150" t="s">
        <v>337</v>
      </c>
    </row>
    <row r="560" spans="2:65" s="16" customFormat="1" ht="16.5" customHeight="1" x14ac:dyDescent="0.2">
      <c r="B560" s="17"/>
      <c r="C560" s="128">
        <v>44</v>
      </c>
      <c r="D560" s="128" t="s">
        <v>339</v>
      </c>
      <c r="E560" s="129" t="s">
        <v>709</v>
      </c>
      <c r="F560" s="130" t="s">
        <v>710</v>
      </c>
      <c r="G560" s="131" t="s">
        <v>425</v>
      </c>
      <c r="H560" s="132">
        <v>8593.9920000000002</v>
      </c>
      <c r="I560" s="133"/>
      <c r="J560" s="134">
        <f>ROUND(I560*H560,2)</f>
        <v>0</v>
      </c>
      <c r="K560" s="130" t="s">
        <v>343</v>
      </c>
      <c r="L560" s="17"/>
      <c r="M560" s="135"/>
      <c r="N560" s="136" t="s">
        <v>45</v>
      </c>
      <c r="P560" s="137">
        <f>O560*H560</f>
        <v>0</v>
      </c>
      <c r="Q560" s="137">
        <v>1.103E-2</v>
      </c>
      <c r="R560" s="137">
        <f>Q560*H560</f>
        <v>94.791731760000005</v>
      </c>
      <c r="S560" s="137">
        <v>0</v>
      </c>
      <c r="T560" s="138">
        <f>S560*H560</f>
        <v>0</v>
      </c>
      <c r="AR560" s="139" t="s">
        <v>344</v>
      </c>
      <c r="AT560" s="139" t="s">
        <v>339</v>
      </c>
      <c r="AU560" s="139" t="s">
        <v>90</v>
      </c>
      <c r="AY560" s="2" t="s">
        <v>337</v>
      </c>
      <c r="BE560" s="140">
        <f>IF(N560="základní",J560,0)</f>
        <v>0</v>
      </c>
      <c r="BF560" s="140">
        <f>IF(N560="snížená",J560,0)</f>
        <v>0</v>
      </c>
      <c r="BG560" s="140">
        <f>IF(N560="zákl. přenesená",J560,0)</f>
        <v>0</v>
      </c>
      <c r="BH560" s="140">
        <f>IF(N560="sníž. přenesená",J560,0)</f>
        <v>0</v>
      </c>
      <c r="BI560" s="140">
        <f>IF(N560="nulová",J560,0)</f>
        <v>0</v>
      </c>
      <c r="BJ560" s="2" t="s">
        <v>87</v>
      </c>
      <c r="BK560" s="140">
        <f>ROUND(I560*H560,2)</f>
        <v>0</v>
      </c>
      <c r="BL560" s="2" t="s">
        <v>344</v>
      </c>
      <c r="BM560" s="139" t="s">
        <v>711</v>
      </c>
    </row>
    <row r="561" spans="2:51" s="141" customFormat="1" x14ac:dyDescent="0.2">
      <c r="B561" s="142"/>
      <c r="D561" s="143" t="s">
        <v>346</v>
      </c>
      <c r="E561" s="144"/>
      <c r="F561" s="145" t="s">
        <v>680</v>
      </c>
      <c r="H561" s="144"/>
      <c r="L561" s="142"/>
      <c r="M561" s="146"/>
      <c r="T561" s="147"/>
      <c r="AT561" s="144" t="s">
        <v>346</v>
      </c>
      <c r="AU561" s="144" t="s">
        <v>90</v>
      </c>
      <c r="AV561" s="141" t="s">
        <v>87</v>
      </c>
      <c r="AW561" s="141" t="s">
        <v>33</v>
      </c>
      <c r="AX561" s="141" t="s">
        <v>80</v>
      </c>
      <c r="AY561" s="144" t="s">
        <v>337</v>
      </c>
    </row>
    <row r="562" spans="2:51" s="148" customFormat="1" x14ac:dyDescent="0.2">
      <c r="B562" s="149"/>
      <c r="D562" s="143" t="s">
        <v>346</v>
      </c>
      <c r="E562" s="150"/>
      <c r="F562" s="151" t="s">
        <v>712</v>
      </c>
      <c r="H562" s="152">
        <v>540.79999999999995</v>
      </c>
      <c r="L562" s="149"/>
      <c r="M562" s="153"/>
      <c r="T562" s="154"/>
      <c r="AT562" s="150" t="s">
        <v>346</v>
      </c>
      <c r="AU562" s="150" t="s">
        <v>90</v>
      </c>
      <c r="AV562" s="148" t="s">
        <v>90</v>
      </c>
      <c r="AW562" s="148" t="s">
        <v>33</v>
      </c>
      <c r="AX562" s="148" t="s">
        <v>80</v>
      </c>
      <c r="AY562" s="150" t="s">
        <v>337</v>
      </c>
    </row>
    <row r="563" spans="2:51" s="148" customFormat="1" x14ac:dyDescent="0.2">
      <c r="B563" s="149"/>
      <c r="D563" s="143" t="s">
        <v>346</v>
      </c>
      <c r="E563" s="150"/>
      <c r="F563" s="151" t="s">
        <v>713</v>
      </c>
      <c r="H563" s="152">
        <v>7058.06</v>
      </c>
      <c r="L563" s="149"/>
      <c r="M563" s="153"/>
      <c r="T563" s="154"/>
      <c r="AT563" s="150" t="s">
        <v>346</v>
      </c>
      <c r="AU563" s="150" t="s">
        <v>90</v>
      </c>
      <c r="AV563" s="148" t="s">
        <v>90</v>
      </c>
      <c r="AW563" s="148" t="s">
        <v>33</v>
      </c>
      <c r="AX563" s="148" t="s">
        <v>80</v>
      </c>
      <c r="AY563" s="150" t="s">
        <v>337</v>
      </c>
    </row>
    <row r="564" spans="2:51" s="141" customFormat="1" x14ac:dyDescent="0.2">
      <c r="B564" s="142"/>
      <c r="D564" s="143" t="s">
        <v>346</v>
      </c>
      <c r="E564" s="144"/>
      <c r="F564" s="145" t="s">
        <v>683</v>
      </c>
      <c r="H564" s="144"/>
      <c r="L564" s="142"/>
      <c r="M564" s="146"/>
      <c r="T564" s="147"/>
      <c r="AT564" s="144" t="s">
        <v>346</v>
      </c>
      <c r="AU564" s="144" t="s">
        <v>90</v>
      </c>
      <c r="AV564" s="141" t="s">
        <v>87</v>
      </c>
      <c r="AW564" s="141" t="s">
        <v>33</v>
      </c>
      <c r="AX564" s="141" t="s">
        <v>80</v>
      </c>
      <c r="AY564" s="144" t="s">
        <v>337</v>
      </c>
    </row>
    <row r="565" spans="2:51" s="148" customFormat="1" x14ac:dyDescent="0.2">
      <c r="B565" s="149"/>
      <c r="D565" s="143" t="s">
        <v>346</v>
      </c>
      <c r="E565" s="150"/>
      <c r="F565" s="151" t="s">
        <v>714</v>
      </c>
      <c r="H565" s="152">
        <v>-271.28100000000001</v>
      </c>
      <c r="L565" s="149"/>
      <c r="M565" s="153"/>
      <c r="T565" s="154"/>
      <c r="AT565" s="150" t="s">
        <v>346</v>
      </c>
      <c r="AU565" s="150" t="s">
        <v>90</v>
      </c>
      <c r="AV565" s="148" t="s">
        <v>90</v>
      </c>
      <c r="AW565" s="148" t="s">
        <v>33</v>
      </c>
      <c r="AX565" s="148" t="s">
        <v>80</v>
      </c>
      <c r="AY565" s="150" t="s">
        <v>337</v>
      </c>
    </row>
    <row r="566" spans="2:51" s="172" customFormat="1" x14ac:dyDescent="0.2">
      <c r="B566" s="173"/>
      <c r="D566" s="143" t="s">
        <v>346</v>
      </c>
      <c r="E566" s="174" t="s">
        <v>267</v>
      </c>
      <c r="F566" s="175" t="s">
        <v>609</v>
      </c>
      <c r="H566" s="176">
        <v>7327.5789999999997</v>
      </c>
      <c r="L566" s="173"/>
      <c r="M566" s="177"/>
      <c r="T566" s="178"/>
      <c r="AT566" s="174" t="s">
        <v>346</v>
      </c>
      <c r="AU566" s="174" t="s">
        <v>90</v>
      </c>
      <c r="AV566" s="172" t="s">
        <v>113</v>
      </c>
      <c r="AW566" s="172" t="s">
        <v>33</v>
      </c>
      <c r="AX566" s="172" t="s">
        <v>80</v>
      </c>
      <c r="AY566" s="174" t="s">
        <v>337</v>
      </c>
    </row>
    <row r="567" spans="2:51" s="141" customFormat="1" x14ac:dyDescent="0.2">
      <c r="B567" s="142"/>
      <c r="D567" s="143" t="s">
        <v>346</v>
      </c>
      <c r="E567" s="144"/>
      <c r="F567" s="145" t="s">
        <v>662</v>
      </c>
      <c r="H567" s="144"/>
      <c r="L567" s="142"/>
      <c r="M567" s="146"/>
      <c r="T567" s="147"/>
      <c r="AT567" s="144" t="s">
        <v>346</v>
      </c>
      <c r="AU567" s="144" t="s">
        <v>90</v>
      </c>
      <c r="AV567" s="141" t="s">
        <v>87</v>
      </c>
      <c r="AW567" s="141" t="s">
        <v>33</v>
      </c>
      <c r="AX567" s="141" t="s">
        <v>80</v>
      </c>
      <c r="AY567" s="144" t="s">
        <v>337</v>
      </c>
    </row>
    <row r="568" spans="2:51" s="148" customFormat="1" x14ac:dyDescent="0.2">
      <c r="B568" s="149"/>
      <c r="D568" s="143" t="s">
        <v>346</v>
      </c>
      <c r="E568" s="150"/>
      <c r="F568" s="151" t="s">
        <v>237</v>
      </c>
      <c r="H568" s="152">
        <v>932.84</v>
      </c>
      <c r="L568" s="149"/>
      <c r="M568" s="153"/>
      <c r="T568" s="154"/>
      <c r="AT568" s="150" t="s">
        <v>346</v>
      </c>
      <c r="AU568" s="150" t="s">
        <v>90</v>
      </c>
      <c r="AV568" s="148" t="s">
        <v>90</v>
      </c>
      <c r="AW568" s="148" t="s">
        <v>33</v>
      </c>
      <c r="AX568" s="148" t="s">
        <v>80</v>
      </c>
      <c r="AY568" s="150" t="s">
        <v>337</v>
      </c>
    </row>
    <row r="569" spans="2:51" s="148" customFormat="1" x14ac:dyDescent="0.2">
      <c r="B569" s="149"/>
      <c r="D569" s="143" t="s">
        <v>346</v>
      </c>
      <c r="E569" s="150"/>
      <c r="F569" s="151" t="s">
        <v>239</v>
      </c>
      <c r="H569" s="152">
        <v>215.51</v>
      </c>
      <c r="L569" s="149"/>
      <c r="M569" s="153"/>
      <c r="T569" s="154"/>
      <c r="AT569" s="150" t="s">
        <v>346</v>
      </c>
      <c r="AU569" s="150" t="s">
        <v>90</v>
      </c>
      <c r="AV569" s="148" t="s">
        <v>90</v>
      </c>
      <c r="AW569" s="148" t="s">
        <v>33</v>
      </c>
      <c r="AX569" s="148" t="s">
        <v>80</v>
      </c>
      <c r="AY569" s="150" t="s">
        <v>337</v>
      </c>
    </row>
    <row r="570" spans="2:51" s="148" customFormat="1" x14ac:dyDescent="0.2">
      <c r="B570" s="149"/>
      <c r="D570" s="143" t="s">
        <v>346</v>
      </c>
      <c r="E570" s="150"/>
      <c r="F570" s="151" t="s">
        <v>715</v>
      </c>
      <c r="H570" s="152">
        <v>5.76</v>
      </c>
      <c r="L570" s="149"/>
      <c r="M570" s="153"/>
      <c r="T570" s="154"/>
      <c r="AT570" s="150" t="s">
        <v>346</v>
      </c>
      <c r="AU570" s="150" t="s">
        <v>90</v>
      </c>
      <c r="AV570" s="148" t="s">
        <v>90</v>
      </c>
      <c r="AW570" s="148" t="s">
        <v>33</v>
      </c>
      <c r="AX570" s="148" t="s">
        <v>80</v>
      </c>
      <c r="AY570" s="150" t="s">
        <v>337</v>
      </c>
    </row>
    <row r="571" spans="2:51" s="141" customFormat="1" x14ac:dyDescent="0.2">
      <c r="B571" s="142"/>
      <c r="D571" s="143" t="s">
        <v>346</v>
      </c>
      <c r="E571" s="144"/>
      <c r="F571" s="145" t="s">
        <v>716</v>
      </c>
      <c r="H571" s="144"/>
      <c r="L571" s="142"/>
      <c r="M571" s="146"/>
      <c r="T571" s="147"/>
      <c r="AT571" s="144" t="s">
        <v>346</v>
      </c>
      <c r="AU571" s="144" t="s">
        <v>90</v>
      </c>
      <c r="AV571" s="141" t="s">
        <v>87</v>
      </c>
      <c r="AW571" s="141" t="s">
        <v>33</v>
      </c>
      <c r="AX571" s="141" t="s">
        <v>80</v>
      </c>
      <c r="AY571" s="144" t="s">
        <v>337</v>
      </c>
    </row>
    <row r="572" spans="2:51" s="148" customFormat="1" x14ac:dyDescent="0.2">
      <c r="B572" s="149"/>
      <c r="D572" s="143" t="s">
        <v>346</v>
      </c>
      <c r="E572" s="150"/>
      <c r="F572" s="151" t="s">
        <v>717</v>
      </c>
      <c r="H572" s="152">
        <v>200</v>
      </c>
      <c r="L572" s="149"/>
      <c r="M572" s="153"/>
      <c r="T572" s="154"/>
      <c r="AT572" s="150" t="s">
        <v>346</v>
      </c>
      <c r="AU572" s="150" t="s">
        <v>90</v>
      </c>
      <c r="AV572" s="148" t="s">
        <v>90</v>
      </c>
      <c r="AW572" s="148" t="s">
        <v>33</v>
      </c>
      <c r="AX572" s="148" t="s">
        <v>80</v>
      </c>
      <c r="AY572" s="150" t="s">
        <v>337</v>
      </c>
    </row>
    <row r="573" spans="2:51" s="141" customFormat="1" x14ac:dyDescent="0.2">
      <c r="B573" s="142"/>
      <c r="D573" s="143" t="s">
        <v>346</v>
      </c>
      <c r="E573" s="144"/>
      <c r="F573" s="145" t="s">
        <v>718</v>
      </c>
      <c r="H573" s="144"/>
      <c r="L573" s="142"/>
      <c r="M573" s="146"/>
      <c r="T573" s="147"/>
      <c r="AT573" s="144" t="s">
        <v>346</v>
      </c>
      <c r="AU573" s="144" t="s">
        <v>90</v>
      </c>
      <c r="AV573" s="141" t="s">
        <v>87</v>
      </c>
      <c r="AW573" s="141" t="s">
        <v>33</v>
      </c>
      <c r="AX573" s="141" t="s">
        <v>80</v>
      </c>
      <c r="AY573" s="144" t="s">
        <v>337</v>
      </c>
    </row>
    <row r="574" spans="2:51" s="148" customFormat="1" x14ac:dyDescent="0.2">
      <c r="B574" s="149"/>
      <c r="D574" s="143" t="s">
        <v>346</v>
      </c>
      <c r="E574" s="150"/>
      <c r="F574" s="151" t="s">
        <v>719</v>
      </c>
      <c r="H574" s="152">
        <v>-72.796000000000006</v>
      </c>
      <c r="L574" s="149"/>
      <c r="M574" s="153"/>
      <c r="T574" s="154"/>
      <c r="AT574" s="150" t="s">
        <v>346</v>
      </c>
      <c r="AU574" s="150" t="s">
        <v>90</v>
      </c>
      <c r="AV574" s="148" t="s">
        <v>90</v>
      </c>
      <c r="AW574" s="148" t="s">
        <v>33</v>
      </c>
      <c r="AX574" s="148" t="s">
        <v>80</v>
      </c>
      <c r="AY574" s="150" t="s">
        <v>337</v>
      </c>
    </row>
    <row r="575" spans="2:51" s="148" customFormat="1" x14ac:dyDescent="0.2">
      <c r="B575" s="149"/>
      <c r="D575" s="143" t="s">
        <v>346</v>
      </c>
      <c r="E575" s="150"/>
      <c r="F575" s="151" t="s">
        <v>720</v>
      </c>
      <c r="H575" s="152">
        <v>-14.901</v>
      </c>
      <c r="L575" s="149"/>
      <c r="M575" s="153"/>
      <c r="T575" s="154"/>
      <c r="AT575" s="150" t="s">
        <v>346</v>
      </c>
      <c r="AU575" s="150" t="s">
        <v>90</v>
      </c>
      <c r="AV575" s="148" t="s">
        <v>90</v>
      </c>
      <c r="AW575" s="148" t="s">
        <v>33</v>
      </c>
      <c r="AX575" s="148" t="s">
        <v>80</v>
      </c>
      <c r="AY575" s="150" t="s">
        <v>337</v>
      </c>
    </row>
    <row r="576" spans="2:51" s="155" customFormat="1" x14ac:dyDescent="0.2">
      <c r="B576" s="156"/>
      <c r="D576" s="143" t="s">
        <v>346</v>
      </c>
      <c r="E576" s="157"/>
      <c r="F576" s="158" t="s">
        <v>351</v>
      </c>
      <c r="H576" s="159">
        <v>8593.9920000000002</v>
      </c>
      <c r="L576" s="156"/>
      <c r="M576" s="160"/>
      <c r="T576" s="161"/>
      <c r="AT576" s="157" t="s">
        <v>346</v>
      </c>
      <c r="AU576" s="157" t="s">
        <v>90</v>
      </c>
      <c r="AV576" s="155" t="s">
        <v>344</v>
      </c>
      <c r="AW576" s="155" t="s">
        <v>33</v>
      </c>
      <c r="AX576" s="155" t="s">
        <v>87</v>
      </c>
      <c r="AY576" s="157" t="s">
        <v>337</v>
      </c>
    </row>
    <row r="577" spans="2:65" s="16" customFormat="1" ht="16.5" customHeight="1" x14ac:dyDescent="0.2">
      <c r="B577" s="17"/>
      <c r="C577" s="128">
        <v>45</v>
      </c>
      <c r="D577" s="128" t="s">
        <v>339</v>
      </c>
      <c r="E577" s="129" t="s">
        <v>722</v>
      </c>
      <c r="F577" s="130" t="s">
        <v>723</v>
      </c>
      <c r="G577" s="131" t="s">
        <v>724</v>
      </c>
      <c r="H577" s="132">
        <v>830.4</v>
      </c>
      <c r="I577" s="133"/>
      <c r="J577" s="134">
        <f>ROUND(I577*H577,2)</f>
        <v>0</v>
      </c>
      <c r="K577" s="130" t="s">
        <v>343</v>
      </c>
      <c r="L577" s="17"/>
      <c r="M577" s="135"/>
      <c r="N577" s="136" t="s">
        <v>45</v>
      </c>
      <c r="P577" s="137">
        <f>O577*H577</f>
        <v>0</v>
      </c>
      <c r="Q577" s="137">
        <v>1.5E-3</v>
      </c>
      <c r="R577" s="137">
        <f>Q577*H577</f>
        <v>1.2456</v>
      </c>
      <c r="S577" s="137">
        <v>0</v>
      </c>
      <c r="T577" s="138">
        <f>S577*H577</f>
        <v>0</v>
      </c>
      <c r="AR577" s="139" t="s">
        <v>344</v>
      </c>
      <c r="AT577" s="139" t="s">
        <v>339</v>
      </c>
      <c r="AU577" s="139" t="s">
        <v>90</v>
      </c>
      <c r="AY577" s="2" t="s">
        <v>337</v>
      </c>
      <c r="BE577" s="140">
        <f>IF(N577="základní",J577,0)</f>
        <v>0</v>
      </c>
      <c r="BF577" s="140">
        <f>IF(N577="snížená",J577,0)</f>
        <v>0</v>
      </c>
      <c r="BG577" s="140">
        <f>IF(N577="zákl. přenesená",J577,0)</f>
        <v>0</v>
      </c>
      <c r="BH577" s="140">
        <f>IF(N577="sníž. přenesená",J577,0)</f>
        <v>0</v>
      </c>
      <c r="BI577" s="140">
        <f>IF(N577="nulová",J577,0)</f>
        <v>0</v>
      </c>
      <c r="BJ577" s="2" t="s">
        <v>87</v>
      </c>
      <c r="BK577" s="140">
        <f>ROUND(I577*H577,2)</f>
        <v>0</v>
      </c>
      <c r="BL577" s="2" t="s">
        <v>344</v>
      </c>
      <c r="BM577" s="139" t="s">
        <v>725</v>
      </c>
    </row>
    <row r="578" spans="2:65" s="141" customFormat="1" x14ac:dyDescent="0.2">
      <c r="B578" s="142"/>
      <c r="D578" s="143" t="s">
        <v>346</v>
      </c>
      <c r="E578" s="144"/>
      <c r="F578" s="145" t="s">
        <v>726</v>
      </c>
      <c r="H578" s="144"/>
      <c r="L578" s="142"/>
      <c r="M578" s="146"/>
      <c r="T578" s="147"/>
      <c r="AT578" s="144" t="s">
        <v>346</v>
      </c>
      <c r="AU578" s="144" t="s">
        <v>90</v>
      </c>
      <c r="AV578" s="141" t="s">
        <v>87</v>
      </c>
      <c r="AW578" s="141" t="s">
        <v>33</v>
      </c>
      <c r="AX578" s="141" t="s">
        <v>80</v>
      </c>
      <c r="AY578" s="144" t="s">
        <v>337</v>
      </c>
    </row>
    <row r="579" spans="2:65" s="141" customFormat="1" x14ac:dyDescent="0.2">
      <c r="B579" s="142"/>
      <c r="D579" s="143" t="s">
        <v>346</v>
      </c>
      <c r="E579" s="144"/>
      <c r="F579" s="145" t="s">
        <v>362</v>
      </c>
      <c r="H579" s="144"/>
      <c r="L579" s="142"/>
      <c r="M579" s="146"/>
      <c r="T579" s="147"/>
      <c r="AT579" s="144" t="s">
        <v>346</v>
      </c>
      <c r="AU579" s="144" t="s">
        <v>90</v>
      </c>
      <c r="AV579" s="141" t="s">
        <v>87</v>
      </c>
      <c r="AW579" s="141" t="s">
        <v>33</v>
      </c>
      <c r="AX579" s="141" t="s">
        <v>80</v>
      </c>
      <c r="AY579" s="144" t="s">
        <v>337</v>
      </c>
    </row>
    <row r="580" spans="2:65" s="148" customFormat="1" x14ac:dyDescent="0.2">
      <c r="B580" s="149"/>
      <c r="D580" s="143" t="s">
        <v>346</v>
      </c>
      <c r="E580" s="150"/>
      <c r="F580" s="151" t="s">
        <v>727</v>
      </c>
      <c r="H580" s="152">
        <v>114.5</v>
      </c>
      <c r="L580" s="149"/>
      <c r="M580" s="153"/>
      <c r="T580" s="154"/>
      <c r="AT580" s="150" t="s">
        <v>346</v>
      </c>
      <c r="AU580" s="150" t="s">
        <v>90</v>
      </c>
      <c r="AV580" s="148" t="s">
        <v>90</v>
      </c>
      <c r="AW580" s="148" t="s">
        <v>33</v>
      </c>
      <c r="AX580" s="148" t="s">
        <v>80</v>
      </c>
      <c r="AY580" s="150" t="s">
        <v>337</v>
      </c>
    </row>
    <row r="581" spans="2:65" s="141" customFormat="1" x14ac:dyDescent="0.2">
      <c r="B581" s="142"/>
      <c r="D581" s="143" t="s">
        <v>346</v>
      </c>
      <c r="E581" s="144"/>
      <c r="F581" s="145" t="s">
        <v>367</v>
      </c>
      <c r="H581" s="144"/>
      <c r="L581" s="142"/>
      <c r="M581" s="146"/>
      <c r="T581" s="147"/>
      <c r="AT581" s="144" t="s">
        <v>346</v>
      </c>
      <c r="AU581" s="144" t="s">
        <v>90</v>
      </c>
      <c r="AV581" s="141" t="s">
        <v>87</v>
      </c>
      <c r="AW581" s="141" t="s">
        <v>33</v>
      </c>
      <c r="AX581" s="141" t="s">
        <v>80</v>
      </c>
      <c r="AY581" s="144" t="s">
        <v>337</v>
      </c>
    </row>
    <row r="582" spans="2:65" s="148" customFormat="1" x14ac:dyDescent="0.2">
      <c r="B582" s="149"/>
      <c r="D582" s="143" t="s">
        <v>346</v>
      </c>
      <c r="E582" s="150"/>
      <c r="F582" s="151" t="s">
        <v>728</v>
      </c>
      <c r="H582" s="152">
        <v>160.30000000000001</v>
      </c>
      <c r="L582" s="149"/>
      <c r="M582" s="153"/>
      <c r="T582" s="154"/>
      <c r="AT582" s="150" t="s">
        <v>346</v>
      </c>
      <c r="AU582" s="150" t="s">
        <v>90</v>
      </c>
      <c r="AV582" s="148" t="s">
        <v>90</v>
      </c>
      <c r="AW582" s="148" t="s">
        <v>33</v>
      </c>
      <c r="AX582" s="148" t="s">
        <v>80</v>
      </c>
      <c r="AY582" s="150" t="s">
        <v>337</v>
      </c>
    </row>
    <row r="583" spans="2:65" s="141" customFormat="1" x14ac:dyDescent="0.2">
      <c r="B583" s="142"/>
      <c r="D583" s="143" t="s">
        <v>346</v>
      </c>
      <c r="E583" s="144"/>
      <c r="F583" s="145" t="s">
        <v>368</v>
      </c>
      <c r="H583" s="144"/>
      <c r="L583" s="142"/>
      <c r="M583" s="146"/>
      <c r="T583" s="147"/>
      <c r="AT583" s="144" t="s">
        <v>346</v>
      </c>
      <c r="AU583" s="144" t="s">
        <v>90</v>
      </c>
      <c r="AV583" s="141" t="s">
        <v>87</v>
      </c>
      <c r="AW583" s="141" t="s">
        <v>33</v>
      </c>
      <c r="AX583" s="141" t="s">
        <v>80</v>
      </c>
      <c r="AY583" s="144" t="s">
        <v>337</v>
      </c>
    </row>
    <row r="584" spans="2:65" s="148" customFormat="1" x14ac:dyDescent="0.2">
      <c r="B584" s="149"/>
      <c r="D584" s="143" t="s">
        <v>346</v>
      </c>
      <c r="E584" s="150"/>
      <c r="F584" s="151" t="s">
        <v>728</v>
      </c>
      <c r="H584" s="152">
        <v>160.30000000000001</v>
      </c>
      <c r="L584" s="149"/>
      <c r="M584" s="153"/>
      <c r="T584" s="154"/>
      <c r="AT584" s="150" t="s">
        <v>346</v>
      </c>
      <c r="AU584" s="150" t="s">
        <v>90</v>
      </c>
      <c r="AV584" s="148" t="s">
        <v>90</v>
      </c>
      <c r="AW584" s="148" t="s">
        <v>33</v>
      </c>
      <c r="AX584" s="148" t="s">
        <v>80</v>
      </c>
      <c r="AY584" s="150" t="s">
        <v>337</v>
      </c>
    </row>
    <row r="585" spans="2:65" s="141" customFormat="1" x14ac:dyDescent="0.2">
      <c r="B585" s="142"/>
      <c r="D585" s="143" t="s">
        <v>346</v>
      </c>
      <c r="E585" s="144"/>
      <c r="F585" s="145" t="s">
        <v>370</v>
      </c>
      <c r="H585" s="144"/>
      <c r="L585" s="142"/>
      <c r="M585" s="146"/>
      <c r="T585" s="147"/>
      <c r="AT585" s="144" t="s">
        <v>346</v>
      </c>
      <c r="AU585" s="144" t="s">
        <v>90</v>
      </c>
      <c r="AV585" s="141" t="s">
        <v>87</v>
      </c>
      <c r="AW585" s="141" t="s">
        <v>33</v>
      </c>
      <c r="AX585" s="141" t="s">
        <v>80</v>
      </c>
      <c r="AY585" s="144" t="s">
        <v>337</v>
      </c>
    </row>
    <row r="586" spans="2:65" s="148" customFormat="1" x14ac:dyDescent="0.2">
      <c r="B586" s="149"/>
      <c r="D586" s="143" t="s">
        <v>346</v>
      </c>
      <c r="E586" s="150"/>
      <c r="F586" s="151" t="s">
        <v>728</v>
      </c>
      <c r="H586" s="152">
        <v>160.30000000000001</v>
      </c>
      <c r="L586" s="149"/>
      <c r="M586" s="153"/>
      <c r="T586" s="154"/>
      <c r="AT586" s="150" t="s">
        <v>346</v>
      </c>
      <c r="AU586" s="150" t="s">
        <v>90</v>
      </c>
      <c r="AV586" s="148" t="s">
        <v>90</v>
      </c>
      <c r="AW586" s="148" t="s">
        <v>33</v>
      </c>
      <c r="AX586" s="148" t="s">
        <v>80</v>
      </c>
      <c r="AY586" s="150" t="s">
        <v>337</v>
      </c>
    </row>
    <row r="587" spans="2:65" s="141" customFormat="1" x14ac:dyDescent="0.2">
      <c r="B587" s="142"/>
      <c r="D587" s="143" t="s">
        <v>346</v>
      </c>
      <c r="E587" s="144"/>
      <c r="F587" s="145" t="s">
        <v>729</v>
      </c>
      <c r="H587" s="144"/>
      <c r="L587" s="142"/>
      <c r="M587" s="146"/>
      <c r="T587" s="147"/>
      <c r="AT587" s="144" t="s">
        <v>346</v>
      </c>
      <c r="AU587" s="144" t="s">
        <v>90</v>
      </c>
      <c r="AV587" s="141" t="s">
        <v>87</v>
      </c>
      <c r="AW587" s="141" t="s">
        <v>33</v>
      </c>
      <c r="AX587" s="141" t="s">
        <v>80</v>
      </c>
      <c r="AY587" s="144" t="s">
        <v>337</v>
      </c>
    </row>
    <row r="588" spans="2:65" s="141" customFormat="1" x14ac:dyDescent="0.2">
      <c r="B588" s="142"/>
      <c r="D588" s="143" t="s">
        <v>346</v>
      </c>
      <c r="E588" s="144"/>
      <c r="F588" s="145" t="s">
        <v>451</v>
      </c>
      <c r="H588" s="144"/>
      <c r="L588" s="142"/>
      <c r="M588" s="146"/>
      <c r="T588" s="147"/>
      <c r="AT588" s="144" t="s">
        <v>346</v>
      </c>
      <c r="AU588" s="144" t="s">
        <v>90</v>
      </c>
      <c r="AV588" s="141" t="s">
        <v>87</v>
      </c>
      <c r="AW588" s="141" t="s">
        <v>33</v>
      </c>
      <c r="AX588" s="141" t="s">
        <v>80</v>
      </c>
      <c r="AY588" s="144" t="s">
        <v>337</v>
      </c>
    </row>
    <row r="589" spans="2:65" s="148" customFormat="1" x14ac:dyDescent="0.2">
      <c r="B589" s="149"/>
      <c r="D589" s="143" t="s">
        <v>346</v>
      </c>
      <c r="E589" s="150"/>
      <c r="F589" s="151" t="s">
        <v>730</v>
      </c>
      <c r="H589" s="152">
        <v>10</v>
      </c>
      <c r="L589" s="149"/>
      <c r="M589" s="153"/>
      <c r="T589" s="154"/>
      <c r="AT589" s="150" t="s">
        <v>346</v>
      </c>
      <c r="AU589" s="150" t="s">
        <v>90</v>
      </c>
      <c r="AV589" s="148" t="s">
        <v>90</v>
      </c>
      <c r="AW589" s="148" t="s">
        <v>33</v>
      </c>
      <c r="AX589" s="148" t="s">
        <v>80</v>
      </c>
      <c r="AY589" s="150" t="s">
        <v>337</v>
      </c>
    </row>
    <row r="590" spans="2:65" s="141" customFormat="1" x14ac:dyDescent="0.2">
      <c r="B590" s="142"/>
      <c r="D590" s="143" t="s">
        <v>346</v>
      </c>
      <c r="E590" s="144"/>
      <c r="F590" s="145" t="s">
        <v>357</v>
      </c>
      <c r="H590" s="144"/>
      <c r="L590" s="142"/>
      <c r="M590" s="146"/>
      <c r="T590" s="147"/>
      <c r="AT590" s="144" t="s">
        <v>346</v>
      </c>
      <c r="AU590" s="144" t="s">
        <v>90</v>
      </c>
      <c r="AV590" s="141" t="s">
        <v>87</v>
      </c>
      <c r="AW590" s="141" t="s">
        <v>33</v>
      </c>
      <c r="AX590" s="141" t="s">
        <v>80</v>
      </c>
      <c r="AY590" s="144" t="s">
        <v>337</v>
      </c>
    </row>
    <row r="591" spans="2:65" s="148" customFormat="1" x14ac:dyDescent="0.2">
      <c r="B591" s="149"/>
      <c r="D591" s="143" t="s">
        <v>346</v>
      </c>
      <c r="E591" s="150"/>
      <c r="F591" s="151" t="s">
        <v>731</v>
      </c>
      <c r="H591" s="152">
        <v>25</v>
      </c>
      <c r="L591" s="149"/>
      <c r="M591" s="153"/>
      <c r="T591" s="154"/>
      <c r="AT591" s="150" t="s">
        <v>346</v>
      </c>
      <c r="AU591" s="150" t="s">
        <v>90</v>
      </c>
      <c r="AV591" s="148" t="s">
        <v>90</v>
      </c>
      <c r="AW591" s="148" t="s">
        <v>33</v>
      </c>
      <c r="AX591" s="148" t="s">
        <v>80</v>
      </c>
      <c r="AY591" s="150" t="s">
        <v>337</v>
      </c>
    </row>
    <row r="592" spans="2:65" s="141" customFormat="1" x14ac:dyDescent="0.2">
      <c r="B592" s="142"/>
      <c r="D592" s="143" t="s">
        <v>346</v>
      </c>
      <c r="E592" s="144"/>
      <c r="F592" s="145" t="s">
        <v>362</v>
      </c>
      <c r="H592" s="144"/>
      <c r="L592" s="142"/>
      <c r="M592" s="146"/>
      <c r="T592" s="147"/>
      <c r="AT592" s="144" t="s">
        <v>346</v>
      </c>
      <c r="AU592" s="144" t="s">
        <v>90</v>
      </c>
      <c r="AV592" s="141" t="s">
        <v>87</v>
      </c>
      <c r="AW592" s="141" t="s">
        <v>33</v>
      </c>
      <c r="AX592" s="141" t="s">
        <v>80</v>
      </c>
      <c r="AY592" s="144" t="s">
        <v>337</v>
      </c>
    </row>
    <row r="593" spans="2:65" s="148" customFormat="1" x14ac:dyDescent="0.2">
      <c r="B593" s="149"/>
      <c r="D593" s="143" t="s">
        <v>346</v>
      </c>
      <c r="E593" s="150"/>
      <c r="F593" s="151" t="s">
        <v>732</v>
      </c>
      <c r="H593" s="152">
        <v>50</v>
      </c>
      <c r="L593" s="149"/>
      <c r="M593" s="153"/>
      <c r="T593" s="154"/>
      <c r="AT593" s="150" t="s">
        <v>346</v>
      </c>
      <c r="AU593" s="150" t="s">
        <v>90</v>
      </c>
      <c r="AV593" s="148" t="s">
        <v>90</v>
      </c>
      <c r="AW593" s="148" t="s">
        <v>33</v>
      </c>
      <c r="AX593" s="148" t="s">
        <v>80</v>
      </c>
      <c r="AY593" s="150" t="s">
        <v>337</v>
      </c>
    </row>
    <row r="594" spans="2:65" s="141" customFormat="1" x14ac:dyDescent="0.2">
      <c r="B594" s="142"/>
      <c r="D594" s="143" t="s">
        <v>346</v>
      </c>
      <c r="E594" s="144"/>
      <c r="F594" s="145" t="s">
        <v>367</v>
      </c>
      <c r="H594" s="144"/>
      <c r="L594" s="142"/>
      <c r="M594" s="146"/>
      <c r="T594" s="147"/>
      <c r="AT594" s="144" t="s">
        <v>346</v>
      </c>
      <c r="AU594" s="144" t="s">
        <v>90</v>
      </c>
      <c r="AV594" s="141" t="s">
        <v>87</v>
      </c>
      <c r="AW594" s="141" t="s">
        <v>33</v>
      </c>
      <c r="AX594" s="141" t="s">
        <v>80</v>
      </c>
      <c r="AY594" s="144" t="s">
        <v>337</v>
      </c>
    </row>
    <row r="595" spans="2:65" s="148" customFormat="1" x14ac:dyDescent="0.2">
      <c r="B595" s="149"/>
      <c r="D595" s="143" t="s">
        <v>346</v>
      </c>
      <c r="E595" s="150"/>
      <c r="F595" s="151" t="s">
        <v>732</v>
      </c>
      <c r="H595" s="152">
        <v>50</v>
      </c>
      <c r="L595" s="149"/>
      <c r="M595" s="153"/>
      <c r="T595" s="154"/>
      <c r="AT595" s="150" t="s">
        <v>346</v>
      </c>
      <c r="AU595" s="150" t="s">
        <v>90</v>
      </c>
      <c r="AV595" s="148" t="s">
        <v>90</v>
      </c>
      <c r="AW595" s="148" t="s">
        <v>33</v>
      </c>
      <c r="AX595" s="148" t="s">
        <v>80</v>
      </c>
      <c r="AY595" s="150" t="s">
        <v>337</v>
      </c>
    </row>
    <row r="596" spans="2:65" s="141" customFormat="1" x14ac:dyDescent="0.2">
      <c r="B596" s="142"/>
      <c r="D596" s="143" t="s">
        <v>346</v>
      </c>
      <c r="E596" s="144"/>
      <c r="F596" s="145" t="s">
        <v>368</v>
      </c>
      <c r="H596" s="144"/>
      <c r="L596" s="142"/>
      <c r="M596" s="146"/>
      <c r="T596" s="147"/>
      <c r="AT596" s="144" t="s">
        <v>346</v>
      </c>
      <c r="AU596" s="144" t="s">
        <v>90</v>
      </c>
      <c r="AV596" s="141" t="s">
        <v>87</v>
      </c>
      <c r="AW596" s="141" t="s">
        <v>33</v>
      </c>
      <c r="AX596" s="141" t="s">
        <v>80</v>
      </c>
      <c r="AY596" s="144" t="s">
        <v>337</v>
      </c>
    </row>
    <row r="597" spans="2:65" s="148" customFormat="1" x14ac:dyDescent="0.2">
      <c r="B597" s="149"/>
      <c r="D597" s="143" t="s">
        <v>346</v>
      </c>
      <c r="E597" s="150"/>
      <c r="F597" s="151" t="s">
        <v>732</v>
      </c>
      <c r="H597" s="152">
        <v>50</v>
      </c>
      <c r="L597" s="149"/>
      <c r="M597" s="153"/>
      <c r="T597" s="154"/>
      <c r="AT597" s="150" t="s">
        <v>346</v>
      </c>
      <c r="AU597" s="150" t="s">
        <v>90</v>
      </c>
      <c r="AV597" s="148" t="s">
        <v>90</v>
      </c>
      <c r="AW597" s="148" t="s">
        <v>33</v>
      </c>
      <c r="AX597" s="148" t="s">
        <v>80</v>
      </c>
      <c r="AY597" s="150" t="s">
        <v>337</v>
      </c>
    </row>
    <row r="598" spans="2:65" s="141" customFormat="1" x14ac:dyDescent="0.2">
      <c r="B598" s="142"/>
      <c r="D598" s="143" t="s">
        <v>346</v>
      </c>
      <c r="E598" s="144"/>
      <c r="F598" s="145" t="s">
        <v>370</v>
      </c>
      <c r="H598" s="144"/>
      <c r="L598" s="142"/>
      <c r="M598" s="146"/>
      <c r="T598" s="147"/>
      <c r="AT598" s="144" t="s">
        <v>346</v>
      </c>
      <c r="AU598" s="144" t="s">
        <v>90</v>
      </c>
      <c r="AV598" s="141" t="s">
        <v>87</v>
      </c>
      <c r="AW598" s="141" t="s">
        <v>33</v>
      </c>
      <c r="AX598" s="141" t="s">
        <v>80</v>
      </c>
      <c r="AY598" s="144" t="s">
        <v>337</v>
      </c>
    </row>
    <row r="599" spans="2:65" s="148" customFormat="1" x14ac:dyDescent="0.2">
      <c r="B599" s="149"/>
      <c r="D599" s="143" t="s">
        <v>346</v>
      </c>
      <c r="E599" s="150"/>
      <c r="F599" s="151" t="s">
        <v>732</v>
      </c>
      <c r="H599" s="152">
        <v>50</v>
      </c>
      <c r="L599" s="149"/>
      <c r="M599" s="153"/>
      <c r="T599" s="154"/>
      <c r="AT599" s="150" t="s">
        <v>346</v>
      </c>
      <c r="AU599" s="150" t="s">
        <v>90</v>
      </c>
      <c r="AV599" s="148" t="s">
        <v>90</v>
      </c>
      <c r="AW599" s="148" t="s">
        <v>33</v>
      </c>
      <c r="AX599" s="148" t="s">
        <v>80</v>
      </c>
      <c r="AY599" s="150" t="s">
        <v>337</v>
      </c>
    </row>
    <row r="600" spans="2:65" s="155" customFormat="1" x14ac:dyDescent="0.2">
      <c r="B600" s="156"/>
      <c r="D600" s="143" t="s">
        <v>346</v>
      </c>
      <c r="E600" s="157"/>
      <c r="F600" s="158" t="s">
        <v>351</v>
      </c>
      <c r="H600" s="159">
        <v>830.4</v>
      </c>
      <c r="L600" s="156"/>
      <c r="M600" s="160"/>
      <c r="T600" s="161"/>
      <c r="AT600" s="157" t="s">
        <v>346</v>
      </c>
      <c r="AU600" s="157" t="s">
        <v>90</v>
      </c>
      <c r="AV600" s="155" t="s">
        <v>344</v>
      </c>
      <c r="AW600" s="155" t="s">
        <v>33</v>
      </c>
      <c r="AX600" s="155" t="s">
        <v>87</v>
      </c>
      <c r="AY600" s="157" t="s">
        <v>337</v>
      </c>
    </row>
    <row r="601" spans="2:65" s="16" customFormat="1" ht="16.5" customHeight="1" x14ac:dyDescent="0.2">
      <c r="B601" s="17"/>
      <c r="C601" s="128">
        <v>46</v>
      </c>
      <c r="D601" s="128" t="s">
        <v>339</v>
      </c>
      <c r="E601" s="129" t="s">
        <v>734</v>
      </c>
      <c r="F601" s="130" t="s">
        <v>735</v>
      </c>
      <c r="G601" s="131" t="s">
        <v>425</v>
      </c>
      <c r="H601" s="132">
        <v>84.13</v>
      </c>
      <c r="I601" s="133"/>
      <c r="J601" s="134">
        <f>ROUND(I601*H601,2)</f>
        <v>0</v>
      </c>
      <c r="K601" s="130" t="s">
        <v>343</v>
      </c>
      <c r="L601" s="17"/>
      <c r="M601" s="135"/>
      <c r="N601" s="136" t="s">
        <v>45</v>
      </c>
      <c r="P601" s="137">
        <f>O601*H601</f>
        <v>0</v>
      </c>
      <c r="Q601" s="137">
        <v>2.6440000000000002E-2</v>
      </c>
      <c r="R601" s="137">
        <f>Q601*H601</f>
        <v>2.2243971999999999</v>
      </c>
      <c r="S601" s="137">
        <v>2.5999999999999999E-2</v>
      </c>
      <c r="T601" s="138">
        <f>S601*H601</f>
        <v>2.1873799999999997</v>
      </c>
      <c r="AR601" s="139" t="s">
        <v>344</v>
      </c>
      <c r="AT601" s="139" t="s">
        <v>339</v>
      </c>
      <c r="AU601" s="139" t="s">
        <v>90</v>
      </c>
      <c r="AY601" s="2" t="s">
        <v>337</v>
      </c>
      <c r="BE601" s="140">
        <f>IF(N601="základní",J601,0)</f>
        <v>0</v>
      </c>
      <c r="BF601" s="140">
        <f>IF(N601="snížená",J601,0)</f>
        <v>0</v>
      </c>
      <c r="BG601" s="140">
        <f>IF(N601="zákl. přenesená",J601,0)</f>
        <v>0</v>
      </c>
      <c r="BH601" s="140">
        <f>IF(N601="sníž. přenesená",J601,0)</f>
        <v>0</v>
      </c>
      <c r="BI601" s="140">
        <f>IF(N601="nulová",J601,0)</f>
        <v>0</v>
      </c>
      <c r="BJ601" s="2" t="s">
        <v>87</v>
      </c>
      <c r="BK601" s="140">
        <f>ROUND(I601*H601,2)</f>
        <v>0</v>
      </c>
      <c r="BL601" s="2" t="s">
        <v>344</v>
      </c>
      <c r="BM601" s="139" t="s">
        <v>736</v>
      </c>
    </row>
    <row r="602" spans="2:65" s="141" customFormat="1" x14ac:dyDescent="0.2">
      <c r="B602" s="142"/>
      <c r="D602" s="143" t="s">
        <v>346</v>
      </c>
      <c r="E602" s="144"/>
      <c r="F602" s="145" t="s">
        <v>737</v>
      </c>
      <c r="H602" s="144"/>
      <c r="L602" s="142"/>
      <c r="M602" s="146"/>
      <c r="T602" s="147"/>
      <c r="AT602" s="144" t="s">
        <v>346</v>
      </c>
      <c r="AU602" s="144" t="s">
        <v>90</v>
      </c>
      <c r="AV602" s="141" t="s">
        <v>87</v>
      </c>
      <c r="AW602" s="141" t="s">
        <v>33</v>
      </c>
      <c r="AX602" s="141" t="s">
        <v>80</v>
      </c>
      <c r="AY602" s="144" t="s">
        <v>337</v>
      </c>
    </row>
    <row r="603" spans="2:65" s="148" customFormat="1" x14ac:dyDescent="0.2">
      <c r="B603" s="149"/>
      <c r="D603" s="143" t="s">
        <v>346</v>
      </c>
      <c r="E603" s="150"/>
      <c r="F603" s="151" t="s">
        <v>738</v>
      </c>
      <c r="H603" s="152">
        <v>84.13</v>
      </c>
      <c r="L603" s="149"/>
      <c r="M603" s="153"/>
      <c r="T603" s="154"/>
      <c r="AT603" s="150" t="s">
        <v>346</v>
      </c>
      <c r="AU603" s="150" t="s">
        <v>90</v>
      </c>
      <c r="AV603" s="148" t="s">
        <v>90</v>
      </c>
      <c r="AW603" s="148" t="s">
        <v>33</v>
      </c>
      <c r="AX603" s="148" t="s">
        <v>87</v>
      </c>
      <c r="AY603" s="150" t="s">
        <v>337</v>
      </c>
    </row>
    <row r="604" spans="2:65" s="16" customFormat="1" ht="16.5" customHeight="1" x14ac:dyDescent="0.2">
      <c r="B604" s="17"/>
      <c r="C604" s="128">
        <v>47</v>
      </c>
      <c r="D604" s="128" t="s">
        <v>339</v>
      </c>
      <c r="E604" s="129" t="s">
        <v>739</v>
      </c>
      <c r="F604" s="130" t="s">
        <v>740</v>
      </c>
      <c r="G604" s="131" t="s">
        <v>724</v>
      </c>
      <c r="H604" s="132">
        <v>1169.25</v>
      </c>
      <c r="I604" s="133"/>
      <c r="J604" s="134">
        <f>ROUND(I604*H604,2)</f>
        <v>0</v>
      </c>
      <c r="K604" s="130" t="s">
        <v>343</v>
      </c>
      <c r="L604" s="17"/>
      <c r="M604" s="135"/>
      <c r="N604" s="136" t="s">
        <v>45</v>
      </c>
      <c r="P604" s="137">
        <f>O604*H604</f>
        <v>0</v>
      </c>
      <c r="Q604" s="137">
        <v>0</v>
      </c>
      <c r="R604" s="137">
        <f>Q604*H604</f>
        <v>0</v>
      </c>
      <c r="S604" s="137">
        <v>0</v>
      </c>
      <c r="T604" s="138">
        <f>S604*H604</f>
        <v>0</v>
      </c>
      <c r="AR604" s="139" t="s">
        <v>344</v>
      </c>
      <c r="AT604" s="139" t="s">
        <v>339</v>
      </c>
      <c r="AU604" s="139" t="s">
        <v>90</v>
      </c>
      <c r="AY604" s="2" t="s">
        <v>337</v>
      </c>
      <c r="BE604" s="140">
        <f>IF(N604="základní",J604,0)</f>
        <v>0</v>
      </c>
      <c r="BF604" s="140">
        <f>IF(N604="snížená",J604,0)</f>
        <v>0</v>
      </c>
      <c r="BG604" s="140">
        <f>IF(N604="zákl. přenesená",J604,0)</f>
        <v>0</v>
      </c>
      <c r="BH604" s="140">
        <f>IF(N604="sníž. přenesená",J604,0)</f>
        <v>0</v>
      </c>
      <c r="BI604" s="140">
        <f>IF(N604="nulová",J604,0)</f>
        <v>0</v>
      </c>
      <c r="BJ604" s="2" t="s">
        <v>87</v>
      </c>
      <c r="BK604" s="140">
        <f>ROUND(I604*H604,2)</f>
        <v>0</v>
      </c>
      <c r="BL604" s="2" t="s">
        <v>344</v>
      </c>
      <c r="BM604" s="139" t="s">
        <v>741</v>
      </c>
    </row>
    <row r="605" spans="2:65" s="141" customFormat="1" x14ac:dyDescent="0.2">
      <c r="B605" s="142"/>
      <c r="D605" s="143" t="s">
        <v>346</v>
      </c>
      <c r="E605" s="144"/>
      <c r="F605" s="145" t="s">
        <v>742</v>
      </c>
      <c r="H605" s="144"/>
      <c r="L605" s="142"/>
      <c r="M605" s="146"/>
      <c r="T605" s="147"/>
      <c r="AT605" s="144" t="s">
        <v>346</v>
      </c>
      <c r="AU605" s="144" t="s">
        <v>90</v>
      </c>
      <c r="AV605" s="141" t="s">
        <v>87</v>
      </c>
      <c r="AW605" s="141" t="s">
        <v>33</v>
      </c>
      <c r="AX605" s="141" t="s">
        <v>80</v>
      </c>
      <c r="AY605" s="144" t="s">
        <v>337</v>
      </c>
    </row>
    <row r="606" spans="2:65" s="141" customFormat="1" x14ac:dyDescent="0.2">
      <c r="B606" s="142"/>
      <c r="D606" s="143" t="s">
        <v>346</v>
      </c>
      <c r="E606" s="144"/>
      <c r="F606" s="145" t="s">
        <v>357</v>
      </c>
      <c r="H606" s="144"/>
      <c r="L606" s="142"/>
      <c r="M606" s="146"/>
      <c r="T606" s="147"/>
      <c r="AT606" s="144" t="s">
        <v>346</v>
      </c>
      <c r="AU606" s="144" t="s">
        <v>90</v>
      </c>
      <c r="AV606" s="141" t="s">
        <v>87</v>
      </c>
      <c r="AW606" s="141" t="s">
        <v>33</v>
      </c>
      <c r="AX606" s="141" t="s">
        <v>80</v>
      </c>
      <c r="AY606" s="144" t="s">
        <v>337</v>
      </c>
    </row>
    <row r="607" spans="2:65" s="148" customFormat="1" x14ac:dyDescent="0.2">
      <c r="B607" s="149"/>
      <c r="D607" s="143" t="s">
        <v>346</v>
      </c>
      <c r="E607" s="150"/>
      <c r="F607" s="151" t="s">
        <v>743</v>
      </c>
      <c r="H607" s="152">
        <v>89.25</v>
      </c>
      <c r="L607" s="149"/>
      <c r="M607" s="153"/>
      <c r="T607" s="154"/>
      <c r="AT607" s="150" t="s">
        <v>346</v>
      </c>
      <c r="AU607" s="150" t="s">
        <v>90</v>
      </c>
      <c r="AV607" s="148" t="s">
        <v>90</v>
      </c>
      <c r="AW607" s="148" t="s">
        <v>33</v>
      </c>
      <c r="AX607" s="148" t="s">
        <v>80</v>
      </c>
      <c r="AY607" s="150" t="s">
        <v>337</v>
      </c>
    </row>
    <row r="608" spans="2:65" s="141" customFormat="1" x14ac:dyDescent="0.2">
      <c r="B608" s="142"/>
      <c r="D608" s="143" t="s">
        <v>346</v>
      </c>
      <c r="E608" s="144"/>
      <c r="F608" s="145" t="s">
        <v>696</v>
      </c>
      <c r="H608" s="144"/>
      <c r="L608" s="142"/>
      <c r="M608" s="146"/>
      <c r="T608" s="147"/>
      <c r="AT608" s="144" t="s">
        <v>346</v>
      </c>
      <c r="AU608" s="144" t="s">
        <v>90</v>
      </c>
      <c r="AV608" s="141" t="s">
        <v>87</v>
      </c>
      <c r="AW608" s="141" t="s">
        <v>33</v>
      </c>
      <c r="AX608" s="141" t="s">
        <v>80</v>
      </c>
      <c r="AY608" s="144" t="s">
        <v>337</v>
      </c>
    </row>
    <row r="609" spans="2:65" s="148" customFormat="1" x14ac:dyDescent="0.2">
      <c r="B609" s="149"/>
      <c r="D609" s="143" t="s">
        <v>346</v>
      </c>
      <c r="E609" s="150"/>
      <c r="F609" s="151" t="s">
        <v>744</v>
      </c>
      <c r="H609" s="152">
        <v>780</v>
      </c>
      <c r="L609" s="149"/>
      <c r="M609" s="153"/>
      <c r="T609" s="154"/>
      <c r="AT609" s="150" t="s">
        <v>346</v>
      </c>
      <c r="AU609" s="150" t="s">
        <v>90</v>
      </c>
      <c r="AV609" s="148" t="s">
        <v>90</v>
      </c>
      <c r="AW609" s="148" t="s">
        <v>33</v>
      </c>
      <c r="AX609" s="148" t="s">
        <v>80</v>
      </c>
      <c r="AY609" s="150" t="s">
        <v>337</v>
      </c>
    </row>
    <row r="610" spans="2:65" s="141" customFormat="1" x14ac:dyDescent="0.2">
      <c r="B610" s="142"/>
      <c r="D610" s="143" t="s">
        <v>346</v>
      </c>
      <c r="E610" s="144"/>
      <c r="F610" s="145" t="s">
        <v>434</v>
      </c>
      <c r="H610" s="144"/>
      <c r="L610" s="142"/>
      <c r="M610" s="146"/>
      <c r="T610" s="147"/>
      <c r="AT610" s="144" t="s">
        <v>346</v>
      </c>
      <c r="AU610" s="144" t="s">
        <v>90</v>
      </c>
      <c r="AV610" s="141" t="s">
        <v>87</v>
      </c>
      <c r="AW610" s="141" t="s">
        <v>33</v>
      </c>
      <c r="AX610" s="141" t="s">
        <v>80</v>
      </c>
      <c r="AY610" s="144" t="s">
        <v>337</v>
      </c>
    </row>
    <row r="611" spans="2:65" s="148" customFormat="1" x14ac:dyDescent="0.2">
      <c r="B611" s="149"/>
      <c r="D611" s="143" t="s">
        <v>346</v>
      </c>
      <c r="E611" s="150"/>
      <c r="F611" s="151" t="s">
        <v>745</v>
      </c>
      <c r="H611" s="152">
        <v>150</v>
      </c>
      <c r="L611" s="149"/>
      <c r="M611" s="153"/>
      <c r="T611" s="154"/>
      <c r="AT611" s="150" t="s">
        <v>346</v>
      </c>
      <c r="AU611" s="150" t="s">
        <v>90</v>
      </c>
      <c r="AV611" s="148" t="s">
        <v>90</v>
      </c>
      <c r="AW611" s="148" t="s">
        <v>33</v>
      </c>
      <c r="AX611" s="148" t="s">
        <v>80</v>
      </c>
      <c r="AY611" s="150" t="s">
        <v>337</v>
      </c>
    </row>
    <row r="612" spans="2:65" s="141" customFormat="1" x14ac:dyDescent="0.2">
      <c r="B612" s="142"/>
      <c r="D612" s="143" t="s">
        <v>346</v>
      </c>
      <c r="E612" s="144"/>
      <c r="F612" s="145" t="s">
        <v>746</v>
      </c>
      <c r="H612" s="144"/>
      <c r="L612" s="142"/>
      <c r="M612" s="146"/>
      <c r="T612" s="147"/>
      <c r="AT612" s="144" t="s">
        <v>346</v>
      </c>
      <c r="AU612" s="144" t="s">
        <v>90</v>
      </c>
      <c r="AV612" s="141" t="s">
        <v>87</v>
      </c>
      <c r="AW612" s="141" t="s">
        <v>33</v>
      </c>
      <c r="AX612" s="141" t="s">
        <v>80</v>
      </c>
      <c r="AY612" s="144" t="s">
        <v>337</v>
      </c>
    </row>
    <row r="613" spans="2:65" s="148" customFormat="1" x14ac:dyDescent="0.2">
      <c r="B613" s="149"/>
      <c r="D613" s="143" t="s">
        <v>346</v>
      </c>
      <c r="E613" s="150"/>
      <c r="F613" s="151" t="s">
        <v>747</v>
      </c>
      <c r="H613" s="152">
        <v>150</v>
      </c>
      <c r="L613" s="149"/>
      <c r="M613" s="153"/>
      <c r="T613" s="154"/>
      <c r="AT613" s="150" t="s">
        <v>346</v>
      </c>
      <c r="AU613" s="150" t="s">
        <v>90</v>
      </c>
      <c r="AV613" s="148" t="s">
        <v>90</v>
      </c>
      <c r="AW613" s="148" t="s">
        <v>33</v>
      </c>
      <c r="AX613" s="148" t="s">
        <v>80</v>
      </c>
      <c r="AY613" s="150" t="s">
        <v>337</v>
      </c>
    </row>
    <row r="614" spans="2:65" s="155" customFormat="1" x14ac:dyDescent="0.2">
      <c r="B614" s="156"/>
      <c r="D614" s="143" t="s">
        <v>346</v>
      </c>
      <c r="E614" s="157"/>
      <c r="F614" s="158" t="s">
        <v>351</v>
      </c>
      <c r="H614" s="159">
        <v>1169.25</v>
      </c>
      <c r="L614" s="156"/>
      <c r="M614" s="160"/>
      <c r="T614" s="161"/>
      <c r="AT614" s="157" t="s">
        <v>346</v>
      </c>
      <c r="AU614" s="157" t="s">
        <v>90</v>
      </c>
      <c r="AV614" s="155" t="s">
        <v>344</v>
      </c>
      <c r="AW614" s="155" t="s">
        <v>33</v>
      </c>
      <c r="AX614" s="155" t="s">
        <v>87</v>
      </c>
      <c r="AY614" s="157" t="s">
        <v>337</v>
      </c>
    </row>
    <row r="615" spans="2:65" s="16" customFormat="1" ht="16.5" customHeight="1" x14ac:dyDescent="0.2">
      <c r="B615" s="17"/>
      <c r="C615" s="128">
        <v>48</v>
      </c>
      <c r="D615" s="162" t="s">
        <v>519</v>
      </c>
      <c r="E615" s="163" t="s">
        <v>749</v>
      </c>
      <c r="F615" s="164" t="s">
        <v>750</v>
      </c>
      <c r="G615" s="165" t="s">
        <v>724</v>
      </c>
      <c r="H615" s="166">
        <v>1227.713</v>
      </c>
      <c r="I615" s="167"/>
      <c r="J615" s="168">
        <f>ROUND(I615*H615,2)</f>
        <v>0</v>
      </c>
      <c r="K615" s="164" t="s">
        <v>343</v>
      </c>
      <c r="L615" s="169"/>
      <c r="M615" s="170"/>
      <c r="N615" s="171" t="s">
        <v>45</v>
      </c>
      <c r="P615" s="137">
        <f>O615*H615</f>
        <v>0</v>
      </c>
      <c r="Q615" s="137">
        <v>1E-4</v>
      </c>
      <c r="R615" s="137">
        <f>Q615*H615</f>
        <v>0.1227713</v>
      </c>
      <c r="S615" s="137">
        <v>0</v>
      </c>
      <c r="T615" s="138">
        <f>S615*H615</f>
        <v>0</v>
      </c>
      <c r="AR615" s="139" t="s">
        <v>446</v>
      </c>
      <c r="AT615" s="139" t="s">
        <v>519</v>
      </c>
      <c r="AU615" s="139" t="s">
        <v>90</v>
      </c>
      <c r="AY615" s="2" t="s">
        <v>337</v>
      </c>
      <c r="BE615" s="140">
        <f>IF(N615="základní",J615,0)</f>
        <v>0</v>
      </c>
      <c r="BF615" s="140">
        <f>IF(N615="snížená",J615,0)</f>
        <v>0</v>
      </c>
      <c r="BG615" s="140">
        <f>IF(N615="zákl. přenesená",J615,0)</f>
        <v>0</v>
      </c>
      <c r="BH615" s="140">
        <f>IF(N615="sníž. přenesená",J615,0)</f>
        <v>0</v>
      </c>
      <c r="BI615" s="140">
        <f>IF(N615="nulová",J615,0)</f>
        <v>0</v>
      </c>
      <c r="BJ615" s="2" t="s">
        <v>87</v>
      </c>
      <c r="BK615" s="140">
        <f>ROUND(I615*H615,2)</f>
        <v>0</v>
      </c>
      <c r="BL615" s="2" t="s">
        <v>344</v>
      </c>
      <c r="BM615" s="139" t="s">
        <v>751</v>
      </c>
    </row>
    <row r="616" spans="2:65" s="148" customFormat="1" x14ac:dyDescent="0.2">
      <c r="B616" s="149"/>
      <c r="D616" s="143" t="s">
        <v>346</v>
      </c>
      <c r="F616" s="151" t="s">
        <v>752</v>
      </c>
      <c r="H616" s="152">
        <v>1227.713</v>
      </c>
      <c r="L616" s="149"/>
      <c r="M616" s="153"/>
      <c r="T616" s="154"/>
      <c r="AT616" s="150" t="s">
        <v>346</v>
      </c>
      <c r="AU616" s="150" t="s">
        <v>90</v>
      </c>
      <c r="AV616" s="148" t="s">
        <v>90</v>
      </c>
      <c r="AW616" s="148" t="s">
        <v>3</v>
      </c>
      <c r="AX616" s="148" t="s">
        <v>87</v>
      </c>
      <c r="AY616" s="150" t="s">
        <v>337</v>
      </c>
    </row>
    <row r="617" spans="2:65" s="16" customFormat="1" ht="21.75" customHeight="1" x14ac:dyDescent="0.2">
      <c r="B617" s="17"/>
      <c r="C617" s="128">
        <v>49</v>
      </c>
      <c r="D617" s="128" t="s">
        <v>339</v>
      </c>
      <c r="E617" s="129" t="s">
        <v>753</v>
      </c>
      <c r="F617" s="130" t="s">
        <v>754</v>
      </c>
      <c r="G617" s="131" t="s">
        <v>342</v>
      </c>
      <c r="H617" s="132">
        <v>1.927</v>
      </c>
      <c r="I617" s="133"/>
      <c r="J617" s="134">
        <f>ROUND(I617*H617,2)</f>
        <v>0</v>
      </c>
      <c r="K617" s="130" t="s">
        <v>343</v>
      </c>
      <c r="L617" s="17"/>
      <c r="M617" s="135"/>
      <c r="N617" s="136" t="s">
        <v>45</v>
      </c>
      <c r="P617" s="137">
        <f>O617*H617</f>
        <v>0</v>
      </c>
      <c r="Q617" s="137">
        <v>2.3010199999999998</v>
      </c>
      <c r="R617" s="137">
        <f>Q617*H617</f>
        <v>4.4340655399999997</v>
      </c>
      <c r="S617" s="137">
        <v>0</v>
      </c>
      <c r="T617" s="138">
        <f>S617*H617</f>
        <v>0</v>
      </c>
      <c r="AR617" s="139" t="s">
        <v>344</v>
      </c>
      <c r="AT617" s="139" t="s">
        <v>339</v>
      </c>
      <c r="AU617" s="139" t="s">
        <v>90</v>
      </c>
      <c r="AY617" s="2" t="s">
        <v>337</v>
      </c>
      <c r="BE617" s="140">
        <f>IF(N617="základní",J617,0)</f>
        <v>0</v>
      </c>
      <c r="BF617" s="140">
        <f>IF(N617="snížená",J617,0)</f>
        <v>0</v>
      </c>
      <c r="BG617" s="140">
        <f>IF(N617="zákl. přenesená",J617,0)</f>
        <v>0</v>
      </c>
      <c r="BH617" s="140">
        <f>IF(N617="sníž. přenesená",J617,0)</f>
        <v>0</v>
      </c>
      <c r="BI617" s="140">
        <f>IF(N617="nulová",J617,0)</f>
        <v>0</v>
      </c>
      <c r="BJ617" s="2" t="s">
        <v>87</v>
      </c>
      <c r="BK617" s="140">
        <f>ROUND(I617*H617,2)</f>
        <v>0</v>
      </c>
      <c r="BL617" s="2" t="s">
        <v>344</v>
      </c>
      <c r="BM617" s="139" t="s">
        <v>755</v>
      </c>
    </row>
    <row r="618" spans="2:65" s="141" customFormat="1" x14ac:dyDescent="0.2">
      <c r="B618" s="142"/>
      <c r="D618" s="143" t="s">
        <v>346</v>
      </c>
      <c r="E618" s="144"/>
      <c r="F618" s="145" t="s">
        <v>756</v>
      </c>
      <c r="H618" s="144"/>
      <c r="L618" s="142"/>
      <c r="M618" s="146"/>
      <c r="T618" s="147"/>
      <c r="AT618" s="144" t="s">
        <v>346</v>
      </c>
      <c r="AU618" s="144" t="s">
        <v>90</v>
      </c>
      <c r="AV618" s="141" t="s">
        <v>87</v>
      </c>
      <c r="AW618" s="141" t="s">
        <v>33</v>
      </c>
      <c r="AX618" s="141" t="s">
        <v>80</v>
      </c>
      <c r="AY618" s="144" t="s">
        <v>337</v>
      </c>
    </row>
    <row r="619" spans="2:65" s="141" customFormat="1" x14ac:dyDescent="0.2">
      <c r="B619" s="142"/>
      <c r="D619" s="143" t="s">
        <v>346</v>
      </c>
      <c r="E619" s="144"/>
      <c r="F619" s="145" t="s">
        <v>757</v>
      </c>
      <c r="H619" s="144"/>
      <c r="L619" s="142"/>
      <c r="M619" s="146"/>
      <c r="T619" s="147"/>
      <c r="AT619" s="144" t="s">
        <v>346</v>
      </c>
      <c r="AU619" s="144" t="s">
        <v>90</v>
      </c>
      <c r="AV619" s="141" t="s">
        <v>87</v>
      </c>
      <c r="AW619" s="141" t="s">
        <v>33</v>
      </c>
      <c r="AX619" s="141" t="s">
        <v>80</v>
      </c>
      <c r="AY619" s="144" t="s">
        <v>337</v>
      </c>
    </row>
    <row r="620" spans="2:65" s="148" customFormat="1" x14ac:dyDescent="0.2">
      <c r="B620" s="149"/>
      <c r="D620" s="143" t="s">
        <v>346</v>
      </c>
      <c r="E620" s="150"/>
      <c r="F620" s="151" t="s">
        <v>758</v>
      </c>
      <c r="H620" s="152">
        <v>0.625</v>
      </c>
      <c r="L620" s="149"/>
      <c r="M620" s="153"/>
      <c r="T620" s="154"/>
      <c r="AT620" s="150" t="s">
        <v>346</v>
      </c>
      <c r="AU620" s="150" t="s">
        <v>90</v>
      </c>
      <c r="AV620" s="148" t="s">
        <v>90</v>
      </c>
      <c r="AW620" s="148" t="s">
        <v>33</v>
      </c>
      <c r="AX620" s="148" t="s">
        <v>80</v>
      </c>
      <c r="AY620" s="150" t="s">
        <v>337</v>
      </c>
    </row>
    <row r="621" spans="2:65" s="141" customFormat="1" x14ac:dyDescent="0.2">
      <c r="B621" s="142"/>
      <c r="D621" s="143" t="s">
        <v>346</v>
      </c>
      <c r="E621" s="144"/>
      <c r="F621" s="145" t="s">
        <v>759</v>
      </c>
      <c r="H621" s="144"/>
      <c r="L621" s="142"/>
      <c r="M621" s="146"/>
      <c r="T621" s="147"/>
      <c r="AT621" s="144" t="s">
        <v>346</v>
      </c>
      <c r="AU621" s="144" t="s">
        <v>90</v>
      </c>
      <c r="AV621" s="141" t="s">
        <v>87</v>
      </c>
      <c r="AW621" s="141" t="s">
        <v>33</v>
      </c>
      <c r="AX621" s="141" t="s">
        <v>80</v>
      </c>
      <c r="AY621" s="144" t="s">
        <v>337</v>
      </c>
    </row>
    <row r="622" spans="2:65" s="148" customFormat="1" x14ac:dyDescent="0.2">
      <c r="B622" s="149"/>
      <c r="D622" s="143" t="s">
        <v>346</v>
      </c>
      <c r="E622" s="150"/>
      <c r="F622" s="151" t="s">
        <v>760</v>
      </c>
      <c r="H622" s="152">
        <v>0.46600000000000003</v>
      </c>
      <c r="L622" s="149"/>
      <c r="M622" s="153"/>
      <c r="T622" s="154"/>
      <c r="AT622" s="150" t="s">
        <v>346</v>
      </c>
      <c r="AU622" s="150" t="s">
        <v>90</v>
      </c>
      <c r="AV622" s="148" t="s">
        <v>90</v>
      </c>
      <c r="AW622" s="148" t="s">
        <v>33</v>
      </c>
      <c r="AX622" s="148" t="s">
        <v>80</v>
      </c>
      <c r="AY622" s="150" t="s">
        <v>337</v>
      </c>
    </row>
    <row r="623" spans="2:65" s="148" customFormat="1" x14ac:dyDescent="0.2">
      <c r="B623" s="149"/>
      <c r="D623" s="143" t="s">
        <v>346</v>
      </c>
      <c r="E623" s="150"/>
      <c r="F623" s="151" t="s">
        <v>761</v>
      </c>
      <c r="H623" s="152">
        <v>0.83599999999999997</v>
      </c>
      <c r="L623" s="149"/>
      <c r="M623" s="153"/>
      <c r="T623" s="154"/>
      <c r="AT623" s="150" t="s">
        <v>346</v>
      </c>
      <c r="AU623" s="150" t="s">
        <v>90</v>
      </c>
      <c r="AV623" s="148" t="s">
        <v>90</v>
      </c>
      <c r="AW623" s="148" t="s">
        <v>33</v>
      </c>
      <c r="AX623" s="148" t="s">
        <v>80</v>
      </c>
      <c r="AY623" s="150" t="s">
        <v>337</v>
      </c>
    </row>
    <row r="624" spans="2:65" s="155" customFormat="1" x14ac:dyDescent="0.2">
      <c r="B624" s="156"/>
      <c r="D624" s="143" t="s">
        <v>346</v>
      </c>
      <c r="E624" s="157"/>
      <c r="F624" s="158" t="s">
        <v>351</v>
      </c>
      <c r="H624" s="159">
        <v>1.927</v>
      </c>
      <c r="L624" s="156"/>
      <c r="M624" s="160"/>
      <c r="T624" s="161"/>
      <c r="AT624" s="157" t="s">
        <v>346</v>
      </c>
      <c r="AU624" s="157" t="s">
        <v>90</v>
      </c>
      <c r="AV624" s="155" t="s">
        <v>344</v>
      </c>
      <c r="AW624" s="155" t="s">
        <v>33</v>
      </c>
      <c r="AX624" s="155" t="s">
        <v>87</v>
      </c>
      <c r="AY624" s="157" t="s">
        <v>337</v>
      </c>
    </row>
    <row r="625" spans="2:65" s="16" customFormat="1" ht="21.75" customHeight="1" x14ac:dyDescent="0.2">
      <c r="B625" s="17"/>
      <c r="C625" s="128">
        <v>50</v>
      </c>
      <c r="D625" s="128" t="s">
        <v>339</v>
      </c>
      <c r="E625" s="129" t="s">
        <v>763</v>
      </c>
      <c r="F625" s="130" t="s">
        <v>764</v>
      </c>
      <c r="G625" s="131" t="s">
        <v>342</v>
      </c>
      <c r="H625" s="132">
        <v>3.0470000000000002</v>
      </c>
      <c r="I625" s="133"/>
      <c r="J625" s="134">
        <f>ROUND(I625*H625,2)</f>
        <v>0</v>
      </c>
      <c r="K625" s="130" t="s">
        <v>343</v>
      </c>
      <c r="L625" s="17"/>
      <c r="M625" s="135"/>
      <c r="N625" s="136" t="s">
        <v>45</v>
      </c>
      <c r="P625" s="137">
        <f>O625*H625</f>
        <v>0</v>
      </c>
      <c r="Q625" s="137">
        <v>2.5018699999999998</v>
      </c>
      <c r="R625" s="137">
        <f>Q625*H625</f>
        <v>7.6231978900000001</v>
      </c>
      <c r="S625" s="137">
        <v>0</v>
      </c>
      <c r="T625" s="138">
        <f>S625*H625</f>
        <v>0</v>
      </c>
      <c r="AR625" s="139" t="s">
        <v>344</v>
      </c>
      <c r="AT625" s="139" t="s">
        <v>339</v>
      </c>
      <c r="AU625" s="139" t="s">
        <v>90</v>
      </c>
      <c r="AY625" s="2" t="s">
        <v>337</v>
      </c>
      <c r="BE625" s="140">
        <f>IF(N625="základní",J625,0)</f>
        <v>0</v>
      </c>
      <c r="BF625" s="140">
        <f>IF(N625="snížená",J625,0)</f>
        <v>0</v>
      </c>
      <c r="BG625" s="140">
        <f>IF(N625="zákl. přenesená",J625,0)</f>
        <v>0</v>
      </c>
      <c r="BH625" s="140">
        <f>IF(N625="sníž. přenesená",J625,0)</f>
        <v>0</v>
      </c>
      <c r="BI625" s="140">
        <f>IF(N625="nulová",J625,0)</f>
        <v>0</v>
      </c>
      <c r="BJ625" s="2" t="s">
        <v>87</v>
      </c>
      <c r="BK625" s="140">
        <f>ROUND(I625*H625,2)</f>
        <v>0</v>
      </c>
      <c r="BL625" s="2" t="s">
        <v>344</v>
      </c>
      <c r="BM625" s="139" t="s">
        <v>765</v>
      </c>
    </row>
    <row r="626" spans="2:65" s="141" customFormat="1" x14ac:dyDescent="0.2">
      <c r="B626" s="142"/>
      <c r="D626" s="143" t="s">
        <v>346</v>
      </c>
      <c r="E626" s="144"/>
      <c r="F626" s="145" t="s">
        <v>766</v>
      </c>
      <c r="H626" s="144"/>
      <c r="L626" s="142"/>
      <c r="M626" s="146"/>
      <c r="T626" s="147"/>
      <c r="AT626" s="144" t="s">
        <v>346</v>
      </c>
      <c r="AU626" s="144" t="s">
        <v>90</v>
      </c>
      <c r="AV626" s="141" t="s">
        <v>87</v>
      </c>
      <c r="AW626" s="141" t="s">
        <v>33</v>
      </c>
      <c r="AX626" s="141" t="s">
        <v>80</v>
      </c>
      <c r="AY626" s="144" t="s">
        <v>337</v>
      </c>
    </row>
    <row r="627" spans="2:65" s="148" customFormat="1" x14ac:dyDescent="0.2">
      <c r="B627" s="149"/>
      <c r="D627" s="143" t="s">
        <v>346</v>
      </c>
      <c r="E627" s="150"/>
      <c r="F627" s="151" t="s">
        <v>767</v>
      </c>
      <c r="H627" s="152">
        <v>3.0470000000000002</v>
      </c>
      <c r="L627" s="149"/>
      <c r="M627" s="153"/>
      <c r="T627" s="154"/>
      <c r="AT627" s="150" t="s">
        <v>346</v>
      </c>
      <c r="AU627" s="150" t="s">
        <v>90</v>
      </c>
      <c r="AV627" s="148" t="s">
        <v>90</v>
      </c>
      <c r="AW627" s="148" t="s">
        <v>33</v>
      </c>
      <c r="AX627" s="148" t="s">
        <v>87</v>
      </c>
      <c r="AY627" s="150" t="s">
        <v>337</v>
      </c>
    </row>
    <row r="628" spans="2:65" s="16" customFormat="1" ht="16.5" customHeight="1" x14ac:dyDescent="0.2">
      <c r="B628" s="17"/>
      <c r="C628" s="128">
        <v>51</v>
      </c>
      <c r="D628" s="128" t="s">
        <v>339</v>
      </c>
      <c r="E628" s="129" t="s">
        <v>769</v>
      </c>
      <c r="F628" s="130" t="s">
        <v>770</v>
      </c>
      <c r="G628" s="131" t="s">
        <v>342</v>
      </c>
      <c r="H628" s="132">
        <v>5.6150000000000002</v>
      </c>
      <c r="I628" s="133"/>
      <c r="J628" s="134">
        <f>ROUND(I628*H628,2)</f>
        <v>0</v>
      </c>
      <c r="K628" s="130" t="s">
        <v>343</v>
      </c>
      <c r="L628" s="17"/>
      <c r="M628" s="135"/>
      <c r="N628" s="136" t="s">
        <v>45</v>
      </c>
      <c r="P628" s="137">
        <f>O628*H628</f>
        <v>0</v>
      </c>
      <c r="Q628" s="137">
        <v>6.0600000000000003E-3</v>
      </c>
      <c r="R628" s="137">
        <f>Q628*H628</f>
        <v>3.4026900000000006E-2</v>
      </c>
      <c r="S628" s="137">
        <v>0</v>
      </c>
      <c r="T628" s="138">
        <f>S628*H628</f>
        <v>0</v>
      </c>
      <c r="AR628" s="139" t="s">
        <v>344</v>
      </c>
      <c r="AT628" s="139" t="s">
        <v>339</v>
      </c>
      <c r="AU628" s="139" t="s">
        <v>90</v>
      </c>
      <c r="AY628" s="2" t="s">
        <v>337</v>
      </c>
      <c r="BE628" s="140">
        <f>IF(N628="základní",J628,0)</f>
        <v>0</v>
      </c>
      <c r="BF628" s="140">
        <f>IF(N628="snížená",J628,0)</f>
        <v>0</v>
      </c>
      <c r="BG628" s="140">
        <f>IF(N628="zákl. přenesená",J628,0)</f>
        <v>0</v>
      </c>
      <c r="BH628" s="140">
        <f>IF(N628="sníž. přenesená",J628,0)</f>
        <v>0</v>
      </c>
      <c r="BI628" s="140">
        <f>IF(N628="nulová",J628,0)</f>
        <v>0</v>
      </c>
      <c r="BJ628" s="2" t="s">
        <v>87</v>
      </c>
      <c r="BK628" s="140">
        <f>ROUND(I628*H628,2)</f>
        <v>0</v>
      </c>
      <c r="BL628" s="2" t="s">
        <v>344</v>
      </c>
      <c r="BM628" s="139" t="s">
        <v>771</v>
      </c>
    </row>
    <row r="629" spans="2:65" s="141" customFormat="1" x14ac:dyDescent="0.2">
      <c r="B629" s="142"/>
      <c r="D629" s="143" t="s">
        <v>346</v>
      </c>
      <c r="E629" s="144"/>
      <c r="F629" s="145" t="s">
        <v>772</v>
      </c>
      <c r="H629" s="144"/>
      <c r="L629" s="142"/>
      <c r="M629" s="146"/>
      <c r="T629" s="147"/>
      <c r="AT629" s="144" t="s">
        <v>346</v>
      </c>
      <c r="AU629" s="144" t="s">
        <v>90</v>
      </c>
      <c r="AV629" s="141" t="s">
        <v>87</v>
      </c>
      <c r="AW629" s="141" t="s">
        <v>33</v>
      </c>
      <c r="AX629" s="141" t="s">
        <v>80</v>
      </c>
      <c r="AY629" s="144" t="s">
        <v>337</v>
      </c>
    </row>
    <row r="630" spans="2:65" s="148" customFormat="1" x14ac:dyDescent="0.2">
      <c r="B630" s="149"/>
      <c r="D630" s="143" t="s">
        <v>346</v>
      </c>
      <c r="E630" s="150"/>
      <c r="F630" s="151" t="s">
        <v>773</v>
      </c>
      <c r="H630" s="152">
        <v>5.6150000000000002</v>
      </c>
      <c r="L630" s="149"/>
      <c r="M630" s="153"/>
      <c r="T630" s="154"/>
      <c r="AT630" s="150" t="s">
        <v>346</v>
      </c>
      <c r="AU630" s="150" t="s">
        <v>90</v>
      </c>
      <c r="AV630" s="148" t="s">
        <v>90</v>
      </c>
      <c r="AW630" s="148" t="s">
        <v>33</v>
      </c>
      <c r="AX630" s="148" t="s">
        <v>87</v>
      </c>
      <c r="AY630" s="150" t="s">
        <v>337</v>
      </c>
    </row>
    <row r="631" spans="2:65" s="16" customFormat="1" ht="16.5" customHeight="1" x14ac:dyDescent="0.2">
      <c r="B631" s="17"/>
      <c r="C631" s="128">
        <v>52</v>
      </c>
      <c r="D631" s="128" t="s">
        <v>339</v>
      </c>
      <c r="E631" s="129" t="s">
        <v>775</v>
      </c>
      <c r="F631" s="130" t="s">
        <v>776</v>
      </c>
      <c r="G631" s="131" t="s">
        <v>342</v>
      </c>
      <c r="H631" s="132">
        <v>33.024000000000001</v>
      </c>
      <c r="I631" s="133"/>
      <c r="J631" s="134">
        <f>ROUND(I631*H631,2)</f>
        <v>0</v>
      </c>
      <c r="K631" s="130" t="s">
        <v>343</v>
      </c>
      <c r="L631" s="17"/>
      <c r="M631" s="135"/>
      <c r="N631" s="136" t="s">
        <v>45</v>
      </c>
      <c r="P631" s="137">
        <f>O631*H631</f>
        <v>0</v>
      </c>
      <c r="Q631" s="137">
        <v>0.86</v>
      </c>
      <c r="R631" s="137">
        <f>Q631*H631</f>
        <v>28.400639999999999</v>
      </c>
      <c r="S631" s="137">
        <v>0</v>
      </c>
      <c r="T631" s="138">
        <f>S631*H631</f>
        <v>0</v>
      </c>
      <c r="AR631" s="139" t="s">
        <v>344</v>
      </c>
      <c r="AT631" s="139" t="s">
        <v>339</v>
      </c>
      <c r="AU631" s="139" t="s">
        <v>90</v>
      </c>
      <c r="AY631" s="2" t="s">
        <v>337</v>
      </c>
      <c r="BE631" s="140">
        <f>IF(N631="základní",J631,0)</f>
        <v>0</v>
      </c>
      <c r="BF631" s="140">
        <f>IF(N631="snížená",J631,0)</f>
        <v>0</v>
      </c>
      <c r="BG631" s="140">
        <f>IF(N631="zákl. přenesená",J631,0)</f>
        <v>0</v>
      </c>
      <c r="BH631" s="140">
        <f>IF(N631="sníž. přenesená",J631,0)</f>
        <v>0</v>
      </c>
      <c r="BI631" s="140">
        <f>IF(N631="nulová",J631,0)</f>
        <v>0</v>
      </c>
      <c r="BJ631" s="2" t="s">
        <v>87</v>
      </c>
      <c r="BK631" s="140">
        <f>ROUND(I631*H631,2)</f>
        <v>0</v>
      </c>
      <c r="BL631" s="2" t="s">
        <v>344</v>
      </c>
      <c r="BM631" s="139" t="s">
        <v>777</v>
      </c>
    </row>
    <row r="632" spans="2:65" s="141" customFormat="1" x14ac:dyDescent="0.2">
      <c r="B632" s="142"/>
      <c r="D632" s="143" t="s">
        <v>346</v>
      </c>
      <c r="E632" s="144"/>
      <c r="F632" s="145" t="s">
        <v>778</v>
      </c>
      <c r="H632" s="144"/>
      <c r="L632" s="142"/>
      <c r="M632" s="146"/>
      <c r="T632" s="147"/>
      <c r="AT632" s="144" t="s">
        <v>346</v>
      </c>
      <c r="AU632" s="144" t="s">
        <v>90</v>
      </c>
      <c r="AV632" s="141" t="s">
        <v>87</v>
      </c>
      <c r="AW632" s="141" t="s">
        <v>33</v>
      </c>
      <c r="AX632" s="141" t="s">
        <v>80</v>
      </c>
      <c r="AY632" s="144" t="s">
        <v>337</v>
      </c>
    </row>
    <row r="633" spans="2:65" s="148" customFormat="1" x14ac:dyDescent="0.2">
      <c r="B633" s="149"/>
      <c r="D633" s="143" t="s">
        <v>346</v>
      </c>
      <c r="E633" s="150"/>
      <c r="F633" s="151" t="s">
        <v>779</v>
      </c>
      <c r="H633" s="152">
        <v>30.687999999999999</v>
      </c>
      <c r="L633" s="149"/>
      <c r="M633" s="153"/>
      <c r="T633" s="154"/>
      <c r="AT633" s="150" t="s">
        <v>346</v>
      </c>
      <c r="AU633" s="150" t="s">
        <v>90</v>
      </c>
      <c r="AV633" s="148" t="s">
        <v>90</v>
      </c>
      <c r="AW633" s="148" t="s">
        <v>33</v>
      </c>
      <c r="AX633" s="148" t="s">
        <v>80</v>
      </c>
      <c r="AY633" s="150" t="s">
        <v>337</v>
      </c>
    </row>
    <row r="634" spans="2:65" s="141" customFormat="1" x14ac:dyDescent="0.2">
      <c r="B634" s="142"/>
      <c r="D634" s="143" t="s">
        <v>346</v>
      </c>
      <c r="E634" s="144"/>
      <c r="F634" s="145" t="s">
        <v>780</v>
      </c>
      <c r="H634" s="144"/>
      <c r="L634" s="142"/>
      <c r="M634" s="146"/>
      <c r="T634" s="147"/>
      <c r="AT634" s="144" t="s">
        <v>346</v>
      </c>
      <c r="AU634" s="144" t="s">
        <v>90</v>
      </c>
      <c r="AV634" s="141" t="s">
        <v>87</v>
      </c>
      <c r="AW634" s="141" t="s">
        <v>33</v>
      </c>
      <c r="AX634" s="141" t="s">
        <v>80</v>
      </c>
      <c r="AY634" s="144" t="s">
        <v>337</v>
      </c>
    </row>
    <row r="635" spans="2:65" s="148" customFormat="1" x14ac:dyDescent="0.2">
      <c r="B635" s="149"/>
      <c r="D635" s="143" t="s">
        <v>346</v>
      </c>
      <c r="E635" s="150"/>
      <c r="F635" s="151" t="s">
        <v>781</v>
      </c>
      <c r="H635" s="152">
        <v>0.12</v>
      </c>
      <c r="L635" s="149"/>
      <c r="M635" s="153"/>
      <c r="T635" s="154"/>
      <c r="AT635" s="150" t="s">
        <v>346</v>
      </c>
      <c r="AU635" s="150" t="s">
        <v>90</v>
      </c>
      <c r="AV635" s="148" t="s">
        <v>90</v>
      </c>
      <c r="AW635" s="148" t="s">
        <v>33</v>
      </c>
      <c r="AX635" s="148" t="s">
        <v>80</v>
      </c>
      <c r="AY635" s="150" t="s">
        <v>337</v>
      </c>
    </row>
    <row r="636" spans="2:65" s="141" customFormat="1" x14ac:dyDescent="0.2">
      <c r="B636" s="142"/>
      <c r="D636" s="143" t="s">
        <v>346</v>
      </c>
      <c r="E636" s="144"/>
      <c r="F636" s="145" t="s">
        <v>782</v>
      </c>
      <c r="H636" s="144"/>
      <c r="L636" s="142"/>
      <c r="M636" s="146"/>
      <c r="T636" s="147"/>
      <c r="AT636" s="144" t="s">
        <v>346</v>
      </c>
      <c r="AU636" s="144" t="s">
        <v>90</v>
      </c>
      <c r="AV636" s="141" t="s">
        <v>87</v>
      </c>
      <c r="AW636" s="141" t="s">
        <v>33</v>
      </c>
      <c r="AX636" s="141" t="s">
        <v>80</v>
      </c>
      <c r="AY636" s="144" t="s">
        <v>337</v>
      </c>
    </row>
    <row r="637" spans="2:65" s="148" customFormat="1" x14ac:dyDescent="0.2">
      <c r="B637" s="149"/>
      <c r="D637" s="143" t="s">
        <v>346</v>
      </c>
      <c r="E637" s="150"/>
      <c r="F637" s="151" t="s">
        <v>783</v>
      </c>
      <c r="H637" s="152">
        <v>2.2160000000000002</v>
      </c>
      <c r="L637" s="149"/>
      <c r="M637" s="153"/>
      <c r="T637" s="154"/>
      <c r="AT637" s="150" t="s">
        <v>346</v>
      </c>
      <c r="AU637" s="150" t="s">
        <v>90</v>
      </c>
      <c r="AV637" s="148" t="s">
        <v>90</v>
      </c>
      <c r="AW637" s="148" t="s">
        <v>33</v>
      </c>
      <c r="AX637" s="148" t="s">
        <v>80</v>
      </c>
      <c r="AY637" s="150" t="s">
        <v>337</v>
      </c>
    </row>
    <row r="638" spans="2:65" s="155" customFormat="1" x14ac:dyDescent="0.2">
      <c r="B638" s="156"/>
      <c r="D638" s="143" t="s">
        <v>346</v>
      </c>
      <c r="E638" s="157"/>
      <c r="F638" s="158" t="s">
        <v>351</v>
      </c>
      <c r="H638" s="159">
        <v>33.024000000000001</v>
      </c>
      <c r="L638" s="156"/>
      <c r="M638" s="160"/>
      <c r="T638" s="161"/>
      <c r="AT638" s="157" t="s">
        <v>346</v>
      </c>
      <c r="AU638" s="157" t="s">
        <v>90</v>
      </c>
      <c r="AV638" s="155" t="s">
        <v>344</v>
      </c>
      <c r="AW638" s="155" t="s">
        <v>33</v>
      </c>
      <c r="AX638" s="155" t="s">
        <v>87</v>
      </c>
      <c r="AY638" s="157" t="s">
        <v>337</v>
      </c>
    </row>
    <row r="639" spans="2:65" s="16" customFormat="1" ht="16.5" customHeight="1" x14ac:dyDescent="0.2">
      <c r="B639" s="17"/>
      <c r="C639" s="128">
        <v>53</v>
      </c>
      <c r="D639" s="128" t="s">
        <v>339</v>
      </c>
      <c r="E639" s="129" t="s">
        <v>784</v>
      </c>
      <c r="F639" s="130" t="s">
        <v>785</v>
      </c>
      <c r="G639" s="131" t="s">
        <v>425</v>
      </c>
      <c r="H639" s="132">
        <v>1287.3900000000001</v>
      </c>
      <c r="I639" s="133"/>
      <c r="J639" s="134">
        <f>ROUND(I639*H639,2)</f>
        <v>0</v>
      </c>
      <c r="K639" s="130" t="s">
        <v>343</v>
      </c>
      <c r="L639" s="17"/>
      <c r="M639" s="135"/>
      <c r="N639" s="136" t="s">
        <v>45</v>
      </c>
      <c r="P639" s="137">
        <f>O639*H639</f>
        <v>0</v>
      </c>
      <c r="Q639" s="137">
        <v>7.8539999999999999E-2</v>
      </c>
      <c r="R639" s="137">
        <f>Q639*H639</f>
        <v>101.11161060000001</v>
      </c>
      <c r="S639" s="137">
        <v>0</v>
      </c>
      <c r="T639" s="138">
        <f>S639*H639</f>
        <v>0</v>
      </c>
      <c r="AR639" s="139" t="s">
        <v>344</v>
      </c>
      <c r="AT639" s="139" t="s">
        <v>339</v>
      </c>
      <c r="AU639" s="139" t="s">
        <v>90</v>
      </c>
      <c r="AY639" s="2" t="s">
        <v>337</v>
      </c>
      <c r="BE639" s="140">
        <f>IF(N639="základní",J639,0)</f>
        <v>0</v>
      </c>
      <c r="BF639" s="140">
        <f>IF(N639="snížená",J639,0)</f>
        <v>0</v>
      </c>
      <c r="BG639" s="140">
        <f>IF(N639="zákl. přenesená",J639,0)</f>
        <v>0</v>
      </c>
      <c r="BH639" s="140">
        <f>IF(N639="sníž. přenesená",J639,0)</f>
        <v>0</v>
      </c>
      <c r="BI639" s="140">
        <f>IF(N639="nulová",J639,0)</f>
        <v>0</v>
      </c>
      <c r="BJ639" s="2" t="s">
        <v>87</v>
      </c>
      <c r="BK639" s="140">
        <f>ROUND(I639*H639,2)</f>
        <v>0</v>
      </c>
      <c r="BL639" s="2" t="s">
        <v>344</v>
      </c>
      <c r="BM639" s="139" t="s">
        <v>786</v>
      </c>
    </row>
    <row r="640" spans="2:65" s="141" customFormat="1" x14ac:dyDescent="0.2">
      <c r="B640" s="142"/>
      <c r="D640" s="143" t="s">
        <v>346</v>
      </c>
      <c r="E640" s="144"/>
      <c r="F640" s="145" t="s">
        <v>787</v>
      </c>
      <c r="H640" s="144"/>
      <c r="L640" s="142"/>
      <c r="M640" s="146"/>
      <c r="T640" s="147"/>
      <c r="AT640" s="144" t="s">
        <v>346</v>
      </c>
      <c r="AU640" s="144" t="s">
        <v>90</v>
      </c>
      <c r="AV640" s="141" t="s">
        <v>87</v>
      </c>
      <c r="AW640" s="141" t="s">
        <v>33</v>
      </c>
      <c r="AX640" s="141" t="s">
        <v>80</v>
      </c>
      <c r="AY640" s="144" t="s">
        <v>337</v>
      </c>
    </row>
    <row r="641" spans="2:65" s="148" customFormat="1" x14ac:dyDescent="0.2">
      <c r="B641" s="149"/>
      <c r="D641" s="143" t="s">
        <v>346</v>
      </c>
      <c r="E641" s="150"/>
      <c r="F641" s="151" t="s">
        <v>247</v>
      </c>
      <c r="H641" s="152">
        <v>1287.3900000000001</v>
      </c>
      <c r="L641" s="149"/>
      <c r="M641" s="153"/>
      <c r="T641" s="154"/>
      <c r="AT641" s="150" t="s">
        <v>346</v>
      </c>
      <c r="AU641" s="150" t="s">
        <v>90</v>
      </c>
      <c r="AV641" s="148" t="s">
        <v>90</v>
      </c>
      <c r="AW641" s="148" t="s">
        <v>33</v>
      </c>
      <c r="AX641" s="148" t="s">
        <v>80</v>
      </c>
      <c r="AY641" s="150" t="s">
        <v>337</v>
      </c>
    </row>
    <row r="642" spans="2:65" s="155" customFormat="1" x14ac:dyDescent="0.2">
      <c r="B642" s="156"/>
      <c r="D642" s="143" t="s">
        <v>346</v>
      </c>
      <c r="E642" s="157"/>
      <c r="F642" s="158" t="s">
        <v>351</v>
      </c>
      <c r="H642" s="159">
        <v>1287.3900000000001</v>
      </c>
      <c r="L642" s="156"/>
      <c r="M642" s="160"/>
      <c r="T642" s="161"/>
      <c r="AT642" s="157" t="s">
        <v>346</v>
      </c>
      <c r="AU642" s="157" t="s">
        <v>90</v>
      </c>
      <c r="AV642" s="155" t="s">
        <v>344</v>
      </c>
      <c r="AW642" s="155" t="s">
        <v>33</v>
      </c>
      <c r="AX642" s="155" t="s">
        <v>87</v>
      </c>
      <c r="AY642" s="157" t="s">
        <v>337</v>
      </c>
    </row>
    <row r="643" spans="2:65" s="16" customFormat="1" ht="16.5" customHeight="1" x14ac:dyDescent="0.2">
      <c r="B643" s="17"/>
      <c r="C643" s="128">
        <v>54</v>
      </c>
      <c r="D643" s="128" t="s">
        <v>339</v>
      </c>
      <c r="E643" s="129" t="s">
        <v>789</v>
      </c>
      <c r="F643" s="130" t="s">
        <v>790</v>
      </c>
      <c r="G643" s="131" t="s">
        <v>425</v>
      </c>
      <c r="H643" s="132">
        <v>727.42</v>
      </c>
      <c r="I643" s="133"/>
      <c r="J643" s="134">
        <f>ROUND(I643*H643,2)</f>
        <v>0</v>
      </c>
      <c r="K643" s="130" t="s">
        <v>343</v>
      </c>
      <c r="L643" s="17"/>
      <c r="M643" s="135"/>
      <c r="N643" s="136" t="s">
        <v>45</v>
      </c>
      <c r="P643" s="137">
        <f>O643*H643</f>
        <v>0</v>
      </c>
      <c r="Q643" s="137">
        <v>0.10557</v>
      </c>
      <c r="R643" s="137">
        <f>Q643*H643</f>
        <v>76.793729399999989</v>
      </c>
      <c r="S643" s="137">
        <v>0</v>
      </c>
      <c r="T643" s="138">
        <f>S643*H643</f>
        <v>0</v>
      </c>
      <c r="AR643" s="139" t="s">
        <v>344</v>
      </c>
      <c r="AT643" s="139" t="s">
        <v>339</v>
      </c>
      <c r="AU643" s="139" t="s">
        <v>90</v>
      </c>
      <c r="AY643" s="2" t="s">
        <v>337</v>
      </c>
      <c r="BE643" s="140">
        <f>IF(N643="základní",J643,0)</f>
        <v>0</v>
      </c>
      <c r="BF643" s="140">
        <f>IF(N643="snížená",J643,0)</f>
        <v>0</v>
      </c>
      <c r="BG643" s="140">
        <f>IF(N643="zákl. přenesená",J643,0)</f>
        <v>0</v>
      </c>
      <c r="BH643" s="140">
        <f>IF(N643="sníž. přenesená",J643,0)</f>
        <v>0</v>
      </c>
      <c r="BI643" s="140">
        <f>IF(N643="nulová",J643,0)</f>
        <v>0</v>
      </c>
      <c r="BJ643" s="2" t="s">
        <v>87</v>
      </c>
      <c r="BK643" s="140">
        <f>ROUND(I643*H643,2)</f>
        <v>0</v>
      </c>
      <c r="BL643" s="2" t="s">
        <v>344</v>
      </c>
      <c r="BM643" s="139" t="s">
        <v>791</v>
      </c>
    </row>
    <row r="644" spans="2:65" s="148" customFormat="1" x14ac:dyDescent="0.2">
      <c r="B644" s="149"/>
      <c r="D644" s="143" t="s">
        <v>346</v>
      </c>
      <c r="E644" s="150"/>
      <c r="F644" s="151" t="s">
        <v>253</v>
      </c>
      <c r="H644" s="152">
        <v>526.46</v>
      </c>
      <c r="L644" s="149"/>
      <c r="M644" s="153"/>
      <c r="T644" s="154"/>
      <c r="AT644" s="150" t="s">
        <v>346</v>
      </c>
      <c r="AU644" s="150" t="s">
        <v>90</v>
      </c>
      <c r="AV644" s="148" t="s">
        <v>90</v>
      </c>
      <c r="AW644" s="148" t="s">
        <v>33</v>
      </c>
      <c r="AX644" s="148" t="s">
        <v>80</v>
      </c>
      <c r="AY644" s="150" t="s">
        <v>337</v>
      </c>
    </row>
    <row r="645" spans="2:65" s="148" customFormat="1" x14ac:dyDescent="0.2">
      <c r="B645" s="149"/>
      <c r="D645" s="143" t="s">
        <v>346</v>
      </c>
      <c r="E645" s="150"/>
      <c r="F645" s="151" t="s">
        <v>228</v>
      </c>
      <c r="H645" s="152">
        <v>200.96</v>
      </c>
      <c r="L645" s="149"/>
      <c r="M645" s="153"/>
      <c r="T645" s="154"/>
      <c r="AT645" s="150" t="s">
        <v>346</v>
      </c>
      <c r="AU645" s="150" t="s">
        <v>90</v>
      </c>
      <c r="AV645" s="148" t="s">
        <v>90</v>
      </c>
      <c r="AW645" s="148" t="s">
        <v>33</v>
      </c>
      <c r="AX645" s="148" t="s">
        <v>80</v>
      </c>
      <c r="AY645" s="150" t="s">
        <v>337</v>
      </c>
    </row>
    <row r="646" spans="2:65" s="155" customFormat="1" x14ac:dyDescent="0.2">
      <c r="B646" s="156"/>
      <c r="D646" s="143" t="s">
        <v>346</v>
      </c>
      <c r="E646" s="157"/>
      <c r="F646" s="158" t="s">
        <v>351</v>
      </c>
      <c r="H646" s="159">
        <v>727.42</v>
      </c>
      <c r="L646" s="156"/>
      <c r="M646" s="160"/>
      <c r="T646" s="161"/>
      <c r="AT646" s="157" t="s">
        <v>346</v>
      </c>
      <c r="AU646" s="157" t="s">
        <v>90</v>
      </c>
      <c r="AV646" s="155" t="s">
        <v>344</v>
      </c>
      <c r="AW646" s="155" t="s">
        <v>33</v>
      </c>
      <c r="AX646" s="155" t="s">
        <v>87</v>
      </c>
      <c r="AY646" s="157" t="s">
        <v>337</v>
      </c>
    </row>
    <row r="647" spans="2:65" s="16" customFormat="1" ht="16.5" customHeight="1" x14ac:dyDescent="0.2">
      <c r="B647" s="17"/>
      <c r="C647" s="128">
        <v>55</v>
      </c>
      <c r="D647" s="128" t="s">
        <v>339</v>
      </c>
      <c r="E647" s="129" t="s">
        <v>792</v>
      </c>
      <c r="F647" s="130" t="s">
        <v>793</v>
      </c>
      <c r="G647" s="131" t="s">
        <v>425</v>
      </c>
      <c r="H647" s="132">
        <v>2.0249999999999999</v>
      </c>
      <c r="I647" s="133"/>
      <c r="J647" s="134">
        <f>ROUND(I647*H647,2)</f>
        <v>0</v>
      </c>
      <c r="K647" s="130" t="s">
        <v>343</v>
      </c>
      <c r="L647" s="17"/>
      <c r="M647" s="135"/>
      <c r="N647" s="136" t="s">
        <v>45</v>
      </c>
      <c r="P647" s="137">
        <f>O647*H647</f>
        <v>0</v>
      </c>
      <c r="Q647" s="137">
        <v>4.9840000000000002E-2</v>
      </c>
      <c r="R647" s="137">
        <f>Q647*H647</f>
        <v>0.100926</v>
      </c>
      <c r="S647" s="137">
        <v>0</v>
      </c>
      <c r="T647" s="138">
        <f>S647*H647</f>
        <v>0</v>
      </c>
      <c r="AR647" s="139" t="s">
        <v>344</v>
      </c>
      <c r="AT647" s="139" t="s">
        <v>339</v>
      </c>
      <c r="AU647" s="139" t="s">
        <v>90</v>
      </c>
      <c r="AY647" s="2" t="s">
        <v>337</v>
      </c>
      <c r="BE647" s="140">
        <f>IF(N647="základní",J647,0)</f>
        <v>0</v>
      </c>
      <c r="BF647" s="140">
        <f>IF(N647="snížená",J647,0)</f>
        <v>0</v>
      </c>
      <c r="BG647" s="140">
        <f>IF(N647="zákl. přenesená",J647,0)</f>
        <v>0</v>
      </c>
      <c r="BH647" s="140">
        <f>IF(N647="sníž. přenesená",J647,0)</f>
        <v>0</v>
      </c>
      <c r="BI647" s="140">
        <f>IF(N647="nulová",J647,0)</f>
        <v>0</v>
      </c>
      <c r="BJ647" s="2" t="s">
        <v>87</v>
      </c>
      <c r="BK647" s="140">
        <f>ROUND(I647*H647,2)</f>
        <v>0</v>
      </c>
      <c r="BL647" s="2" t="s">
        <v>344</v>
      </c>
      <c r="BM647" s="139" t="s">
        <v>794</v>
      </c>
    </row>
    <row r="648" spans="2:65" s="141" customFormat="1" x14ac:dyDescent="0.2">
      <c r="B648" s="142"/>
      <c r="D648" s="143" t="s">
        <v>346</v>
      </c>
      <c r="E648" s="144"/>
      <c r="F648" s="145" t="s">
        <v>795</v>
      </c>
      <c r="H648" s="144"/>
      <c r="L648" s="142"/>
      <c r="M648" s="146"/>
      <c r="T648" s="147"/>
      <c r="AT648" s="144" t="s">
        <v>346</v>
      </c>
      <c r="AU648" s="144" t="s">
        <v>90</v>
      </c>
      <c r="AV648" s="141" t="s">
        <v>87</v>
      </c>
      <c r="AW648" s="141" t="s">
        <v>33</v>
      </c>
      <c r="AX648" s="141" t="s">
        <v>80</v>
      </c>
      <c r="AY648" s="144" t="s">
        <v>337</v>
      </c>
    </row>
    <row r="649" spans="2:65" s="148" customFormat="1" x14ac:dyDescent="0.2">
      <c r="B649" s="149"/>
      <c r="D649" s="143" t="s">
        <v>346</v>
      </c>
      <c r="E649" s="150"/>
      <c r="F649" s="151" t="s">
        <v>796</v>
      </c>
      <c r="H649" s="152">
        <v>2.0249999999999999</v>
      </c>
      <c r="L649" s="149"/>
      <c r="M649" s="153"/>
      <c r="T649" s="154"/>
      <c r="AT649" s="150" t="s">
        <v>346</v>
      </c>
      <c r="AU649" s="150" t="s">
        <v>90</v>
      </c>
      <c r="AV649" s="148" t="s">
        <v>90</v>
      </c>
      <c r="AW649" s="148" t="s">
        <v>33</v>
      </c>
      <c r="AX649" s="148" t="s">
        <v>87</v>
      </c>
      <c r="AY649" s="150" t="s">
        <v>337</v>
      </c>
    </row>
    <row r="650" spans="2:65" s="16" customFormat="1" ht="16.5" customHeight="1" x14ac:dyDescent="0.2">
      <c r="B650" s="17"/>
      <c r="C650" s="128">
        <v>56</v>
      </c>
      <c r="D650" s="128" t="s">
        <v>339</v>
      </c>
      <c r="E650" s="129" t="s">
        <v>798</v>
      </c>
      <c r="F650" s="130" t="s">
        <v>799</v>
      </c>
      <c r="G650" s="131" t="s">
        <v>425</v>
      </c>
      <c r="H650" s="132">
        <v>410.58499999999998</v>
      </c>
      <c r="I650" s="133"/>
      <c r="J650" s="134">
        <f>ROUND(I650*H650,2)</f>
        <v>0</v>
      </c>
      <c r="K650" s="130" t="s">
        <v>343</v>
      </c>
      <c r="L650" s="17"/>
      <c r="M650" s="135"/>
      <c r="N650" s="136" t="s">
        <v>45</v>
      </c>
      <c r="P650" s="137">
        <f>O650*H650</f>
        <v>0</v>
      </c>
      <c r="Q650" s="137">
        <v>1.0200000000000001E-2</v>
      </c>
      <c r="R650" s="137">
        <f>Q650*H650</f>
        <v>4.1879670000000004</v>
      </c>
      <c r="S650" s="137">
        <v>0</v>
      </c>
      <c r="T650" s="138">
        <f>S650*H650</f>
        <v>0</v>
      </c>
      <c r="AR650" s="139" t="s">
        <v>344</v>
      </c>
      <c r="AT650" s="139" t="s">
        <v>339</v>
      </c>
      <c r="AU650" s="139" t="s">
        <v>90</v>
      </c>
      <c r="AY650" s="2" t="s">
        <v>337</v>
      </c>
      <c r="BE650" s="140">
        <f>IF(N650="základní",J650,0)</f>
        <v>0</v>
      </c>
      <c r="BF650" s="140">
        <f>IF(N650="snížená",J650,0)</f>
        <v>0</v>
      </c>
      <c r="BG650" s="140">
        <f>IF(N650="zákl. přenesená",J650,0)</f>
        <v>0</v>
      </c>
      <c r="BH650" s="140">
        <f>IF(N650="sníž. přenesená",J650,0)</f>
        <v>0</v>
      </c>
      <c r="BI650" s="140">
        <f>IF(N650="nulová",J650,0)</f>
        <v>0</v>
      </c>
      <c r="BJ650" s="2" t="s">
        <v>87</v>
      </c>
      <c r="BK650" s="140">
        <f>ROUND(I650*H650,2)</f>
        <v>0</v>
      </c>
      <c r="BL650" s="2" t="s">
        <v>344</v>
      </c>
      <c r="BM650" s="139" t="s">
        <v>800</v>
      </c>
    </row>
    <row r="651" spans="2:65" s="141" customFormat="1" x14ac:dyDescent="0.2">
      <c r="B651" s="142"/>
      <c r="D651" s="143" t="s">
        <v>346</v>
      </c>
      <c r="E651" s="144"/>
      <c r="F651" s="145" t="s">
        <v>801</v>
      </c>
      <c r="H651" s="144"/>
      <c r="L651" s="142"/>
      <c r="M651" s="146"/>
      <c r="T651" s="147"/>
      <c r="AT651" s="144" t="s">
        <v>346</v>
      </c>
      <c r="AU651" s="144" t="s">
        <v>90</v>
      </c>
      <c r="AV651" s="141" t="s">
        <v>87</v>
      </c>
      <c r="AW651" s="141" t="s">
        <v>33</v>
      </c>
      <c r="AX651" s="141" t="s">
        <v>80</v>
      </c>
      <c r="AY651" s="144" t="s">
        <v>337</v>
      </c>
    </row>
    <row r="652" spans="2:65" s="141" customFormat="1" x14ac:dyDescent="0.2">
      <c r="B652" s="142"/>
      <c r="D652" s="143" t="s">
        <v>346</v>
      </c>
      <c r="E652" s="144"/>
      <c r="F652" s="145" t="s">
        <v>802</v>
      </c>
      <c r="H652" s="144"/>
      <c r="L652" s="142"/>
      <c r="M652" s="146"/>
      <c r="T652" s="147"/>
      <c r="AT652" s="144" t="s">
        <v>346</v>
      </c>
      <c r="AU652" s="144" t="s">
        <v>90</v>
      </c>
      <c r="AV652" s="141" t="s">
        <v>87</v>
      </c>
      <c r="AW652" s="141" t="s">
        <v>33</v>
      </c>
      <c r="AX652" s="141" t="s">
        <v>80</v>
      </c>
      <c r="AY652" s="144" t="s">
        <v>337</v>
      </c>
    </row>
    <row r="653" spans="2:65" s="148" customFormat="1" x14ac:dyDescent="0.2">
      <c r="B653" s="149"/>
      <c r="D653" s="143" t="s">
        <v>346</v>
      </c>
      <c r="E653" s="150"/>
      <c r="F653" s="151" t="s">
        <v>255</v>
      </c>
      <c r="H653" s="152">
        <v>406.21499999999997</v>
      </c>
      <c r="L653" s="149"/>
      <c r="M653" s="153"/>
      <c r="T653" s="154"/>
      <c r="AT653" s="150" t="s">
        <v>346</v>
      </c>
      <c r="AU653" s="150" t="s">
        <v>90</v>
      </c>
      <c r="AV653" s="148" t="s">
        <v>90</v>
      </c>
      <c r="AW653" s="148" t="s">
        <v>33</v>
      </c>
      <c r="AX653" s="148" t="s">
        <v>80</v>
      </c>
      <c r="AY653" s="150" t="s">
        <v>337</v>
      </c>
    </row>
    <row r="654" spans="2:65" s="148" customFormat="1" x14ac:dyDescent="0.2">
      <c r="B654" s="149"/>
      <c r="D654" s="143" t="s">
        <v>346</v>
      </c>
      <c r="E654" s="150"/>
      <c r="F654" s="151" t="s">
        <v>259</v>
      </c>
      <c r="H654" s="152">
        <v>4.37</v>
      </c>
      <c r="L654" s="149"/>
      <c r="M654" s="153"/>
      <c r="T654" s="154"/>
      <c r="AT654" s="150" t="s">
        <v>346</v>
      </c>
      <c r="AU654" s="150" t="s">
        <v>90</v>
      </c>
      <c r="AV654" s="148" t="s">
        <v>90</v>
      </c>
      <c r="AW654" s="148" t="s">
        <v>33</v>
      </c>
      <c r="AX654" s="148" t="s">
        <v>80</v>
      </c>
      <c r="AY654" s="150" t="s">
        <v>337</v>
      </c>
    </row>
    <row r="655" spans="2:65" s="155" customFormat="1" x14ac:dyDescent="0.2">
      <c r="B655" s="156"/>
      <c r="D655" s="143" t="s">
        <v>346</v>
      </c>
      <c r="E655" s="157"/>
      <c r="F655" s="158" t="s">
        <v>351</v>
      </c>
      <c r="H655" s="159">
        <v>410.58499999999998</v>
      </c>
      <c r="L655" s="156"/>
      <c r="M655" s="160"/>
      <c r="T655" s="161"/>
      <c r="AT655" s="157" t="s">
        <v>346</v>
      </c>
      <c r="AU655" s="157" t="s">
        <v>90</v>
      </c>
      <c r="AV655" s="155" t="s">
        <v>344</v>
      </c>
      <c r="AW655" s="155" t="s">
        <v>33</v>
      </c>
      <c r="AX655" s="155" t="s">
        <v>87</v>
      </c>
      <c r="AY655" s="157" t="s">
        <v>337</v>
      </c>
    </row>
    <row r="656" spans="2:65" s="16" customFormat="1" ht="16.5" customHeight="1" x14ac:dyDescent="0.2">
      <c r="B656" s="17"/>
      <c r="C656" s="128">
        <v>57</v>
      </c>
      <c r="D656" s="128" t="s">
        <v>339</v>
      </c>
      <c r="E656" s="129" t="s">
        <v>803</v>
      </c>
      <c r="F656" s="130" t="s">
        <v>804</v>
      </c>
      <c r="G656" s="131" t="s">
        <v>425</v>
      </c>
      <c r="H656" s="132">
        <v>2588.48</v>
      </c>
      <c r="I656" s="133"/>
      <c r="J656" s="134">
        <f>ROUND(I656*H656,2)</f>
        <v>0</v>
      </c>
      <c r="K656" s="130" t="s">
        <v>343</v>
      </c>
      <c r="L656" s="17"/>
      <c r="M656" s="135"/>
      <c r="N656" s="136" t="s">
        <v>45</v>
      </c>
      <c r="P656" s="137">
        <f>O656*H656</f>
        <v>0</v>
      </c>
      <c r="Q656" s="137">
        <v>2.0400000000000001E-2</v>
      </c>
      <c r="R656" s="137">
        <f>Q656*H656</f>
        <v>52.804992000000006</v>
      </c>
      <c r="S656" s="137">
        <v>0</v>
      </c>
      <c r="T656" s="138">
        <f>S656*H656</f>
        <v>0</v>
      </c>
      <c r="AR656" s="139" t="s">
        <v>344</v>
      </c>
      <c r="AT656" s="139" t="s">
        <v>339</v>
      </c>
      <c r="AU656" s="139" t="s">
        <v>90</v>
      </c>
      <c r="AY656" s="2" t="s">
        <v>337</v>
      </c>
      <c r="BE656" s="140">
        <f>IF(N656="základní",J656,0)</f>
        <v>0</v>
      </c>
      <c r="BF656" s="140">
        <f>IF(N656="snížená",J656,0)</f>
        <v>0</v>
      </c>
      <c r="BG656" s="140">
        <f>IF(N656="zákl. přenesená",J656,0)</f>
        <v>0</v>
      </c>
      <c r="BH656" s="140">
        <f>IF(N656="sníž. přenesená",J656,0)</f>
        <v>0</v>
      </c>
      <c r="BI656" s="140">
        <f>IF(N656="nulová",J656,0)</f>
        <v>0</v>
      </c>
      <c r="BJ656" s="2" t="s">
        <v>87</v>
      </c>
      <c r="BK656" s="140">
        <f>ROUND(I656*H656,2)</f>
        <v>0</v>
      </c>
      <c r="BL656" s="2" t="s">
        <v>344</v>
      </c>
      <c r="BM656" s="139" t="s">
        <v>805</v>
      </c>
    </row>
    <row r="657" spans="2:65" s="141" customFormat="1" x14ac:dyDescent="0.2">
      <c r="B657" s="142"/>
      <c r="D657" s="143" t="s">
        <v>346</v>
      </c>
      <c r="E657" s="144"/>
      <c r="F657" s="145" t="s">
        <v>801</v>
      </c>
      <c r="H657" s="144"/>
      <c r="L657" s="142"/>
      <c r="M657" s="146"/>
      <c r="T657" s="147"/>
      <c r="AT657" s="144" t="s">
        <v>346</v>
      </c>
      <c r="AU657" s="144" t="s">
        <v>90</v>
      </c>
      <c r="AV657" s="141" t="s">
        <v>87</v>
      </c>
      <c r="AW657" s="141" t="s">
        <v>33</v>
      </c>
      <c r="AX657" s="141" t="s">
        <v>80</v>
      </c>
      <c r="AY657" s="144" t="s">
        <v>337</v>
      </c>
    </row>
    <row r="658" spans="2:65" s="141" customFormat="1" x14ac:dyDescent="0.2">
      <c r="B658" s="142"/>
      <c r="D658" s="143" t="s">
        <v>346</v>
      </c>
      <c r="E658" s="144"/>
      <c r="F658" s="145" t="s">
        <v>806</v>
      </c>
      <c r="H658" s="144"/>
      <c r="L658" s="142"/>
      <c r="M658" s="146"/>
      <c r="T658" s="147"/>
      <c r="AT658" s="144" t="s">
        <v>346</v>
      </c>
      <c r="AU658" s="144" t="s">
        <v>90</v>
      </c>
      <c r="AV658" s="141" t="s">
        <v>87</v>
      </c>
      <c r="AW658" s="141" t="s">
        <v>33</v>
      </c>
      <c r="AX658" s="141" t="s">
        <v>80</v>
      </c>
      <c r="AY658" s="144" t="s">
        <v>337</v>
      </c>
    </row>
    <row r="659" spans="2:65" s="148" customFormat="1" x14ac:dyDescent="0.2">
      <c r="B659" s="149"/>
      <c r="D659" s="143" t="s">
        <v>346</v>
      </c>
      <c r="E659" s="150"/>
      <c r="F659" s="151" t="s">
        <v>247</v>
      </c>
      <c r="H659" s="152">
        <v>1287.3900000000001</v>
      </c>
      <c r="L659" s="149"/>
      <c r="M659" s="153"/>
      <c r="T659" s="154"/>
      <c r="AT659" s="150" t="s">
        <v>346</v>
      </c>
      <c r="AU659" s="150" t="s">
        <v>90</v>
      </c>
      <c r="AV659" s="148" t="s">
        <v>90</v>
      </c>
      <c r="AW659" s="148" t="s">
        <v>33</v>
      </c>
      <c r="AX659" s="148" t="s">
        <v>80</v>
      </c>
      <c r="AY659" s="150" t="s">
        <v>337</v>
      </c>
    </row>
    <row r="660" spans="2:65" s="148" customFormat="1" x14ac:dyDescent="0.2">
      <c r="B660" s="149"/>
      <c r="D660" s="143" t="s">
        <v>346</v>
      </c>
      <c r="E660" s="150"/>
      <c r="F660" s="151" t="s">
        <v>249</v>
      </c>
      <c r="H660" s="152">
        <v>255.733</v>
      </c>
      <c r="L660" s="149"/>
      <c r="M660" s="153"/>
      <c r="T660" s="154"/>
      <c r="AT660" s="150" t="s">
        <v>346</v>
      </c>
      <c r="AU660" s="150" t="s">
        <v>90</v>
      </c>
      <c r="AV660" s="148" t="s">
        <v>90</v>
      </c>
      <c r="AW660" s="148" t="s">
        <v>33</v>
      </c>
      <c r="AX660" s="148" t="s">
        <v>80</v>
      </c>
      <c r="AY660" s="150" t="s">
        <v>337</v>
      </c>
    </row>
    <row r="661" spans="2:65" s="148" customFormat="1" x14ac:dyDescent="0.2">
      <c r="B661" s="149"/>
      <c r="D661" s="143" t="s">
        <v>346</v>
      </c>
      <c r="E661" s="150"/>
      <c r="F661" s="151" t="s">
        <v>251</v>
      </c>
      <c r="H661" s="152">
        <v>56.546999999999997</v>
      </c>
      <c r="L661" s="149"/>
      <c r="M661" s="153"/>
      <c r="T661" s="154"/>
      <c r="AT661" s="150" t="s">
        <v>346</v>
      </c>
      <c r="AU661" s="150" t="s">
        <v>90</v>
      </c>
      <c r="AV661" s="148" t="s">
        <v>90</v>
      </c>
      <c r="AW661" s="148" t="s">
        <v>33</v>
      </c>
      <c r="AX661" s="148" t="s">
        <v>80</v>
      </c>
      <c r="AY661" s="150" t="s">
        <v>337</v>
      </c>
    </row>
    <row r="662" spans="2:65" s="148" customFormat="1" x14ac:dyDescent="0.2">
      <c r="B662" s="149"/>
      <c r="D662" s="143" t="s">
        <v>346</v>
      </c>
      <c r="E662" s="150"/>
      <c r="F662" s="151" t="s">
        <v>253</v>
      </c>
      <c r="H662" s="152">
        <v>526.46</v>
      </c>
      <c r="L662" s="149"/>
      <c r="M662" s="153"/>
      <c r="T662" s="154"/>
      <c r="AT662" s="150" t="s">
        <v>346</v>
      </c>
      <c r="AU662" s="150" t="s">
        <v>90</v>
      </c>
      <c r="AV662" s="148" t="s">
        <v>90</v>
      </c>
      <c r="AW662" s="148" t="s">
        <v>33</v>
      </c>
      <c r="AX662" s="148" t="s">
        <v>80</v>
      </c>
      <c r="AY662" s="150" t="s">
        <v>337</v>
      </c>
    </row>
    <row r="663" spans="2:65" s="148" customFormat="1" x14ac:dyDescent="0.2">
      <c r="B663" s="149"/>
      <c r="D663" s="143" t="s">
        <v>346</v>
      </c>
      <c r="E663" s="150"/>
      <c r="F663" s="151" t="s">
        <v>265</v>
      </c>
      <c r="H663" s="152">
        <v>261.39</v>
      </c>
      <c r="L663" s="149"/>
      <c r="M663" s="153"/>
      <c r="T663" s="154"/>
      <c r="AT663" s="150" t="s">
        <v>346</v>
      </c>
      <c r="AU663" s="150" t="s">
        <v>90</v>
      </c>
      <c r="AV663" s="148" t="s">
        <v>90</v>
      </c>
      <c r="AW663" s="148" t="s">
        <v>33</v>
      </c>
      <c r="AX663" s="148" t="s">
        <v>80</v>
      </c>
      <c r="AY663" s="150" t="s">
        <v>337</v>
      </c>
    </row>
    <row r="664" spans="2:65" s="148" customFormat="1" x14ac:dyDescent="0.2">
      <c r="B664" s="149"/>
      <c r="D664" s="143" t="s">
        <v>346</v>
      </c>
      <c r="E664" s="150"/>
      <c r="F664" s="151" t="s">
        <v>228</v>
      </c>
      <c r="H664" s="152">
        <v>200.96</v>
      </c>
      <c r="L664" s="149"/>
      <c r="M664" s="153"/>
      <c r="T664" s="154"/>
      <c r="AT664" s="150" t="s">
        <v>346</v>
      </c>
      <c r="AU664" s="150" t="s">
        <v>90</v>
      </c>
      <c r="AV664" s="148" t="s">
        <v>90</v>
      </c>
      <c r="AW664" s="148" t="s">
        <v>33</v>
      </c>
      <c r="AX664" s="148" t="s">
        <v>80</v>
      </c>
      <c r="AY664" s="150" t="s">
        <v>337</v>
      </c>
    </row>
    <row r="665" spans="2:65" s="155" customFormat="1" x14ac:dyDescent="0.2">
      <c r="B665" s="156"/>
      <c r="D665" s="143" t="s">
        <v>346</v>
      </c>
      <c r="E665" s="157"/>
      <c r="F665" s="158" t="s">
        <v>351</v>
      </c>
      <c r="H665" s="159">
        <v>2588.48</v>
      </c>
      <c r="L665" s="156"/>
      <c r="M665" s="160"/>
      <c r="T665" s="161"/>
      <c r="AT665" s="157" t="s">
        <v>346</v>
      </c>
      <c r="AU665" s="157" t="s">
        <v>90</v>
      </c>
      <c r="AV665" s="155" t="s">
        <v>344</v>
      </c>
      <c r="AW665" s="155" t="s">
        <v>33</v>
      </c>
      <c r="AX665" s="155" t="s">
        <v>87</v>
      </c>
      <c r="AY665" s="157" t="s">
        <v>337</v>
      </c>
    </row>
    <row r="666" spans="2:65" s="16" customFormat="1" ht="16.5" customHeight="1" x14ac:dyDescent="0.2">
      <c r="B666" s="17"/>
      <c r="C666" s="128">
        <v>58</v>
      </c>
      <c r="D666" s="128" t="s">
        <v>339</v>
      </c>
      <c r="E666" s="129" t="s">
        <v>808</v>
      </c>
      <c r="F666" s="130" t="s">
        <v>809</v>
      </c>
      <c r="G666" s="131" t="s">
        <v>425</v>
      </c>
      <c r="H666" s="132">
        <v>140.36799999999999</v>
      </c>
      <c r="I666" s="133"/>
      <c r="J666" s="134">
        <f>ROUND(I666*H666,2)</f>
        <v>0</v>
      </c>
      <c r="K666" s="130" t="s">
        <v>343</v>
      </c>
      <c r="L666" s="17"/>
      <c r="M666" s="135"/>
      <c r="N666" s="136" t="s">
        <v>45</v>
      </c>
      <c r="P666" s="137">
        <f>O666*H666</f>
        <v>0</v>
      </c>
      <c r="Q666" s="137">
        <v>8.7999999999999995E-2</v>
      </c>
      <c r="R666" s="137">
        <f>Q666*H666</f>
        <v>12.352383999999999</v>
      </c>
      <c r="S666" s="137">
        <v>0</v>
      </c>
      <c r="T666" s="138">
        <f>S666*H666</f>
        <v>0</v>
      </c>
      <c r="AR666" s="139" t="s">
        <v>344</v>
      </c>
      <c r="AT666" s="139" t="s">
        <v>339</v>
      </c>
      <c r="AU666" s="139" t="s">
        <v>90</v>
      </c>
      <c r="AY666" s="2" t="s">
        <v>337</v>
      </c>
      <c r="BE666" s="140">
        <f>IF(N666="základní",J666,0)</f>
        <v>0</v>
      </c>
      <c r="BF666" s="140">
        <f>IF(N666="snížená",J666,0)</f>
        <v>0</v>
      </c>
      <c r="BG666" s="140">
        <f>IF(N666="zákl. přenesená",J666,0)</f>
        <v>0</v>
      </c>
      <c r="BH666" s="140">
        <f>IF(N666="sníž. přenesená",J666,0)</f>
        <v>0</v>
      </c>
      <c r="BI666" s="140">
        <f>IF(N666="nulová",J666,0)</f>
        <v>0</v>
      </c>
      <c r="BJ666" s="2" t="s">
        <v>87</v>
      </c>
      <c r="BK666" s="140">
        <f>ROUND(I666*H666,2)</f>
        <v>0</v>
      </c>
      <c r="BL666" s="2" t="s">
        <v>344</v>
      </c>
      <c r="BM666" s="139" t="s">
        <v>810</v>
      </c>
    </row>
    <row r="667" spans="2:65" s="141" customFormat="1" x14ac:dyDescent="0.2">
      <c r="B667" s="142"/>
      <c r="D667" s="143" t="s">
        <v>346</v>
      </c>
      <c r="E667" s="144"/>
      <c r="F667" s="145" t="s">
        <v>811</v>
      </c>
      <c r="H667" s="144"/>
      <c r="L667" s="142"/>
      <c r="M667" s="146"/>
      <c r="T667" s="147"/>
      <c r="AT667" s="144" t="s">
        <v>346</v>
      </c>
      <c r="AU667" s="144" t="s">
        <v>90</v>
      </c>
      <c r="AV667" s="141" t="s">
        <v>87</v>
      </c>
      <c r="AW667" s="141" t="s">
        <v>33</v>
      </c>
      <c r="AX667" s="141" t="s">
        <v>80</v>
      </c>
      <c r="AY667" s="144" t="s">
        <v>337</v>
      </c>
    </row>
    <row r="668" spans="2:65" s="148" customFormat="1" x14ac:dyDescent="0.2">
      <c r="B668" s="149"/>
      <c r="D668" s="143" t="s">
        <v>346</v>
      </c>
      <c r="E668" s="150"/>
      <c r="F668" s="151" t="s">
        <v>261</v>
      </c>
      <c r="H668" s="152">
        <v>140.36799999999999</v>
      </c>
      <c r="L668" s="149"/>
      <c r="M668" s="153"/>
      <c r="T668" s="154"/>
      <c r="AT668" s="150" t="s">
        <v>346</v>
      </c>
      <c r="AU668" s="150" t="s">
        <v>90</v>
      </c>
      <c r="AV668" s="148" t="s">
        <v>90</v>
      </c>
      <c r="AW668" s="148" t="s">
        <v>33</v>
      </c>
      <c r="AX668" s="148" t="s">
        <v>87</v>
      </c>
      <c r="AY668" s="150" t="s">
        <v>337</v>
      </c>
    </row>
    <row r="669" spans="2:65" s="16" customFormat="1" ht="16.5" customHeight="1" x14ac:dyDescent="0.2">
      <c r="B669" s="17"/>
      <c r="C669" s="128">
        <v>59</v>
      </c>
      <c r="D669" s="128" t="s">
        <v>339</v>
      </c>
      <c r="E669" s="129" t="s">
        <v>813</v>
      </c>
      <c r="F669" s="130" t="s">
        <v>814</v>
      </c>
      <c r="G669" s="131" t="s">
        <v>425</v>
      </c>
      <c r="H669" s="132">
        <v>573.66999999999996</v>
      </c>
      <c r="I669" s="133"/>
      <c r="J669" s="134">
        <f>ROUND(I669*H669,2)</f>
        <v>0</v>
      </c>
      <c r="K669" s="130" t="s">
        <v>343</v>
      </c>
      <c r="L669" s="17"/>
      <c r="M669" s="135"/>
      <c r="N669" s="136" t="s">
        <v>45</v>
      </c>
      <c r="P669" s="137">
        <f>O669*H669</f>
        <v>0</v>
      </c>
      <c r="Q669" s="137">
        <v>9.9000000000000005E-2</v>
      </c>
      <c r="R669" s="137">
        <f>Q669*H669</f>
        <v>56.793329999999997</v>
      </c>
      <c r="S669" s="137">
        <v>0</v>
      </c>
      <c r="T669" s="138">
        <f>S669*H669</f>
        <v>0</v>
      </c>
      <c r="AR669" s="139" t="s">
        <v>344</v>
      </c>
      <c r="AT669" s="139" t="s">
        <v>339</v>
      </c>
      <c r="AU669" s="139" t="s">
        <v>90</v>
      </c>
      <c r="AY669" s="2" t="s">
        <v>337</v>
      </c>
      <c r="BE669" s="140">
        <f>IF(N669="základní",J669,0)</f>
        <v>0</v>
      </c>
      <c r="BF669" s="140">
        <f>IF(N669="snížená",J669,0)</f>
        <v>0</v>
      </c>
      <c r="BG669" s="140">
        <f>IF(N669="zákl. přenesená",J669,0)</f>
        <v>0</v>
      </c>
      <c r="BH669" s="140">
        <f>IF(N669="sníž. přenesená",J669,0)</f>
        <v>0</v>
      </c>
      <c r="BI669" s="140">
        <f>IF(N669="nulová",J669,0)</f>
        <v>0</v>
      </c>
      <c r="BJ669" s="2" t="s">
        <v>87</v>
      </c>
      <c r="BK669" s="140">
        <f>ROUND(I669*H669,2)</f>
        <v>0</v>
      </c>
      <c r="BL669" s="2" t="s">
        <v>344</v>
      </c>
      <c r="BM669" s="139" t="s">
        <v>815</v>
      </c>
    </row>
    <row r="670" spans="2:65" s="141" customFormat="1" x14ac:dyDescent="0.2">
      <c r="B670" s="142"/>
      <c r="D670" s="143" t="s">
        <v>346</v>
      </c>
      <c r="E670" s="144"/>
      <c r="F670" s="145" t="s">
        <v>816</v>
      </c>
      <c r="H670" s="144"/>
      <c r="L670" s="142"/>
      <c r="M670" s="146"/>
      <c r="T670" s="147"/>
      <c r="AT670" s="144" t="s">
        <v>346</v>
      </c>
      <c r="AU670" s="144" t="s">
        <v>90</v>
      </c>
      <c r="AV670" s="141" t="s">
        <v>87</v>
      </c>
      <c r="AW670" s="141" t="s">
        <v>33</v>
      </c>
      <c r="AX670" s="141" t="s">
        <v>80</v>
      </c>
      <c r="AY670" s="144" t="s">
        <v>337</v>
      </c>
    </row>
    <row r="671" spans="2:65" s="148" customFormat="1" x14ac:dyDescent="0.2">
      <c r="B671" s="149"/>
      <c r="D671" s="143" t="s">
        <v>346</v>
      </c>
      <c r="E671" s="150"/>
      <c r="F671" s="151" t="s">
        <v>249</v>
      </c>
      <c r="H671" s="152">
        <v>255.733</v>
      </c>
      <c r="L671" s="149"/>
      <c r="M671" s="153"/>
      <c r="T671" s="154"/>
      <c r="AT671" s="150" t="s">
        <v>346</v>
      </c>
      <c r="AU671" s="150" t="s">
        <v>90</v>
      </c>
      <c r="AV671" s="148" t="s">
        <v>90</v>
      </c>
      <c r="AW671" s="148" t="s">
        <v>33</v>
      </c>
      <c r="AX671" s="148" t="s">
        <v>80</v>
      </c>
      <c r="AY671" s="150" t="s">
        <v>337</v>
      </c>
    </row>
    <row r="672" spans="2:65" s="148" customFormat="1" x14ac:dyDescent="0.2">
      <c r="B672" s="149"/>
      <c r="D672" s="143" t="s">
        <v>346</v>
      </c>
      <c r="E672" s="150"/>
      <c r="F672" s="151" t="s">
        <v>265</v>
      </c>
      <c r="H672" s="152">
        <v>261.39</v>
      </c>
      <c r="L672" s="149"/>
      <c r="M672" s="153"/>
      <c r="T672" s="154"/>
      <c r="AT672" s="150" t="s">
        <v>346</v>
      </c>
      <c r="AU672" s="150" t="s">
        <v>90</v>
      </c>
      <c r="AV672" s="148" t="s">
        <v>90</v>
      </c>
      <c r="AW672" s="148" t="s">
        <v>33</v>
      </c>
      <c r="AX672" s="148" t="s">
        <v>80</v>
      </c>
      <c r="AY672" s="150" t="s">
        <v>337</v>
      </c>
    </row>
    <row r="673" spans="2:65" s="141" customFormat="1" x14ac:dyDescent="0.2">
      <c r="B673" s="142"/>
      <c r="D673" s="143" t="s">
        <v>346</v>
      </c>
      <c r="E673" s="144"/>
      <c r="F673" s="145" t="s">
        <v>817</v>
      </c>
      <c r="H673" s="144"/>
      <c r="L673" s="142"/>
      <c r="M673" s="146"/>
      <c r="T673" s="147"/>
      <c r="AT673" s="144" t="s">
        <v>346</v>
      </c>
      <c r="AU673" s="144" t="s">
        <v>90</v>
      </c>
      <c r="AV673" s="141" t="s">
        <v>87</v>
      </c>
      <c r="AW673" s="141" t="s">
        <v>33</v>
      </c>
      <c r="AX673" s="141" t="s">
        <v>80</v>
      </c>
      <c r="AY673" s="144" t="s">
        <v>337</v>
      </c>
    </row>
    <row r="674" spans="2:65" s="148" customFormat="1" x14ac:dyDescent="0.2">
      <c r="B674" s="149"/>
      <c r="D674" s="143" t="s">
        <v>346</v>
      </c>
      <c r="E674" s="150"/>
      <c r="F674" s="151" t="s">
        <v>251</v>
      </c>
      <c r="H674" s="152">
        <v>56.546999999999997</v>
      </c>
      <c r="L674" s="149"/>
      <c r="M674" s="153"/>
      <c r="T674" s="154"/>
      <c r="AT674" s="150" t="s">
        <v>346</v>
      </c>
      <c r="AU674" s="150" t="s">
        <v>90</v>
      </c>
      <c r="AV674" s="148" t="s">
        <v>90</v>
      </c>
      <c r="AW674" s="148" t="s">
        <v>33</v>
      </c>
      <c r="AX674" s="148" t="s">
        <v>80</v>
      </c>
      <c r="AY674" s="150" t="s">
        <v>337</v>
      </c>
    </row>
    <row r="675" spans="2:65" s="155" customFormat="1" x14ac:dyDescent="0.2">
      <c r="B675" s="156"/>
      <c r="D675" s="143" t="s">
        <v>346</v>
      </c>
      <c r="E675" s="157"/>
      <c r="F675" s="158" t="s">
        <v>351</v>
      </c>
      <c r="H675" s="159">
        <v>573.66999999999996</v>
      </c>
      <c r="L675" s="156"/>
      <c r="M675" s="160"/>
      <c r="T675" s="161"/>
      <c r="AT675" s="157" t="s">
        <v>346</v>
      </c>
      <c r="AU675" s="157" t="s">
        <v>90</v>
      </c>
      <c r="AV675" s="155" t="s">
        <v>344</v>
      </c>
      <c r="AW675" s="155" t="s">
        <v>33</v>
      </c>
      <c r="AX675" s="155" t="s">
        <v>87</v>
      </c>
      <c r="AY675" s="157" t="s">
        <v>337</v>
      </c>
    </row>
    <row r="676" spans="2:65" s="16" customFormat="1" ht="16.5" customHeight="1" x14ac:dyDescent="0.2">
      <c r="B676" s="17"/>
      <c r="C676" s="128">
        <v>60</v>
      </c>
      <c r="D676" s="128" t="s">
        <v>339</v>
      </c>
      <c r="E676" s="129" t="s">
        <v>819</v>
      </c>
      <c r="F676" s="130" t="s">
        <v>820</v>
      </c>
      <c r="G676" s="131" t="s">
        <v>425</v>
      </c>
      <c r="H676" s="132">
        <v>435.21</v>
      </c>
      <c r="I676" s="133"/>
      <c r="J676" s="134">
        <f>ROUND(I676*H676,2)</f>
        <v>0</v>
      </c>
      <c r="K676" s="130" t="s">
        <v>343</v>
      </c>
      <c r="L676" s="17"/>
      <c r="M676" s="135"/>
      <c r="N676" s="136" t="s">
        <v>45</v>
      </c>
      <c r="P676" s="137">
        <f>O676*H676</f>
        <v>0</v>
      </c>
      <c r="Q676" s="137">
        <v>0.11</v>
      </c>
      <c r="R676" s="137">
        <f>Q676*H676</f>
        <v>47.873100000000001</v>
      </c>
      <c r="S676" s="137">
        <v>0</v>
      </c>
      <c r="T676" s="138">
        <f>S676*H676</f>
        <v>0</v>
      </c>
      <c r="AR676" s="139" t="s">
        <v>344</v>
      </c>
      <c r="AT676" s="139" t="s">
        <v>339</v>
      </c>
      <c r="AU676" s="139" t="s">
        <v>90</v>
      </c>
      <c r="AY676" s="2" t="s">
        <v>337</v>
      </c>
      <c r="BE676" s="140">
        <f>IF(N676="základní",J676,0)</f>
        <v>0</v>
      </c>
      <c r="BF676" s="140">
        <f>IF(N676="snížená",J676,0)</f>
        <v>0</v>
      </c>
      <c r="BG676" s="140">
        <f>IF(N676="zákl. přenesená",J676,0)</f>
        <v>0</v>
      </c>
      <c r="BH676" s="140">
        <f>IF(N676="sníž. přenesená",J676,0)</f>
        <v>0</v>
      </c>
      <c r="BI676" s="140">
        <f>IF(N676="nulová",J676,0)</f>
        <v>0</v>
      </c>
      <c r="BJ676" s="2" t="s">
        <v>87</v>
      </c>
      <c r="BK676" s="140">
        <f>ROUND(I676*H676,2)</f>
        <v>0</v>
      </c>
      <c r="BL676" s="2" t="s">
        <v>344</v>
      </c>
      <c r="BM676" s="139" t="s">
        <v>821</v>
      </c>
    </row>
    <row r="677" spans="2:65" s="141" customFormat="1" x14ac:dyDescent="0.2">
      <c r="B677" s="142"/>
      <c r="D677" s="143" t="s">
        <v>346</v>
      </c>
      <c r="E677" s="144"/>
      <c r="F677" s="145" t="s">
        <v>822</v>
      </c>
      <c r="H677" s="144"/>
      <c r="L677" s="142"/>
      <c r="M677" s="146"/>
      <c r="T677" s="147"/>
      <c r="AT677" s="144" t="s">
        <v>346</v>
      </c>
      <c r="AU677" s="144" t="s">
        <v>90</v>
      </c>
      <c r="AV677" s="141" t="s">
        <v>87</v>
      </c>
      <c r="AW677" s="141" t="s">
        <v>33</v>
      </c>
      <c r="AX677" s="141" t="s">
        <v>80</v>
      </c>
      <c r="AY677" s="144" t="s">
        <v>337</v>
      </c>
    </row>
    <row r="678" spans="2:65" s="148" customFormat="1" x14ac:dyDescent="0.2">
      <c r="B678" s="149"/>
      <c r="D678" s="143" t="s">
        <v>346</v>
      </c>
      <c r="E678" s="150"/>
      <c r="F678" s="151" t="s">
        <v>255</v>
      </c>
      <c r="H678" s="152">
        <v>406.21499999999997</v>
      </c>
      <c r="L678" s="149"/>
      <c r="M678" s="153"/>
      <c r="T678" s="154"/>
      <c r="AT678" s="150" t="s">
        <v>346</v>
      </c>
      <c r="AU678" s="150" t="s">
        <v>90</v>
      </c>
      <c r="AV678" s="148" t="s">
        <v>90</v>
      </c>
      <c r="AW678" s="148" t="s">
        <v>33</v>
      </c>
      <c r="AX678" s="148" t="s">
        <v>80</v>
      </c>
      <c r="AY678" s="150" t="s">
        <v>337</v>
      </c>
    </row>
    <row r="679" spans="2:65" s="148" customFormat="1" x14ac:dyDescent="0.2">
      <c r="B679" s="149"/>
      <c r="D679" s="143" t="s">
        <v>346</v>
      </c>
      <c r="E679" s="150"/>
      <c r="F679" s="151" t="s">
        <v>259</v>
      </c>
      <c r="H679" s="152">
        <v>4.37</v>
      </c>
      <c r="L679" s="149"/>
      <c r="M679" s="153"/>
      <c r="T679" s="154"/>
      <c r="AT679" s="150" t="s">
        <v>346</v>
      </c>
      <c r="AU679" s="150" t="s">
        <v>90</v>
      </c>
      <c r="AV679" s="148" t="s">
        <v>90</v>
      </c>
      <c r="AW679" s="148" t="s">
        <v>33</v>
      </c>
      <c r="AX679" s="148" t="s">
        <v>80</v>
      </c>
      <c r="AY679" s="150" t="s">
        <v>337</v>
      </c>
    </row>
    <row r="680" spans="2:65" s="141" customFormat="1" x14ac:dyDescent="0.2">
      <c r="B680" s="142"/>
      <c r="D680" s="143" t="s">
        <v>346</v>
      </c>
      <c r="E680" s="144"/>
      <c r="F680" s="145" t="s">
        <v>823</v>
      </c>
      <c r="H680" s="144"/>
      <c r="L680" s="142"/>
      <c r="M680" s="146"/>
      <c r="T680" s="147"/>
      <c r="AT680" s="144" t="s">
        <v>346</v>
      </c>
      <c r="AU680" s="144" t="s">
        <v>90</v>
      </c>
      <c r="AV680" s="141" t="s">
        <v>87</v>
      </c>
      <c r="AW680" s="141" t="s">
        <v>33</v>
      </c>
      <c r="AX680" s="141" t="s">
        <v>80</v>
      </c>
      <c r="AY680" s="144" t="s">
        <v>337</v>
      </c>
    </row>
    <row r="681" spans="2:65" s="148" customFormat="1" x14ac:dyDescent="0.2">
      <c r="B681" s="149"/>
      <c r="D681" s="143" t="s">
        <v>346</v>
      </c>
      <c r="E681" s="150"/>
      <c r="F681" s="151" t="s">
        <v>257</v>
      </c>
      <c r="H681" s="152">
        <v>24.625</v>
      </c>
      <c r="L681" s="149"/>
      <c r="M681" s="153"/>
      <c r="T681" s="154"/>
      <c r="AT681" s="150" t="s">
        <v>346</v>
      </c>
      <c r="AU681" s="150" t="s">
        <v>90</v>
      </c>
      <c r="AV681" s="148" t="s">
        <v>90</v>
      </c>
      <c r="AW681" s="148" t="s">
        <v>33</v>
      </c>
      <c r="AX681" s="148" t="s">
        <v>80</v>
      </c>
      <c r="AY681" s="150" t="s">
        <v>337</v>
      </c>
    </row>
    <row r="682" spans="2:65" s="155" customFormat="1" x14ac:dyDescent="0.2">
      <c r="B682" s="156"/>
      <c r="D682" s="143" t="s">
        <v>346</v>
      </c>
      <c r="E682" s="157"/>
      <c r="F682" s="158" t="s">
        <v>351</v>
      </c>
      <c r="H682" s="159">
        <v>435.21</v>
      </c>
      <c r="L682" s="156"/>
      <c r="M682" s="160"/>
      <c r="T682" s="161"/>
      <c r="AT682" s="157" t="s">
        <v>346</v>
      </c>
      <c r="AU682" s="157" t="s">
        <v>90</v>
      </c>
      <c r="AV682" s="155" t="s">
        <v>344</v>
      </c>
      <c r="AW682" s="155" t="s">
        <v>33</v>
      </c>
      <c r="AX682" s="155" t="s">
        <v>87</v>
      </c>
      <c r="AY682" s="157" t="s">
        <v>337</v>
      </c>
    </row>
    <row r="683" spans="2:65" s="16" customFormat="1" ht="16.5" customHeight="1" x14ac:dyDescent="0.2">
      <c r="B683" s="17"/>
      <c r="C683" s="128">
        <v>61</v>
      </c>
      <c r="D683" s="128" t="s">
        <v>339</v>
      </c>
      <c r="E683" s="129" t="s">
        <v>824</v>
      </c>
      <c r="F683" s="130" t="s">
        <v>825</v>
      </c>
      <c r="G683" s="131" t="s">
        <v>425</v>
      </c>
      <c r="H683" s="132">
        <v>221.625</v>
      </c>
      <c r="I683" s="133"/>
      <c r="J683" s="134">
        <f>ROUND(I683*H683,2)</f>
        <v>0</v>
      </c>
      <c r="K683" s="130" t="s">
        <v>343</v>
      </c>
      <c r="L683" s="17"/>
      <c r="M683" s="135"/>
      <c r="N683" s="136" t="s">
        <v>45</v>
      </c>
      <c r="P683" s="137">
        <f>O683*H683</f>
        <v>0</v>
      </c>
      <c r="Q683" s="137">
        <v>1.0999999999999999E-2</v>
      </c>
      <c r="R683" s="137">
        <f>Q683*H683</f>
        <v>2.437875</v>
      </c>
      <c r="S683" s="137">
        <v>0</v>
      </c>
      <c r="T683" s="138">
        <f>S683*H683</f>
        <v>0</v>
      </c>
      <c r="AR683" s="139" t="s">
        <v>344</v>
      </c>
      <c r="AT683" s="139" t="s">
        <v>339</v>
      </c>
      <c r="AU683" s="139" t="s">
        <v>90</v>
      </c>
      <c r="AY683" s="2" t="s">
        <v>337</v>
      </c>
      <c r="BE683" s="140">
        <f>IF(N683="základní",J683,0)</f>
        <v>0</v>
      </c>
      <c r="BF683" s="140">
        <f>IF(N683="snížená",J683,0)</f>
        <v>0</v>
      </c>
      <c r="BG683" s="140">
        <f>IF(N683="zákl. přenesená",J683,0)</f>
        <v>0</v>
      </c>
      <c r="BH683" s="140">
        <f>IF(N683="sníž. přenesená",J683,0)</f>
        <v>0</v>
      </c>
      <c r="BI683" s="140">
        <f>IF(N683="nulová",J683,0)</f>
        <v>0</v>
      </c>
      <c r="BJ683" s="2" t="s">
        <v>87</v>
      </c>
      <c r="BK683" s="140">
        <f>ROUND(I683*H683,2)</f>
        <v>0</v>
      </c>
      <c r="BL683" s="2" t="s">
        <v>344</v>
      </c>
      <c r="BM683" s="139" t="s">
        <v>826</v>
      </c>
    </row>
    <row r="684" spans="2:65" s="141" customFormat="1" x14ac:dyDescent="0.2">
      <c r="B684" s="142"/>
      <c r="D684" s="143" t="s">
        <v>346</v>
      </c>
      <c r="E684" s="144"/>
      <c r="F684" s="145" t="s">
        <v>827</v>
      </c>
      <c r="H684" s="144"/>
      <c r="L684" s="142"/>
      <c r="M684" s="146"/>
      <c r="T684" s="147"/>
      <c r="AT684" s="144" t="s">
        <v>346</v>
      </c>
      <c r="AU684" s="144" t="s">
        <v>90</v>
      </c>
      <c r="AV684" s="141" t="s">
        <v>87</v>
      </c>
      <c r="AW684" s="141" t="s">
        <v>33</v>
      </c>
      <c r="AX684" s="141" t="s">
        <v>80</v>
      </c>
      <c r="AY684" s="144" t="s">
        <v>337</v>
      </c>
    </row>
    <row r="685" spans="2:65" s="148" customFormat="1" x14ac:dyDescent="0.2">
      <c r="B685" s="149"/>
      <c r="D685" s="143" t="s">
        <v>346</v>
      </c>
      <c r="E685" s="150"/>
      <c r="F685" s="151" t="s">
        <v>828</v>
      </c>
      <c r="H685" s="152">
        <v>221.625</v>
      </c>
      <c r="L685" s="149"/>
      <c r="M685" s="153"/>
      <c r="T685" s="154"/>
      <c r="AT685" s="150" t="s">
        <v>346</v>
      </c>
      <c r="AU685" s="150" t="s">
        <v>90</v>
      </c>
      <c r="AV685" s="148" t="s">
        <v>90</v>
      </c>
      <c r="AW685" s="148" t="s">
        <v>33</v>
      </c>
      <c r="AX685" s="148" t="s">
        <v>87</v>
      </c>
      <c r="AY685" s="150" t="s">
        <v>337</v>
      </c>
    </row>
    <row r="686" spans="2:65" s="16" customFormat="1" ht="16.5" customHeight="1" x14ac:dyDescent="0.2">
      <c r="B686" s="17"/>
      <c r="C686" s="128">
        <v>62</v>
      </c>
      <c r="D686" s="128" t="s">
        <v>339</v>
      </c>
      <c r="E686" s="129" t="s">
        <v>830</v>
      </c>
      <c r="F686" s="130" t="s">
        <v>831</v>
      </c>
      <c r="G686" s="131" t="s">
        <v>425</v>
      </c>
      <c r="H686" s="132">
        <v>58.192999999999998</v>
      </c>
      <c r="I686" s="133"/>
      <c r="J686" s="134">
        <f>ROUND(I686*H686,2)</f>
        <v>0</v>
      </c>
      <c r="K686" s="130" t="s">
        <v>343</v>
      </c>
      <c r="L686" s="17"/>
      <c r="M686" s="135"/>
      <c r="N686" s="136" t="s">
        <v>45</v>
      </c>
      <c r="P686" s="137">
        <f>O686*H686</f>
        <v>0</v>
      </c>
      <c r="Q686" s="137">
        <v>9.3359999999999999E-2</v>
      </c>
      <c r="R686" s="137">
        <f>Q686*H686</f>
        <v>5.4328984799999995</v>
      </c>
      <c r="S686" s="137">
        <v>0</v>
      </c>
      <c r="T686" s="138">
        <f>S686*H686</f>
        <v>0</v>
      </c>
      <c r="AR686" s="139" t="s">
        <v>344</v>
      </c>
      <c r="AT686" s="139" t="s">
        <v>339</v>
      </c>
      <c r="AU686" s="139" t="s">
        <v>90</v>
      </c>
      <c r="AY686" s="2" t="s">
        <v>337</v>
      </c>
      <c r="BE686" s="140">
        <f>IF(N686="základní",J686,0)</f>
        <v>0</v>
      </c>
      <c r="BF686" s="140">
        <f>IF(N686="snížená",J686,0)</f>
        <v>0</v>
      </c>
      <c r="BG686" s="140">
        <f>IF(N686="zákl. přenesená",J686,0)</f>
        <v>0</v>
      </c>
      <c r="BH686" s="140">
        <f>IF(N686="sníž. přenesená",J686,0)</f>
        <v>0</v>
      </c>
      <c r="BI686" s="140">
        <f>IF(N686="nulová",J686,0)</f>
        <v>0</v>
      </c>
      <c r="BJ686" s="2" t="s">
        <v>87</v>
      </c>
      <c r="BK686" s="140">
        <f>ROUND(I686*H686,2)</f>
        <v>0</v>
      </c>
      <c r="BL686" s="2" t="s">
        <v>344</v>
      </c>
      <c r="BM686" s="139" t="s">
        <v>832</v>
      </c>
    </row>
    <row r="687" spans="2:65" s="141" customFormat="1" x14ac:dyDescent="0.2">
      <c r="B687" s="142"/>
      <c r="D687" s="143" t="s">
        <v>346</v>
      </c>
      <c r="E687" s="144"/>
      <c r="F687" s="145" t="s">
        <v>833</v>
      </c>
      <c r="H687" s="144"/>
      <c r="L687" s="142"/>
      <c r="M687" s="146"/>
      <c r="T687" s="147"/>
      <c r="AT687" s="144" t="s">
        <v>346</v>
      </c>
      <c r="AU687" s="144" t="s">
        <v>90</v>
      </c>
      <c r="AV687" s="141" t="s">
        <v>87</v>
      </c>
      <c r="AW687" s="141" t="s">
        <v>33</v>
      </c>
      <c r="AX687" s="141" t="s">
        <v>80</v>
      </c>
      <c r="AY687" s="144" t="s">
        <v>337</v>
      </c>
    </row>
    <row r="688" spans="2:65" s="141" customFormat="1" x14ac:dyDescent="0.2">
      <c r="B688" s="142"/>
      <c r="D688" s="143" t="s">
        <v>346</v>
      </c>
      <c r="E688" s="144"/>
      <c r="F688" s="145" t="s">
        <v>834</v>
      </c>
      <c r="H688" s="144"/>
      <c r="L688" s="142"/>
      <c r="M688" s="146"/>
      <c r="T688" s="147"/>
      <c r="AT688" s="144" t="s">
        <v>346</v>
      </c>
      <c r="AU688" s="144" t="s">
        <v>90</v>
      </c>
      <c r="AV688" s="141" t="s">
        <v>87</v>
      </c>
      <c r="AW688" s="141" t="s">
        <v>33</v>
      </c>
      <c r="AX688" s="141" t="s">
        <v>80</v>
      </c>
      <c r="AY688" s="144" t="s">
        <v>337</v>
      </c>
    </row>
    <row r="689" spans="2:65" s="141" customFormat="1" x14ac:dyDescent="0.2">
      <c r="B689" s="142"/>
      <c r="D689" s="143" t="s">
        <v>346</v>
      </c>
      <c r="E689" s="144"/>
      <c r="F689" s="145" t="s">
        <v>835</v>
      </c>
      <c r="H689" s="144"/>
      <c r="L689" s="142"/>
      <c r="M689" s="146"/>
      <c r="T689" s="147"/>
      <c r="AT689" s="144" t="s">
        <v>346</v>
      </c>
      <c r="AU689" s="144" t="s">
        <v>90</v>
      </c>
      <c r="AV689" s="141" t="s">
        <v>87</v>
      </c>
      <c r="AW689" s="141" t="s">
        <v>33</v>
      </c>
      <c r="AX689" s="141" t="s">
        <v>80</v>
      </c>
      <c r="AY689" s="144" t="s">
        <v>337</v>
      </c>
    </row>
    <row r="690" spans="2:65" s="148" customFormat="1" x14ac:dyDescent="0.2">
      <c r="B690" s="149"/>
      <c r="D690" s="143" t="s">
        <v>346</v>
      </c>
      <c r="E690" s="150"/>
      <c r="F690" s="151" t="s">
        <v>836</v>
      </c>
      <c r="H690" s="152">
        <v>58.192999999999998</v>
      </c>
      <c r="L690" s="149"/>
      <c r="M690" s="153"/>
      <c r="T690" s="154"/>
      <c r="AT690" s="150" t="s">
        <v>346</v>
      </c>
      <c r="AU690" s="150" t="s">
        <v>90</v>
      </c>
      <c r="AV690" s="148" t="s">
        <v>90</v>
      </c>
      <c r="AW690" s="148" t="s">
        <v>33</v>
      </c>
      <c r="AX690" s="148" t="s">
        <v>87</v>
      </c>
      <c r="AY690" s="150" t="s">
        <v>337</v>
      </c>
    </row>
    <row r="691" spans="2:65" s="16" customFormat="1" ht="16.5" customHeight="1" x14ac:dyDescent="0.2">
      <c r="B691" s="17"/>
      <c r="C691" s="128">
        <v>63</v>
      </c>
      <c r="D691" s="128" t="s">
        <v>339</v>
      </c>
      <c r="E691" s="129" t="s">
        <v>837</v>
      </c>
      <c r="F691" s="130" t="s">
        <v>838</v>
      </c>
      <c r="G691" s="131" t="s">
        <v>425</v>
      </c>
      <c r="H691" s="132">
        <v>3174.8760000000002</v>
      </c>
      <c r="I691" s="133"/>
      <c r="J691" s="134">
        <f>ROUND(I691*H691,2)</f>
        <v>0</v>
      </c>
      <c r="K691" s="130" t="s">
        <v>343</v>
      </c>
      <c r="L691" s="17"/>
      <c r="M691" s="135"/>
      <c r="N691" s="136" t="s">
        <v>45</v>
      </c>
      <c r="P691" s="137">
        <f>O691*H691</f>
        <v>0</v>
      </c>
      <c r="Q691" s="137">
        <v>1.2999999999999999E-4</v>
      </c>
      <c r="R691" s="137">
        <f>Q691*H691</f>
        <v>0.41273388</v>
      </c>
      <c r="S691" s="137">
        <v>0</v>
      </c>
      <c r="T691" s="138">
        <f>S691*H691</f>
        <v>0</v>
      </c>
      <c r="AR691" s="139" t="s">
        <v>344</v>
      </c>
      <c r="AT691" s="139" t="s">
        <v>339</v>
      </c>
      <c r="AU691" s="139" t="s">
        <v>90</v>
      </c>
      <c r="AY691" s="2" t="s">
        <v>337</v>
      </c>
      <c r="BE691" s="140">
        <f>IF(N691="základní",J691,0)</f>
        <v>0</v>
      </c>
      <c r="BF691" s="140">
        <f>IF(N691="snížená",J691,0)</f>
        <v>0</v>
      </c>
      <c r="BG691" s="140">
        <f>IF(N691="zákl. přenesená",J691,0)</f>
        <v>0</v>
      </c>
      <c r="BH691" s="140">
        <f>IF(N691="sníž. přenesená",J691,0)</f>
        <v>0</v>
      </c>
      <c r="BI691" s="140">
        <f>IF(N691="nulová",J691,0)</f>
        <v>0</v>
      </c>
      <c r="BJ691" s="2" t="s">
        <v>87</v>
      </c>
      <c r="BK691" s="140">
        <f>ROUND(I691*H691,2)</f>
        <v>0</v>
      </c>
      <c r="BL691" s="2" t="s">
        <v>344</v>
      </c>
      <c r="BM691" s="139" t="s">
        <v>839</v>
      </c>
    </row>
    <row r="692" spans="2:65" s="141" customFormat="1" x14ac:dyDescent="0.2">
      <c r="B692" s="142"/>
      <c r="D692" s="143" t="s">
        <v>346</v>
      </c>
      <c r="E692" s="144"/>
      <c r="F692" s="145" t="s">
        <v>840</v>
      </c>
      <c r="H692" s="144"/>
      <c r="L692" s="142"/>
      <c r="M692" s="146"/>
      <c r="T692" s="147"/>
      <c r="AT692" s="144" t="s">
        <v>346</v>
      </c>
      <c r="AU692" s="144" t="s">
        <v>90</v>
      </c>
      <c r="AV692" s="141" t="s">
        <v>87</v>
      </c>
      <c r="AW692" s="141" t="s">
        <v>33</v>
      </c>
      <c r="AX692" s="141" t="s">
        <v>80</v>
      </c>
      <c r="AY692" s="144" t="s">
        <v>337</v>
      </c>
    </row>
    <row r="693" spans="2:65" s="148" customFormat="1" x14ac:dyDescent="0.2">
      <c r="B693" s="149"/>
      <c r="D693" s="143" t="s">
        <v>346</v>
      </c>
      <c r="E693" s="150"/>
      <c r="F693" s="151" t="s">
        <v>841</v>
      </c>
      <c r="H693" s="152">
        <v>1351.76</v>
      </c>
      <c r="L693" s="149"/>
      <c r="M693" s="153"/>
      <c r="T693" s="154"/>
      <c r="AT693" s="150" t="s">
        <v>346</v>
      </c>
      <c r="AU693" s="150" t="s">
        <v>90</v>
      </c>
      <c r="AV693" s="148" t="s">
        <v>90</v>
      </c>
      <c r="AW693" s="148" t="s">
        <v>33</v>
      </c>
      <c r="AX693" s="148" t="s">
        <v>80</v>
      </c>
      <c r="AY693" s="150" t="s">
        <v>337</v>
      </c>
    </row>
    <row r="694" spans="2:65" s="148" customFormat="1" x14ac:dyDescent="0.2">
      <c r="B694" s="149"/>
      <c r="D694" s="143" t="s">
        <v>346</v>
      </c>
      <c r="E694" s="150"/>
      <c r="F694" s="151" t="s">
        <v>842</v>
      </c>
      <c r="H694" s="152">
        <v>268.52</v>
      </c>
      <c r="L694" s="149"/>
      <c r="M694" s="153"/>
      <c r="T694" s="154"/>
      <c r="AT694" s="150" t="s">
        <v>346</v>
      </c>
      <c r="AU694" s="150" t="s">
        <v>90</v>
      </c>
      <c r="AV694" s="148" t="s">
        <v>90</v>
      </c>
      <c r="AW694" s="148" t="s">
        <v>33</v>
      </c>
      <c r="AX694" s="148" t="s">
        <v>80</v>
      </c>
      <c r="AY694" s="150" t="s">
        <v>337</v>
      </c>
    </row>
    <row r="695" spans="2:65" s="148" customFormat="1" x14ac:dyDescent="0.2">
      <c r="B695" s="149"/>
      <c r="D695" s="143" t="s">
        <v>346</v>
      </c>
      <c r="E695" s="150"/>
      <c r="F695" s="151" t="s">
        <v>843</v>
      </c>
      <c r="H695" s="152">
        <v>59.374000000000002</v>
      </c>
      <c r="L695" s="149"/>
      <c r="M695" s="153"/>
      <c r="T695" s="154"/>
      <c r="AT695" s="150" t="s">
        <v>346</v>
      </c>
      <c r="AU695" s="150" t="s">
        <v>90</v>
      </c>
      <c r="AV695" s="148" t="s">
        <v>90</v>
      </c>
      <c r="AW695" s="148" t="s">
        <v>33</v>
      </c>
      <c r="AX695" s="148" t="s">
        <v>80</v>
      </c>
      <c r="AY695" s="150" t="s">
        <v>337</v>
      </c>
    </row>
    <row r="696" spans="2:65" s="148" customFormat="1" x14ac:dyDescent="0.2">
      <c r="B696" s="149"/>
      <c r="D696" s="143" t="s">
        <v>346</v>
      </c>
      <c r="E696" s="150"/>
      <c r="F696" s="151" t="s">
        <v>844</v>
      </c>
      <c r="H696" s="152">
        <v>552.78300000000002</v>
      </c>
      <c r="L696" s="149"/>
      <c r="M696" s="153"/>
      <c r="T696" s="154"/>
      <c r="AT696" s="150" t="s">
        <v>346</v>
      </c>
      <c r="AU696" s="150" t="s">
        <v>90</v>
      </c>
      <c r="AV696" s="148" t="s">
        <v>90</v>
      </c>
      <c r="AW696" s="148" t="s">
        <v>33</v>
      </c>
      <c r="AX696" s="148" t="s">
        <v>80</v>
      </c>
      <c r="AY696" s="150" t="s">
        <v>337</v>
      </c>
    </row>
    <row r="697" spans="2:65" s="148" customFormat="1" x14ac:dyDescent="0.2">
      <c r="B697" s="149"/>
      <c r="D697" s="143" t="s">
        <v>346</v>
      </c>
      <c r="E697" s="150"/>
      <c r="F697" s="151" t="s">
        <v>845</v>
      </c>
      <c r="H697" s="152">
        <v>426.52600000000001</v>
      </c>
      <c r="L697" s="149"/>
      <c r="M697" s="153"/>
      <c r="T697" s="154"/>
      <c r="AT697" s="150" t="s">
        <v>346</v>
      </c>
      <c r="AU697" s="150" t="s">
        <v>90</v>
      </c>
      <c r="AV697" s="148" t="s">
        <v>90</v>
      </c>
      <c r="AW697" s="148" t="s">
        <v>33</v>
      </c>
      <c r="AX697" s="148" t="s">
        <v>80</v>
      </c>
      <c r="AY697" s="150" t="s">
        <v>337</v>
      </c>
    </row>
    <row r="698" spans="2:65" s="148" customFormat="1" x14ac:dyDescent="0.2">
      <c r="B698" s="149"/>
      <c r="D698" s="143" t="s">
        <v>346</v>
      </c>
      <c r="E698" s="150"/>
      <c r="F698" s="151" t="s">
        <v>846</v>
      </c>
      <c r="H698" s="152">
        <v>25.856000000000002</v>
      </c>
      <c r="L698" s="149"/>
      <c r="M698" s="153"/>
      <c r="T698" s="154"/>
      <c r="AT698" s="150" t="s">
        <v>346</v>
      </c>
      <c r="AU698" s="150" t="s">
        <v>90</v>
      </c>
      <c r="AV698" s="148" t="s">
        <v>90</v>
      </c>
      <c r="AW698" s="148" t="s">
        <v>33</v>
      </c>
      <c r="AX698" s="148" t="s">
        <v>80</v>
      </c>
      <c r="AY698" s="150" t="s">
        <v>337</v>
      </c>
    </row>
    <row r="699" spans="2:65" s="148" customFormat="1" x14ac:dyDescent="0.2">
      <c r="B699" s="149"/>
      <c r="D699" s="143" t="s">
        <v>346</v>
      </c>
      <c r="E699" s="150"/>
      <c r="F699" s="151" t="s">
        <v>847</v>
      </c>
      <c r="H699" s="152">
        <v>4.5890000000000004</v>
      </c>
      <c r="L699" s="149"/>
      <c r="M699" s="153"/>
      <c r="T699" s="154"/>
      <c r="AT699" s="150" t="s">
        <v>346</v>
      </c>
      <c r="AU699" s="150" t="s">
        <v>90</v>
      </c>
      <c r="AV699" s="148" t="s">
        <v>90</v>
      </c>
      <c r="AW699" s="148" t="s">
        <v>33</v>
      </c>
      <c r="AX699" s="148" t="s">
        <v>80</v>
      </c>
      <c r="AY699" s="150" t="s">
        <v>337</v>
      </c>
    </row>
    <row r="700" spans="2:65" s="148" customFormat="1" x14ac:dyDescent="0.2">
      <c r="B700" s="149"/>
      <c r="D700" s="143" t="s">
        <v>346</v>
      </c>
      <c r="E700" s="150"/>
      <c r="F700" s="151" t="s">
        <v>848</v>
      </c>
      <c r="H700" s="152">
        <v>274.45999999999998</v>
      </c>
      <c r="L700" s="149"/>
      <c r="M700" s="153"/>
      <c r="T700" s="154"/>
      <c r="AT700" s="150" t="s">
        <v>346</v>
      </c>
      <c r="AU700" s="150" t="s">
        <v>90</v>
      </c>
      <c r="AV700" s="148" t="s">
        <v>90</v>
      </c>
      <c r="AW700" s="148" t="s">
        <v>33</v>
      </c>
      <c r="AX700" s="148" t="s">
        <v>80</v>
      </c>
      <c r="AY700" s="150" t="s">
        <v>337</v>
      </c>
    </row>
    <row r="701" spans="2:65" s="148" customFormat="1" x14ac:dyDescent="0.2">
      <c r="B701" s="149"/>
      <c r="D701" s="143" t="s">
        <v>346</v>
      </c>
      <c r="E701" s="150"/>
      <c r="F701" s="151" t="s">
        <v>849</v>
      </c>
      <c r="H701" s="152">
        <v>211.00800000000001</v>
      </c>
      <c r="L701" s="149"/>
      <c r="M701" s="153"/>
      <c r="T701" s="154"/>
      <c r="AT701" s="150" t="s">
        <v>346</v>
      </c>
      <c r="AU701" s="150" t="s">
        <v>90</v>
      </c>
      <c r="AV701" s="148" t="s">
        <v>90</v>
      </c>
      <c r="AW701" s="148" t="s">
        <v>33</v>
      </c>
      <c r="AX701" s="148" t="s">
        <v>80</v>
      </c>
      <c r="AY701" s="150" t="s">
        <v>337</v>
      </c>
    </row>
    <row r="702" spans="2:65" s="155" customFormat="1" x14ac:dyDescent="0.2">
      <c r="B702" s="156"/>
      <c r="D702" s="143" t="s">
        <v>346</v>
      </c>
      <c r="E702" s="157"/>
      <c r="F702" s="158" t="s">
        <v>351</v>
      </c>
      <c r="H702" s="159">
        <v>3174.8760000000002</v>
      </c>
      <c r="L702" s="156"/>
      <c r="M702" s="160"/>
      <c r="T702" s="161"/>
      <c r="AT702" s="157" t="s">
        <v>346</v>
      </c>
      <c r="AU702" s="157" t="s">
        <v>90</v>
      </c>
      <c r="AV702" s="155" t="s">
        <v>344</v>
      </c>
      <c r="AW702" s="155" t="s">
        <v>33</v>
      </c>
      <c r="AX702" s="155" t="s">
        <v>87</v>
      </c>
      <c r="AY702" s="157" t="s">
        <v>337</v>
      </c>
    </row>
    <row r="703" spans="2:65" s="16" customFormat="1" ht="16.5" customHeight="1" x14ac:dyDescent="0.2">
      <c r="B703" s="17"/>
      <c r="C703" s="128">
        <v>64</v>
      </c>
      <c r="D703" s="128" t="s">
        <v>339</v>
      </c>
      <c r="E703" s="129" t="s">
        <v>851</v>
      </c>
      <c r="F703" s="130" t="s">
        <v>852</v>
      </c>
      <c r="G703" s="131" t="s">
        <v>425</v>
      </c>
      <c r="H703" s="132">
        <v>546.58299999999997</v>
      </c>
      <c r="I703" s="133"/>
      <c r="J703" s="134">
        <f>ROUND(I703*H703,2)</f>
        <v>0</v>
      </c>
      <c r="K703" s="130" t="s">
        <v>343</v>
      </c>
      <c r="L703" s="17"/>
      <c r="M703" s="135"/>
      <c r="N703" s="136" t="s">
        <v>45</v>
      </c>
      <c r="P703" s="137">
        <f>O703*H703</f>
        <v>0</v>
      </c>
      <c r="Q703" s="137">
        <v>0</v>
      </c>
      <c r="R703" s="137">
        <f>Q703*H703</f>
        <v>0</v>
      </c>
      <c r="S703" s="137">
        <v>0</v>
      </c>
      <c r="T703" s="138">
        <f>S703*H703</f>
        <v>0</v>
      </c>
      <c r="AR703" s="139" t="s">
        <v>344</v>
      </c>
      <c r="AT703" s="139" t="s">
        <v>339</v>
      </c>
      <c r="AU703" s="139" t="s">
        <v>90</v>
      </c>
      <c r="AY703" s="2" t="s">
        <v>337</v>
      </c>
      <c r="BE703" s="140">
        <f>IF(N703="základní",J703,0)</f>
        <v>0</v>
      </c>
      <c r="BF703" s="140">
        <f>IF(N703="snížená",J703,0)</f>
        <v>0</v>
      </c>
      <c r="BG703" s="140">
        <f>IF(N703="zákl. přenesená",J703,0)</f>
        <v>0</v>
      </c>
      <c r="BH703" s="140">
        <f>IF(N703="sníž. přenesená",J703,0)</f>
        <v>0</v>
      </c>
      <c r="BI703" s="140">
        <f>IF(N703="nulová",J703,0)</f>
        <v>0</v>
      </c>
      <c r="BJ703" s="2" t="s">
        <v>87</v>
      </c>
      <c r="BK703" s="140">
        <f>ROUND(I703*H703,2)</f>
        <v>0</v>
      </c>
      <c r="BL703" s="2" t="s">
        <v>344</v>
      </c>
      <c r="BM703" s="139" t="s">
        <v>853</v>
      </c>
    </row>
    <row r="704" spans="2:65" s="141" customFormat="1" x14ac:dyDescent="0.2">
      <c r="B704" s="142"/>
      <c r="D704" s="143" t="s">
        <v>346</v>
      </c>
      <c r="E704" s="144"/>
      <c r="F704" s="145" t="s">
        <v>854</v>
      </c>
      <c r="H704" s="144"/>
      <c r="L704" s="142"/>
      <c r="M704" s="146"/>
      <c r="T704" s="147"/>
      <c r="AT704" s="144" t="s">
        <v>346</v>
      </c>
      <c r="AU704" s="144" t="s">
        <v>90</v>
      </c>
      <c r="AV704" s="141" t="s">
        <v>87</v>
      </c>
      <c r="AW704" s="141" t="s">
        <v>33</v>
      </c>
      <c r="AX704" s="141" t="s">
        <v>80</v>
      </c>
      <c r="AY704" s="144" t="s">
        <v>337</v>
      </c>
    </row>
    <row r="705" spans="2:65" s="148" customFormat="1" x14ac:dyDescent="0.2">
      <c r="B705" s="149"/>
      <c r="D705" s="143" t="s">
        <v>346</v>
      </c>
      <c r="E705" s="150"/>
      <c r="F705" s="151" t="s">
        <v>255</v>
      </c>
      <c r="H705" s="152">
        <v>406.21499999999997</v>
      </c>
      <c r="L705" s="149"/>
      <c r="M705" s="153"/>
      <c r="T705" s="154"/>
      <c r="AT705" s="150" t="s">
        <v>346</v>
      </c>
      <c r="AU705" s="150" t="s">
        <v>90</v>
      </c>
      <c r="AV705" s="148" t="s">
        <v>90</v>
      </c>
      <c r="AW705" s="148" t="s">
        <v>33</v>
      </c>
      <c r="AX705" s="148" t="s">
        <v>80</v>
      </c>
      <c r="AY705" s="150" t="s">
        <v>337</v>
      </c>
    </row>
    <row r="706" spans="2:65" s="148" customFormat="1" x14ac:dyDescent="0.2">
      <c r="B706" s="149"/>
      <c r="D706" s="143" t="s">
        <v>346</v>
      </c>
      <c r="E706" s="150"/>
      <c r="F706" s="151" t="s">
        <v>261</v>
      </c>
      <c r="H706" s="152">
        <v>140.36799999999999</v>
      </c>
      <c r="L706" s="149"/>
      <c r="M706" s="153"/>
      <c r="T706" s="154"/>
      <c r="AT706" s="150" t="s">
        <v>346</v>
      </c>
      <c r="AU706" s="150" t="s">
        <v>90</v>
      </c>
      <c r="AV706" s="148" t="s">
        <v>90</v>
      </c>
      <c r="AW706" s="148" t="s">
        <v>33</v>
      </c>
      <c r="AX706" s="148" t="s">
        <v>80</v>
      </c>
      <c r="AY706" s="150" t="s">
        <v>337</v>
      </c>
    </row>
    <row r="707" spans="2:65" s="155" customFormat="1" x14ac:dyDescent="0.2">
      <c r="B707" s="156"/>
      <c r="D707" s="143" t="s">
        <v>346</v>
      </c>
      <c r="E707" s="157"/>
      <c r="F707" s="158" t="s">
        <v>351</v>
      </c>
      <c r="H707" s="159">
        <v>546.58299999999997</v>
      </c>
      <c r="L707" s="156"/>
      <c r="M707" s="160"/>
      <c r="T707" s="161"/>
      <c r="AT707" s="157" t="s">
        <v>346</v>
      </c>
      <c r="AU707" s="157" t="s">
        <v>90</v>
      </c>
      <c r="AV707" s="155" t="s">
        <v>344</v>
      </c>
      <c r="AW707" s="155" t="s">
        <v>33</v>
      </c>
      <c r="AX707" s="155" t="s">
        <v>87</v>
      </c>
      <c r="AY707" s="157" t="s">
        <v>337</v>
      </c>
    </row>
    <row r="708" spans="2:65" s="16" customFormat="1" ht="16.5" customHeight="1" x14ac:dyDescent="0.2">
      <c r="B708" s="17"/>
      <c r="C708" s="128">
        <v>65</v>
      </c>
      <c r="D708" s="128" t="s">
        <v>339</v>
      </c>
      <c r="E708" s="129" t="s">
        <v>856</v>
      </c>
      <c r="F708" s="130" t="s">
        <v>857</v>
      </c>
      <c r="G708" s="131" t="s">
        <v>425</v>
      </c>
      <c r="H708" s="132">
        <v>546.58299999999997</v>
      </c>
      <c r="I708" s="133"/>
      <c r="J708" s="134">
        <f>ROUND(I708*H708,2)</f>
        <v>0</v>
      </c>
      <c r="K708" s="130" t="s">
        <v>343</v>
      </c>
      <c r="L708" s="17"/>
      <c r="M708" s="135"/>
      <c r="N708" s="136" t="s">
        <v>45</v>
      </c>
      <c r="P708" s="137">
        <f>O708*H708</f>
        <v>0</v>
      </c>
      <c r="Q708" s="137">
        <v>0</v>
      </c>
      <c r="R708" s="137">
        <f>Q708*H708</f>
        <v>0</v>
      </c>
      <c r="S708" s="137">
        <v>0</v>
      </c>
      <c r="T708" s="138">
        <f>S708*H708</f>
        <v>0</v>
      </c>
      <c r="AR708" s="139" t="s">
        <v>344</v>
      </c>
      <c r="AT708" s="139" t="s">
        <v>339</v>
      </c>
      <c r="AU708" s="139" t="s">
        <v>90</v>
      </c>
      <c r="AY708" s="2" t="s">
        <v>337</v>
      </c>
      <c r="BE708" s="140">
        <f>IF(N708="základní",J708,0)</f>
        <v>0</v>
      </c>
      <c r="BF708" s="140">
        <f>IF(N708="snížená",J708,0)</f>
        <v>0</v>
      </c>
      <c r="BG708" s="140">
        <f>IF(N708="zákl. přenesená",J708,0)</f>
        <v>0</v>
      </c>
      <c r="BH708" s="140">
        <f>IF(N708="sníž. přenesená",J708,0)</f>
        <v>0</v>
      </c>
      <c r="BI708" s="140">
        <f>IF(N708="nulová",J708,0)</f>
        <v>0</v>
      </c>
      <c r="BJ708" s="2" t="s">
        <v>87</v>
      </c>
      <c r="BK708" s="140">
        <f>ROUND(I708*H708,2)</f>
        <v>0</v>
      </c>
      <c r="BL708" s="2" t="s">
        <v>344</v>
      </c>
      <c r="BM708" s="139" t="s">
        <v>858</v>
      </c>
    </row>
    <row r="709" spans="2:65" s="141" customFormat="1" x14ac:dyDescent="0.2">
      <c r="B709" s="142"/>
      <c r="D709" s="143" t="s">
        <v>346</v>
      </c>
      <c r="E709" s="144"/>
      <c r="F709" s="145" t="s">
        <v>854</v>
      </c>
      <c r="H709" s="144"/>
      <c r="L709" s="142"/>
      <c r="M709" s="146"/>
      <c r="T709" s="147"/>
      <c r="AT709" s="144" t="s">
        <v>346</v>
      </c>
      <c r="AU709" s="144" t="s">
        <v>90</v>
      </c>
      <c r="AV709" s="141" t="s">
        <v>87</v>
      </c>
      <c r="AW709" s="141" t="s">
        <v>33</v>
      </c>
      <c r="AX709" s="141" t="s">
        <v>80</v>
      </c>
      <c r="AY709" s="144" t="s">
        <v>337</v>
      </c>
    </row>
    <row r="710" spans="2:65" s="148" customFormat="1" x14ac:dyDescent="0.2">
      <c r="B710" s="149"/>
      <c r="D710" s="143" t="s">
        <v>346</v>
      </c>
      <c r="E710" s="150"/>
      <c r="F710" s="151" t="s">
        <v>255</v>
      </c>
      <c r="H710" s="152">
        <v>406.21499999999997</v>
      </c>
      <c r="L710" s="149"/>
      <c r="M710" s="153"/>
      <c r="T710" s="154"/>
      <c r="AT710" s="150" t="s">
        <v>346</v>
      </c>
      <c r="AU710" s="150" t="s">
        <v>90</v>
      </c>
      <c r="AV710" s="148" t="s">
        <v>90</v>
      </c>
      <c r="AW710" s="148" t="s">
        <v>33</v>
      </c>
      <c r="AX710" s="148" t="s">
        <v>80</v>
      </c>
      <c r="AY710" s="150" t="s">
        <v>337</v>
      </c>
    </row>
    <row r="711" spans="2:65" s="148" customFormat="1" x14ac:dyDescent="0.2">
      <c r="B711" s="149"/>
      <c r="D711" s="143" t="s">
        <v>346</v>
      </c>
      <c r="E711" s="150"/>
      <c r="F711" s="151" t="s">
        <v>261</v>
      </c>
      <c r="H711" s="152">
        <v>140.36799999999999</v>
      </c>
      <c r="L711" s="149"/>
      <c r="M711" s="153"/>
      <c r="T711" s="154"/>
      <c r="AT711" s="150" t="s">
        <v>346</v>
      </c>
      <c r="AU711" s="150" t="s">
        <v>90</v>
      </c>
      <c r="AV711" s="148" t="s">
        <v>90</v>
      </c>
      <c r="AW711" s="148" t="s">
        <v>33</v>
      </c>
      <c r="AX711" s="148" t="s">
        <v>80</v>
      </c>
      <c r="AY711" s="150" t="s">
        <v>337</v>
      </c>
    </row>
    <row r="712" spans="2:65" s="155" customFormat="1" x14ac:dyDescent="0.2">
      <c r="B712" s="156"/>
      <c r="D712" s="143" t="s">
        <v>346</v>
      </c>
      <c r="E712" s="157"/>
      <c r="F712" s="158" t="s">
        <v>351</v>
      </c>
      <c r="H712" s="159">
        <v>546.58299999999997</v>
      </c>
      <c r="L712" s="156"/>
      <c r="M712" s="160"/>
      <c r="T712" s="161"/>
      <c r="AT712" s="157" t="s">
        <v>346</v>
      </c>
      <c r="AU712" s="157" t="s">
        <v>90</v>
      </c>
      <c r="AV712" s="155" t="s">
        <v>344</v>
      </c>
      <c r="AW712" s="155" t="s">
        <v>33</v>
      </c>
      <c r="AX712" s="155" t="s">
        <v>87</v>
      </c>
      <c r="AY712" s="157" t="s">
        <v>337</v>
      </c>
    </row>
    <row r="713" spans="2:65" s="16" customFormat="1" ht="16.5" customHeight="1" x14ac:dyDescent="0.2">
      <c r="B713" s="17"/>
      <c r="C713" s="128">
        <v>66</v>
      </c>
      <c r="D713" s="128" t="s">
        <v>339</v>
      </c>
      <c r="E713" s="129" t="s">
        <v>859</v>
      </c>
      <c r="F713" s="130" t="s">
        <v>860</v>
      </c>
      <c r="G713" s="131" t="s">
        <v>724</v>
      </c>
      <c r="H713" s="132">
        <v>150</v>
      </c>
      <c r="I713" s="133"/>
      <c r="J713" s="134">
        <f>ROUND(I713*H713,2)</f>
        <v>0</v>
      </c>
      <c r="K713" s="130" t="s">
        <v>343</v>
      </c>
      <c r="L713" s="17"/>
      <c r="M713" s="135"/>
      <c r="N713" s="136" t="s">
        <v>45</v>
      </c>
      <c r="P713" s="137">
        <f>O713*H713</f>
        <v>0</v>
      </c>
      <c r="Q713" s="137">
        <v>5.0000000000000002E-5</v>
      </c>
      <c r="R713" s="137">
        <f>Q713*H713</f>
        <v>7.5000000000000006E-3</v>
      </c>
      <c r="S713" s="137">
        <v>0</v>
      </c>
      <c r="T713" s="138">
        <f>S713*H713</f>
        <v>0</v>
      </c>
      <c r="AR713" s="139" t="s">
        <v>344</v>
      </c>
      <c r="AT713" s="139" t="s">
        <v>339</v>
      </c>
      <c r="AU713" s="139" t="s">
        <v>90</v>
      </c>
      <c r="AY713" s="2" t="s">
        <v>337</v>
      </c>
      <c r="BE713" s="140">
        <f>IF(N713="základní",J713,0)</f>
        <v>0</v>
      </c>
      <c r="BF713" s="140">
        <f>IF(N713="snížená",J713,0)</f>
        <v>0</v>
      </c>
      <c r="BG713" s="140">
        <f>IF(N713="zákl. přenesená",J713,0)</f>
        <v>0</v>
      </c>
      <c r="BH713" s="140">
        <f>IF(N713="sníž. přenesená",J713,0)</f>
        <v>0</v>
      </c>
      <c r="BI713" s="140">
        <f>IF(N713="nulová",J713,0)</f>
        <v>0</v>
      </c>
      <c r="BJ713" s="2" t="s">
        <v>87</v>
      </c>
      <c r="BK713" s="140">
        <f>ROUND(I713*H713,2)</f>
        <v>0</v>
      </c>
      <c r="BL713" s="2" t="s">
        <v>344</v>
      </c>
      <c r="BM713" s="139" t="s">
        <v>861</v>
      </c>
    </row>
    <row r="714" spans="2:65" s="141" customFormat="1" x14ac:dyDescent="0.2">
      <c r="B714" s="142"/>
      <c r="D714" s="143" t="s">
        <v>346</v>
      </c>
      <c r="E714" s="144"/>
      <c r="F714" s="145" t="s">
        <v>862</v>
      </c>
      <c r="H714" s="144"/>
      <c r="L714" s="142"/>
      <c r="M714" s="146"/>
      <c r="T714" s="147"/>
      <c r="AT714" s="144" t="s">
        <v>346</v>
      </c>
      <c r="AU714" s="144" t="s">
        <v>90</v>
      </c>
      <c r="AV714" s="141" t="s">
        <v>87</v>
      </c>
      <c r="AW714" s="141" t="s">
        <v>33</v>
      </c>
      <c r="AX714" s="141" t="s">
        <v>80</v>
      </c>
      <c r="AY714" s="144" t="s">
        <v>337</v>
      </c>
    </row>
    <row r="715" spans="2:65" s="148" customFormat="1" x14ac:dyDescent="0.2">
      <c r="B715" s="149"/>
      <c r="D715" s="143" t="s">
        <v>346</v>
      </c>
      <c r="E715" s="150"/>
      <c r="F715" s="151" t="s">
        <v>747</v>
      </c>
      <c r="H715" s="152">
        <v>150</v>
      </c>
      <c r="L715" s="149"/>
      <c r="M715" s="153"/>
      <c r="T715" s="154"/>
      <c r="AT715" s="150" t="s">
        <v>346</v>
      </c>
      <c r="AU715" s="150" t="s">
        <v>90</v>
      </c>
      <c r="AV715" s="148" t="s">
        <v>90</v>
      </c>
      <c r="AW715" s="148" t="s">
        <v>33</v>
      </c>
      <c r="AX715" s="148" t="s">
        <v>87</v>
      </c>
      <c r="AY715" s="150" t="s">
        <v>337</v>
      </c>
    </row>
    <row r="716" spans="2:65" s="16" customFormat="1" ht="16.5" customHeight="1" x14ac:dyDescent="0.2">
      <c r="B716" s="17"/>
      <c r="C716" s="128">
        <v>67</v>
      </c>
      <c r="D716" s="128" t="s">
        <v>339</v>
      </c>
      <c r="E716" s="129" t="s">
        <v>864</v>
      </c>
      <c r="F716" s="130" t="s">
        <v>865</v>
      </c>
      <c r="G716" s="131" t="s">
        <v>425</v>
      </c>
      <c r="H716" s="132">
        <v>70.16</v>
      </c>
      <c r="I716" s="133"/>
      <c r="J716" s="134">
        <f>ROUND(I716*H716,2)</f>
        <v>0</v>
      </c>
      <c r="K716" s="130"/>
      <c r="L716" s="17"/>
      <c r="M716" s="135"/>
      <c r="N716" s="136" t="s">
        <v>45</v>
      </c>
      <c r="P716" s="137">
        <f>O716*H716</f>
        <v>0</v>
      </c>
      <c r="Q716" s="137">
        <v>9.9799999999999993E-3</v>
      </c>
      <c r="R716" s="137">
        <f>Q716*H716</f>
        <v>0.70019679999999995</v>
      </c>
      <c r="S716" s="137">
        <v>0</v>
      </c>
      <c r="T716" s="138">
        <f>S716*H716</f>
        <v>0</v>
      </c>
      <c r="AR716" s="139" t="s">
        <v>344</v>
      </c>
      <c r="AT716" s="139" t="s">
        <v>339</v>
      </c>
      <c r="AU716" s="139" t="s">
        <v>90</v>
      </c>
      <c r="AY716" s="2" t="s">
        <v>337</v>
      </c>
      <c r="BE716" s="140">
        <f>IF(N716="základní",J716,0)</f>
        <v>0</v>
      </c>
      <c r="BF716" s="140">
        <f>IF(N716="snížená",J716,0)</f>
        <v>0</v>
      </c>
      <c r="BG716" s="140">
        <f>IF(N716="zákl. přenesená",J716,0)</f>
        <v>0</v>
      </c>
      <c r="BH716" s="140">
        <f>IF(N716="sníž. přenesená",J716,0)</f>
        <v>0</v>
      </c>
      <c r="BI716" s="140">
        <f>IF(N716="nulová",J716,0)</f>
        <v>0</v>
      </c>
      <c r="BJ716" s="2" t="s">
        <v>87</v>
      </c>
      <c r="BK716" s="140">
        <f>ROUND(I716*H716,2)</f>
        <v>0</v>
      </c>
      <c r="BL716" s="2" t="s">
        <v>344</v>
      </c>
      <c r="BM716" s="139" t="s">
        <v>866</v>
      </c>
    </row>
    <row r="717" spans="2:65" s="141" customFormat="1" x14ac:dyDescent="0.2">
      <c r="B717" s="142"/>
      <c r="D717" s="143" t="s">
        <v>346</v>
      </c>
      <c r="E717" s="144"/>
      <c r="F717" s="145" t="s">
        <v>867</v>
      </c>
      <c r="H717" s="144"/>
      <c r="L717" s="142"/>
      <c r="M717" s="146"/>
      <c r="T717" s="147"/>
      <c r="AT717" s="144" t="s">
        <v>346</v>
      </c>
      <c r="AU717" s="144" t="s">
        <v>90</v>
      </c>
      <c r="AV717" s="141" t="s">
        <v>87</v>
      </c>
      <c r="AW717" s="141" t="s">
        <v>33</v>
      </c>
      <c r="AX717" s="141" t="s">
        <v>80</v>
      </c>
      <c r="AY717" s="144" t="s">
        <v>337</v>
      </c>
    </row>
    <row r="718" spans="2:65" s="148" customFormat="1" x14ac:dyDescent="0.2">
      <c r="B718" s="149"/>
      <c r="D718" s="143" t="s">
        <v>346</v>
      </c>
      <c r="E718" s="150"/>
      <c r="F718" s="151" t="s">
        <v>868</v>
      </c>
      <c r="H718" s="152">
        <v>70.16</v>
      </c>
      <c r="L718" s="149"/>
      <c r="M718" s="153"/>
      <c r="T718" s="154"/>
      <c r="AT718" s="150" t="s">
        <v>346</v>
      </c>
      <c r="AU718" s="150" t="s">
        <v>90</v>
      </c>
      <c r="AV718" s="148" t="s">
        <v>90</v>
      </c>
      <c r="AW718" s="148" t="s">
        <v>33</v>
      </c>
      <c r="AX718" s="148" t="s">
        <v>87</v>
      </c>
      <c r="AY718" s="150" t="s">
        <v>337</v>
      </c>
    </row>
    <row r="719" spans="2:65" s="116" customFormat="1" ht="22.9" customHeight="1" x14ac:dyDescent="0.2">
      <c r="B719" s="117"/>
      <c r="D719" s="118" t="s">
        <v>79</v>
      </c>
      <c r="E719" s="126" t="s">
        <v>452</v>
      </c>
      <c r="F719" s="126" t="s">
        <v>869</v>
      </c>
      <c r="J719" s="127">
        <f>BK719</f>
        <v>0</v>
      </c>
      <c r="L719" s="117"/>
      <c r="M719" s="121"/>
      <c r="P719" s="122">
        <f>SUM(P720:P869)</f>
        <v>0</v>
      </c>
      <c r="R719" s="122">
        <f>SUM(R720:R869)</f>
        <v>0.28280050000000001</v>
      </c>
      <c r="T719" s="123">
        <f>SUM(T720:T869)</f>
        <v>0</v>
      </c>
      <c r="AR719" s="118" t="s">
        <v>87</v>
      </c>
      <c r="AT719" s="124" t="s">
        <v>79</v>
      </c>
      <c r="AU719" s="124" t="s">
        <v>87</v>
      </c>
      <c r="AY719" s="118" t="s">
        <v>337</v>
      </c>
      <c r="BK719" s="125">
        <f>SUM(BK720:BK869)</f>
        <v>0</v>
      </c>
    </row>
    <row r="720" spans="2:65" s="16" customFormat="1" ht="16.5" customHeight="1" x14ac:dyDescent="0.2">
      <c r="B720" s="17"/>
      <c r="C720" s="128">
        <v>68</v>
      </c>
      <c r="D720" s="128" t="s">
        <v>339</v>
      </c>
      <c r="E720" s="129" t="s">
        <v>871</v>
      </c>
      <c r="F720" s="130" t="s">
        <v>872</v>
      </c>
      <c r="G720" s="131" t="s">
        <v>425</v>
      </c>
      <c r="H720" s="132">
        <v>4598.04</v>
      </c>
      <c r="I720" s="133"/>
      <c r="J720" s="134">
        <f>ROUND(I720*H720,2)</f>
        <v>0</v>
      </c>
      <c r="K720" s="130" t="s">
        <v>343</v>
      </c>
      <c r="L720" s="17"/>
      <c r="M720" s="135"/>
      <c r="N720" s="136" t="s">
        <v>45</v>
      </c>
      <c r="P720" s="137">
        <f>O720*H720</f>
        <v>0</v>
      </c>
      <c r="Q720" s="137">
        <v>4.0000000000000003E-5</v>
      </c>
      <c r="R720" s="137">
        <f>Q720*H720</f>
        <v>0.18392160000000002</v>
      </c>
      <c r="S720" s="137">
        <v>0</v>
      </c>
      <c r="T720" s="138">
        <f>S720*H720</f>
        <v>0</v>
      </c>
      <c r="AR720" s="139" t="s">
        <v>344</v>
      </c>
      <c r="AT720" s="139" t="s">
        <v>339</v>
      </c>
      <c r="AU720" s="139" t="s">
        <v>90</v>
      </c>
      <c r="AY720" s="2" t="s">
        <v>337</v>
      </c>
      <c r="BE720" s="140">
        <f>IF(N720="základní",J720,0)</f>
        <v>0</v>
      </c>
      <c r="BF720" s="140">
        <f>IF(N720="snížená",J720,0)</f>
        <v>0</v>
      </c>
      <c r="BG720" s="140">
        <f>IF(N720="zákl. přenesená",J720,0)</f>
        <v>0</v>
      </c>
      <c r="BH720" s="140">
        <f>IF(N720="sníž. přenesená",J720,0)</f>
        <v>0</v>
      </c>
      <c r="BI720" s="140">
        <f>IF(N720="nulová",J720,0)</f>
        <v>0</v>
      </c>
      <c r="BJ720" s="2" t="s">
        <v>87</v>
      </c>
      <c r="BK720" s="140">
        <f>ROUND(I720*H720,2)</f>
        <v>0</v>
      </c>
      <c r="BL720" s="2" t="s">
        <v>344</v>
      </c>
      <c r="BM720" s="139" t="s">
        <v>873</v>
      </c>
    </row>
    <row r="721" spans="2:51" s="141" customFormat="1" x14ac:dyDescent="0.2">
      <c r="B721" s="142"/>
      <c r="D721" s="143" t="s">
        <v>346</v>
      </c>
      <c r="E721" s="144"/>
      <c r="F721" s="145" t="s">
        <v>874</v>
      </c>
      <c r="H721" s="144"/>
      <c r="L721" s="142"/>
      <c r="M721" s="146"/>
      <c r="T721" s="147"/>
      <c r="AT721" s="144" t="s">
        <v>346</v>
      </c>
      <c r="AU721" s="144" t="s">
        <v>90</v>
      </c>
      <c r="AV721" s="141" t="s">
        <v>87</v>
      </c>
      <c r="AW721" s="141" t="s">
        <v>33</v>
      </c>
      <c r="AX721" s="141" t="s">
        <v>80</v>
      </c>
      <c r="AY721" s="144" t="s">
        <v>337</v>
      </c>
    </row>
    <row r="722" spans="2:51" s="141" customFormat="1" x14ac:dyDescent="0.2">
      <c r="B722" s="142"/>
      <c r="D722" s="143" t="s">
        <v>346</v>
      </c>
      <c r="E722" s="144"/>
      <c r="F722" s="145" t="s">
        <v>477</v>
      </c>
      <c r="H722" s="144"/>
      <c r="L722" s="142"/>
      <c r="M722" s="146"/>
      <c r="T722" s="147"/>
      <c r="AT722" s="144" t="s">
        <v>346</v>
      </c>
      <c r="AU722" s="144" t="s">
        <v>90</v>
      </c>
      <c r="AV722" s="141" t="s">
        <v>87</v>
      </c>
      <c r="AW722" s="141" t="s">
        <v>33</v>
      </c>
      <c r="AX722" s="141" t="s">
        <v>80</v>
      </c>
      <c r="AY722" s="144" t="s">
        <v>337</v>
      </c>
    </row>
    <row r="723" spans="2:51" s="148" customFormat="1" x14ac:dyDescent="0.2">
      <c r="B723" s="149"/>
      <c r="D723" s="143" t="s">
        <v>346</v>
      </c>
      <c r="E723" s="150"/>
      <c r="F723" s="151" t="s">
        <v>875</v>
      </c>
      <c r="H723" s="152">
        <v>94.9</v>
      </c>
      <c r="L723" s="149"/>
      <c r="M723" s="153"/>
      <c r="T723" s="154"/>
      <c r="AT723" s="150" t="s">
        <v>346</v>
      </c>
      <c r="AU723" s="150" t="s">
        <v>90</v>
      </c>
      <c r="AV723" s="148" t="s">
        <v>90</v>
      </c>
      <c r="AW723" s="148" t="s">
        <v>33</v>
      </c>
      <c r="AX723" s="148" t="s">
        <v>80</v>
      </c>
      <c r="AY723" s="150" t="s">
        <v>337</v>
      </c>
    </row>
    <row r="724" spans="2:51" s="141" customFormat="1" x14ac:dyDescent="0.2">
      <c r="B724" s="142"/>
      <c r="D724" s="143" t="s">
        <v>346</v>
      </c>
      <c r="E724" s="144"/>
      <c r="F724" s="145" t="s">
        <v>357</v>
      </c>
      <c r="H724" s="144"/>
      <c r="L724" s="142"/>
      <c r="M724" s="146"/>
      <c r="T724" s="147"/>
      <c r="AT724" s="144" t="s">
        <v>346</v>
      </c>
      <c r="AU724" s="144" t="s">
        <v>90</v>
      </c>
      <c r="AV724" s="141" t="s">
        <v>87</v>
      </c>
      <c r="AW724" s="141" t="s">
        <v>33</v>
      </c>
      <c r="AX724" s="141" t="s">
        <v>80</v>
      </c>
      <c r="AY724" s="144" t="s">
        <v>337</v>
      </c>
    </row>
    <row r="725" spans="2:51" s="148" customFormat="1" x14ac:dyDescent="0.2">
      <c r="B725" s="149"/>
      <c r="D725" s="143" t="s">
        <v>346</v>
      </c>
      <c r="E725" s="150"/>
      <c r="F725" s="151" t="s">
        <v>876</v>
      </c>
      <c r="H725" s="152">
        <v>745.2</v>
      </c>
      <c r="L725" s="149"/>
      <c r="M725" s="153"/>
      <c r="T725" s="154"/>
      <c r="AT725" s="150" t="s">
        <v>346</v>
      </c>
      <c r="AU725" s="150" t="s">
        <v>90</v>
      </c>
      <c r="AV725" s="148" t="s">
        <v>90</v>
      </c>
      <c r="AW725" s="148" t="s">
        <v>33</v>
      </c>
      <c r="AX725" s="148" t="s">
        <v>80</v>
      </c>
      <c r="AY725" s="150" t="s">
        <v>337</v>
      </c>
    </row>
    <row r="726" spans="2:51" s="148" customFormat="1" x14ac:dyDescent="0.2">
      <c r="B726" s="149"/>
      <c r="D726" s="143" t="s">
        <v>346</v>
      </c>
      <c r="E726" s="150"/>
      <c r="F726" s="151" t="s">
        <v>877</v>
      </c>
      <c r="H726" s="152">
        <v>49.8</v>
      </c>
      <c r="L726" s="149"/>
      <c r="M726" s="153"/>
      <c r="T726" s="154"/>
      <c r="AT726" s="150" t="s">
        <v>346</v>
      </c>
      <c r="AU726" s="150" t="s">
        <v>90</v>
      </c>
      <c r="AV726" s="148" t="s">
        <v>90</v>
      </c>
      <c r="AW726" s="148" t="s">
        <v>33</v>
      </c>
      <c r="AX726" s="148" t="s">
        <v>80</v>
      </c>
      <c r="AY726" s="150" t="s">
        <v>337</v>
      </c>
    </row>
    <row r="727" spans="2:51" s="141" customFormat="1" x14ac:dyDescent="0.2">
      <c r="B727" s="142"/>
      <c r="D727" s="143" t="s">
        <v>346</v>
      </c>
      <c r="E727" s="144"/>
      <c r="F727" s="145" t="s">
        <v>362</v>
      </c>
      <c r="H727" s="144"/>
      <c r="L727" s="142"/>
      <c r="M727" s="146"/>
      <c r="T727" s="147"/>
      <c r="AT727" s="144" t="s">
        <v>346</v>
      </c>
      <c r="AU727" s="144" t="s">
        <v>90</v>
      </c>
      <c r="AV727" s="141" t="s">
        <v>87</v>
      </c>
      <c r="AW727" s="141" t="s">
        <v>33</v>
      </c>
      <c r="AX727" s="141" t="s">
        <v>80</v>
      </c>
      <c r="AY727" s="144" t="s">
        <v>337</v>
      </c>
    </row>
    <row r="728" spans="2:51" s="148" customFormat="1" x14ac:dyDescent="0.2">
      <c r="B728" s="149"/>
      <c r="D728" s="143" t="s">
        <v>346</v>
      </c>
      <c r="E728" s="150"/>
      <c r="F728" s="151" t="s">
        <v>878</v>
      </c>
      <c r="H728" s="152">
        <v>769.4</v>
      </c>
      <c r="L728" s="149"/>
      <c r="M728" s="153"/>
      <c r="T728" s="154"/>
      <c r="AT728" s="150" t="s">
        <v>346</v>
      </c>
      <c r="AU728" s="150" t="s">
        <v>90</v>
      </c>
      <c r="AV728" s="148" t="s">
        <v>90</v>
      </c>
      <c r="AW728" s="148" t="s">
        <v>33</v>
      </c>
      <c r="AX728" s="148" t="s">
        <v>80</v>
      </c>
      <c r="AY728" s="150" t="s">
        <v>337</v>
      </c>
    </row>
    <row r="729" spans="2:51" s="148" customFormat="1" x14ac:dyDescent="0.2">
      <c r="B729" s="149"/>
      <c r="D729" s="143" t="s">
        <v>346</v>
      </c>
      <c r="E729" s="150"/>
      <c r="F729" s="151" t="s">
        <v>879</v>
      </c>
      <c r="H729" s="152">
        <v>90.5</v>
      </c>
      <c r="L729" s="149"/>
      <c r="M729" s="153"/>
      <c r="T729" s="154"/>
      <c r="AT729" s="150" t="s">
        <v>346</v>
      </c>
      <c r="AU729" s="150" t="s">
        <v>90</v>
      </c>
      <c r="AV729" s="148" t="s">
        <v>90</v>
      </c>
      <c r="AW729" s="148" t="s">
        <v>33</v>
      </c>
      <c r="AX729" s="148" t="s">
        <v>80</v>
      </c>
      <c r="AY729" s="150" t="s">
        <v>337</v>
      </c>
    </row>
    <row r="730" spans="2:51" s="141" customFormat="1" x14ac:dyDescent="0.2">
      <c r="B730" s="142"/>
      <c r="D730" s="143" t="s">
        <v>346</v>
      </c>
      <c r="E730" s="144"/>
      <c r="F730" s="145" t="s">
        <v>880</v>
      </c>
      <c r="H730" s="144"/>
      <c r="L730" s="142"/>
      <c r="M730" s="146"/>
      <c r="T730" s="147"/>
      <c r="AT730" s="144" t="s">
        <v>346</v>
      </c>
      <c r="AU730" s="144" t="s">
        <v>90</v>
      </c>
      <c r="AV730" s="141" t="s">
        <v>87</v>
      </c>
      <c r="AW730" s="141" t="s">
        <v>33</v>
      </c>
      <c r="AX730" s="141" t="s">
        <v>80</v>
      </c>
      <c r="AY730" s="144" t="s">
        <v>337</v>
      </c>
    </row>
    <row r="731" spans="2:51" s="148" customFormat="1" x14ac:dyDescent="0.2">
      <c r="B731" s="149"/>
      <c r="D731" s="143" t="s">
        <v>346</v>
      </c>
      <c r="E731" s="150"/>
      <c r="F731" s="151" t="s">
        <v>881</v>
      </c>
      <c r="H731" s="152">
        <v>10.44</v>
      </c>
      <c r="L731" s="149"/>
      <c r="M731" s="153"/>
      <c r="T731" s="154"/>
      <c r="AT731" s="150" t="s">
        <v>346</v>
      </c>
      <c r="AU731" s="150" t="s">
        <v>90</v>
      </c>
      <c r="AV731" s="148" t="s">
        <v>90</v>
      </c>
      <c r="AW731" s="148" t="s">
        <v>33</v>
      </c>
      <c r="AX731" s="148" t="s">
        <v>80</v>
      </c>
      <c r="AY731" s="150" t="s">
        <v>337</v>
      </c>
    </row>
    <row r="732" spans="2:51" s="141" customFormat="1" x14ac:dyDescent="0.2">
      <c r="B732" s="142"/>
      <c r="D732" s="143" t="s">
        <v>346</v>
      </c>
      <c r="E732" s="144"/>
      <c r="F732" s="145" t="s">
        <v>367</v>
      </c>
      <c r="H732" s="144"/>
      <c r="L732" s="142"/>
      <c r="M732" s="146"/>
      <c r="T732" s="147"/>
      <c r="AT732" s="144" t="s">
        <v>346</v>
      </c>
      <c r="AU732" s="144" t="s">
        <v>90</v>
      </c>
      <c r="AV732" s="141" t="s">
        <v>87</v>
      </c>
      <c r="AW732" s="141" t="s">
        <v>33</v>
      </c>
      <c r="AX732" s="141" t="s">
        <v>80</v>
      </c>
      <c r="AY732" s="144" t="s">
        <v>337</v>
      </c>
    </row>
    <row r="733" spans="2:51" s="148" customFormat="1" x14ac:dyDescent="0.2">
      <c r="B733" s="149"/>
      <c r="D733" s="143" t="s">
        <v>346</v>
      </c>
      <c r="E733" s="150"/>
      <c r="F733" s="151" t="s">
        <v>878</v>
      </c>
      <c r="H733" s="152">
        <v>769.4</v>
      </c>
      <c r="L733" s="149"/>
      <c r="M733" s="153"/>
      <c r="T733" s="154"/>
      <c r="AT733" s="150" t="s">
        <v>346</v>
      </c>
      <c r="AU733" s="150" t="s">
        <v>90</v>
      </c>
      <c r="AV733" s="148" t="s">
        <v>90</v>
      </c>
      <c r="AW733" s="148" t="s">
        <v>33</v>
      </c>
      <c r="AX733" s="148" t="s">
        <v>80</v>
      </c>
      <c r="AY733" s="150" t="s">
        <v>337</v>
      </c>
    </row>
    <row r="734" spans="2:51" s="141" customFormat="1" x14ac:dyDescent="0.2">
      <c r="B734" s="142"/>
      <c r="D734" s="143" t="s">
        <v>346</v>
      </c>
      <c r="E734" s="144"/>
      <c r="F734" s="145" t="s">
        <v>368</v>
      </c>
      <c r="H734" s="144"/>
      <c r="L734" s="142"/>
      <c r="M734" s="146"/>
      <c r="T734" s="147"/>
      <c r="AT734" s="144" t="s">
        <v>346</v>
      </c>
      <c r="AU734" s="144" t="s">
        <v>90</v>
      </c>
      <c r="AV734" s="141" t="s">
        <v>87</v>
      </c>
      <c r="AW734" s="141" t="s">
        <v>33</v>
      </c>
      <c r="AX734" s="141" t="s">
        <v>80</v>
      </c>
      <c r="AY734" s="144" t="s">
        <v>337</v>
      </c>
    </row>
    <row r="735" spans="2:51" s="148" customFormat="1" x14ac:dyDescent="0.2">
      <c r="B735" s="149"/>
      <c r="D735" s="143" t="s">
        <v>346</v>
      </c>
      <c r="E735" s="150"/>
      <c r="F735" s="151" t="s">
        <v>878</v>
      </c>
      <c r="H735" s="152">
        <v>769.4</v>
      </c>
      <c r="L735" s="149"/>
      <c r="M735" s="153"/>
      <c r="T735" s="154"/>
      <c r="AT735" s="150" t="s">
        <v>346</v>
      </c>
      <c r="AU735" s="150" t="s">
        <v>90</v>
      </c>
      <c r="AV735" s="148" t="s">
        <v>90</v>
      </c>
      <c r="AW735" s="148" t="s">
        <v>33</v>
      </c>
      <c r="AX735" s="148" t="s">
        <v>80</v>
      </c>
      <c r="AY735" s="150" t="s">
        <v>337</v>
      </c>
    </row>
    <row r="736" spans="2:51" s="141" customFormat="1" x14ac:dyDescent="0.2">
      <c r="B736" s="142"/>
      <c r="D736" s="143" t="s">
        <v>346</v>
      </c>
      <c r="E736" s="144"/>
      <c r="F736" s="145" t="s">
        <v>370</v>
      </c>
      <c r="H736" s="144"/>
      <c r="L736" s="142"/>
      <c r="M736" s="146"/>
      <c r="T736" s="147"/>
      <c r="AT736" s="144" t="s">
        <v>346</v>
      </c>
      <c r="AU736" s="144" t="s">
        <v>90</v>
      </c>
      <c r="AV736" s="141" t="s">
        <v>87</v>
      </c>
      <c r="AW736" s="141" t="s">
        <v>33</v>
      </c>
      <c r="AX736" s="141" t="s">
        <v>80</v>
      </c>
      <c r="AY736" s="144" t="s">
        <v>337</v>
      </c>
    </row>
    <row r="737" spans="2:51" s="148" customFormat="1" x14ac:dyDescent="0.2">
      <c r="B737" s="149"/>
      <c r="D737" s="143" t="s">
        <v>346</v>
      </c>
      <c r="E737" s="150"/>
      <c r="F737" s="151" t="s">
        <v>878</v>
      </c>
      <c r="H737" s="152">
        <v>769.4</v>
      </c>
      <c r="L737" s="149"/>
      <c r="M737" s="153"/>
      <c r="T737" s="154"/>
      <c r="AT737" s="150" t="s">
        <v>346</v>
      </c>
      <c r="AU737" s="150" t="s">
        <v>90</v>
      </c>
      <c r="AV737" s="148" t="s">
        <v>90</v>
      </c>
      <c r="AW737" s="148" t="s">
        <v>33</v>
      </c>
      <c r="AX737" s="148" t="s">
        <v>80</v>
      </c>
      <c r="AY737" s="150" t="s">
        <v>337</v>
      </c>
    </row>
    <row r="738" spans="2:51" s="141" customFormat="1" x14ac:dyDescent="0.2">
      <c r="B738" s="142"/>
      <c r="D738" s="143" t="s">
        <v>346</v>
      </c>
      <c r="E738" s="144"/>
      <c r="F738" s="145" t="s">
        <v>434</v>
      </c>
      <c r="H738" s="144"/>
      <c r="L738" s="142"/>
      <c r="M738" s="146"/>
      <c r="T738" s="147"/>
      <c r="AT738" s="144" t="s">
        <v>346</v>
      </c>
      <c r="AU738" s="144" t="s">
        <v>90</v>
      </c>
      <c r="AV738" s="141" t="s">
        <v>87</v>
      </c>
      <c r="AW738" s="141" t="s">
        <v>33</v>
      </c>
      <c r="AX738" s="141" t="s">
        <v>80</v>
      </c>
      <c r="AY738" s="144" t="s">
        <v>337</v>
      </c>
    </row>
    <row r="739" spans="2:51" s="148" customFormat="1" x14ac:dyDescent="0.2">
      <c r="B739" s="149"/>
      <c r="D739" s="143" t="s">
        <v>346</v>
      </c>
      <c r="E739" s="150"/>
      <c r="F739" s="151" t="s">
        <v>882</v>
      </c>
      <c r="H739" s="152">
        <v>529.6</v>
      </c>
      <c r="L739" s="149"/>
      <c r="M739" s="153"/>
      <c r="T739" s="154"/>
      <c r="AT739" s="150" t="s">
        <v>346</v>
      </c>
      <c r="AU739" s="150" t="s">
        <v>90</v>
      </c>
      <c r="AV739" s="148" t="s">
        <v>90</v>
      </c>
      <c r="AW739" s="148" t="s">
        <v>33</v>
      </c>
      <c r="AX739" s="148" t="s">
        <v>80</v>
      </c>
      <c r="AY739" s="150" t="s">
        <v>337</v>
      </c>
    </row>
    <row r="740" spans="2:51" s="172" customFormat="1" x14ac:dyDescent="0.2">
      <c r="B740" s="173"/>
      <c r="D740" s="143" t="s">
        <v>346</v>
      </c>
      <c r="E740" s="174"/>
      <c r="F740" s="175" t="s">
        <v>609</v>
      </c>
      <c r="H740" s="176">
        <v>4598.04</v>
      </c>
      <c r="L740" s="173"/>
      <c r="M740" s="177"/>
      <c r="T740" s="178"/>
      <c r="AT740" s="174" t="s">
        <v>346</v>
      </c>
      <c r="AU740" s="174" t="s">
        <v>90</v>
      </c>
      <c r="AV740" s="172" t="s">
        <v>113</v>
      </c>
      <c r="AW740" s="172" t="s">
        <v>33</v>
      </c>
      <c r="AX740" s="172" t="s">
        <v>80</v>
      </c>
      <c r="AY740" s="174" t="s">
        <v>337</v>
      </c>
    </row>
    <row r="741" spans="2:51" s="141" customFormat="1" x14ac:dyDescent="0.2">
      <c r="B741" s="142"/>
      <c r="D741" s="143" t="s">
        <v>346</v>
      </c>
      <c r="E741" s="144"/>
      <c r="F741" s="145" t="s">
        <v>883</v>
      </c>
      <c r="H741" s="144"/>
      <c r="L741" s="142"/>
      <c r="M741" s="146"/>
      <c r="T741" s="147"/>
      <c r="AT741" s="144" t="s">
        <v>346</v>
      </c>
      <c r="AU741" s="144" t="s">
        <v>90</v>
      </c>
      <c r="AV741" s="141" t="s">
        <v>87</v>
      </c>
      <c r="AW741" s="141" t="s">
        <v>33</v>
      </c>
      <c r="AX741" s="141" t="s">
        <v>80</v>
      </c>
      <c r="AY741" s="144" t="s">
        <v>337</v>
      </c>
    </row>
    <row r="742" spans="2:51" s="141" customFormat="1" x14ac:dyDescent="0.2">
      <c r="B742" s="142"/>
      <c r="D742" s="143" t="s">
        <v>346</v>
      </c>
      <c r="E742" s="144"/>
      <c r="F742" s="145" t="s">
        <v>884</v>
      </c>
      <c r="H742" s="144"/>
      <c r="L742" s="142"/>
      <c r="M742" s="146"/>
      <c r="T742" s="147"/>
      <c r="AT742" s="144" t="s">
        <v>346</v>
      </c>
      <c r="AU742" s="144" t="s">
        <v>90</v>
      </c>
      <c r="AV742" s="141" t="s">
        <v>87</v>
      </c>
      <c r="AW742" s="141" t="s">
        <v>33</v>
      </c>
      <c r="AX742" s="141" t="s">
        <v>80</v>
      </c>
      <c r="AY742" s="144" t="s">
        <v>337</v>
      </c>
    </row>
    <row r="743" spans="2:51" s="141" customFormat="1" x14ac:dyDescent="0.2">
      <c r="B743" s="142"/>
      <c r="D743" s="143" t="s">
        <v>346</v>
      </c>
      <c r="E743" s="144"/>
      <c r="F743" s="145" t="s">
        <v>885</v>
      </c>
      <c r="H743" s="144"/>
      <c r="L743" s="142"/>
      <c r="M743" s="146"/>
      <c r="T743" s="147"/>
      <c r="AT743" s="144" t="s">
        <v>346</v>
      </c>
      <c r="AU743" s="144" t="s">
        <v>90</v>
      </c>
      <c r="AV743" s="141" t="s">
        <v>87</v>
      </c>
      <c r="AW743" s="141" t="s">
        <v>33</v>
      </c>
      <c r="AX743" s="141" t="s">
        <v>80</v>
      </c>
      <c r="AY743" s="144" t="s">
        <v>337</v>
      </c>
    </row>
    <row r="744" spans="2:51" s="148" customFormat="1" x14ac:dyDescent="0.2">
      <c r="B744" s="149"/>
      <c r="D744" s="143" t="s">
        <v>346</v>
      </c>
      <c r="E744" s="150"/>
      <c r="F744" s="151" t="s">
        <v>291</v>
      </c>
      <c r="H744" s="152">
        <v>48.62</v>
      </c>
      <c r="L744" s="149"/>
      <c r="M744" s="153"/>
      <c r="T744" s="154"/>
      <c r="AT744" s="150" t="s">
        <v>346</v>
      </c>
      <c r="AU744" s="150" t="s">
        <v>90</v>
      </c>
      <c r="AV744" s="148" t="s">
        <v>90</v>
      </c>
      <c r="AW744" s="148" t="s">
        <v>33</v>
      </c>
      <c r="AX744" s="148" t="s">
        <v>80</v>
      </c>
      <c r="AY744" s="150" t="s">
        <v>337</v>
      </c>
    </row>
    <row r="745" spans="2:51" s="172" customFormat="1" x14ac:dyDescent="0.2">
      <c r="B745" s="173"/>
      <c r="D745" s="143" t="s">
        <v>346</v>
      </c>
      <c r="E745" s="174" t="s">
        <v>290</v>
      </c>
      <c r="F745" s="175" t="s">
        <v>609</v>
      </c>
      <c r="H745" s="176">
        <v>48.62</v>
      </c>
      <c r="L745" s="173"/>
      <c r="M745" s="177"/>
      <c r="T745" s="178"/>
      <c r="AT745" s="174" t="s">
        <v>346</v>
      </c>
      <c r="AU745" s="174" t="s">
        <v>90</v>
      </c>
      <c r="AV745" s="172" t="s">
        <v>113</v>
      </c>
      <c r="AW745" s="172" t="s">
        <v>33</v>
      </c>
      <c r="AX745" s="172" t="s">
        <v>80</v>
      </c>
      <c r="AY745" s="174" t="s">
        <v>337</v>
      </c>
    </row>
    <row r="746" spans="2:51" s="141" customFormat="1" x14ac:dyDescent="0.2">
      <c r="B746" s="142"/>
      <c r="D746" s="143" t="s">
        <v>346</v>
      </c>
      <c r="E746" s="144"/>
      <c r="F746" s="145" t="s">
        <v>886</v>
      </c>
      <c r="H746" s="144"/>
      <c r="L746" s="142"/>
      <c r="M746" s="146"/>
      <c r="T746" s="147"/>
      <c r="AT746" s="144" t="s">
        <v>346</v>
      </c>
      <c r="AU746" s="144" t="s">
        <v>90</v>
      </c>
      <c r="AV746" s="141" t="s">
        <v>87</v>
      </c>
      <c r="AW746" s="141" t="s">
        <v>33</v>
      </c>
      <c r="AX746" s="141" t="s">
        <v>80</v>
      </c>
      <c r="AY746" s="144" t="s">
        <v>337</v>
      </c>
    </row>
    <row r="747" spans="2:51" s="148" customFormat="1" x14ac:dyDescent="0.2">
      <c r="B747" s="149"/>
      <c r="D747" s="143" t="s">
        <v>346</v>
      </c>
      <c r="E747" s="150"/>
      <c r="F747" s="151" t="s">
        <v>244</v>
      </c>
      <c r="H747" s="152">
        <v>164.64</v>
      </c>
      <c r="L747" s="149"/>
      <c r="M747" s="153"/>
      <c r="T747" s="154"/>
      <c r="AT747" s="150" t="s">
        <v>346</v>
      </c>
      <c r="AU747" s="150" t="s">
        <v>90</v>
      </c>
      <c r="AV747" s="148" t="s">
        <v>90</v>
      </c>
      <c r="AW747" s="148" t="s">
        <v>33</v>
      </c>
      <c r="AX747" s="148" t="s">
        <v>80</v>
      </c>
      <c r="AY747" s="150" t="s">
        <v>337</v>
      </c>
    </row>
    <row r="748" spans="2:51" s="172" customFormat="1" x14ac:dyDescent="0.2">
      <c r="B748" s="173"/>
      <c r="D748" s="143" t="s">
        <v>346</v>
      </c>
      <c r="E748" s="174" t="s">
        <v>243</v>
      </c>
      <c r="F748" s="175" t="s">
        <v>609</v>
      </c>
      <c r="H748" s="176">
        <v>164.64</v>
      </c>
      <c r="L748" s="173"/>
      <c r="M748" s="177"/>
      <c r="T748" s="178"/>
      <c r="AT748" s="174" t="s">
        <v>346</v>
      </c>
      <c r="AU748" s="174" t="s">
        <v>90</v>
      </c>
      <c r="AV748" s="172" t="s">
        <v>113</v>
      </c>
      <c r="AW748" s="172" t="s">
        <v>33</v>
      </c>
      <c r="AX748" s="172" t="s">
        <v>80</v>
      </c>
      <c r="AY748" s="174" t="s">
        <v>337</v>
      </c>
    </row>
    <row r="749" spans="2:51" s="141" customFormat="1" x14ac:dyDescent="0.2">
      <c r="B749" s="142"/>
      <c r="D749" s="143" t="s">
        <v>346</v>
      </c>
      <c r="E749" s="144"/>
      <c r="F749" s="145" t="s">
        <v>887</v>
      </c>
      <c r="H749" s="144"/>
      <c r="L749" s="142"/>
      <c r="M749" s="146"/>
      <c r="T749" s="147"/>
      <c r="AT749" s="144" t="s">
        <v>346</v>
      </c>
      <c r="AU749" s="144" t="s">
        <v>90</v>
      </c>
      <c r="AV749" s="141" t="s">
        <v>87</v>
      </c>
      <c r="AW749" s="141" t="s">
        <v>33</v>
      </c>
      <c r="AX749" s="141" t="s">
        <v>80</v>
      </c>
      <c r="AY749" s="144" t="s">
        <v>337</v>
      </c>
    </row>
    <row r="750" spans="2:51" s="148" customFormat="1" x14ac:dyDescent="0.2">
      <c r="B750" s="149"/>
      <c r="D750" s="143" t="s">
        <v>346</v>
      </c>
      <c r="E750" s="150"/>
      <c r="F750" s="151" t="s">
        <v>246</v>
      </c>
      <c r="H750" s="152">
        <v>51.78</v>
      </c>
      <c r="L750" s="149"/>
      <c r="M750" s="153"/>
      <c r="T750" s="154"/>
      <c r="AT750" s="150" t="s">
        <v>346</v>
      </c>
      <c r="AU750" s="150" t="s">
        <v>90</v>
      </c>
      <c r="AV750" s="148" t="s">
        <v>90</v>
      </c>
      <c r="AW750" s="148" t="s">
        <v>33</v>
      </c>
      <c r="AX750" s="148" t="s">
        <v>80</v>
      </c>
      <c r="AY750" s="150" t="s">
        <v>337</v>
      </c>
    </row>
    <row r="751" spans="2:51" s="172" customFormat="1" x14ac:dyDescent="0.2">
      <c r="B751" s="173"/>
      <c r="D751" s="143" t="s">
        <v>346</v>
      </c>
      <c r="E751" s="174" t="s">
        <v>245</v>
      </c>
      <c r="F751" s="175" t="s">
        <v>609</v>
      </c>
      <c r="H751" s="176">
        <v>51.78</v>
      </c>
      <c r="L751" s="173"/>
      <c r="M751" s="177"/>
      <c r="T751" s="178"/>
      <c r="AT751" s="174" t="s">
        <v>346</v>
      </c>
      <c r="AU751" s="174" t="s">
        <v>90</v>
      </c>
      <c r="AV751" s="172" t="s">
        <v>113</v>
      </c>
      <c r="AW751" s="172" t="s">
        <v>33</v>
      </c>
      <c r="AX751" s="172" t="s">
        <v>80</v>
      </c>
      <c r="AY751" s="174" t="s">
        <v>337</v>
      </c>
    </row>
    <row r="752" spans="2:51" s="141" customFormat="1" x14ac:dyDescent="0.2">
      <c r="B752" s="142"/>
      <c r="D752" s="143" t="s">
        <v>346</v>
      </c>
      <c r="E752" s="144"/>
      <c r="F752" s="145" t="s">
        <v>888</v>
      </c>
      <c r="H752" s="144"/>
      <c r="L752" s="142"/>
      <c r="M752" s="146"/>
      <c r="T752" s="147"/>
      <c r="AT752" s="144" t="s">
        <v>346</v>
      </c>
      <c r="AU752" s="144" t="s">
        <v>90</v>
      </c>
      <c r="AV752" s="141" t="s">
        <v>87</v>
      </c>
      <c r="AW752" s="141" t="s">
        <v>33</v>
      </c>
      <c r="AX752" s="141" t="s">
        <v>80</v>
      </c>
      <c r="AY752" s="144" t="s">
        <v>337</v>
      </c>
    </row>
    <row r="753" spans="2:51" s="148" customFormat="1" x14ac:dyDescent="0.2">
      <c r="B753" s="149"/>
      <c r="D753" s="143" t="s">
        <v>346</v>
      </c>
      <c r="E753" s="150"/>
      <c r="F753" s="151" t="s">
        <v>187</v>
      </c>
      <c r="H753" s="152">
        <v>84.35</v>
      </c>
      <c r="L753" s="149"/>
      <c r="M753" s="153"/>
      <c r="T753" s="154"/>
      <c r="AT753" s="150" t="s">
        <v>346</v>
      </c>
      <c r="AU753" s="150" t="s">
        <v>90</v>
      </c>
      <c r="AV753" s="148" t="s">
        <v>90</v>
      </c>
      <c r="AW753" s="148" t="s">
        <v>33</v>
      </c>
      <c r="AX753" s="148" t="s">
        <v>80</v>
      </c>
      <c r="AY753" s="150" t="s">
        <v>337</v>
      </c>
    </row>
    <row r="754" spans="2:51" s="172" customFormat="1" x14ac:dyDescent="0.2">
      <c r="B754" s="173"/>
      <c r="D754" s="143" t="s">
        <v>346</v>
      </c>
      <c r="E754" s="174" t="s">
        <v>289</v>
      </c>
      <c r="F754" s="175" t="s">
        <v>609</v>
      </c>
      <c r="H754" s="176">
        <v>84.35</v>
      </c>
      <c r="L754" s="173"/>
      <c r="M754" s="177"/>
      <c r="T754" s="178"/>
      <c r="AT754" s="174" t="s">
        <v>346</v>
      </c>
      <c r="AU754" s="174" t="s">
        <v>90</v>
      </c>
      <c r="AV754" s="172" t="s">
        <v>113</v>
      </c>
      <c r="AW754" s="172" t="s">
        <v>33</v>
      </c>
      <c r="AX754" s="172" t="s">
        <v>80</v>
      </c>
      <c r="AY754" s="174" t="s">
        <v>337</v>
      </c>
    </row>
    <row r="755" spans="2:51" s="141" customFormat="1" x14ac:dyDescent="0.2">
      <c r="B755" s="142"/>
      <c r="D755" s="143" t="s">
        <v>346</v>
      </c>
      <c r="E755" s="144"/>
      <c r="F755" s="145" t="s">
        <v>889</v>
      </c>
      <c r="H755" s="144"/>
      <c r="L755" s="142"/>
      <c r="M755" s="146"/>
      <c r="T755" s="147"/>
      <c r="AT755" s="144" t="s">
        <v>346</v>
      </c>
      <c r="AU755" s="144" t="s">
        <v>90</v>
      </c>
      <c r="AV755" s="141" t="s">
        <v>87</v>
      </c>
      <c r="AW755" s="141" t="s">
        <v>33</v>
      </c>
      <c r="AX755" s="141" t="s">
        <v>80</v>
      </c>
      <c r="AY755" s="144" t="s">
        <v>337</v>
      </c>
    </row>
    <row r="756" spans="2:51" s="148" customFormat="1" x14ac:dyDescent="0.2">
      <c r="B756" s="149"/>
      <c r="D756" s="143" t="s">
        <v>346</v>
      </c>
      <c r="E756" s="150"/>
      <c r="F756" s="151" t="s">
        <v>248</v>
      </c>
      <c r="H756" s="152">
        <v>1287.3900000000001</v>
      </c>
      <c r="L756" s="149"/>
      <c r="M756" s="153"/>
      <c r="T756" s="154"/>
      <c r="AT756" s="150" t="s">
        <v>346</v>
      </c>
      <c r="AU756" s="150" t="s">
        <v>90</v>
      </c>
      <c r="AV756" s="148" t="s">
        <v>90</v>
      </c>
      <c r="AW756" s="148" t="s">
        <v>33</v>
      </c>
      <c r="AX756" s="148" t="s">
        <v>80</v>
      </c>
      <c r="AY756" s="150" t="s">
        <v>337</v>
      </c>
    </row>
    <row r="757" spans="2:51" s="172" customFormat="1" x14ac:dyDescent="0.2">
      <c r="B757" s="173"/>
      <c r="D757" s="143" t="s">
        <v>346</v>
      </c>
      <c r="E757" s="174" t="s">
        <v>247</v>
      </c>
      <c r="F757" s="175" t="s">
        <v>609</v>
      </c>
      <c r="H757" s="176">
        <v>1287.3900000000001</v>
      </c>
      <c r="L757" s="173"/>
      <c r="M757" s="177"/>
      <c r="T757" s="178"/>
      <c r="AT757" s="174" t="s">
        <v>346</v>
      </c>
      <c r="AU757" s="174" t="s">
        <v>90</v>
      </c>
      <c r="AV757" s="172" t="s">
        <v>113</v>
      </c>
      <c r="AW757" s="172" t="s">
        <v>33</v>
      </c>
      <c r="AX757" s="172" t="s">
        <v>80</v>
      </c>
      <c r="AY757" s="174" t="s">
        <v>337</v>
      </c>
    </row>
    <row r="758" spans="2:51" s="141" customFormat="1" x14ac:dyDescent="0.2">
      <c r="B758" s="142"/>
      <c r="D758" s="143" t="s">
        <v>346</v>
      </c>
      <c r="E758" s="144"/>
      <c r="F758" s="145" t="s">
        <v>890</v>
      </c>
      <c r="H758" s="144"/>
      <c r="L758" s="142"/>
      <c r="M758" s="146"/>
      <c r="T758" s="147"/>
      <c r="AT758" s="144" t="s">
        <v>346</v>
      </c>
      <c r="AU758" s="144" t="s">
        <v>90</v>
      </c>
      <c r="AV758" s="141" t="s">
        <v>87</v>
      </c>
      <c r="AW758" s="141" t="s">
        <v>33</v>
      </c>
      <c r="AX758" s="141" t="s">
        <v>80</v>
      </c>
      <c r="AY758" s="144" t="s">
        <v>337</v>
      </c>
    </row>
    <row r="759" spans="2:51" s="148" customFormat="1" x14ac:dyDescent="0.2">
      <c r="B759" s="149"/>
      <c r="D759" s="143" t="s">
        <v>346</v>
      </c>
      <c r="E759" s="150"/>
      <c r="F759" s="151" t="s">
        <v>891</v>
      </c>
      <c r="H759" s="152">
        <v>312.27999999999997</v>
      </c>
      <c r="L759" s="149"/>
      <c r="M759" s="153"/>
      <c r="T759" s="154"/>
      <c r="AT759" s="150" t="s">
        <v>346</v>
      </c>
      <c r="AU759" s="150" t="s">
        <v>90</v>
      </c>
      <c r="AV759" s="148" t="s">
        <v>90</v>
      </c>
      <c r="AW759" s="148" t="s">
        <v>33</v>
      </c>
      <c r="AX759" s="148" t="s">
        <v>80</v>
      </c>
      <c r="AY759" s="150" t="s">
        <v>337</v>
      </c>
    </row>
    <row r="760" spans="2:51" s="141" customFormat="1" x14ac:dyDescent="0.2">
      <c r="B760" s="142"/>
      <c r="D760" s="143" t="s">
        <v>346</v>
      </c>
      <c r="E760" s="144"/>
      <c r="F760" s="145" t="s">
        <v>892</v>
      </c>
      <c r="H760" s="144"/>
      <c r="L760" s="142"/>
      <c r="M760" s="146"/>
      <c r="T760" s="147"/>
      <c r="AT760" s="144" t="s">
        <v>346</v>
      </c>
      <c r="AU760" s="144" t="s">
        <v>90</v>
      </c>
      <c r="AV760" s="141" t="s">
        <v>87</v>
      </c>
      <c r="AW760" s="141" t="s">
        <v>33</v>
      </c>
      <c r="AX760" s="141" t="s">
        <v>80</v>
      </c>
      <c r="AY760" s="144" t="s">
        <v>337</v>
      </c>
    </row>
    <row r="761" spans="2:51" s="148" customFormat="1" x14ac:dyDescent="0.2">
      <c r="B761" s="149"/>
      <c r="D761" s="143" t="s">
        <v>346</v>
      </c>
      <c r="E761" s="150"/>
      <c r="F761" s="151" t="s">
        <v>893</v>
      </c>
      <c r="H761" s="152">
        <v>-56.546999999999997</v>
      </c>
      <c r="L761" s="149"/>
      <c r="M761" s="153"/>
      <c r="T761" s="154"/>
      <c r="AT761" s="150" t="s">
        <v>346</v>
      </c>
      <c r="AU761" s="150" t="s">
        <v>90</v>
      </c>
      <c r="AV761" s="148" t="s">
        <v>90</v>
      </c>
      <c r="AW761" s="148" t="s">
        <v>33</v>
      </c>
      <c r="AX761" s="148" t="s">
        <v>80</v>
      </c>
      <c r="AY761" s="150" t="s">
        <v>337</v>
      </c>
    </row>
    <row r="762" spans="2:51" s="172" customFormat="1" x14ac:dyDescent="0.2">
      <c r="B762" s="173"/>
      <c r="D762" s="143" t="s">
        <v>346</v>
      </c>
      <c r="E762" s="174" t="s">
        <v>249</v>
      </c>
      <c r="F762" s="175" t="s">
        <v>609</v>
      </c>
      <c r="H762" s="176">
        <v>255.733</v>
      </c>
      <c r="L762" s="173"/>
      <c r="M762" s="177"/>
      <c r="T762" s="178"/>
      <c r="AT762" s="174" t="s">
        <v>346</v>
      </c>
      <c r="AU762" s="174" t="s">
        <v>90</v>
      </c>
      <c r="AV762" s="172" t="s">
        <v>113</v>
      </c>
      <c r="AW762" s="172" t="s">
        <v>33</v>
      </c>
      <c r="AX762" s="172" t="s">
        <v>80</v>
      </c>
      <c r="AY762" s="174" t="s">
        <v>337</v>
      </c>
    </row>
    <row r="763" spans="2:51" s="141" customFormat="1" x14ac:dyDescent="0.2">
      <c r="B763" s="142"/>
      <c r="D763" s="143" t="s">
        <v>346</v>
      </c>
      <c r="E763" s="144"/>
      <c r="F763" s="145" t="s">
        <v>894</v>
      </c>
      <c r="H763" s="144"/>
      <c r="L763" s="142"/>
      <c r="M763" s="146"/>
      <c r="T763" s="147"/>
      <c r="AT763" s="144" t="s">
        <v>346</v>
      </c>
      <c r="AU763" s="144" t="s">
        <v>90</v>
      </c>
      <c r="AV763" s="141" t="s">
        <v>87</v>
      </c>
      <c r="AW763" s="141" t="s">
        <v>33</v>
      </c>
      <c r="AX763" s="141" t="s">
        <v>80</v>
      </c>
      <c r="AY763" s="144" t="s">
        <v>337</v>
      </c>
    </row>
    <row r="764" spans="2:51" s="141" customFormat="1" x14ac:dyDescent="0.2">
      <c r="B764" s="142"/>
      <c r="D764" s="143" t="s">
        <v>346</v>
      </c>
      <c r="E764" s="144"/>
      <c r="F764" s="145" t="s">
        <v>362</v>
      </c>
      <c r="H764" s="144"/>
      <c r="L764" s="142"/>
      <c r="M764" s="146"/>
      <c r="T764" s="147"/>
      <c r="AT764" s="144" t="s">
        <v>346</v>
      </c>
      <c r="AU764" s="144" t="s">
        <v>90</v>
      </c>
      <c r="AV764" s="141" t="s">
        <v>87</v>
      </c>
      <c r="AW764" s="141" t="s">
        <v>33</v>
      </c>
      <c r="AX764" s="141" t="s">
        <v>80</v>
      </c>
      <c r="AY764" s="144" t="s">
        <v>337</v>
      </c>
    </row>
    <row r="765" spans="2:51" s="148" customFormat="1" x14ac:dyDescent="0.2">
      <c r="B765" s="149"/>
      <c r="D765" s="143" t="s">
        <v>346</v>
      </c>
      <c r="E765" s="150"/>
      <c r="F765" s="151" t="s">
        <v>895</v>
      </c>
      <c r="H765" s="152">
        <v>7.9649999999999999</v>
      </c>
      <c r="L765" s="149"/>
      <c r="M765" s="153"/>
      <c r="T765" s="154"/>
      <c r="AT765" s="150" t="s">
        <v>346</v>
      </c>
      <c r="AU765" s="150" t="s">
        <v>90</v>
      </c>
      <c r="AV765" s="148" t="s">
        <v>90</v>
      </c>
      <c r="AW765" s="148" t="s">
        <v>33</v>
      </c>
      <c r="AX765" s="148" t="s">
        <v>80</v>
      </c>
      <c r="AY765" s="150" t="s">
        <v>337</v>
      </c>
    </row>
    <row r="766" spans="2:51" s="141" customFormat="1" x14ac:dyDescent="0.2">
      <c r="B766" s="142"/>
      <c r="D766" s="143" t="s">
        <v>346</v>
      </c>
      <c r="E766" s="144"/>
      <c r="F766" s="145" t="s">
        <v>367</v>
      </c>
      <c r="H766" s="144"/>
      <c r="L766" s="142"/>
      <c r="M766" s="146"/>
      <c r="T766" s="147"/>
      <c r="AT766" s="144" t="s">
        <v>346</v>
      </c>
      <c r="AU766" s="144" t="s">
        <v>90</v>
      </c>
      <c r="AV766" s="141" t="s">
        <v>87</v>
      </c>
      <c r="AW766" s="141" t="s">
        <v>33</v>
      </c>
      <c r="AX766" s="141" t="s">
        <v>80</v>
      </c>
      <c r="AY766" s="144" t="s">
        <v>337</v>
      </c>
    </row>
    <row r="767" spans="2:51" s="148" customFormat="1" x14ac:dyDescent="0.2">
      <c r="B767" s="149"/>
      <c r="D767" s="143" t="s">
        <v>346</v>
      </c>
      <c r="E767" s="150"/>
      <c r="F767" s="151" t="s">
        <v>896</v>
      </c>
      <c r="H767" s="152">
        <v>9.2929999999999993</v>
      </c>
      <c r="L767" s="149"/>
      <c r="M767" s="153"/>
      <c r="T767" s="154"/>
      <c r="AT767" s="150" t="s">
        <v>346</v>
      </c>
      <c r="AU767" s="150" t="s">
        <v>90</v>
      </c>
      <c r="AV767" s="148" t="s">
        <v>90</v>
      </c>
      <c r="AW767" s="148" t="s">
        <v>33</v>
      </c>
      <c r="AX767" s="148" t="s">
        <v>80</v>
      </c>
      <c r="AY767" s="150" t="s">
        <v>337</v>
      </c>
    </row>
    <row r="768" spans="2:51" s="148" customFormat="1" x14ac:dyDescent="0.2">
      <c r="B768" s="149"/>
      <c r="D768" s="143" t="s">
        <v>346</v>
      </c>
      <c r="E768" s="150"/>
      <c r="F768" s="151" t="s">
        <v>897</v>
      </c>
      <c r="H768" s="152">
        <v>1.43</v>
      </c>
      <c r="L768" s="149"/>
      <c r="M768" s="153"/>
      <c r="T768" s="154"/>
      <c r="AT768" s="150" t="s">
        <v>346</v>
      </c>
      <c r="AU768" s="150" t="s">
        <v>90</v>
      </c>
      <c r="AV768" s="148" t="s">
        <v>90</v>
      </c>
      <c r="AW768" s="148" t="s">
        <v>33</v>
      </c>
      <c r="AX768" s="148" t="s">
        <v>80</v>
      </c>
      <c r="AY768" s="150" t="s">
        <v>337</v>
      </c>
    </row>
    <row r="769" spans="2:51" s="141" customFormat="1" x14ac:dyDescent="0.2">
      <c r="B769" s="142"/>
      <c r="D769" s="143" t="s">
        <v>346</v>
      </c>
      <c r="E769" s="144"/>
      <c r="F769" s="145" t="s">
        <v>368</v>
      </c>
      <c r="H769" s="144"/>
      <c r="L769" s="142"/>
      <c r="M769" s="146"/>
      <c r="T769" s="147"/>
      <c r="AT769" s="144" t="s">
        <v>346</v>
      </c>
      <c r="AU769" s="144" t="s">
        <v>90</v>
      </c>
      <c r="AV769" s="141" t="s">
        <v>87</v>
      </c>
      <c r="AW769" s="141" t="s">
        <v>33</v>
      </c>
      <c r="AX769" s="141" t="s">
        <v>80</v>
      </c>
      <c r="AY769" s="144" t="s">
        <v>337</v>
      </c>
    </row>
    <row r="770" spans="2:51" s="148" customFormat="1" x14ac:dyDescent="0.2">
      <c r="B770" s="149"/>
      <c r="D770" s="143" t="s">
        <v>346</v>
      </c>
      <c r="E770" s="150"/>
      <c r="F770" s="151" t="s">
        <v>896</v>
      </c>
      <c r="H770" s="152">
        <v>9.2929999999999993</v>
      </c>
      <c r="L770" s="149"/>
      <c r="M770" s="153"/>
      <c r="T770" s="154"/>
      <c r="AT770" s="150" t="s">
        <v>346</v>
      </c>
      <c r="AU770" s="150" t="s">
        <v>90</v>
      </c>
      <c r="AV770" s="148" t="s">
        <v>90</v>
      </c>
      <c r="AW770" s="148" t="s">
        <v>33</v>
      </c>
      <c r="AX770" s="148" t="s">
        <v>80</v>
      </c>
      <c r="AY770" s="150" t="s">
        <v>337</v>
      </c>
    </row>
    <row r="771" spans="2:51" s="148" customFormat="1" x14ac:dyDescent="0.2">
      <c r="B771" s="149"/>
      <c r="D771" s="143" t="s">
        <v>346</v>
      </c>
      <c r="E771" s="150"/>
      <c r="F771" s="151" t="s">
        <v>897</v>
      </c>
      <c r="H771" s="152">
        <v>1.43</v>
      </c>
      <c r="L771" s="149"/>
      <c r="M771" s="153"/>
      <c r="T771" s="154"/>
      <c r="AT771" s="150" t="s">
        <v>346</v>
      </c>
      <c r="AU771" s="150" t="s">
        <v>90</v>
      </c>
      <c r="AV771" s="148" t="s">
        <v>90</v>
      </c>
      <c r="AW771" s="148" t="s">
        <v>33</v>
      </c>
      <c r="AX771" s="148" t="s">
        <v>80</v>
      </c>
      <c r="AY771" s="150" t="s">
        <v>337</v>
      </c>
    </row>
    <row r="772" spans="2:51" s="148" customFormat="1" x14ac:dyDescent="0.2">
      <c r="B772" s="149"/>
      <c r="D772" s="143" t="s">
        <v>346</v>
      </c>
      <c r="E772" s="150"/>
      <c r="F772" s="151" t="s">
        <v>898</v>
      </c>
      <c r="H772" s="152">
        <v>4.7300000000000004</v>
      </c>
      <c r="L772" s="149"/>
      <c r="M772" s="153"/>
      <c r="T772" s="154"/>
      <c r="AT772" s="150" t="s">
        <v>346</v>
      </c>
      <c r="AU772" s="150" t="s">
        <v>90</v>
      </c>
      <c r="AV772" s="148" t="s">
        <v>90</v>
      </c>
      <c r="AW772" s="148" t="s">
        <v>33</v>
      </c>
      <c r="AX772" s="148" t="s">
        <v>80</v>
      </c>
      <c r="AY772" s="150" t="s">
        <v>337</v>
      </c>
    </row>
    <row r="773" spans="2:51" s="141" customFormat="1" x14ac:dyDescent="0.2">
      <c r="B773" s="142"/>
      <c r="D773" s="143" t="s">
        <v>346</v>
      </c>
      <c r="E773" s="144"/>
      <c r="F773" s="145" t="s">
        <v>370</v>
      </c>
      <c r="H773" s="144"/>
      <c r="L773" s="142"/>
      <c r="M773" s="146"/>
      <c r="T773" s="147"/>
      <c r="AT773" s="144" t="s">
        <v>346</v>
      </c>
      <c r="AU773" s="144" t="s">
        <v>90</v>
      </c>
      <c r="AV773" s="141" t="s">
        <v>87</v>
      </c>
      <c r="AW773" s="141" t="s">
        <v>33</v>
      </c>
      <c r="AX773" s="141" t="s">
        <v>80</v>
      </c>
      <c r="AY773" s="144" t="s">
        <v>337</v>
      </c>
    </row>
    <row r="774" spans="2:51" s="148" customFormat="1" x14ac:dyDescent="0.2">
      <c r="B774" s="149"/>
      <c r="D774" s="143" t="s">
        <v>346</v>
      </c>
      <c r="E774" s="150"/>
      <c r="F774" s="151" t="s">
        <v>896</v>
      </c>
      <c r="H774" s="152">
        <v>9.2929999999999993</v>
      </c>
      <c r="L774" s="149"/>
      <c r="M774" s="153"/>
      <c r="T774" s="154"/>
      <c r="AT774" s="150" t="s">
        <v>346</v>
      </c>
      <c r="AU774" s="150" t="s">
        <v>90</v>
      </c>
      <c r="AV774" s="148" t="s">
        <v>90</v>
      </c>
      <c r="AW774" s="148" t="s">
        <v>33</v>
      </c>
      <c r="AX774" s="148" t="s">
        <v>80</v>
      </c>
      <c r="AY774" s="150" t="s">
        <v>337</v>
      </c>
    </row>
    <row r="775" spans="2:51" s="148" customFormat="1" x14ac:dyDescent="0.2">
      <c r="B775" s="149"/>
      <c r="D775" s="143" t="s">
        <v>346</v>
      </c>
      <c r="E775" s="150"/>
      <c r="F775" s="151" t="s">
        <v>899</v>
      </c>
      <c r="H775" s="152">
        <v>2.86</v>
      </c>
      <c r="L775" s="149"/>
      <c r="M775" s="153"/>
      <c r="T775" s="154"/>
      <c r="AT775" s="150" t="s">
        <v>346</v>
      </c>
      <c r="AU775" s="150" t="s">
        <v>90</v>
      </c>
      <c r="AV775" s="148" t="s">
        <v>90</v>
      </c>
      <c r="AW775" s="148" t="s">
        <v>33</v>
      </c>
      <c r="AX775" s="148" t="s">
        <v>80</v>
      </c>
      <c r="AY775" s="150" t="s">
        <v>337</v>
      </c>
    </row>
    <row r="776" spans="2:51" s="148" customFormat="1" x14ac:dyDescent="0.2">
      <c r="B776" s="149"/>
      <c r="D776" s="143" t="s">
        <v>346</v>
      </c>
      <c r="E776" s="150"/>
      <c r="F776" s="151" t="s">
        <v>900</v>
      </c>
      <c r="H776" s="152">
        <v>0.96</v>
      </c>
      <c r="L776" s="149"/>
      <c r="M776" s="153"/>
      <c r="T776" s="154"/>
      <c r="AT776" s="150" t="s">
        <v>346</v>
      </c>
      <c r="AU776" s="150" t="s">
        <v>90</v>
      </c>
      <c r="AV776" s="148" t="s">
        <v>90</v>
      </c>
      <c r="AW776" s="148" t="s">
        <v>33</v>
      </c>
      <c r="AX776" s="148" t="s">
        <v>80</v>
      </c>
      <c r="AY776" s="150" t="s">
        <v>337</v>
      </c>
    </row>
    <row r="777" spans="2:51" s="141" customFormat="1" x14ac:dyDescent="0.2">
      <c r="B777" s="142"/>
      <c r="D777" s="143" t="s">
        <v>346</v>
      </c>
      <c r="E777" s="144"/>
      <c r="F777" s="145" t="s">
        <v>434</v>
      </c>
      <c r="H777" s="144"/>
      <c r="L777" s="142"/>
      <c r="M777" s="146"/>
      <c r="T777" s="147"/>
      <c r="AT777" s="144" t="s">
        <v>346</v>
      </c>
      <c r="AU777" s="144" t="s">
        <v>90</v>
      </c>
      <c r="AV777" s="141" t="s">
        <v>87</v>
      </c>
      <c r="AW777" s="141" t="s">
        <v>33</v>
      </c>
      <c r="AX777" s="141" t="s">
        <v>80</v>
      </c>
      <c r="AY777" s="144" t="s">
        <v>337</v>
      </c>
    </row>
    <row r="778" spans="2:51" s="148" customFormat="1" x14ac:dyDescent="0.2">
      <c r="B778" s="149"/>
      <c r="D778" s="143" t="s">
        <v>346</v>
      </c>
      <c r="E778" s="150"/>
      <c r="F778" s="151" t="s">
        <v>896</v>
      </c>
      <c r="H778" s="152">
        <v>9.2929999999999993</v>
      </c>
      <c r="L778" s="149"/>
      <c r="M778" s="153"/>
      <c r="T778" s="154"/>
      <c r="AT778" s="150" t="s">
        <v>346</v>
      </c>
      <c r="AU778" s="150" t="s">
        <v>90</v>
      </c>
      <c r="AV778" s="148" t="s">
        <v>90</v>
      </c>
      <c r="AW778" s="148" t="s">
        <v>33</v>
      </c>
      <c r="AX778" s="148" t="s">
        <v>80</v>
      </c>
      <c r="AY778" s="150" t="s">
        <v>337</v>
      </c>
    </row>
    <row r="779" spans="2:51" s="172" customFormat="1" x14ac:dyDescent="0.2">
      <c r="B779" s="173"/>
      <c r="D779" s="143" t="s">
        <v>346</v>
      </c>
      <c r="E779" s="174" t="s">
        <v>251</v>
      </c>
      <c r="F779" s="175" t="s">
        <v>609</v>
      </c>
      <c r="H779" s="176">
        <v>56.546999999999997</v>
      </c>
      <c r="L779" s="173"/>
      <c r="M779" s="177"/>
      <c r="T779" s="178"/>
      <c r="AT779" s="174" t="s">
        <v>346</v>
      </c>
      <c r="AU779" s="174" t="s">
        <v>90</v>
      </c>
      <c r="AV779" s="172" t="s">
        <v>113</v>
      </c>
      <c r="AW779" s="172" t="s">
        <v>33</v>
      </c>
      <c r="AX779" s="172" t="s">
        <v>80</v>
      </c>
      <c r="AY779" s="174" t="s">
        <v>337</v>
      </c>
    </row>
    <row r="780" spans="2:51" s="141" customFormat="1" x14ac:dyDescent="0.2">
      <c r="B780" s="142"/>
      <c r="D780" s="143" t="s">
        <v>346</v>
      </c>
      <c r="E780" s="144"/>
      <c r="F780" s="145" t="s">
        <v>901</v>
      </c>
      <c r="H780" s="144"/>
      <c r="L780" s="142"/>
      <c r="M780" s="146"/>
      <c r="T780" s="147"/>
      <c r="AT780" s="144" t="s">
        <v>346</v>
      </c>
      <c r="AU780" s="144" t="s">
        <v>90</v>
      </c>
      <c r="AV780" s="141" t="s">
        <v>87</v>
      </c>
      <c r="AW780" s="141" t="s">
        <v>33</v>
      </c>
      <c r="AX780" s="141" t="s">
        <v>80</v>
      </c>
      <c r="AY780" s="144" t="s">
        <v>337</v>
      </c>
    </row>
    <row r="781" spans="2:51" s="148" customFormat="1" x14ac:dyDescent="0.2">
      <c r="B781" s="149"/>
      <c r="D781" s="143" t="s">
        <v>346</v>
      </c>
      <c r="E781" s="150"/>
      <c r="F781" s="151" t="s">
        <v>254</v>
      </c>
      <c r="H781" s="152">
        <v>526.46</v>
      </c>
      <c r="L781" s="149"/>
      <c r="M781" s="153"/>
      <c r="T781" s="154"/>
      <c r="AT781" s="150" t="s">
        <v>346</v>
      </c>
      <c r="AU781" s="150" t="s">
        <v>90</v>
      </c>
      <c r="AV781" s="148" t="s">
        <v>90</v>
      </c>
      <c r="AW781" s="148" t="s">
        <v>33</v>
      </c>
      <c r="AX781" s="148" t="s">
        <v>80</v>
      </c>
      <c r="AY781" s="150" t="s">
        <v>337</v>
      </c>
    </row>
    <row r="782" spans="2:51" s="172" customFormat="1" x14ac:dyDescent="0.2">
      <c r="B782" s="173"/>
      <c r="D782" s="143" t="s">
        <v>346</v>
      </c>
      <c r="E782" s="174" t="s">
        <v>253</v>
      </c>
      <c r="F782" s="175" t="s">
        <v>609</v>
      </c>
      <c r="H782" s="176">
        <v>526.46</v>
      </c>
      <c r="L782" s="173"/>
      <c r="M782" s="177"/>
      <c r="T782" s="178"/>
      <c r="AT782" s="174" t="s">
        <v>346</v>
      </c>
      <c r="AU782" s="174" t="s">
        <v>90</v>
      </c>
      <c r="AV782" s="172" t="s">
        <v>113</v>
      </c>
      <c r="AW782" s="172" t="s">
        <v>33</v>
      </c>
      <c r="AX782" s="172" t="s">
        <v>80</v>
      </c>
      <c r="AY782" s="174" t="s">
        <v>337</v>
      </c>
    </row>
    <row r="783" spans="2:51" s="141" customFormat="1" x14ac:dyDescent="0.2">
      <c r="B783" s="142"/>
      <c r="D783" s="143" t="s">
        <v>346</v>
      </c>
      <c r="E783" s="144"/>
      <c r="F783" s="145" t="s">
        <v>902</v>
      </c>
      <c r="H783" s="144"/>
      <c r="L783" s="142"/>
      <c r="M783" s="146"/>
      <c r="T783" s="147"/>
      <c r="AT783" s="144" t="s">
        <v>346</v>
      </c>
      <c r="AU783" s="144" t="s">
        <v>90</v>
      </c>
      <c r="AV783" s="141" t="s">
        <v>87</v>
      </c>
      <c r="AW783" s="141" t="s">
        <v>33</v>
      </c>
      <c r="AX783" s="141" t="s">
        <v>80</v>
      </c>
      <c r="AY783" s="144" t="s">
        <v>337</v>
      </c>
    </row>
    <row r="784" spans="2:51" s="148" customFormat="1" x14ac:dyDescent="0.2">
      <c r="B784" s="149"/>
      <c r="D784" s="143" t="s">
        <v>346</v>
      </c>
      <c r="E784" s="150"/>
      <c r="F784" s="151" t="s">
        <v>903</v>
      </c>
      <c r="H784" s="152">
        <v>333.37</v>
      </c>
      <c r="L784" s="149"/>
      <c r="M784" s="153"/>
      <c r="T784" s="154"/>
      <c r="AT784" s="150" t="s">
        <v>346</v>
      </c>
      <c r="AU784" s="150" t="s">
        <v>90</v>
      </c>
      <c r="AV784" s="148" t="s">
        <v>90</v>
      </c>
      <c r="AW784" s="148" t="s">
        <v>33</v>
      </c>
      <c r="AX784" s="148" t="s">
        <v>80</v>
      </c>
      <c r="AY784" s="150" t="s">
        <v>337</v>
      </c>
    </row>
    <row r="785" spans="2:51" s="148" customFormat="1" x14ac:dyDescent="0.2">
      <c r="B785" s="149"/>
      <c r="D785" s="143" t="s">
        <v>346</v>
      </c>
      <c r="E785" s="150"/>
      <c r="F785" s="151" t="s">
        <v>904</v>
      </c>
      <c r="H785" s="152">
        <v>97.47</v>
      </c>
      <c r="L785" s="149"/>
      <c r="M785" s="153"/>
      <c r="T785" s="154"/>
      <c r="AT785" s="150" t="s">
        <v>346</v>
      </c>
      <c r="AU785" s="150" t="s">
        <v>90</v>
      </c>
      <c r="AV785" s="148" t="s">
        <v>90</v>
      </c>
      <c r="AW785" s="148" t="s">
        <v>33</v>
      </c>
      <c r="AX785" s="148" t="s">
        <v>80</v>
      </c>
      <c r="AY785" s="150" t="s">
        <v>337</v>
      </c>
    </row>
    <row r="786" spans="2:51" s="141" customFormat="1" x14ac:dyDescent="0.2">
      <c r="B786" s="142"/>
      <c r="D786" s="143" t="s">
        <v>346</v>
      </c>
      <c r="E786" s="144"/>
      <c r="F786" s="145" t="s">
        <v>905</v>
      </c>
      <c r="H786" s="144"/>
      <c r="L786" s="142"/>
      <c r="M786" s="146"/>
      <c r="T786" s="147"/>
      <c r="AT786" s="144" t="s">
        <v>346</v>
      </c>
      <c r="AU786" s="144" t="s">
        <v>90</v>
      </c>
      <c r="AV786" s="141" t="s">
        <v>87</v>
      </c>
      <c r="AW786" s="141" t="s">
        <v>33</v>
      </c>
      <c r="AX786" s="141" t="s">
        <v>80</v>
      </c>
      <c r="AY786" s="144" t="s">
        <v>337</v>
      </c>
    </row>
    <row r="787" spans="2:51" s="148" customFormat="1" x14ac:dyDescent="0.2">
      <c r="B787" s="149"/>
      <c r="D787" s="143" t="s">
        <v>346</v>
      </c>
      <c r="E787" s="150"/>
      <c r="F787" s="151" t="s">
        <v>906</v>
      </c>
      <c r="H787" s="152">
        <v>-24.625</v>
      </c>
      <c r="L787" s="149"/>
      <c r="M787" s="153"/>
      <c r="T787" s="154"/>
      <c r="AT787" s="150" t="s">
        <v>346</v>
      </c>
      <c r="AU787" s="150" t="s">
        <v>90</v>
      </c>
      <c r="AV787" s="148" t="s">
        <v>90</v>
      </c>
      <c r="AW787" s="148" t="s">
        <v>33</v>
      </c>
      <c r="AX787" s="148" t="s">
        <v>80</v>
      </c>
      <c r="AY787" s="150" t="s">
        <v>337</v>
      </c>
    </row>
    <row r="788" spans="2:51" s="172" customFormat="1" x14ac:dyDescent="0.2">
      <c r="B788" s="173"/>
      <c r="D788" s="143" t="s">
        <v>346</v>
      </c>
      <c r="E788" s="174" t="s">
        <v>255</v>
      </c>
      <c r="F788" s="175" t="s">
        <v>609</v>
      </c>
      <c r="H788" s="176">
        <v>406.21499999999997</v>
      </c>
      <c r="L788" s="173"/>
      <c r="M788" s="177"/>
      <c r="T788" s="178"/>
      <c r="AT788" s="174" t="s">
        <v>346</v>
      </c>
      <c r="AU788" s="174" t="s">
        <v>90</v>
      </c>
      <c r="AV788" s="172" t="s">
        <v>113</v>
      </c>
      <c r="AW788" s="172" t="s">
        <v>33</v>
      </c>
      <c r="AX788" s="172" t="s">
        <v>80</v>
      </c>
      <c r="AY788" s="174" t="s">
        <v>337</v>
      </c>
    </row>
    <row r="789" spans="2:51" s="141" customFormat="1" x14ac:dyDescent="0.2">
      <c r="B789" s="142"/>
      <c r="D789" s="143" t="s">
        <v>346</v>
      </c>
      <c r="E789" s="144"/>
      <c r="F789" s="145" t="s">
        <v>907</v>
      </c>
      <c r="H789" s="144"/>
      <c r="L789" s="142"/>
      <c r="M789" s="146"/>
      <c r="T789" s="147"/>
      <c r="AT789" s="144" t="s">
        <v>346</v>
      </c>
      <c r="AU789" s="144" t="s">
        <v>90</v>
      </c>
      <c r="AV789" s="141" t="s">
        <v>87</v>
      </c>
      <c r="AW789" s="141" t="s">
        <v>33</v>
      </c>
      <c r="AX789" s="141" t="s">
        <v>80</v>
      </c>
      <c r="AY789" s="144" t="s">
        <v>337</v>
      </c>
    </row>
    <row r="790" spans="2:51" s="148" customFormat="1" x14ac:dyDescent="0.2">
      <c r="B790" s="149"/>
      <c r="D790" s="143" t="s">
        <v>346</v>
      </c>
      <c r="E790" s="150"/>
      <c r="F790" s="151" t="s">
        <v>908</v>
      </c>
      <c r="H790" s="152">
        <v>24.625</v>
      </c>
      <c r="L790" s="149"/>
      <c r="M790" s="153"/>
      <c r="T790" s="154"/>
      <c r="AT790" s="150" t="s">
        <v>346</v>
      </c>
      <c r="AU790" s="150" t="s">
        <v>90</v>
      </c>
      <c r="AV790" s="148" t="s">
        <v>90</v>
      </c>
      <c r="AW790" s="148" t="s">
        <v>33</v>
      </c>
      <c r="AX790" s="148" t="s">
        <v>80</v>
      </c>
      <c r="AY790" s="150" t="s">
        <v>337</v>
      </c>
    </row>
    <row r="791" spans="2:51" s="172" customFormat="1" x14ac:dyDescent="0.2">
      <c r="B791" s="173"/>
      <c r="D791" s="143" t="s">
        <v>346</v>
      </c>
      <c r="E791" s="174" t="s">
        <v>257</v>
      </c>
      <c r="F791" s="175" t="s">
        <v>609</v>
      </c>
      <c r="H791" s="176">
        <v>24.625</v>
      </c>
      <c r="L791" s="173"/>
      <c r="M791" s="177"/>
      <c r="T791" s="178"/>
      <c r="AT791" s="174" t="s">
        <v>346</v>
      </c>
      <c r="AU791" s="174" t="s">
        <v>90</v>
      </c>
      <c r="AV791" s="172" t="s">
        <v>113</v>
      </c>
      <c r="AW791" s="172" t="s">
        <v>33</v>
      </c>
      <c r="AX791" s="172" t="s">
        <v>80</v>
      </c>
      <c r="AY791" s="174" t="s">
        <v>337</v>
      </c>
    </row>
    <row r="792" spans="2:51" s="141" customFormat="1" x14ac:dyDescent="0.2">
      <c r="B792" s="142"/>
      <c r="D792" s="143" t="s">
        <v>346</v>
      </c>
      <c r="E792" s="144"/>
      <c r="F792" s="145" t="s">
        <v>909</v>
      </c>
      <c r="H792" s="144"/>
      <c r="L792" s="142"/>
      <c r="M792" s="146"/>
      <c r="T792" s="147"/>
      <c r="AT792" s="144" t="s">
        <v>346</v>
      </c>
      <c r="AU792" s="144" t="s">
        <v>90</v>
      </c>
      <c r="AV792" s="141" t="s">
        <v>87</v>
      </c>
      <c r="AW792" s="141" t="s">
        <v>33</v>
      </c>
      <c r="AX792" s="141" t="s">
        <v>80</v>
      </c>
      <c r="AY792" s="144" t="s">
        <v>337</v>
      </c>
    </row>
    <row r="793" spans="2:51" s="148" customFormat="1" x14ac:dyDescent="0.2">
      <c r="B793" s="149"/>
      <c r="D793" s="143" t="s">
        <v>346</v>
      </c>
      <c r="E793" s="150"/>
      <c r="F793" s="151" t="s">
        <v>260</v>
      </c>
      <c r="H793" s="152">
        <v>4.37</v>
      </c>
      <c r="L793" s="149"/>
      <c r="M793" s="153"/>
      <c r="T793" s="154"/>
      <c r="AT793" s="150" t="s">
        <v>346</v>
      </c>
      <c r="AU793" s="150" t="s">
        <v>90</v>
      </c>
      <c r="AV793" s="148" t="s">
        <v>90</v>
      </c>
      <c r="AW793" s="148" t="s">
        <v>33</v>
      </c>
      <c r="AX793" s="148" t="s">
        <v>80</v>
      </c>
      <c r="AY793" s="150" t="s">
        <v>337</v>
      </c>
    </row>
    <row r="794" spans="2:51" s="172" customFormat="1" x14ac:dyDescent="0.2">
      <c r="B794" s="173"/>
      <c r="D794" s="143" t="s">
        <v>346</v>
      </c>
      <c r="E794" s="174" t="s">
        <v>259</v>
      </c>
      <c r="F794" s="175" t="s">
        <v>609</v>
      </c>
      <c r="H794" s="176">
        <v>4.37</v>
      </c>
      <c r="L794" s="173"/>
      <c r="M794" s="177"/>
      <c r="T794" s="178"/>
      <c r="AT794" s="174" t="s">
        <v>346</v>
      </c>
      <c r="AU794" s="174" t="s">
        <v>90</v>
      </c>
      <c r="AV794" s="172" t="s">
        <v>113</v>
      </c>
      <c r="AW794" s="172" t="s">
        <v>33</v>
      </c>
      <c r="AX794" s="172" t="s">
        <v>80</v>
      </c>
      <c r="AY794" s="174" t="s">
        <v>337</v>
      </c>
    </row>
    <row r="795" spans="2:51" s="141" customFormat="1" x14ac:dyDescent="0.2">
      <c r="B795" s="142"/>
      <c r="D795" s="143" t="s">
        <v>346</v>
      </c>
      <c r="E795" s="144"/>
      <c r="F795" s="145" t="s">
        <v>910</v>
      </c>
      <c r="H795" s="144"/>
      <c r="L795" s="142"/>
      <c r="M795" s="146"/>
      <c r="T795" s="147"/>
      <c r="AT795" s="144" t="s">
        <v>346</v>
      </c>
      <c r="AU795" s="144" t="s">
        <v>90</v>
      </c>
      <c r="AV795" s="141" t="s">
        <v>87</v>
      </c>
      <c r="AW795" s="141" t="s">
        <v>33</v>
      </c>
      <c r="AX795" s="141" t="s">
        <v>80</v>
      </c>
      <c r="AY795" s="144" t="s">
        <v>337</v>
      </c>
    </row>
    <row r="796" spans="2:51" s="141" customFormat="1" x14ac:dyDescent="0.2">
      <c r="B796" s="142"/>
      <c r="D796" s="143" t="s">
        <v>346</v>
      </c>
      <c r="E796" s="144"/>
      <c r="F796" s="145" t="s">
        <v>911</v>
      </c>
      <c r="H796" s="144"/>
      <c r="L796" s="142"/>
      <c r="M796" s="146"/>
      <c r="T796" s="147"/>
      <c r="AT796" s="144" t="s">
        <v>346</v>
      </c>
      <c r="AU796" s="144" t="s">
        <v>90</v>
      </c>
      <c r="AV796" s="141" t="s">
        <v>87</v>
      </c>
      <c r="AW796" s="141" t="s">
        <v>33</v>
      </c>
      <c r="AX796" s="141" t="s">
        <v>80</v>
      </c>
      <c r="AY796" s="144" t="s">
        <v>337</v>
      </c>
    </row>
    <row r="797" spans="2:51" s="148" customFormat="1" x14ac:dyDescent="0.2">
      <c r="B797" s="149"/>
      <c r="D797" s="143" t="s">
        <v>346</v>
      </c>
      <c r="E797" s="150"/>
      <c r="F797" s="151" t="s">
        <v>912</v>
      </c>
      <c r="H797" s="152">
        <v>102.85</v>
      </c>
      <c r="L797" s="149"/>
      <c r="M797" s="153"/>
      <c r="T797" s="154"/>
      <c r="AT797" s="150" t="s">
        <v>346</v>
      </c>
      <c r="AU797" s="150" t="s">
        <v>90</v>
      </c>
      <c r="AV797" s="148" t="s">
        <v>90</v>
      </c>
      <c r="AW797" s="148" t="s">
        <v>33</v>
      </c>
      <c r="AX797" s="148" t="s">
        <v>80</v>
      </c>
      <c r="AY797" s="150" t="s">
        <v>337</v>
      </c>
    </row>
    <row r="798" spans="2:51" s="148" customFormat="1" x14ac:dyDescent="0.2">
      <c r="B798" s="149"/>
      <c r="D798" s="143" t="s">
        <v>346</v>
      </c>
      <c r="E798" s="150"/>
      <c r="F798" s="151" t="s">
        <v>913</v>
      </c>
      <c r="H798" s="152">
        <v>7.65</v>
      </c>
      <c r="L798" s="149"/>
      <c r="M798" s="153"/>
      <c r="T798" s="154"/>
      <c r="AT798" s="150" t="s">
        <v>346</v>
      </c>
      <c r="AU798" s="150" t="s">
        <v>90</v>
      </c>
      <c r="AV798" s="148" t="s">
        <v>90</v>
      </c>
      <c r="AW798" s="148" t="s">
        <v>33</v>
      </c>
      <c r="AX798" s="148" t="s">
        <v>80</v>
      </c>
      <c r="AY798" s="150" t="s">
        <v>337</v>
      </c>
    </row>
    <row r="799" spans="2:51" s="141" customFormat="1" x14ac:dyDescent="0.2">
      <c r="B799" s="142"/>
      <c r="D799" s="143" t="s">
        <v>346</v>
      </c>
      <c r="E799" s="144"/>
      <c r="F799" s="145" t="s">
        <v>914</v>
      </c>
      <c r="H799" s="144"/>
      <c r="L799" s="142"/>
      <c r="M799" s="146"/>
      <c r="T799" s="147"/>
      <c r="AT799" s="144" t="s">
        <v>346</v>
      </c>
      <c r="AU799" s="144" t="s">
        <v>90</v>
      </c>
      <c r="AV799" s="141" t="s">
        <v>87</v>
      </c>
      <c r="AW799" s="141" t="s">
        <v>33</v>
      </c>
      <c r="AX799" s="141" t="s">
        <v>80</v>
      </c>
      <c r="AY799" s="144" t="s">
        <v>337</v>
      </c>
    </row>
    <row r="800" spans="2:51" s="148" customFormat="1" x14ac:dyDescent="0.2">
      <c r="B800" s="149"/>
      <c r="D800" s="143" t="s">
        <v>346</v>
      </c>
      <c r="E800" s="150"/>
      <c r="F800" s="151" t="s">
        <v>915</v>
      </c>
      <c r="H800" s="152">
        <v>26.268000000000001</v>
      </c>
      <c r="L800" s="149"/>
      <c r="M800" s="153"/>
      <c r="T800" s="154"/>
      <c r="AT800" s="150" t="s">
        <v>346</v>
      </c>
      <c r="AU800" s="150" t="s">
        <v>90</v>
      </c>
      <c r="AV800" s="148" t="s">
        <v>90</v>
      </c>
      <c r="AW800" s="148" t="s">
        <v>33</v>
      </c>
      <c r="AX800" s="148" t="s">
        <v>80</v>
      </c>
      <c r="AY800" s="150" t="s">
        <v>337</v>
      </c>
    </row>
    <row r="801" spans="2:51" s="148" customFormat="1" x14ac:dyDescent="0.2">
      <c r="B801" s="149"/>
      <c r="D801" s="143" t="s">
        <v>346</v>
      </c>
      <c r="E801" s="150"/>
      <c r="F801" s="151" t="s">
        <v>916</v>
      </c>
      <c r="H801" s="152">
        <v>3.6</v>
      </c>
      <c r="L801" s="149"/>
      <c r="M801" s="153"/>
      <c r="T801" s="154"/>
      <c r="AT801" s="150" t="s">
        <v>346</v>
      </c>
      <c r="AU801" s="150" t="s">
        <v>90</v>
      </c>
      <c r="AV801" s="148" t="s">
        <v>90</v>
      </c>
      <c r="AW801" s="148" t="s">
        <v>33</v>
      </c>
      <c r="AX801" s="148" t="s">
        <v>80</v>
      </c>
      <c r="AY801" s="150" t="s">
        <v>337</v>
      </c>
    </row>
    <row r="802" spans="2:51" s="172" customFormat="1" x14ac:dyDescent="0.2">
      <c r="B802" s="173"/>
      <c r="D802" s="143" t="s">
        <v>346</v>
      </c>
      <c r="E802" s="174" t="s">
        <v>261</v>
      </c>
      <c r="F802" s="175" t="s">
        <v>609</v>
      </c>
      <c r="H802" s="176">
        <v>140.36799999999999</v>
      </c>
      <c r="L802" s="173"/>
      <c r="M802" s="177"/>
      <c r="T802" s="178"/>
      <c r="AT802" s="174" t="s">
        <v>346</v>
      </c>
      <c r="AU802" s="174" t="s">
        <v>90</v>
      </c>
      <c r="AV802" s="172" t="s">
        <v>113</v>
      </c>
      <c r="AW802" s="172" t="s">
        <v>33</v>
      </c>
      <c r="AX802" s="172" t="s">
        <v>80</v>
      </c>
      <c r="AY802" s="174" t="s">
        <v>337</v>
      </c>
    </row>
    <row r="803" spans="2:51" s="141" customFormat="1" x14ac:dyDescent="0.2">
      <c r="B803" s="142"/>
      <c r="D803" s="143" t="s">
        <v>346</v>
      </c>
      <c r="E803" s="144"/>
      <c r="F803" s="145" t="s">
        <v>917</v>
      </c>
      <c r="H803" s="144"/>
      <c r="L803" s="142"/>
      <c r="M803" s="146"/>
      <c r="T803" s="147"/>
      <c r="AT803" s="144" t="s">
        <v>346</v>
      </c>
      <c r="AU803" s="144" t="s">
        <v>90</v>
      </c>
      <c r="AV803" s="141" t="s">
        <v>87</v>
      </c>
      <c r="AW803" s="141" t="s">
        <v>33</v>
      </c>
      <c r="AX803" s="141" t="s">
        <v>80</v>
      </c>
      <c r="AY803" s="144" t="s">
        <v>337</v>
      </c>
    </row>
    <row r="804" spans="2:51" s="141" customFormat="1" x14ac:dyDescent="0.2">
      <c r="B804" s="142"/>
      <c r="D804" s="143" t="s">
        <v>346</v>
      </c>
      <c r="E804" s="144"/>
      <c r="F804" s="145" t="s">
        <v>918</v>
      </c>
      <c r="H804" s="144"/>
      <c r="L804" s="142"/>
      <c r="M804" s="146"/>
      <c r="T804" s="147"/>
      <c r="AT804" s="144" t="s">
        <v>346</v>
      </c>
      <c r="AU804" s="144" t="s">
        <v>90</v>
      </c>
      <c r="AV804" s="141" t="s">
        <v>87</v>
      </c>
      <c r="AW804" s="141" t="s">
        <v>33</v>
      </c>
      <c r="AX804" s="141" t="s">
        <v>80</v>
      </c>
      <c r="AY804" s="144" t="s">
        <v>337</v>
      </c>
    </row>
    <row r="805" spans="2:51" s="141" customFormat="1" x14ac:dyDescent="0.2">
      <c r="B805" s="142"/>
      <c r="D805" s="143" t="s">
        <v>346</v>
      </c>
      <c r="E805" s="144"/>
      <c r="F805" s="145" t="s">
        <v>919</v>
      </c>
      <c r="H805" s="144"/>
      <c r="L805" s="142"/>
      <c r="M805" s="146"/>
      <c r="T805" s="147"/>
      <c r="AT805" s="144" t="s">
        <v>346</v>
      </c>
      <c r="AU805" s="144" t="s">
        <v>90</v>
      </c>
      <c r="AV805" s="141" t="s">
        <v>87</v>
      </c>
      <c r="AW805" s="141" t="s">
        <v>33</v>
      </c>
      <c r="AX805" s="141" t="s">
        <v>80</v>
      </c>
      <c r="AY805" s="144" t="s">
        <v>337</v>
      </c>
    </row>
    <row r="806" spans="2:51" s="148" customFormat="1" x14ac:dyDescent="0.2">
      <c r="B806" s="149"/>
      <c r="D806" s="143" t="s">
        <v>346</v>
      </c>
      <c r="E806" s="150"/>
      <c r="F806" s="151" t="s">
        <v>920</v>
      </c>
      <c r="H806" s="152">
        <v>6.26</v>
      </c>
      <c r="L806" s="149"/>
      <c r="M806" s="153"/>
      <c r="T806" s="154"/>
      <c r="AT806" s="150" t="s">
        <v>346</v>
      </c>
      <c r="AU806" s="150" t="s">
        <v>90</v>
      </c>
      <c r="AV806" s="148" t="s">
        <v>90</v>
      </c>
      <c r="AW806" s="148" t="s">
        <v>33</v>
      </c>
      <c r="AX806" s="148" t="s">
        <v>80</v>
      </c>
      <c r="AY806" s="150" t="s">
        <v>337</v>
      </c>
    </row>
    <row r="807" spans="2:51" s="141" customFormat="1" x14ac:dyDescent="0.2">
      <c r="B807" s="142"/>
      <c r="D807" s="143" t="s">
        <v>346</v>
      </c>
      <c r="E807" s="144"/>
      <c r="F807" s="145" t="s">
        <v>921</v>
      </c>
      <c r="H807" s="144"/>
      <c r="L807" s="142"/>
      <c r="M807" s="146"/>
      <c r="T807" s="147"/>
      <c r="AT807" s="144" t="s">
        <v>346</v>
      </c>
      <c r="AU807" s="144" t="s">
        <v>90</v>
      </c>
      <c r="AV807" s="141" t="s">
        <v>87</v>
      </c>
      <c r="AW807" s="141" t="s">
        <v>33</v>
      </c>
      <c r="AX807" s="141" t="s">
        <v>80</v>
      </c>
      <c r="AY807" s="144" t="s">
        <v>337</v>
      </c>
    </row>
    <row r="808" spans="2:51" s="148" customFormat="1" x14ac:dyDescent="0.2">
      <c r="B808" s="149"/>
      <c r="D808" s="143" t="s">
        <v>346</v>
      </c>
      <c r="E808" s="150"/>
      <c r="F808" s="151" t="s">
        <v>922</v>
      </c>
      <c r="H808" s="152">
        <v>20.501999999999999</v>
      </c>
      <c r="L808" s="149"/>
      <c r="M808" s="153"/>
      <c r="T808" s="154"/>
      <c r="AT808" s="150" t="s">
        <v>346</v>
      </c>
      <c r="AU808" s="150" t="s">
        <v>90</v>
      </c>
      <c r="AV808" s="148" t="s">
        <v>90</v>
      </c>
      <c r="AW808" s="148" t="s">
        <v>33</v>
      </c>
      <c r="AX808" s="148" t="s">
        <v>80</v>
      </c>
      <c r="AY808" s="150" t="s">
        <v>337</v>
      </c>
    </row>
    <row r="809" spans="2:51" s="172" customFormat="1" x14ac:dyDescent="0.2">
      <c r="B809" s="173"/>
      <c r="D809" s="143" t="s">
        <v>346</v>
      </c>
      <c r="E809" s="174" t="s">
        <v>263</v>
      </c>
      <c r="F809" s="175" t="s">
        <v>609</v>
      </c>
      <c r="H809" s="176">
        <v>26.762</v>
      </c>
      <c r="L809" s="173"/>
      <c r="M809" s="177"/>
      <c r="T809" s="178"/>
      <c r="AT809" s="174" t="s">
        <v>346</v>
      </c>
      <c r="AU809" s="174" t="s">
        <v>90</v>
      </c>
      <c r="AV809" s="172" t="s">
        <v>113</v>
      </c>
      <c r="AW809" s="172" t="s">
        <v>33</v>
      </c>
      <c r="AX809" s="172" t="s">
        <v>80</v>
      </c>
      <c r="AY809" s="174" t="s">
        <v>337</v>
      </c>
    </row>
    <row r="810" spans="2:51" s="141" customFormat="1" x14ac:dyDescent="0.2">
      <c r="B810" s="142"/>
      <c r="D810" s="143" t="s">
        <v>346</v>
      </c>
      <c r="E810" s="144"/>
      <c r="F810" s="145" t="s">
        <v>923</v>
      </c>
      <c r="H810" s="144"/>
      <c r="L810" s="142"/>
      <c r="M810" s="146"/>
      <c r="T810" s="147"/>
      <c r="AT810" s="144" t="s">
        <v>346</v>
      </c>
      <c r="AU810" s="144" t="s">
        <v>90</v>
      </c>
      <c r="AV810" s="141" t="s">
        <v>87</v>
      </c>
      <c r="AW810" s="141" t="s">
        <v>33</v>
      </c>
      <c r="AX810" s="141" t="s">
        <v>80</v>
      </c>
      <c r="AY810" s="144" t="s">
        <v>337</v>
      </c>
    </row>
    <row r="811" spans="2:51" s="148" customFormat="1" x14ac:dyDescent="0.2">
      <c r="B811" s="149"/>
      <c r="D811" s="143" t="s">
        <v>346</v>
      </c>
      <c r="E811" s="150"/>
      <c r="F811" s="151" t="s">
        <v>266</v>
      </c>
      <c r="H811" s="152">
        <v>261.39</v>
      </c>
      <c r="L811" s="149"/>
      <c r="M811" s="153"/>
      <c r="T811" s="154"/>
      <c r="AT811" s="150" t="s">
        <v>346</v>
      </c>
      <c r="AU811" s="150" t="s">
        <v>90</v>
      </c>
      <c r="AV811" s="148" t="s">
        <v>90</v>
      </c>
      <c r="AW811" s="148" t="s">
        <v>33</v>
      </c>
      <c r="AX811" s="148" t="s">
        <v>80</v>
      </c>
      <c r="AY811" s="150" t="s">
        <v>337</v>
      </c>
    </row>
    <row r="812" spans="2:51" s="172" customFormat="1" x14ac:dyDescent="0.2">
      <c r="B812" s="173"/>
      <c r="D812" s="143" t="s">
        <v>346</v>
      </c>
      <c r="E812" s="174" t="s">
        <v>265</v>
      </c>
      <c r="F812" s="175" t="s">
        <v>609</v>
      </c>
      <c r="H812" s="176">
        <v>261.39</v>
      </c>
      <c r="L812" s="173"/>
      <c r="M812" s="177"/>
      <c r="T812" s="178"/>
      <c r="AT812" s="174" t="s">
        <v>346</v>
      </c>
      <c r="AU812" s="174" t="s">
        <v>90</v>
      </c>
      <c r="AV812" s="172" t="s">
        <v>113</v>
      </c>
      <c r="AW812" s="172" t="s">
        <v>33</v>
      </c>
      <c r="AX812" s="172" t="s">
        <v>80</v>
      </c>
      <c r="AY812" s="174" t="s">
        <v>337</v>
      </c>
    </row>
    <row r="813" spans="2:51" s="141" customFormat="1" x14ac:dyDescent="0.2">
      <c r="B813" s="142"/>
      <c r="D813" s="143" t="s">
        <v>346</v>
      </c>
      <c r="E813" s="144"/>
      <c r="F813" s="145" t="s">
        <v>924</v>
      </c>
      <c r="H813" s="144"/>
      <c r="L813" s="142"/>
      <c r="M813" s="146"/>
      <c r="T813" s="147"/>
      <c r="AT813" s="144" t="s">
        <v>346</v>
      </c>
      <c r="AU813" s="144" t="s">
        <v>90</v>
      </c>
      <c r="AV813" s="141" t="s">
        <v>87</v>
      </c>
      <c r="AW813" s="141" t="s">
        <v>33</v>
      </c>
      <c r="AX813" s="141" t="s">
        <v>80</v>
      </c>
      <c r="AY813" s="144" t="s">
        <v>337</v>
      </c>
    </row>
    <row r="814" spans="2:51" s="148" customFormat="1" x14ac:dyDescent="0.2">
      <c r="B814" s="149"/>
      <c r="D814" s="143" t="s">
        <v>346</v>
      </c>
      <c r="E814" s="150"/>
      <c r="F814" s="151" t="s">
        <v>229</v>
      </c>
      <c r="H814" s="152">
        <v>200.96</v>
      </c>
      <c r="L814" s="149"/>
      <c r="M814" s="153"/>
      <c r="T814" s="154"/>
      <c r="AT814" s="150" t="s">
        <v>346</v>
      </c>
      <c r="AU814" s="150" t="s">
        <v>90</v>
      </c>
      <c r="AV814" s="148" t="s">
        <v>90</v>
      </c>
      <c r="AW814" s="148" t="s">
        <v>33</v>
      </c>
      <c r="AX814" s="148" t="s">
        <v>80</v>
      </c>
      <c r="AY814" s="150" t="s">
        <v>337</v>
      </c>
    </row>
    <row r="815" spans="2:51" s="172" customFormat="1" x14ac:dyDescent="0.2">
      <c r="B815" s="173"/>
      <c r="D815" s="143" t="s">
        <v>346</v>
      </c>
      <c r="E815" s="174" t="s">
        <v>228</v>
      </c>
      <c r="F815" s="175" t="s">
        <v>609</v>
      </c>
      <c r="H815" s="176">
        <v>200.96</v>
      </c>
      <c r="L815" s="173"/>
      <c r="M815" s="177"/>
      <c r="T815" s="178"/>
      <c r="AT815" s="174" t="s">
        <v>346</v>
      </c>
      <c r="AU815" s="174" t="s">
        <v>90</v>
      </c>
      <c r="AV815" s="172" t="s">
        <v>113</v>
      </c>
      <c r="AW815" s="172" t="s">
        <v>33</v>
      </c>
      <c r="AX815" s="172" t="s">
        <v>80</v>
      </c>
      <c r="AY815" s="174" t="s">
        <v>337</v>
      </c>
    </row>
    <row r="816" spans="2:51" s="141" customFormat="1" x14ac:dyDescent="0.2">
      <c r="B816" s="142"/>
      <c r="D816" s="143" t="s">
        <v>346</v>
      </c>
      <c r="E816" s="144"/>
      <c r="F816" s="145" t="s">
        <v>925</v>
      </c>
      <c r="H816" s="144"/>
      <c r="L816" s="142"/>
      <c r="M816" s="146"/>
      <c r="T816" s="147"/>
      <c r="AT816" s="144" t="s">
        <v>346</v>
      </c>
      <c r="AU816" s="144" t="s">
        <v>90</v>
      </c>
      <c r="AV816" s="141" t="s">
        <v>87</v>
      </c>
      <c r="AW816" s="141" t="s">
        <v>33</v>
      </c>
      <c r="AX816" s="141" t="s">
        <v>80</v>
      </c>
      <c r="AY816" s="144" t="s">
        <v>337</v>
      </c>
    </row>
    <row r="817" spans="2:51" s="148" customFormat="1" x14ac:dyDescent="0.2">
      <c r="B817" s="149"/>
      <c r="D817" s="143" t="s">
        <v>346</v>
      </c>
      <c r="E817" s="150"/>
      <c r="F817" s="151" t="s">
        <v>926</v>
      </c>
      <c r="H817" s="152">
        <v>-48.62</v>
      </c>
      <c r="L817" s="149"/>
      <c r="M817" s="153"/>
      <c r="T817" s="154"/>
      <c r="AT817" s="150" t="s">
        <v>346</v>
      </c>
      <c r="AU817" s="150" t="s">
        <v>90</v>
      </c>
      <c r="AV817" s="148" t="s">
        <v>90</v>
      </c>
      <c r="AW817" s="148" t="s">
        <v>33</v>
      </c>
      <c r="AX817" s="148" t="s">
        <v>80</v>
      </c>
      <c r="AY817" s="150" t="s">
        <v>337</v>
      </c>
    </row>
    <row r="818" spans="2:51" s="148" customFormat="1" x14ac:dyDescent="0.2">
      <c r="B818" s="149"/>
      <c r="D818" s="143" t="s">
        <v>346</v>
      </c>
      <c r="E818" s="150"/>
      <c r="F818" s="151" t="s">
        <v>927</v>
      </c>
      <c r="H818" s="152">
        <v>-164.64</v>
      </c>
      <c r="L818" s="149"/>
      <c r="M818" s="153"/>
      <c r="T818" s="154"/>
      <c r="AT818" s="150" t="s">
        <v>346</v>
      </c>
      <c r="AU818" s="150" t="s">
        <v>90</v>
      </c>
      <c r="AV818" s="148" t="s">
        <v>90</v>
      </c>
      <c r="AW818" s="148" t="s">
        <v>33</v>
      </c>
      <c r="AX818" s="148" t="s">
        <v>80</v>
      </c>
      <c r="AY818" s="150" t="s">
        <v>337</v>
      </c>
    </row>
    <row r="819" spans="2:51" s="148" customFormat="1" x14ac:dyDescent="0.2">
      <c r="B819" s="149"/>
      <c r="D819" s="143" t="s">
        <v>346</v>
      </c>
      <c r="E819" s="150"/>
      <c r="F819" s="151" t="s">
        <v>928</v>
      </c>
      <c r="H819" s="152">
        <v>-51.78</v>
      </c>
      <c r="L819" s="149"/>
      <c r="M819" s="153"/>
      <c r="T819" s="154"/>
      <c r="AT819" s="150" t="s">
        <v>346</v>
      </c>
      <c r="AU819" s="150" t="s">
        <v>90</v>
      </c>
      <c r="AV819" s="148" t="s">
        <v>90</v>
      </c>
      <c r="AW819" s="148" t="s">
        <v>33</v>
      </c>
      <c r="AX819" s="148" t="s">
        <v>80</v>
      </c>
      <c r="AY819" s="150" t="s">
        <v>337</v>
      </c>
    </row>
    <row r="820" spans="2:51" s="148" customFormat="1" x14ac:dyDescent="0.2">
      <c r="B820" s="149"/>
      <c r="D820" s="143" t="s">
        <v>346</v>
      </c>
      <c r="E820" s="150"/>
      <c r="F820" s="151" t="s">
        <v>929</v>
      </c>
      <c r="H820" s="152">
        <v>-84.35</v>
      </c>
      <c r="L820" s="149"/>
      <c r="M820" s="153"/>
      <c r="T820" s="154"/>
      <c r="AT820" s="150" t="s">
        <v>346</v>
      </c>
      <c r="AU820" s="150" t="s">
        <v>90</v>
      </c>
      <c r="AV820" s="148" t="s">
        <v>90</v>
      </c>
      <c r="AW820" s="148" t="s">
        <v>33</v>
      </c>
      <c r="AX820" s="148" t="s">
        <v>80</v>
      </c>
      <c r="AY820" s="150" t="s">
        <v>337</v>
      </c>
    </row>
    <row r="821" spans="2:51" s="148" customFormat="1" x14ac:dyDescent="0.2">
      <c r="B821" s="149"/>
      <c r="D821" s="143" t="s">
        <v>346</v>
      </c>
      <c r="E821" s="150"/>
      <c r="F821" s="151" t="s">
        <v>930</v>
      </c>
      <c r="H821" s="152">
        <v>-1287.3900000000001</v>
      </c>
      <c r="L821" s="149"/>
      <c r="M821" s="153"/>
      <c r="T821" s="154"/>
      <c r="AT821" s="150" t="s">
        <v>346</v>
      </c>
      <c r="AU821" s="150" t="s">
        <v>90</v>
      </c>
      <c r="AV821" s="148" t="s">
        <v>90</v>
      </c>
      <c r="AW821" s="148" t="s">
        <v>33</v>
      </c>
      <c r="AX821" s="148" t="s">
        <v>80</v>
      </c>
      <c r="AY821" s="150" t="s">
        <v>337</v>
      </c>
    </row>
    <row r="822" spans="2:51" s="148" customFormat="1" x14ac:dyDescent="0.2">
      <c r="B822" s="149"/>
      <c r="D822" s="143" t="s">
        <v>346</v>
      </c>
      <c r="E822" s="150"/>
      <c r="F822" s="151" t="s">
        <v>931</v>
      </c>
      <c r="H822" s="152">
        <v>-255.733</v>
      </c>
      <c r="L822" s="149"/>
      <c r="M822" s="153"/>
      <c r="T822" s="154"/>
      <c r="AT822" s="150" t="s">
        <v>346</v>
      </c>
      <c r="AU822" s="150" t="s">
        <v>90</v>
      </c>
      <c r="AV822" s="148" t="s">
        <v>90</v>
      </c>
      <c r="AW822" s="148" t="s">
        <v>33</v>
      </c>
      <c r="AX822" s="148" t="s">
        <v>80</v>
      </c>
      <c r="AY822" s="150" t="s">
        <v>337</v>
      </c>
    </row>
    <row r="823" spans="2:51" s="148" customFormat="1" x14ac:dyDescent="0.2">
      <c r="B823" s="149"/>
      <c r="D823" s="143" t="s">
        <v>346</v>
      </c>
      <c r="E823" s="150"/>
      <c r="F823" s="151" t="s">
        <v>893</v>
      </c>
      <c r="H823" s="152">
        <v>-56.546999999999997</v>
      </c>
      <c r="L823" s="149"/>
      <c r="M823" s="153"/>
      <c r="T823" s="154"/>
      <c r="AT823" s="150" t="s">
        <v>346</v>
      </c>
      <c r="AU823" s="150" t="s">
        <v>90</v>
      </c>
      <c r="AV823" s="148" t="s">
        <v>90</v>
      </c>
      <c r="AW823" s="148" t="s">
        <v>33</v>
      </c>
      <c r="AX823" s="148" t="s">
        <v>80</v>
      </c>
      <c r="AY823" s="150" t="s">
        <v>337</v>
      </c>
    </row>
    <row r="824" spans="2:51" s="148" customFormat="1" x14ac:dyDescent="0.2">
      <c r="B824" s="149"/>
      <c r="D824" s="143" t="s">
        <v>346</v>
      </c>
      <c r="E824" s="150"/>
      <c r="F824" s="151" t="s">
        <v>932</v>
      </c>
      <c r="H824" s="152">
        <v>-526.46</v>
      </c>
      <c r="L824" s="149"/>
      <c r="M824" s="153"/>
      <c r="T824" s="154"/>
      <c r="AT824" s="150" t="s">
        <v>346</v>
      </c>
      <c r="AU824" s="150" t="s">
        <v>90</v>
      </c>
      <c r="AV824" s="148" t="s">
        <v>90</v>
      </c>
      <c r="AW824" s="148" t="s">
        <v>33</v>
      </c>
      <c r="AX824" s="148" t="s">
        <v>80</v>
      </c>
      <c r="AY824" s="150" t="s">
        <v>337</v>
      </c>
    </row>
    <row r="825" spans="2:51" s="148" customFormat="1" x14ac:dyDescent="0.2">
      <c r="B825" s="149"/>
      <c r="D825" s="143" t="s">
        <v>346</v>
      </c>
      <c r="E825" s="150"/>
      <c r="F825" s="151" t="s">
        <v>933</v>
      </c>
      <c r="H825" s="152">
        <v>-406.21499999999997</v>
      </c>
      <c r="L825" s="149"/>
      <c r="M825" s="153"/>
      <c r="T825" s="154"/>
      <c r="AT825" s="150" t="s">
        <v>346</v>
      </c>
      <c r="AU825" s="150" t="s">
        <v>90</v>
      </c>
      <c r="AV825" s="148" t="s">
        <v>90</v>
      </c>
      <c r="AW825" s="148" t="s">
        <v>33</v>
      </c>
      <c r="AX825" s="148" t="s">
        <v>80</v>
      </c>
      <c r="AY825" s="150" t="s">
        <v>337</v>
      </c>
    </row>
    <row r="826" spans="2:51" s="148" customFormat="1" x14ac:dyDescent="0.2">
      <c r="B826" s="149"/>
      <c r="D826" s="143" t="s">
        <v>346</v>
      </c>
      <c r="E826" s="150"/>
      <c r="F826" s="151" t="s">
        <v>906</v>
      </c>
      <c r="H826" s="152">
        <v>-24.625</v>
      </c>
      <c r="L826" s="149"/>
      <c r="M826" s="153"/>
      <c r="T826" s="154"/>
      <c r="AT826" s="150" t="s">
        <v>346</v>
      </c>
      <c r="AU826" s="150" t="s">
        <v>90</v>
      </c>
      <c r="AV826" s="148" t="s">
        <v>90</v>
      </c>
      <c r="AW826" s="148" t="s">
        <v>33</v>
      </c>
      <c r="AX826" s="148" t="s">
        <v>80</v>
      </c>
      <c r="AY826" s="150" t="s">
        <v>337</v>
      </c>
    </row>
    <row r="827" spans="2:51" s="148" customFormat="1" x14ac:dyDescent="0.2">
      <c r="B827" s="149"/>
      <c r="D827" s="143" t="s">
        <v>346</v>
      </c>
      <c r="E827" s="150"/>
      <c r="F827" s="151" t="s">
        <v>934</v>
      </c>
      <c r="H827" s="152">
        <v>-4.37</v>
      </c>
      <c r="L827" s="149"/>
      <c r="M827" s="153"/>
      <c r="T827" s="154"/>
      <c r="AT827" s="150" t="s">
        <v>346</v>
      </c>
      <c r="AU827" s="150" t="s">
        <v>90</v>
      </c>
      <c r="AV827" s="148" t="s">
        <v>90</v>
      </c>
      <c r="AW827" s="148" t="s">
        <v>33</v>
      </c>
      <c r="AX827" s="148" t="s">
        <v>80</v>
      </c>
      <c r="AY827" s="150" t="s">
        <v>337</v>
      </c>
    </row>
    <row r="828" spans="2:51" s="148" customFormat="1" x14ac:dyDescent="0.2">
      <c r="B828" s="149"/>
      <c r="D828" s="143" t="s">
        <v>346</v>
      </c>
      <c r="E828" s="150"/>
      <c r="F828" s="151" t="s">
        <v>935</v>
      </c>
      <c r="H828" s="152">
        <v>-140.36799999999999</v>
      </c>
      <c r="L828" s="149"/>
      <c r="M828" s="153"/>
      <c r="T828" s="154"/>
      <c r="AT828" s="150" t="s">
        <v>346</v>
      </c>
      <c r="AU828" s="150" t="s">
        <v>90</v>
      </c>
      <c r="AV828" s="148" t="s">
        <v>90</v>
      </c>
      <c r="AW828" s="148" t="s">
        <v>33</v>
      </c>
      <c r="AX828" s="148" t="s">
        <v>80</v>
      </c>
      <c r="AY828" s="150" t="s">
        <v>337</v>
      </c>
    </row>
    <row r="829" spans="2:51" s="148" customFormat="1" x14ac:dyDescent="0.2">
      <c r="B829" s="149"/>
      <c r="D829" s="143" t="s">
        <v>346</v>
      </c>
      <c r="E829" s="150"/>
      <c r="F829" s="151" t="s">
        <v>936</v>
      </c>
      <c r="H829" s="152">
        <v>-26.762</v>
      </c>
      <c r="L829" s="149"/>
      <c r="M829" s="153"/>
      <c r="T829" s="154"/>
      <c r="AT829" s="150" t="s">
        <v>346</v>
      </c>
      <c r="AU829" s="150" t="s">
        <v>90</v>
      </c>
      <c r="AV829" s="148" t="s">
        <v>90</v>
      </c>
      <c r="AW829" s="148" t="s">
        <v>33</v>
      </c>
      <c r="AX829" s="148" t="s">
        <v>80</v>
      </c>
      <c r="AY829" s="150" t="s">
        <v>337</v>
      </c>
    </row>
    <row r="830" spans="2:51" s="148" customFormat="1" x14ac:dyDescent="0.2">
      <c r="B830" s="149"/>
      <c r="D830" s="143" t="s">
        <v>346</v>
      </c>
      <c r="E830" s="150"/>
      <c r="F830" s="151" t="s">
        <v>937</v>
      </c>
      <c r="H830" s="152">
        <v>-261.39</v>
      </c>
      <c r="L830" s="149"/>
      <c r="M830" s="153"/>
      <c r="T830" s="154"/>
      <c r="AT830" s="150" t="s">
        <v>346</v>
      </c>
      <c r="AU830" s="150" t="s">
        <v>90</v>
      </c>
      <c r="AV830" s="148" t="s">
        <v>90</v>
      </c>
      <c r="AW830" s="148" t="s">
        <v>33</v>
      </c>
      <c r="AX830" s="148" t="s">
        <v>80</v>
      </c>
      <c r="AY830" s="150" t="s">
        <v>337</v>
      </c>
    </row>
    <row r="831" spans="2:51" s="148" customFormat="1" x14ac:dyDescent="0.2">
      <c r="B831" s="149"/>
      <c r="D831" s="143" t="s">
        <v>346</v>
      </c>
      <c r="E831" s="150"/>
      <c r="F831" s="151" t="s">
        <v>938</v>
      </c>
      <c r="H831" s="152">
        <v>-200.96</v>
      </c>
      <c r="L831" s="149"/>
      <c r="M831" s="153"/>
      <c r="T831" s="154"/>
      <c r="AT831" s="150" t="s">
        <v>346</v>
      </c>
      <c r="AU831" s="150" t="s">
        <v>90</v>
      </c>
      <c r="AV831" s="148" t="s">
        <v>90</v>
      </c>
      <c r="AW831" s="148" t="s">
        <v>33</v>
      </c>
      <c r="AX831" s="148" t="s">
        <v>80</v>
      </c>
      <c r="AY831" s="150" t="s">
        <v>337</v>
      </c>
    </row>
    <row r="832" spans="2:51" s="155" customFormat="1" x14ac:dyDescent="0.2">
      <c r="B832" s="156"/>
      <c r="D832" s="143" t="s">
        <v>346</v>
      </c>
      <c r="E832" s="157"/>
      <c r="F832" s="158" t="s">
        <v>351</v>
      </c>
      <c r="H832" s="159">
        <v>4598.04</v>
      </c>
      <c r="L832" s="156"/>
      <c r="M832" s="160"/>
      <c r="T832" s="161"/>
      <c r="AT832" s="157" t="s">
        <v>346</v>
      </c>
      <c r="AU832" s="157" t="s">
        <v>90</v>
      </c>
      <c r="AV832" s="155" t="s">
        <v>344</v>
      </c>
      <c r="AW832" s="155" t="s">
        <v>33</v>
      </c>
      <c r="AX832" s="155" t="s">
        <v>87</v>
      </c>
      <c r="AY832" s="157" t="s">
        <v>337</v>
      </c>
    </row>
    <row r="833" spans="2:65" s="16" customFormat="1" ht="16.5" customHeight="1" x14ac:dyDescent="0.2">
      <c r="B833" s="17"/>
      <c r="C833" s="128">
        <v>69</v>
      </c>
      <c r="D833" s="128" t="s">
        <v>339</v>
      </c>
      <c r="E833" s="129" t="s">
        <v>939</v>
      </c>
      <c r="F833" s="130" t="s">
        <v>940</v>
      </c>
      <c r="G833" s="131" t="s">
        <v>425</v>
      </c>
      <c r="H833" s="132">
        <v>84.13</v>
      </c>
      <c r="I833" s="133"/>
      <c r="J833" s="134">
        <f>ROUND(I833*H833,2)</f>
        <v>0</v>
      </c>
      <c r="K833" s="130" t="s">
        <v>343</v>
      </c>
      <c r="L833" s="17"/>
      <c r="M833" s="135"/>
      <c r="N833" s="136" t="s">
        <v>45</v>
      </c>
      <c r="P833" s="137">
        <f>O833*H833</f>
        <v>0</v>
      </c>
      <c r="Q833" s="137">
        <v>0</v>
      </c>
      <c r="R833" s="137">
        <f>Q833*H833</f>
        <v>0</v>
      </c>
      <c r="S833" s="137">
        <v>0</v>
      </c>
      <c r="T833" s="138">
        <f>S833*H833</f>
        <v>0</v>
      </c>
      <c r="AR833" s="139" t="s">
        <v>344</v>
      </c>
      <c r="AT833" s="139" t="s">
        <v>339</v>
      </c>
      <c r="AU833" s="139" t="s">
        <v>90</v>
      </c>
      <c r="AY833" s="2" t="s">
        <v>337</v>
      </c>
      <c r="BE833" s="140">
        <f>IF(N833="základní",J833,0)</f>
        <v>0</v>
      </c>
      <c r="BF833" s="140">
        <f>IF(N833="snížená",J833,0)</f>
        <v>0</v>
      </c>
      <c r="BG833" s="140">
        <f>IF(N833="zákl. přenesená",J833,0)</f>
        <v>0</v>
      </c>
      <c r="BH833" s="140">
        <f>IF(N833="sníž. přenesená",J833,0)</f>
        <v>0</v>
      </c>
      <c r="BI833" s="140">
        <f>IF(N833="nulová",J833,0)</f>
        <v>0</v>
      </c>
      <c r="BJ833" s="2" t="s">
        <v>87</v>
      </c>
      <c r="BK833" s="140">
        <f>ROUND(I833*H833,2)</f>
        <v>0</v>
      </c>
      <c r="BL833" s="2" t="s">
        <v>344</v>
      </c>
      <c r="BM833" s="139" t="s">
        <v>941</v>
      </c>
    </row>
    <row r="834" spans="2:65" s="141" customFormat="1" x14ac:dyDescent="0.2">
      <c r="B834" s="142"/>
      <c r="D834" s="143" t="s">
        <v>346</v>
      </c>
      <c r="E834" s="144"/>
      <c r="F834" s="145" t="s">
        <v>942</v>
      </c>
      <c r="H834" s="144"/>
      <c r="L834" s="142"/>
      <c r="M834" s="146"/>
      <c r="T834" s="147"/>
      <c r="AT834" s="144" t="s">
        <v>346</v>
      </c>
      <c r="AU834" s="144" t="s">
        <v>90</v>
      </c>
      <c r="AV834" s="141" t="s">
        <v>87</v>
      </c>
      <c r="AW834" s="141" t="s">
        <v>33</v>
      </c>
      <c r="AX834" s="141" t="s">
        <v>80</v>
      </c>
      <c r="AY834" s="144" t="s">
        <v>337</v>
      </c>
    </row>
    <row r="835" spans="2:65" s="148" customFormat="1" x14ac:dyDescent="0.2">
      <c r="B835" s="149"/>
      <c r="D835" s="143" t="s">
        <v>346</v>
      </c>
      <c r="E835" s="150"/>
      <c r="F835" s="151" t="s">
        <v>738</v>
      </c>
      <c r="H835" s="152">
        <v>84.13</v>
      </c>
      <c r="L835" s="149"/>
      <c r="M835" s="153"/>
      <c r="T835" s="154"/>
      <c r="AT835" s="150" t="s">
        <v>346</v>
      </c>
      <c r="AU835" s="150" t="s">
        <v>90</v>
      </c>
      <c r="AV835" s="148" t="s">
        <v>90</v>
      </c>
      <c r="AW835" s="148" t="s">
        <v>33</v>
      </c>
      <c r="AX835" s="148" t="s">
        <v>87</v>
      </c>
      <c r="AY835" s="150" t="s">
        <v>337</v>
      </c>
    </row>
    <row r="836" spans="2:65" s="16" customFormat="1" ht="16.5" customHeight="1" x14ac:dyDescent="0.2">
      <c r="B836" s="17"/>
      <c r="C836" s="128">
        <v>70</v>
      </c>
      <c r="D836" s="128" t="s">
        <v>339</v>
      </c>
      <c r="E836" s="129" t="s">
        <v>944</v>
      </c>
      <c r="F836" s="130" t="s">
        <v>945</v>
      </c>
      <c r="G836" s="131" t="s">
        <v>425</v>
      </c>
      <c r="H836" s="132">
        <v>84.13</v>
      </c>
      <c r="I836" s="133"/>
      <c r="J836" s="134">
        <f>ROUND(I836*H836,2)</f>
        <v>0</v>
      </c>
      <c r="K836" s="130" t="s">
        <v>343</v>
      </c>
      <c r="L836" s="17"/>
      <c r="M836" s="135"/>
      <c r="N836" s="136" t="s">
        <v>45</v>
      </c>
      <c r="P836" s="137">
        <f>O836*H836</f>
        <v>0</v>
      </c>
      <c r="Q836" s="137">
        <v>1.0000000000000001E-5</v>
      </c>
      <c r="R836" s="137">
        <f>Q836*H836</f>
        <v>8.4130000000000001E-4</v>
      </c>
      <c r="S836" s="137">
        <v>0</v>
      </c>
      <c r="T836" s="138">
        <f>S836*H836</f>
        <v>0</v>
      </c>
      <c r="AR836" s="139" t="s">
        <v>344</v>
      </c>
      <c r="AT836" s="139" t="s">
        <v>339</v>
      </c>
      <c r="AU836" s="139" t="s">
        <v>90</v>
      </c>
      <c r="AY836" s="2" t="s">
        <v>337</v>
      </c>
      <c r="BE836" s="140">
        <f>IF(N836="základní",J836,0)</f>
        <v>0</v>
      </c>
      <c r="BF836" s="140">
        <f>IF(N836="snížená",J836,0)</f>
        <v>0</v>
      </c>
      <c r="BG836" s="140">
        <f>IF(N836="zákl. přenesená",J836,0)</f>
        <v>0</v>
      </c>
      <c r="BH836" s="140">
        <f>IF(N836="sníž. přenesená",J836,0)</f>
        <v>0</v>
      </c>
      <c r="BI836" s="140">
        <f>IF(N836="nulová",J836,0)</f>
        <v>0</v>
      </c>
      <c r="BJ836" s="2" t="s">
        <v>87</v>
      </c>
      <c r="BK836" s="140">
        <f>ROUND(I836*H836,2)</f>
        <v>0</v>
      </c>
      <c r="BL836" s="2" t="s">
        <v>344</v>
      </c>
      <c r="BM836" s="139" t="s">
        <v>946</v>
      </c>
    </row>
    <row r="837" spans="2:65" s="16" customFormat="1" ht="16.5" customHeight="1" x14ac:dyDescent="0.2">
      <c r="B837" s="17"/>
      <c r="C837" s="128">
        <v>71</v>
      </c>
      <c r="D837" s="128" t="s">
        <v>339</v>
      </c>
      <c r="E837" s="129" t="s">
        <v>947</v>
      </c>
      <c r="F837" s="130" t="s">
        <v>948</v>
      </c>
      <c r="G837" s="131" t="s">
        <v>425</v>
      </c>
      <c r="H837" s="132">
        <v>84.13</v>
      </c>
      <c r="I837" s="133"/>
      <c r="J837" s="134">
        <f>ROUND(I837*H837,2)</f>
        <v>0</v>
      </c>
      <c r="K837" s="130" t="s">
        <v>343</v>
      </c>
      <c r="L837" s="17"/>
      <c r="M837" s="135"/>
      <c r="N837" s="136" t="s">
        <v>45</v>
      </c>
      <c r="P837" s="137">
        <f>O837*H837</f>
        <v>0</v>
      </c>
      <c r="Q837" s="137">
        <v>4.0000000000000003E-5</v>
      </c>
      <c r="R837" s="137">
        <f>Q837*H837</f>
        <v>3.3652E-3</v>
      </c>
      <c r="S837" s="137">
        <v>0</v>
      </c>
      <c r="T837" s="138">
        <f>S837*H837</f>
        <v>0</v>
      </c>
      <c r="AR837" s="139" t="s">
        <v>344</v>
      </c>
      <c r="AT837" s="139" t="s">
        <v>339</v>
      </c>
      <c r="AU837" s="139" t="s">
        <v>90</v>
      </c>
      <c r="AY837" s="2" t="s">
        <v>337</v>
      </c>
      <c r="BE837" s="140">
        <f>IF(N837="základní",J837,0)</f>
        <v>0</v>
      </c>
      <c r="BF837" s="140">
        <f>IF(N837="snížená",J837,0)</f>
        <v>0</v>
      </c>
      <c r="BG837" s="140">
        <f>IF(N837="zákl. přenesená",J837,0)</f>
        <v>0</v>
      </c>
      <c r="BH837" s="140">
        <f>IF(N837="sníž. přenesená",J837,0)</f>
        <v>0</v>
      </c>
      <c r="BI837" s="140">
        <f>IF(N837="nulová",J837,0)</f>
        <v>0</v>
      </c>
      <c r="BJ837" s="2" t="s">
        <v>87</v>
      </c>
      <c r="BK837" s="140">
        <f>ROUND(I837*H837,2)</f>
        <v>0</v>
      </c>
      <c r="BL837" s="2" t="s">
        <v>344</v>
      </c>
      <c r="BM837" s="139" t="s">
        <v>949</v>
      </c>
    </row>
    <row r="838" spans="2:65" s="16" customFormat="1" ht="16.5" customHeight="1" x14ac:dyDescent="0.2">
      <c r="B838" s="17"/>
      <c r="C838" s="128">
        <v>72</v>
      </c>
      <c r="D838" s="128" t="s">
        <v>339</v>
      </c>
      <c r="E838" s="129" t="s">
        <v>951</v>
      </c>
      <c r="F838" s="130" t="s">
        <v>952</v>
      </c>
      <c r="G838" s="131" t="s">
        <v>425</v>
      </c>
      <c r="H838" s="132">
        <v>3407.24</v>
      </c>
      <c r="I838" s="133"/>
      <c r="J838" s="134">
        <f>ROUND(I838*H838,2)</f>
        <v>0</v>
      </c>
      <c r="K838" s="130" t="s">
        <v>343</v>
      </c>
      <c r="L838" s="17"/>
      <c r="M838" s="135"/>
      <c r="N838" s="136" t="s">
        <v>45</v>
      </c>
      <c r="P838" s="137">
        <f>O838*H838</f>
        <v>0</v>
      </c>
      <c r="Q838" s="137">
        <v>0</v>
      </c>
      <c r="R838" s="137">
        <f>Q838*H838</f>
        <v>0</v>
      </c>
      <c r="S838" s="137">
        <v>0</v>
      </c>
      <c r="T838" s="138">
        <f>S838*H838</f>
        <v>0</v>
      </c>
      <c r="AR838" s="139" t="s">
        <v>344</v>
      </c>
      <c r="AT838" s="139" t="s">
        <v>339</v>
      </c>
      <c r="AU838" s="139" t="s">
        <v>90</v>
      </c>
      <c r="AY838" s="2" t="s">
        <v>337</v>
      </c>
      <c r="BE838" s="140">
        <f>IF(N838="základní",J838,0)</f>
        <v>0</v>
      </c>
      <c r="BF838" s="140">
        <f>IF(N838="snížená",J838,0)</f>
        <v>0</v>
      </c>
      <c r="BG838" s="140">
        <f>IF(N838="zákl. přenesená",J838,0)</f>
        <v>0</v>
      </c>
      <c r="BH838" s="140">
        <f>IF(N838="sníž. přenesená",J838,0)</f>
        <v>0</v>
      </c>
      <c r="BI838" s="140">
        <f>IF(N838="nulová",J838,0)</f>
        <v>0</v>
      </c>
      <c r="BJ838" s="2" t="s">
        <v>87</v>
      </c>
      <c r="BK838" s="140">
        <f>ROUND(I838*H838,2)</f>
        <v>0</v>
      </c>
      <c r="BL838" s="2" t="s">
        <v>344</v>
      </c>
      <c r="BM838" s="139" t="s">
        <v>953</v>
      </c>
    </row>
    <row r="839" spans="2:65" s="141" customFormat="1" x14ac:dyDescent="0.2">
      <c r="B839" s="142"/>
      <c r="D839" s="143" t="s">
        <v>346</v>
      </c>
      <c r="E839" s="144"/>
      <c r="F839" s="145" t="s">
        <v>954</v>
      </c>
      <c r="H839" s="144"/>
      <c r="L839" s="142"/>
      <c r="M839" s="146"/>
      <c r="T839" s="147"/>
      <c r="AT839" s="144" t="s">
        <v>346</v>
      </c>
      <c r="AU839" s="144" t="s">
        <v>90</v>
      </c>
      <c r="AV839" s="141" t="s">
        <v>87</v>
      </c>
      <c r="AW839" s="141" t="s">
        <v>33</v>
      </c>
      <c r="AX839" s="141" t="s">
        <v>80</v>
      </c>
      <c r="AY839" s="144" t="s">
        <v>337</v>
      </c>
    </row>
    <row r="840" spans="2:65" s="148" customFormat="1" x14ac:dyDescent="0.2">
      <c r="B840" s="149"/>
      <c r="D840" s="143" t="s">
        <v>346</v>
      </c>
      <c r="E840" s="150"/>
      <c r="F840" s="151" t="s">
        <v>243</v>
      </c>
      <c r="H840" s="152">
        <v>164.64</v>
      </c>
      <c r="L840" s="149"/>
      <c r="M840" s="153"/>
      <c r="T840" s="154"/>
      <c r="AT840" s="150" t="s">
        <v>346</v>
      </c>
      <c r="AU840" s="150" t="s">
        <v>90</v>
      </c>
      <c r="AV840" s="148" t="s">
        <v>90</v>
      </c>
      <c r="AW840" s="148" t="s">
        <v>33</v>
      </c>
      <c r="AX840" s="148" t="s">
        <v>80</v>
      </c>
      <c r="AY840" s="150" t="s">
        <v>337</v>
      </c>
    </row>
    <row r="841" spans="2:65" s="148" customFormat="1" x14ac:dyDescent="0.2">
      <c r="B841" s="149"/>
      <c r="D841" s="143" t="s">
        <v>346</v>
      </c>
      <c r="E841" s="150"/>
      <c r="F841" s="151" t="s">
        <v>245</v>
      </c>
      <c r="H841" s="152">
        <v>51.78</v>
      </c>
      <c r="L841" s="149"/>
      <c r="M841" s="153"/>
      <c r="T841" s="154"/>
      <c r="AT841" s="150" t="s">
        <v>346</v>
      </c>
      <c r="AU841" s="150" t="s">
        <v>90</v>
      </c>
      <c r="AV841" s="148" t="s">
        <v>90</v>
      </c>
      <c r="AW841" s="148" t="s">
        <v>33</v>
      </c>
      <c r="AX841" s="148" t="s">
        <v>80</v>
      </c>
      <c r="AY841" s="150" t="s">
        <v>337</v>
      </c>
    </row>
    <row r="842" spans="2:65" s="148" customFormat="1" x14ac:dyDescent="0.2">
      <c r="B842" s="149"/>
      <c r="D842" s="143" t="s">
        <v>346</v>
      </c>
      <c r="E842" s="150"/>
      <c r="F842" s="151" t="s">
        <v>247</v>
      </c>
      <c r="H842" s="152">
        <v>1287.3900000000001</v>
      </c>
      <c r="L842" s="149"/>
      <c r="M842" s="153"/>
      <c r="T842" s="154"/>
      <c r="AT842" s="150" t="s">
        <v>346</v>
      </c>
      <c r="AU842" s="150" t="s">
        <v>90</v>
      </c>
      <c r="AV842" s="148" t="s">
        <v>90</v>
      </c>
      <c r="AW842" s="148" t="s">
        <v>33</v>
      </c>
      <c r="AX842" s="148" t="s">
        <v>80</v>
      </c>
      <c r="AY842" s="150" t="s">
        <v>337</v>
      </c>
    </row>
    <row r="843" spans="2:65" s="148" customFormat="1" x14ac:dyDescent="0.2">
      <c r="B843" s="149"/>
      <c r="D843" s="143" t="s">
        <v>346</v>
      </c>
      <c r="E843" s="150"/>
      <c r="F843" s="151" t="s">
        <v>249</v>
      </c>
      <c r="H843" s="152">
        <v>255.733</v>
      </c>
      <c r="L843" s="149"/>
      <c r="M843" s="153"/>
      <c r="T843" s="154"/>
      <c r="AT843" s="150" t="s">
        <v>346</v>
      </c>
      <c r="AU843" s="150" t="s">
        <v>90</v>
      </c>
      <c r="AV843" s="148" t="s">
        <v>90</v>
      </c>
      <c r="AW843" s="148" t="s">
        <v>33</v>
      </c>
      <c r="AX843" s="148" t="s">
        <v>80</v>
      </c>
      <c r="AY843" s="150" t="s">
        <v>337</v>
      </c>
    </row>
    <row r="844" spans="2:65" s="148" customFormat="1" x14ac:dyDescent="0.2">
      <c r="B844" s="149"/>
      <c r="D844" s="143" t="s">
        <v>346</v>
      </c>
      <c r="E844" s="150"/>
      <c r="F844" s="151" t="s">
        <v>251</v>
      </c>
      <c r="H844" s="152">
        <v>56.546999999999997</v>
      </c>
      <c r="L844" s="149"/>
      <c r="M844" s="153"/>
      <c r="T844" s="154"/>
      <c r="AT844" s="150" t="s">
        <v>346</v>
      </c>
      <c r="AU844" s="150" t="s">
        <v>90</v>
      </c>
      <c r="AV844" s="148" t="s">
        <v>90</v>
      </c>
      <c r="AW844" s="148" t="s">
        <v>33</v>
      </c>
      <c r="AX844" s="148" t="s">
        <v>80</v>
      </c>
      <c r="AY844" s="150" t="s">
        <v>337</v>
      </c>
    </row>
    <row r="845" spans="2:65" s="148" customFormat="1" x14ac:dyDescent="0.2">
      <c r="B845" s="149"/>
      <c r="D845" s="143" t="s">
        <v>346</v>
      </c>
      <c r="E845" s="150"/>
      <c r="F845" s="151" t="s">
        <v>253</v>
      </c>
      <c r="H845" s="152">
        <v>526.46</v>
      </c>
      <c r="L845" s="149"/>
      <c r="M845" s="153"/>
      <c r="T845" s="154"/>
      <c r="AT845" s="150" t="s">
        <v>346</v>
      </c>
      <c r="AU845" s="150" t="s">
        <v>90</v>
      </c>
      <c r="AV845" s="148" t="s">
        <v>90</v>
      </c>
      <c r="AW845" s="148" t="s">
        <v>33</v>
      </c>
      <c r="AX845" s="148" t="s">
        <v>80</v>
      </c>
      <c r="AY845" s="150" t="s">
        <v>337</v>
      </c>
    </row>
    <row r="846" spans="2:65" s="148" customFormat="1" x14ac:dyDescent="0.2">
      <c r="B846" s="149"/>
      <c r="D846" s="143" t="s">
        <v>346</v>
      </c>
      <c r="E846" s="150"/>
      <c r="F846" s="151" t="s">
        <v>255</v>
      </c>
      <c r="H846" s="152">
        <v>406.21499999999997</v>
      </c>
      <c r="L846" s="149"/>
      <c r="M846" s="153"/>
      <c r="T846" s="154"/>
      <c r="AT846" s="150" t="s">
        <v>346</v>
      </c>
      <c r="AU846" s="150" t="s">
        <v>90</v>
      </c>
      <c r="AV846" s="148" t="s">
        <v>90</v>
      </c>
      <c r="AW846" s="148" t="s">
        <v>33</v>
      </c>
      <c r="AX846" s="148" t="s">
        <v>80</v>
      </c>
      <c r="AY846" s="150" t="s">
        <v>337</v>
      </c>
    </row>
    <row r="847" spans="2:65" s="148" customFormat="1" x14ac:dyDescent="0.2">
      <c r="B847" s="149"/>
      <c r="D847" s="143" t="s">
        <v>346</v>
      </c>
      <c r="E847" s="150"/>
      <c r="F847" s="151" t="s">
        <v>257</v>
      </c>
      <c r="H847" s="152">
        <v>24.625</v>
      </c>
      <c r="L847" s="149"/>
      <c r="M847" s="153"/>
      <c r="T847" s="154"/>
      <c r="AT847" s="150" t="s">
        <v>346</v>
      </c>
      <c r="AU847" s="150" t="s">
        <v>90</v>
      </c>
      <c r="AV847" s="148" t="s">
        <v>90</v>
      </c>
      <c r="AW847" s="148" t="s">
        <v>33</v>
      </c>
      <c r="AX847" s="148" t="s">
        <v>80</v>
      </c>
      <c r="AY847" s="150" t="s">
        <v>337</v>
      </c>
    </row>
    <row r="848" spans="2:65" s="148" customFormat="1" x14ac:dyDescent="0.2">
      <c r="B848" s="149"/>
      <c r="D848" s="143" t="s">
        <v>346</v>
      </c>
      <c r="E848" s="150"/>
      <c r="F848" s="151" t="s">
        <v>259</v>
      </c>
      <c r="H848" s="152">
        <v>4.37</v>
      </c>
      <c r="L848" s="149"/>
      <c r="M848" s="153"/>
      <c r="T848" s="154"/>
      <c r="AT848" s="150" t="s">
        <v>346</v>
      </c>
      <c r="AU848" s="150" t="s">
        <v>90</v>
      </c>
      <c r="AV848" s="148" t="s">
        <v>90</v>
      </c>
      <c r="AW848" s="148" t="s">
        <v>33</v>
      </c>
      <c r="AX848" s="148" t="s">
        <v>80</v>
      </c>
      <c r="AY848" s="150" t="s">
        <v>337</v>
      </c>
    </row>
    <row r="849" spans="2:65" s="148" customFormat="1" x14ac:dyDescent="0.2">
      <c r="B849" s="149"/>
      <c r="D849" s="143" t="s">
        <v>346</v>
      </c>
      <c r="E849" s="150"/>
      <c r="F849" s="151" t="s">
        <v>261</v>
      </c>
      <c r="H849" s="152">
        <v>140.36799999999999</v>
      </c>
      <c r="L849" s="149"/>
      <c r="M849" s="153"/>
      <c r="T849" s="154"/>
      <c r="AT849" s="150" t="s">
        <v>346</v>
      </c>
      <c r="AU849" s="150" t="s">
        <v>90</v>
      </c>
      <c r="AV849" s="148" t="s">
        <v>90</v>
      </c>
      <c r="AW849" s="148" t="s">
        <v>33</v>
      </c>
      <c r="AX849" s="148" t="s">
        <v>80</v>
      </c>
      <c r="AY849" s="150" t="s">
        <v>337</v>
      </c>
    </row>
    <row r="850" spans="2:65" s="148" customFormat="1" x14ac:dyDescent="0.2">
      <c r="B850" s="149"/>
      <c r="D850" s="143" t="s">
        <v>346</v>
      </c>
      <c r="E850" s="150"/>
      <c r="F850" s="151" t="s">
        <v>263</v>
      </c>
      <c r="H850" s="152">
        <v>26.762</v>
      </c>
      <c r="L850" s="149"/>
      <c r="M850" s="153"/>
      <c r="T850" s="154"/>
      <c r="AT850" s="150" t="s">
        <v>346</v>
      </c>
      <c r="AU850" s="150" t="s">
        <v>90</v>
      </c>
      <c r="AV850" s="148" t="s">
        <v>90</v>
      </c>
      <c r="AW850" s="148" t="s">
        <v>33</v>
      </c>
      <c r="AX850" s="148" t="s">
        <v>80</v>
      </c>
      <c r="AY850" s="150" t="s">
        <v>337</v>
      </c>
    </row>
    <row r="851" spans="2:65" s="148" customFormat="1" x14ac:dyDescent="0.2">
      <c r="B851" s="149"/>
      <c r="D851" s="143" t="s">
        <v>346</v>
      </c>
      <c r="E851" s="150"/>
      <c r="F851" s="151" t="s">
        <v>265</v>
      </c>
      <c r="H851" s="152">
        <v>261.39</v>
      </c>
      <c r="L851" s="149"/>
      <c r="M851" s="153"/>
      <c r="T851" s="154"/>
      <c r="AT851" s="150" t="s">
        <v>346</v>
      </c>
      <c r="AU851" s="150" t="s">
        <v>90</v>
      </c>
      <c r="AV851" s="148" t="s">
        <v>90</v>
      </c>
      <c r="AW851" s="148" t="s">
        <v>33</v>
      </c>
      <c r="AX851" s="148" t="s">
        <v>80</v>
      </c>
      <c r="AY851" s="150" t="s">
        <v>337</v>
      </c>
    </row>
    <row r="852" spans="2:65" s="148" customFormat="1" x14ac:dyDescent="0.2">
      <c r="B852" s="149"/>
      <c r="D852" s="143" t="s">
        <v>346</v>
      </c>
      <c r="E852" s="150"/>
      <c r="F852" s="151" t="s">
        <v>228</v>
      </c>
      <c r="H852" s="152">
        <v>200.96</v>
      </c>
      <c r="L852" s="149"/>
      <c r="M852" s="153"/>
      <c r="T852" s="154"/>
      <c r="AT852" s="150" t="s">
        <v>346</v>
      </c>
      <c r="AU852" s="150" t="s">
        <v>90</v>
      </c>
      <c r="AV852" s="148" t="s">
        <v>90</v>
      </c>
      <c r="AW852" s="148" t="s">
        <v>33</v>
      </c>
      <c r="AX852" s="148" t="s">
        <v>80</v>
      </c>
      <c r="AY852" s="150" t="s">
        <v>337</v>
      </c>
    </row>
    <row r="853" spans="2:65" s="155" customFormat="1" x14ac:dyDescent="0.2">
      <c r="B853" s="156"/>
      <c r="D853" s="143" t="s">
        <v>346</v>
      </c>
      <c r="E853" s="157"/>
      <c r="F853" s="158" t="s">
        <v>351</v>
      </c>
      <c r="H853" s="159">
        <v>3407.24</v>
      </c>
      <c r="L853" s="156"/>
      <c r="M853" s="160"/>
      <c r="T853" s="161"/>
      <c r="AT853" s="157" t="s">
        <v>346</v>
      </c>
      <c r="AU853" s="157" t="s">
        <v>90</v>
      </c>
      <c r="AV853" s="155" t="s">
        <v>344</v>
      </c>
      <c r="AW853" s="155" t="s">
        <v>33</v>
      </c>
      <c r="AX853" s="155" t="s">
        <v>87</v>
      </c>
      <c r="AY853" s="157" t="s">
        <v>337</v>
      </c>
    </row>
    <row r="854" spans="2:65" s="16" customFormat="1" ht="16.5" customHeight="1" x14ac:dyDescent="0.2">
      <c r="B854" s="17"/>
      <c r="C854" s="128">
        <v>73</v>
      </c>
      <c r="D854" s="128" t="s">
        <v>339</v>
      </c>
      <c r="E854" s="129" t="s">
        <v>955</v>
      </c>
      <c r="F854" s="130" t="s">
        <v>956</v>
      </c>
      <c r="G854" s="131" t="s">
        <v>425</v>
      </c>
      <c r="H854" s="132">
        <v>3407.24</v>
      </c>
      <c r="I854" s="133"/>
      <c r="J854" s="134">
        <f>ROUND(I854*H854,2)</f>
        <v>0</v>
      </c>
      <c r="K854" s="130" t="s">
        <v>343</v>
      </c>
      <c r="L854" s="17"/>
      <c r="M854" s="135"/>
      <c r="N854" s="136" t="s">
        <v>45</v>
      </c>
      <c r="P854" s="137">
        <f>O854*H854</f>
        <v>0</v>
      </c>
      <c r="Q854" s="137">
        <v>1.0000000000000001E-5</v>
      </c>
      <c r="R854" s="137">
        <f>Q854*H854</f>
        <v>3.4072400000000003E-2</v>
      </c>
      <c r="S854" s="137">
        <v>0</v>
      </c>
      <c r="T854" s="138">
        <f>S854*H854</f>
        <v>0</v>
      </c>
      <c r="AR854" s="139" t="s">
        <v>344</v>
      </c>
      <c r="AT854" s="139" t="s">
        <v>339</v>
      </c>
      <c r="AU854" s="139" t="s">
        <v>90</v>
      </c>
      <c r="AY854" s="2" t="s">
        <v>337</v>
      </c>
      <c r="BE854" s="140">
        <f>IF(N854="základní",J854,0)</f>
        <v>0</v>
      </c>
      <c r="BF854" s="140">
        <f>IF(N854="snížená",J854,0)</f>
        <v>0</v>
      </c>
      <c r="BG854" s="140">
        <f>IF(N854="zákl. přenesená",J854,0)</f>
        <v>0</v>
      </c>
      <c r="BH854" s="140">
        <f>IF(N854="sníž. přenesená",J854,0)</f>
        <v>0</v>
      </c>
      <c r="BI854" s="140">
        <f>IF(N854="nulová",J854,0)</f>
        <v>0</v>
      </c>
      <c r="BJ854" s="2" t="s">
        <v>87</v>
      </c>
      <c r="BK854" s="140">
        <f>ROUND(I854*H854,2)</f>
        <v>0</v>
      </c>
      <c r="BL854" s="2" t="s">
        <v>344</v>
      </c>
      <c r="BM854" s="139" t="s">
        <v>957</v>
      </c>
    </row>
    <row r="855" spans="2:65" s="16" customFormat="1" ht="21.75" customHeight="1" x14ac:dyDescent="0.2">
      <c r="B855" s="17"/>
      <c r="C855" s="128">
        <v>74</v>
      </c>
      <c r="D855" s="128" t="s">
        <v>339</v>
      </c>
      <c r="E855" s="129" t="s">
        <v>959</v>
      </c>
      <c r="F855" s="130" t="s">
        <v>960</v>
      </c>
      <c r="G855" s="131" t="s">
        <v>724</v>
      </c>
      <c r="H855" s="132">
        <v>757.5</v>
      </c>
      <c r="I855" s="133"/>
      <c r="J855" s="134">
        <f>ROUND(I855*H855,2)</f>
        <v>0</v>
      </c>
      <c r="K855" s="130" t="s">
        <v>343</v>
      </c>
      <c r="L855" s="17"/>
      <c r="M855" s="135"/>
      <c r="N855" s="136" t="s">
        <v>45</v>
      </c>
      <c r="P855" s="137">
        <f>O855*H855</f>
        <v>0</v>
      </c>
      <c r="Q855" s="137">
        <v>0</v>
      </c>
      <c r="R855" s="137">
        <f>Q855*H855</f>
        <v>0</v>
      </c>
      <c r="S855" s="137">
        <v>0</v>
      </c>
      <c r="T855" s="138">
        <f>S855*H855</f>
        <v>0</v>
      </c>
      <c r="AR855" s="139" t="s">
        <v>344</v>
      </c>
      <c r="AT855" s="139" t="s">
        <v>339</v>
      </c>
      <c r="AU855" s="139" t="s">
        <v>90</v>
      </c>
      <c r="AY855" s="2" t="s">
        <v>337</v>
      </c>
      <c r="BE855" s="140">
        <f>IF(N855="základní",J855,0)</f>
        <v>0</v>
      </c>
      <c r="BF855" s="140">
        <f>IF(N855="snížená",J855,0)</f>
        <v>0</v>
      </c>
      <c r="BG855" s="140">
        <f>IF(N855="zákl. přenesená",J855,0)</f>
        <v>0</v>
      </c>
      <c r="BH855" s="140">
        <f>IF(N855="sníž. přenesená",J855,0)</f>
        <v>0</v>
      </c>
      <c r="BI855" s="140">
        <f>IF(N855="nulová",J855,0)</f>
        <v>0</v>
      </c>
      <c r="BJ855" s="2" t="s">
        <v>87</v>
      </c>
      <c r="BK855" s="140">
        <f>ROUND(I855*H855,2)</f>
        <v>0</v>
      </c>
      <c r="BL855" s="2" t="s">
        <v>344</v>
      </c>
      <c r="BM855" s="139" t="s">
        <v>961</v>
      </c>
    </row>
    <row r="856" spans="2:65" s="141" customFormat="1" x14ac:dyDescent="0.2">
      <c r="B856" s="142"/>
      <c r="D856" s="143" t="s">
        <v>346</v>
      </c>
      <c r="E856" s="144"/>
      <c r="F856" s="145" t="s">
        <v>962</v>
      </c>
      <c r="H856" s="144"/>
      <c r="L856" s="142"/>
      <c r="M856" s="146"/>
      <c r="T856" s="147"/>
      <c r="AT856" s="144" t="s">
        <v>346</v>
      </c>
      <c r="AU856" s="144" t="s">
        <v>90</v>
      </c>
      <c r="AV856" s="141" t="s">
        <v>87</v>
      </c>
      <c r="AW856" s="141" t="s">
        <v>33</v>
      </c>
      <c r="AX856" s="141" t="s">
        <v>80</v>
      </c>
      <c r="AY856" s="144" t="s">
        <v>337</v>
      </c>
    </row>
    <row r="857" spans="2:65" s="141" customFormat="1" x14ac:dyDescent="0.2">
      <c r="B857" s="142"/>
      <c r="D857" s="143" t="s">
        <v>346</v>
      </c>
      <c r="E857" s="144"/>
      <c r="F857" s="145" t="s">
        <v>963</v>
      </c>
      <c r="H857" s="144"/>
      <c r="L857" s="142"/>
      <c r="M857" s="146"/>
      <c r="T857" s="147"/>
      <c r="AT857" s="144" t="s">
        <v>346</v>
      </c>
      <c r="AU857" s="144" t="s">
        <v>90</v>
      </c>
      <c r="AV857" s="141" t="s">
        <v>87</v>
      </c>
      <c r="AW857" s="141" t="s">
        <v>33</v>
      </c>
      <c r="AX857" s="141" t="s">
        <v>80</v>
      </c>
      <c r="AY857" s="144" t="s">
        <v>337</v>
      </c>
    </row>
    <row r="858" spans="2:65" s="141" customFormat="1" x14ac:dyDescent="0.2">
      <c r="B858" s="142"/>
      <c r="D858" s="143" t="s">
        <v>346</v>
      </c>
      <c r="E858" s="144"/>
      <c r="F858" s="145" t="s">
        <v>964</v>
      </c>
      <c r="H858" s="144"/>
      <c r="L858" s="142"/>
      <c r="M858" s="146"/>
      <c r="T858" s="147"/>
      <c r="AT858" s="144" t="s">
        <v>346</v>
      </c>
      <c r="AU858" s="144" t="s">
        <v>90</v>
      </c>
      <c r="AV858" s="141" t="s">
        <v>87</v>
      </c>
      <c r="AW858" s="141" t="s">
        <v>33</v>
      </c>
      <c r="AX858" s="141" t="s">
        <v>80</v>
      </c>
      <c r="AY858" s="144" t="s">
        <v>337</v>
      </c>
    </row>
    <row r="859" spans="2:65" s="148" customFormat="1" x14ac:dyDescent="0.2">
      <c r="B859" s="149"/>
      <c r="D859" s="143" t="s">
        <v>346</v>
      </c>
      <c r="E859" s="150"/>
      <c r="F859" s="151" t="s">
        <v>965</v>
      </c>
      <c r="H859" s="152">
        <v>757.5</v>
      </c>
      <c r="L859" s="149"/>
      <c r="M859" s="153"/>
      <c r="T859" s="154"/>
      <c r="AT859" s="150" t="s">
        <v>346</v>
      </c>
      <c r="AU859" s="150" t="s">
        <v>90</v>
      </c>
      <c r="AV859" s="148" t="s">
        <v>90</v>
      </c>
      <c r="AW859" s="148" t="s">
        <v>33</v>
      </c>
      <c r="AX859" s="148" t="s">
        <v>87</v>
      </c>
      <c r="AY859" s="150" t="s">
        <v>337</v>
      </c>
    </row>
    <row r="860" spans="2:65" s="16" customFormat="1" ht="24.2" customHeight="1" x14ac:dyDescent="0.2">
      <c r="B860" s="17"/>
      <c r="C860" s="128">
        <v>75</v>
      </c>
      <c r="D860" s="128" t="s">
        <v>339</v>
      </c>
      <c r="E860" s="129" t="s">
        <v>966</v>
      </c>
      <c r="F860" s="130" t="s">
        <v>967</v>
      </c>
      <c r="G860" s="131" t="s">
        <v>724</v>
      </c>
      <c r="H860" s="132">
        <v>11362.5</v>
      </c>
      <c r="I860" s="133"/>
      <c r="J860" s="134">
        <f>ROUND(I860*H860,2)</f>
        <v>0</v>
      </c>
      <c r="K860" s="130" t="s">
        <v>343</v>
      </c>
      <c r="L860" s="17"/>
      <c r="M860" s="135"/>
      <c r="N860" s="136" t="s">
        <v>45</v>
      </c>
      <c r="P860" s="137">
        <f>O860*H860</f>
        <v>0</v>
      </c>
      <c r="Q860" s="137">
        <v>0</v>
      </c>
      <c r="R860" s="137">
        <f>Q860*H860</f>
        <v>0</v>
      </c>
      <c r="S860" s="137">
        <v>0</v>
      </c>
      <c r="T860" s="138">
        <f>S860*H860</f>
        <v>0</v>
      </c>
      <c r="AR860" s="139" t="s">
        <v>344</v>
      </c>
      <c r="AT860" s="139" t="s">
        <v>339</v>
      </c>
      <c r="AU860" s="139" t="s">
        <v>90</v>
      </c>
      <c r="AY860" s="2" t="s">
        <v>337</v>
      </c>
      <c r="BE860" s="140">
        <f>IF(N860="základní",J860,0)</f>
        <v>0</v>
      </c>
      <c r="BF860" s="140">
        <f>IF(N860="snížená",J860,0)</f>
        <v>0</v>
      </c>
      <c r="BG860" s="140">
        <f>IF(N860="zákl. přenesená",J860,0)</f>
        <v>0</v>
      </c>
      <c r="BH860" s="140">
        <f>IF(N860="sníž. přenesená",J860,0)</f>
        <v>0</v>
      </c>
      <c r="BI860" s="140">
        <f>IF(N860="nulová",J860,0)</f>
        <v>0</v>
      </c>
      <c r="BJ860" s="2" t="s">
        <v>87</v>
      </c>
      <c r="BK860" s="140">
        <f>ROUND(I860*H860,2)</f>
        <v>0</v>
      </c>
      <c r="BL860" s="2" t="s">
        <v>344</v>
      </c>
      <c r="BM860" s="139" t="s">
        <v>968</v>
      </c>
    </row>
    <row r="861" spans="2:65" s="148" customFormat="1" x14ac:dyDescent="0.2">
      <c r="B861" s="149"/>
      <c r="D861" s="143" t="s">
        <v>346</v>
      </c>
      <c r="E861" s="150"/>
      <c r="F861" s="151" t="s">
        <v>969</v>
      </c>
      <c r="H861" s="152">
        <v>11362.5</v>
      </c>
      <c r="L861" s="149"/>
      <c r="M861" s="153"/>
      <c r="T861" s="154"/>
      <c r="AT861" s="150" t="s">
        <v>346</v>
      </c>
      <c r="AU861" s="150" t="s">
        <v>90</v>
      </c>
      <c r="AV861" s="148" t="s">
        <v>90</v>
      </c>
      <c r="AW861" s="148" t="s">
        <v>33</v>
      </c>
      <c r="AX861" s="148" t="s">
        <v>87</v>
      </c>
      <c r="AY861" s="150" t="s">
        <v>337</v>
      </c>
    </row>
    <row r="862" spans="2:65" s="16" customFormat="1" ht="21.75" customHeight="1" x14ac:dyDescent="0.2">
      <c r="B862" s="17"/>
      <c r="C862" s="128">
        <v>76</v>
      </c>
      <c r="D862" s="128" t="s">
        <v>339</v>
      </c>
      <c r="E862" s="129" t="s">
        <v>971</v>
      </c>
      <c r="F862" s="130" t="s">
        <v>972</v>
      </c>
      <c r="G862" s="131" t="s">
        <v>724</v>
      </c>
      <c r="H862" s="132">
        <v>757.5</v>
      </c>
      <c r="I862" s="133"/>
      <c r="J862" s="134">
        <f>ROUND(I862*H862,2)</f>
        <v>0</v>
      </c>
      <c r="K862" s="130" t="s">
        <v>343</v>
      </c>
      <c r="L862" s="17"/>
      <c r="M862" s="135"/>
      <c r="N862" s="136" t="s">
        <v>45</v>
      </c>
      <c r="P862" s="137">
        <f>O862*H862</f>
        <v>0</v>
      </c>
      <c r="Q862" s="137">
        <v>0</v>
      </c>
      <c r="R862" s="137">
        <f>Q862*H862</f>
        <v>0</v>
      </c>
      <c r="S862" s="137">
        <v>0</v>
      </c>
      <c r="T862" s="138">
        <f>S862*H862</f>
        <v>0</v>
      </c>
      <c r="AR862" s="139" t="s">
        <v>344</v>
      </c>
      <c r="AT862" s="139" t="s">
        <v>339</v>
      </c>
      <c r="AU862" s="139" t="s">
        <v>90</v>
      </c>
      <c r="AY862" s="2" t="s">
        <v>337</v>
      </c>
      <c r="BE862" s="140">
        <f>IF(N862="základní",J862,0)</f>
        <v>0</v>
      </c>
      <c r="BF862" s="140">
        <f>IF(N862="snížená",J862,0)</f>
        <v>0</v>
      </c>
      <c r="BG862" s="140">
        <f>IF(N862="zákl. přenesená",J862,0)</f>
        <v>0</v>
      </c>
      <c r="BH862" s="140">
        <f>IF(N862="sníž. přenesená",J862,0)</f>
        <v>0</v>
      </c>
      <c r="BI862" s="140">
        <f>IF(N862="nulová",J862,0)</f>
        <v>0</v>
      </c>
      <c r="BJ862" s="2" t="s">
        <v>87</v>
      </c>
      <c r="BK862" s="140">
        <f>ROUND(I862*H862,2)</f>
        <v>0</v>
      </c>
      <c r="BL862" s="2" t="s">
        <v>344</v>
      </c>
      <c r="BM862" s="139" t="s">
        <v>973</v>
      </c>
    </row>
    <row r="863" spans="2:65" s="16" customFormat="1" ht="21.75" customHeight="1" x14ac:dyDescent="0.2">
      <c r="B863" s="17"/>
      <c r="C863" s="128">
        <v>77</v>
      </c>
      <c r="D863" s="128" t="s">
        <v>339</v>
      </c>
      <c r="E863" s="129" t="s">
        <v>974</v>
      </c>
      <c r="F863" s="130" t="s">
        <v>975</v>
      </c>
      <c r="G863" s="131" t="s">
        <v>724</v>
      </c>
      <c r="H863" s="132">
        <v>20</v>
      </c>
      <c r="I863" s="133"/>
      <c r="J863" s="134">
        <f>ROUND(I863*H863,2)</f>
        <v>0</v>
      </c>
      <c r="K863" s="130" t="s">
        <v>343</v>
      </c>
      <c r="L863" s="17"/>
      <c r="M863" s="135"/>
      <c r="N863" s="136" t="s">
        <v>45</v>
      </c>
      <c r="P863" s="137">
        <f>O863*H863</f>
        <v>0</v>
      </c>
      <c r="Q863" s="137">
        <v>3.0300000000000001E-3</v>
      </c>
      <c r="R863" s="137">
        <f>Q863*H863</f>
        <v>6.0600000000000001E-2</v>
      </c>
      <c r="S863" s="137">
        <v>0</v>
      </c>
      <c r="T863" s="138">
        <f>S863*H863</f>
        <v>0</v>
      </c>
      <c r="AR863" s="139" t="s">
        <v>344</v>
      </c>
      <c r="AT863" s="139" t="s">
        <v>339</v>
      </c>
      <c r="AU863" s="139" t="s">
        <v>90</v>
      </c>
      <c r="AY863" s="2" t="s">
        <v>337</v>
      </c>
      <c r="BE863" s="140">
        <f>IF(N863="základní",J863,0)</f>
        <v>0</v>
      </c>
      <c r="BF863" s="140">
        <f>IF(N863="snížená",J863,0)</f>
        <v>0</v>
      </c>
      <c r="BG863" s="140">
        <f>IF(N863="zákl. přenesená",J863,0)</f>
        <v>0</v>
      </c>
      <c r="BH863" s="140">
        <f>IF(N863="sníž. přenesená",J863,0)</f>
        <v>0</v>
      </c>
      <c r="BI863" s="140">
        <f>IF(N863="nulová",J863,0)</f>
        <v>0</v>
      </c>
      <c r="BJ863" s="2" t="s">
        <v>87</v>
      </c>
      <c r="BK863" s="140">
        <f>ROUND(I863*H863,2)</f>
        <v>0</v>
      </c>
      <c r="BL863" s="2" t="s">
        <v>344</v>
      </c>
      <c r="BM863" s="139" t="s">
        <v>976</v>
      </c>
    </row>
    <row r="864" spans="2:65" s="141" customFormat="1" x14ac:dyDescent="0.2">
      <c r="B864" s="142"/>
      <c r="D864" s="143" t="s">
        <v>346</v>
      </c>
      <c r="E864" s="144"/>
      <c r="F864" s="145" t="s">
        <v>977</v>
      </c>
      <c r="H864" s="144"/>
      <c r="L864" s="142"/>
      <c r="M864" s="146"/>
      <c r="T864" s="147"/>
      <c r="AT864" s="144" t="s">
        <v>346</v>
      </c>
      <c r="AU864" s="144" t="s">
        <v>90</v>
      </c>
      <c r="AV864" s="141" t="s">
        <v>87</v>
      </c>
      <c r="AW864" s="141" t="s">
        <v>33</v>
      </c>
      <c r="AX864" s="141" t="s">
        <v>80</v>
      </c>
      <c r="AY864" s="144" t="s">
        <v>337</v>
      </c>
    </row>
    <row r="865" spans="2:65" s="141" customFormat="1" ht="22.5" x14ac:dyDescent="0.2">
      <c r="B865" s="142"/>
      <c r="D865" s="143" t="s">
        <v>346</v>
      </c>
      <c r="E865" s="144"/>
      <c r="F865" s="145" t="s">
        <v>978</v>
      </c>
      <c r="H865" s="144"/>
      <c r="L865" s="142"/>
      <c r="M865" s="146"/>
      <c r="T865" s="147"/>
      <c r="AT865" s="144" t="s">
        <v>346</v>
      </c>
      <c r="AU865" s="144" t="s">
        <v>90</v>
      </c>
      <c r="AV865" s="141" t="s">
        <v>87</v>
      </c>
      <c r="AW865" s="141" t="s">
        <v>33</v>
      </c>
      <c r="AX865" s="141" t="s">
        <v>80</v>
      </c>
      <c r="AY865" s="144" t="s">
        <v>337</v>
      </c>
    </row>
    <row r="866" spans="2:65" s="141" customFormat="1" x14ac:dyDescent="0.2">
      <c r="B866" s="142"/>
      <c r="D866" s="143" t="s">
        <v>346</v>
      </c>
      <c r="E866" s="144"/>
      <c r="F866" s="145" t="s">
        <v>979</v>
      </c>
      <c r="H866" s="144"/>
      <c r="L866" s="142"/>
      <c r="M866" s="146"/>
      <c r="T866" s="147"/>
      <c r="AT866" s="144" t="s">
        <v>346</v>
      </c>
      <c r="AU866" s="144" t="s">
        <v>90</v>
      </c>
      <c r="AV866" s="141" t="s">
        <v>87</v>
      </c>
      <c r="AW866" s="141" t="s">
        <v>33</v>
      </c>
      <c r="AX866" s="141" t="s">
        <v>80</v>
      </c>
      <c r="AY866" s="144" t="s">
        <v>337</v>
      </c>
    </row>
    <row r="867" spans="2:65" s="148" customFormat="1" x14ac:dyDescent="0.2">
      <c r="B867" s="149"/>
      <c r="D867" s="143" t="s">
        <v>346</v>
      </c>
      <c r="E867" s="150"/>
      <c r="F867" s="151" t="s">
        <v>980</v>
      </c>
      <c r="H867" s="152">
        <v>20</v>
      </c>
      <c r="L867" s="149"/>
      <c r="M867" s="153"/>
      <c r="T867" s="154"/>
      <c r="AT867" s="150" t="s">
        <v>346</v>
      </c>
      <c r="AU867" s="150" t="s">
        <v>90</v>
      </c>
      <c r="AV867" s="148" t="s">
        <v>90</v>
      </c>
      <c r="AW867" s="148" t="s">
        <v>33</v>
      </c>
      <c r="AX867" s="148" t="s">
        <v>87</v>
      </c>
      <c r="AY867" s="150" t="s">
        <v>337</v>
      </c>
    </row>
    <row r="868" spans="2:65" s="16" customFormat="1" ht="24.2" customHeight="1" x14ac:dyDescent="0.2">
      <c r="B868" s="17"/>
      <c r="C868" s="128">
        <v>78</v>
      </c>
      <c r="D868" s="128" t="s">
        <v>339</v>
      </c>
      <c r="E868" s="129" t="s">
        <v>982</v>
      </c>
      <c r="F868" s="130" t="s">
        <v>983</v>
      </c>
      <c r="G868" s="131" t="s">
        <v>425</v>
      </c>
      <c r="H868" s="132">
        <v>151.5</v>
      </c>
      <c r="I868" s="133"/>
      <c r="J868" s="134">
        <f>ROUND(I868*H868,2)</f>
        <v>0</v>
      </c>
      <c r="K868" s="130" t="s">
        <v>343</v>
      </c>
      <c r="L868" s="17"/>
      <c r="M868" s="135"/>
      <c r="N868" s="136" t="s">
        <v>45</v>
      </c>
      <c r="P868" s="137">
        <f>O868*H868</f>
        <v>0</v>
      </c>
      <c r="Q868" s="137">
        <v>0</v>
      </c>
      <c r="R868" s="137">
        <f>Q868*H868</f>
        <v>0</v>
      </c>
      <c r="S868" s="137">
        <v>0</v>
      </c>
      <c r="T868" s="138">
        <f>S868*H868</f>
        <v>0</v>
      </c>
      <c r="AR868" s="139" t="s">
        <v>344</v>
      </c>
      <c r="AT868" s="139" t="s">
        <v>339</v>
      </c>
      <c r="AU868" s="139" t="s">
        <v>90</v>
      </c>
      <c r="AY868" s="2" t="s">
        <v>337</v>
      </c>
      <c r="BE868" s="140">
        <f>IF(N868="základní",J868,0)</f>
        <v>0</v>
      </c>
      <c r="BF868" s="140">
        <f>IF(N868="snížená",J868,0)</f>
        <v>0</v>
      </c>
      <c r="BG868" s="140">
        <f>IF(N868="zákl. přenesená",J868,0)</f>
        <v>0</v>
      </c>
      <c r="BH868" s="140">
        <f>IF(N868="sníž. přenesená",J868,0)</f>
        <v>0</v>
      </c>
      <c r="BI868" s="140">
        <f>IF(N868="nulová",J868,0)</f>
        <v>0</v>
      </c>
      <c r="BJ868" s="2" t="s">
        <v>87</v>
      </c>
      <c r="BK868" s="140">
        <f>ROUND(I868*H868,2)</f>
        <v>0</v>
      </c>
      <c r="BL868" s="2" t="s">
        <v>344</v>
      </c>
      <c r="BM868" s="139" t="s">
        <v>984</v>
      </c>
    </row>
    <row r="869" spans="2:65" s="148" customFormat="1" x14ac:dyDescent="0.2">
      <c r="B869" s="149"/>
      <c r="D869" s="143" t="s">
        <v>346</v>
      </c>
      <c r="E869" s="150"/>
      <c r="F869" s="151" t="s">
        <v>985</v>
      </c>
      <c r="H869" s="152">
        <v>151.5</v>
      </c>
      <c r="L869" s="149"/>
      <c r="M869" s="153"/>
      <c r="T869" s="154"/>
      <c r="AT869" s="150" t="s">
        <v>346</v>
      </c>
      <c r="AU869" s="150" t="s">
        <v>90</v>
      </c>
      <c r="AV869" s="148" t="s">
        <v>90</v>
      </c>
      <c r="AW869" s="148" t="s">
        <v>33</v>
      </c>
      <c r="AX869" s="148" t="s">
        <v>87</v>
      </c>
      <c r="AY869" s="150" t="s">
        <v>337</v>
      </c>
    </row>
    <row r="870" spans="2:65" s="116" customFormat="1" ht="22.9" customHeight="1" x14ac:dyDescent="0.2">
      <c r="B870" s="117"/>
      <c r="D870" s="118" t="s">
        <v>79</v>
      </c>
      <c r="E870" s="126" t="s">
        <v>986</v>
      </c>
      <c r="F870" s="126" t="s">
        <v>987</v>
      </c>
      <c r="J870" s="127">
        <f>BK870</f>
        <v>0</v>
      </c>
      <c r="L870" s="117"/>
      <c r="M870" s="121"/>
      <c r="P870" s="122">
        <f>P871</f>
        <v>0</v>
      </c>
      <c r="R870" s="122">
        <f>R871</f>
        <v>0</v>
      </c>
      <c r="T870" s="123">
        <f>T871</f>
        <v>0</v>
      </c>
      <c r="AR870" s="118" t="s">
        <v>87</v>
      </c>
      <c r="AT870" s="124" t="s">
        <v>79</v>
      </c>
      <c r="AU870" s="124" t="s">
        <v>87</v>
      </c>
      <c r="AY870" s="118" t="s">
        <v>337</v>
      </c>
      <c r="BK870" s="125">
        <f>BK871</f>
        <v>0</v>
      </c>
    </row>
    <row r="871" spans="2:65" s="16" customFormat="1" ht="16.5" customHeight="1" x14ac:dyDescent="0.2">
      <c r="B871" s="17"/>
      <c r="C871" s="128">
        <v>79</v>
      </c>
      <c r="D871" s="128" t="s">
        <v>339</v>
      </c>
      <c r="E871" s="129" t="s">
        <v>988</v>
      </c>
      <c r="F871" s="130" t="s">
        <v>989</v>
      </c>
      <c r="G871" s="131" t="s">
        <v>990</v>
      </c>
      <c r="H871" s="132">
        <v>757.79899999999998</v>
      </c>
      <c r="I871" s="133"/>
      <c r="J871" s="134">
        <f>ROUND(I871*H871,2)</f>
        <v>0</v>
      </c>
      <c r="K871" s="130" t="s">
        <v>343</v>
      </c>
      <c r="L871" s="17"/>
      <c r="M871" s="135"/>
      <c r="N871" s="136" t="s">
        <v>45</v>
      </c>
      <c r="P871" s="137">
        <f>O871*H871</f>
        <v>0</v>
      </c>
      <c r="Q871" s="137">
        <v>0</v>
      </c>
      <c r="R871" s="137">
        <f>Q871*H871</f>
        <v>0</v>
      </c>
      <c r="S871" s="137">
        <v>0</v>
      </c>
      <c r="T871" s="138">
        <f>S871*H871</f>
        <v>0</v>
      </c>
      <c r="AR871" s="139" t="s">
        <v>344</v>
      </c>
      <c r="AT871" s="139" t="s">
        <v>339</v>
      </c>
      <c r="AU871" s="139" t="s">
        <v>90</v>
      </c>
      <c r="AY871" s="2" t="s">
        <v>337</v>
      </c>
      <c r="BE871" s="140">
        <f>IF(N871="základní",J871,0)</f>
        <v>0</v>
      </c>
      <c r="BF871" s="140">
        <f>IF(N871="snížená",J871,0)</f>
        <v>0</v>
      </c>
      <c r="BG871" s="140">
        <f>IF(N871="zákl. přenesená",J871,0)</f>
        <v>0</v>
      </c>
      <c r="BH871" s="140">
        <f>IF(N871="sníž. přenesená",J871,0)</f>
        <v>0</v>
      </c>
      <c r="BI871" s="140">
        <f>IF(N871="nulová",J871,0)</f>
        <v>0</v>
      </c>
      <c r="BJ871" s="2" t="s">
        <v>87</v>
      </c>
      <c r="BK871" s="140">
        <f>ROUND(I871*H871,2)</f>
        <v>0</v>
      </c>
      <c r="BL871" s="2" t="s">
        <v>344</v>
      </c>
      <c r="BM871" s="139" t="s">
        <v>991</v>
      </c>
    </row>
    <row r="872" spans="2:65" s="116" customFormat="1" ht="25.9" customHeight="1" x14ac:dyDescent="0.2">
      <c r="B872" s="117"/>
      <c r="D872" s="118" t="s">
        <v>79</v>
      </c>
      <c r="E872" s="119" t="s">
        <v>992</v>
      </c>
      <c r="F872" s="119" t="s">
        <v>993</v>
      </c>
      <c r="J872" s="120">
        <f>BK872</f>
        <v>0</v>
      </c>
      <c r="L872" s="117"/>
      <c r="M872" s="121"/>
      <c r="P872" s="122">
        <f>P873+P902+P975+P1031+P1703+P1997+P2032+P2360+P2430+P2831+P2859</f>
        <v>0</v>
      </c>
      <c r="R872" s="122">
        <f>R873+R902+R975+R1031+R1703+R1997+R2032+R2360+R2430+R2831+R2859</f>
        <v>321.23601969999993</v>
      </c>
      <c r="T872" s="123">
        <f>T873+T902+T975+T1031+T1703+T1997+T2032+T2360+T2430+T2831+T2859</f>
        <v>1.1892219000000002</v>
      </c>
      <c r="AR872" s="118" t="s">
        <v>90</v>
      </c>
      <c r="AT872" s="124" t="s">
        <v>79</v>
      </c>
      <c r="AU872" s="124" t="s">
        <v>80</v>
      </c>
      <c r="AY872" s="118" t="s">
        <v>337</v>
      </c>
      <c r="BK872" s="125">
        <f>BK873+BK902+BK975+BK1031+BK1703+BK1997+BK2032+BK2360+BK2430+BK2831+BK2859</f>
        <v>0</v>
      </c>
    </row>
    <row r="873" spans="2:65" s="116" customFormat="1" ht="22.9" customHeight="1" x14ac:dyDescent="0.2">
      <c r="B873" s="117"/>
      <c r="D873" s="118" t="s">
        <v>79</v>
      </c>
      <c r="E873" s="126" t="s">
        <v>994</v>
      </c>
      <c r="F873" s="126" t="s">
        <v>995</v>
      </c>
      <c r="J873" s="127">
        <f>BK873</f>
        <v>0</v>
      </c>
      <c r="L873" s="117"/>
      <c r="M873" s="121"/>
      <c r="P873" s="122">
        <f>SUM(P874:P901)</f>
        <v>0</v>
      </c>
      <c r="R873" s="122">
        <f>SUM(R874:R901)</f>
        <v>1.7422359800000002</v>
      </c>
      <c r="T873" s="123">
        <f>SUM(T874:T901)</f>
        <v>0</v>
      </c>
      <c r="AR873" s="118" t="s">
        <v>90</v>
      </c>
      <c r="AT873" s="124" t="s">
        <v>79</v>
      </c>
      <c r="AU873" s="124" t="s">
        <v>87</v>
      </c>
      <c r="AY873" s="118" t="s">
        <v>337</v>
      </c>
      <c r="BK873" s="125">
        <f>SUM(BK874:BK901)</f>
        <v>0</v>
      </c>
    </row>
    <row r="874" spans="2:65" s="16" customFormat="1" ht="16.5" customHeight="1" x14ac:dyDescent="0.2">
      <c r="B874" s="17"/>
      <c r="C874" s="128">
        <v>80</v>
      </c>
      <c r="D874" s="128" t="s">
        <v>339</v>
      </c>
      <c r="E874" s="129" t="s">
        <v>997</v>
      </c>
      <c r="F874" s="130" t="s">
        <v>998</v>
      </c>
      <c r="G874" s="131" t="s">
        <v>425</v>
      </c>
      <c r="H874" s="132">
        <v>18.29</v>
      </c>
      <c r="I874" s="133"/>
      <c r="J874" s="134">
        <f>ROUND(I874*H874,2)</f>
        <v>0</v>
      </c>
      <c r="K874" s="130" t="s">
        <v>343</v>
      </c>
      <c r="L874" s="17"/>
      <c r="M874" s="135"/>
      <c r="N874" s="136" t="s">
        <v>45</v>
      </c>
      <c r="P874" s="137">
        <f>O874*H874</f>
        <v>0</v>
      </c>
      <c r="Q874" s="137">
        <v>3.5000000000000001E-3</v>
      </c>
      <c r="R874" s="137">
        <f>Q874*H874</f>
        <v>6.4015000000000002E-2</v>
      </c>
      <c r="S874" s="137">
        <v>0</v>
      </c>
      <c r="T874" s="138">
        <f>S874*H874</f>
        <v>0</v>
      </c>
      <c r="AR874" s="139" t="s">
        <v>496</v>
      </c>
      <c r="AT874" s="139" t="s">
        <v>339</v>
      </c>
      <c r="AU874" s="139" t="s">
        <v>90</v>
      </c>
      <c r="AY874" s="2" t="s">
        <v>337</v>
      </c>
      <c r="BE874" s="140">
        <f>IF(N874="základní",J874,0)</f>
        <v>0</v>
      </c>
      <c r="BF874" s="140">
        <f>IF(N874="snížená",J874,0)</f>
        <v>0</v>
      </c>
      <c r="BG874" s="140">
        <f>IF(N874="zákl. přenesená",J874,0)</f>
        <v>0</v>
      </c>
      <c r="BH874" s="140">
        <f>IF(N874="sníž. přenesená",J874,0)</f>
        <v>0</v>
      </c>
      <c r="BI874" s="140">
        <f>IF(N874="nulová",J874,0)</f>
        <v>0</v>
      </c>
      <c r="BJ874" s="2" t="s">
        <v>87</v>
      </c>
      <c r="BK874" s="140">
        <f>ROUND(I874*H874,2)</f>
        <v>0</v>
      </c>
      <c r="BL874" s="2" t="s">
        <v>496</v>
      </c>
      <c r="BM874" s="139" t="s">
        <v>999</v>
      </c>
    </row>
    <row r="875" spans="2:65" s="141" customFormat="1" x14ac:dyDescent="0.2">
      <c r="B875" s="142"/>
      <c r="D875" s="143" t="s">
        <v>346</v>
      </c>
      <c r="E875" s="144"/>
      <c r="F875" s="145" t="s">
        <v>1000</v>
      </c>
      <c r="H875" s="144"/>
      <c r="L875" s="142"/>
      <c r="M875" s="146"/>
      <c r="T875" s="147"/>
      <c r="AT875" s="144" t="s">
        <v>346</v>
      </c>
      <c r="AU875" s="144" t="s">
        <v>90</v>
      </c>
      <c r="AV875" s="141" t="s">
        <v>87</v>
      </c>
      <c r="AW875" s="141" t="s">
        <v>33</v>
      </c>
      <c r="AX875" s="141" t="s">
        <v>80</v>
      </c>
      <c r="AY875" s="144" t="s">
        <v>337</v>
      </c>
    </row>
    <row r="876" spans="2:65" s="141" customFormat="1" x14ac:dyDescent="0.2">
      <c r="B876" s="142"/>
      <c r="D876" s="143" t="s">
        <v>346</v>
      </c>
      <c r="E876" s="144"/>
      <c r="F876" s="145" t="s">
        <v>1001</v>
      </c>
      <c r="H876" s="144"/>
      <c r="L876" s="142"/>
      <c r="M876" s="146"/>
      <c r="T876" s="147"/>
      <c r="AT876" s="144" t="s">
        <v>346</v>
      </c>
      <c r="AU876" s="144" t="s">
        <v>90</v>
      </c>
      <c r="AV876" s="141" t="s">
        <v>87</v>
      </c>
      <c r="AW876" s="141" t="s">
        <v>33</v>
      </c>
      <c r="AX876" s="141" t="s">
        <v>80</v>
      </c>
      <c r="AY876" s="144" t="s">
        <v>337</v>
      </c>
    </row>
    <row r="877" spans="2:65" s="148" customFormat="1" x14ac:dyDescent="0.2">
      <c r="B877" s="149"/>
      <c r="D877" s="143" t="s">
        <v>346</v>
      </c>
      <c r="E877" s="150"/>
      <c r="F877" s="151" t="s">
        <v>1002</v>
      </c>
      <c r="H877" s="152">
        <v>18.29</v>
      </c>
      <c r="L877" s="149"/>
      <c r="M877" s="153"/>
      <c r="T877" s="154"/>
      <c r="AT877" s="150" t="s">
        <v>346</v>
      </c>
      <c r="AU877" s="150" t="s">
        <v>90</v>
      </c>
      <c r="AV877" s="148" t="s">
        <v>90</v>
      </c>
      <c r="AW877" s="148" t="s">
        <v>33</v>
      </c>
      <c r="AX877" s="148" t="s">
        <v>87</v>
      </c>
      <c r="AY877" s="150" t="s">
        <v>337</v>
      </c>
    </row>
    <row r="878" spans="2:65" s="16" customFormat="1" ht="16.5" customHeight="1" x14ac:dyDescent="0.2">
      <c r="B878" s="17"/>
      <c r="C878" s="128">
        <v>81</v>
      </c>
      <c r="D878" s="128" t="s">
        <v>339</v>
      </c>
      <c r="E878" s="129" t="s">
        <v>1003</v>
      </c>
      <c r="F878" s="130" t="s">
        <v>1004</v>
      </c>
      <c r="G878" s="131" t="s">
        <v>425</v>
      </c>
      <c r="H878" s="132">
        <v>2.7450000000000001</v>
      </c>
      <c r="I878" s="133"/>
      <c r="J878" s="134">
        <f>ROUND(I878*H878,2)</f>
        <v>0</v>
      </c>
      <c r="K878" s="130" t="s">
        <v>343</v>
      </c>
      <c r="L878" s="17"/>
      <c r="M878" s="135"/>
      <c r="N878" s="136" t="s">
        <v>45</v>
      </c>
      <c r="P878" s="137">
        <f>O878*H878</f>
        <v>0</v>
      </c>
      <c r="Q878" s="137">
        <v>3.5000000000000001E-3</v>
      </c>
      <c r="R878" s="137">
        <f>Q878*H878</f>
        <v>9.6074999999999997E-3</v>
      </c>
      <c r="S878" s="137">
        <v>0</v>
      </c>
      <c r="T878" s="138">
        <f>S878*H878</f>
        <v>0</v>
      </c>
      <c r="AR878" s="139" t="s">
        <v>496</v>
      </c>
      <c r="AT878" s="139" t="s">
        <v>339</v>
      </c>
      <c r="AU878" s="139" t="s">
        <v>90</v>
      </c>
      <c r="AY878" s="2" t="s">
        <v>337</v>
      </c>
      <c r="BE878" s="140">
        <f>IF(N878="základní",J878,0)</f>
        <v>0</v>
      </c>
      <c r="BF878" s="140">
        <f>IF(N878="snížená",J878,0)</f>
        <v>0</v>
      </c>
      <c r="BG878" s="140">
        <f>IF(N878="zákl. přenesená",J878,0)</f>
        <v>0</v>
      </c>
      <c r="BH878" s="140">
        <f>IF(N878="sníž. přenesená",J878,0)</f>
        <v>0</v>
      </c>
      <c r="BI878" s="140">
        <f>IF(N878="nulová",J878,0)</f>
        <v>0</v>
      </c>
      <c r="BJ878" s="2" t="s">
        <v>87</v>
      </c>
      <c r="BK878" s="140">
        <f>ROUND(I878*H878,2)</f>
        <v>0</v>
      </c>
      <c r="BL878" s="2" t="s">
        <v>496</v>
      </c>
      <c r="BM878" s="139" t="s">
        <v>1005</v>
      </c>
    </row>
    <row r="879" spans="2:65" s="141" customFormat="1" x14ac:dyDescent="0.2">
      <c r="B879" s="142"/>
      <c r="D879" s="143" t="s">
        <v>346</v>
      </c>
      <c r="E879" s="144"/>
      <c r="F879" s="145" t="s">
        <v>1000</v>
      </c>
      <c r="H879" s="144"/>
      <c r="L879" s="142"/>
      <c r="M879" s="146"/>
      <c r="T879" s="147"/>
      <c r="AT879" s="144" t="s">
        <v>346</v>
      </c>
      <c r="AU879" s="144" t="s">
        <v>90</v>
      </c>
      <c r="AV879" s="141" t="s">
        <v>87</v>
      </c>
      <c r="AW879" s="141" t="s">
        <v>33</v>
      </c>
      <c r="AX879" s="141" t="s">
        <v>80</v>
      </c>
      <c r="AY879" s="144" t="s">
        <v>337</v>
      </c>
    </row>
    <row r="880" spans="2:65" s="141" customFormat="1" x14ac:dyDescent="0.2">
      <c r="B880" s="142"/>
      <c r="D880" s="143" t="s">
        <v>346</v>
      </c>
      <c r="E880" s="144"/>
      <c r="F880" s="145" t="s">
        <v>1006</v>
      </c>
      <c r="H880" s="144"/>
      <c r="L880" s="142"/>
      <c r="M880" s="146"/>
      <c r="T880" s="147"/>
      <c r="AT880" s="144" t="s">
        <v>346</v>
      </c>
      <c r="AU880" s="144" t="s">
        <v>90</v>
      </c>
      <c r="AV880" s="141" t="s">
        <v>87</v>
      </c>
      <c r="AW880" s="141" t="s">
        <v>33</v>
      </c>
      <c r="AX880" s="141" t="s">
        <v>80</v>
      </c>
      <c r="AY880" s="144" t="s">
        <v>337</v>
      </c>
    </row>
    <row r="881" spans="2:65" s="148" customFormat="1" x14ac:dyDescent="0.2">
      <c r="B881" s="149"/>
      <c r="D881" s="143" t="s">
        <v>346</v>
      </c>
      <c r="E881" s="150"/>
      <c r="F881" s="151" t="s">
        <v>1007</v>
      </c>
      <c r="H881" s="152">
        <v>2.7450000000000001</v>
      </c>
      <c r="L881" s="149"/>
      <c r="M881" s="153"/>
      <c r="T881" s="154"/>
      <c r="AT881" s="150" t="s">
        <v>346</v>
      </c>
      <c r="AU881" s="150" t="s">
        <v>90</v>
      </c>
      <c r="AV881" s="148" t="s">
        <v>90</v>
      </c>
      <c r="AW881" s="148" t="s">
        <v>33</v>
      </c>
      <c r="AX881" s="148" t="s">
        <v>87</v>
      </c>
      <c r="AY881" s="150" t="s">
        <v>337</v>
      </c>
    </row>
    <row r="882" spans="2:65" s="16" customFormat="1" ht="16.5" customHeight="1" x14ac:dyDescent="0.2">
      <c r="B882" s="17"/>
      <c r="C882" s="128">
        <v>82</v>
      </c>
      <c r="D882" s="128" t="s">
        <v>339</v>
      </c>
      <c r="E882" s="129" t="s">
        <v>1009</v>
      </c>
      <c r="F882" s="130" t="s">
        <v>1010</v>
      </c>
      <c r="G882" s="131" t="s">
        <v>425</v>
      </c>
      <c r="H882" s="132">
        <v>437.82600000000002</v>
      </c>
      <c r="I882" s="133"/>
      <c r="J882" s="134">
        <f>ROUND(I882*H882,2)</f>
        <v>0</v>
      </c>
      <c r="K882" s="130" t="s">
        <v>343</v>
      </c>
      <c r="L882" s="17"/>
      <c r="M882" s="135"/>
      <c r="N882" s="136" t="s">
        <v>45</v>
      </c>
      <c r="P882" s="137">
        <f>O882*H882</f>
        <v>0</v>
      </c>
      <c r="Q882" s="137">
        <v>7.6999999999999996E-4</v>
      </c>
      <c r="R882" s="137">
        <f>Q882*H882</f>
        <v>0.33712602000000003</v>
      </c>
      <c r="S882" s="137">
        <v>0</v>
      </c>
      <c r="T882" s="138">
        <f>S882*H882</f>
        <v>0</v>
      </c>
      <c r="AR882" s="139" t="s">
        <v>496</v>
      </c>
      <c r="AT882" s="139" t="s">
        <v>339</v>
      </c>
      <c r="AU882" s="139" t="s">
        <v>90</v>
      </c>
      <c r="AY882" s="2" t="s">
        <v>337</v>
      </c>
      <c r="BE882" s="140">
        <f>IF(N882="základní",J882,0)</f>
        <v>0</v>
      </c>
      <c r="BF882" s="140">
        <f>IF(N882="snížená",J882,0)</f>
        <v>0</v>
      </c>
      <c r="BG882" s="140">
        <f>IF(N882="zákl. přenesená",J882,0)</f>
        <v>0</v>
      </c>
      <c r="BH882" s="140">
        <f>IF(N882="sníž. přenesená",J882,0)</f>
        <v>0</v>
      </c>
      <c r="BI882" s="140">
        <f>IF(N882="nulová",J882,0)</f>
        <v>0</v>
      </c>
      <c r="BJ882" s="2" t="s">
        <v>87</v>
      </c>
      <c r="BK882" s="140">
        <f>ROUND(I882*H882,2)</f>
        <v>0</v>
      </c>
      <c r="BL882" s="2" t="s">
        <v>496</v>
      </c>
      <c r="BM882" s="139" t="s">
        <v>1011</v>
      </c>
    </row>
    <row r="883" spans="2:65" s="148" customFormat="1" x14ac:dyDescent="0.2">
      <c r="B883" s="149"/>
      <c r="D883" s="143" t="s">
        <v>346</v>
      </c>
      <c r="E883" s="150"/>
      <c r="F883" s="151" t="s">
        <v>255</v>
      </c>
      <c r="H883" s="152">
        <v>406.21499999999997</v>
      </c>
      <c r="L883" s="149"/>
      <c r="M883" s="153"/>
      <c r="T883" s="154"/>
      <c r="AT883" s="150" t="s">
        <v>346</v>
      </c>
      <c r="AU883" s="150" t="s">
        <v>90</v>
      </c>
      <c r="AV883" s="148" t="s">
        <v>90</v>
      </c>
      <c r="AW883" s="148" t="s">
        <v>33</v>
      </c>
      <c r="AX883" s="148" t="s">
        <v>80</v>
      </c>
      <c r="AY883" s="150" t="s">
        <v>337</v>
      </c>
    </row>
    <row r="884" spans="2:65" s="148" customFormat="1" x14ac:dyDescent="0.2">
      <c r="B884" s="149"/>
      <c r="D884" s="143" t="s">
        <v>346</v>
      </c>
      <c r="E884" s="150"/>
      <c r="F884" s="151" t="s">
        <v>259</v>
      </c>
      <c r="H884" s="152">
        <v>4.37</v>
      </c>
      <c r="L884" s="149"/>
      <c r="M884" s="153"/>
      <c r="T884" s="154"/>
      <c r="AT884" s="150" t="s">
        <v>346</v>
      </c>
      <c r="AU884" s="150" t="s">
        <v>90</v>
      </c>
      <c r="AV884" s="148" t="s">
        <v>90</v>
      </c>
      <c r="AW884" s="148" t="s">
        <v>33</v>
      </c>
      <c r="AX884" s="148" t="s">
        <v>80</v>
      </c>
      <c r="AY884" s="150" t="s">
        <v>337</v>
      </c>
    </row>
    <row r="885" spans="2:65" s="141" customFormat="1" x14ac:dyDescent="0.2">
      <c r="B885" s="142"/>
      <c r="D885" s="143" t="s">
        <v>346</v>
      </c>
      <c r="E885" s="144"/>
      <c r="F885" s="145" t="s">
        <v>1012</v>
      </c>
      <c r="H885" s="144"/>
      <c r="L885" s="142"/>
      <c r="M885" s="146"/>
      <c r="T885" s="147"/>
      <c r="AT885" s="144" t="s">
        <v>346</v>
      </c>
      <c r="AU885" s="144" t="s">
        <v>90</v>
      </c>
      <c r="AV885" s="141" t="s">
        <v>87</v>
      </c>
      <c r="AW885" s="141" t="s">
        <v>33</v>
      </c>
      <c r="AX885" s="141" t="s">
        <v>80</v>
      </c>
      <c r="AY885" s="144" t="s">
        <v>337</v>
      </c>
    </row>
    <row r="886" spans="2:65" s="148" customFormat="1" x14ac:dyDescent="0.2">
      <c r="B886" s="149"/>
      <c r="D886" s="143" t="s">
        <v>346</v>
      </c>
      <c r="E886" s="150"/>
      <c r="F886" s="151" t="s">
        <v>1013</v>
      </c>
      <c r="H886" s="152">
        <v>26.303000000000001</v>
      </c>
      <c r="L886" s="149"/>
      <c r="M886" s="153"/>
      <c r="T886" s="154"/>
      <c r="AT886" s="150" t="s">
        <v>346</v>
      </c>
      <c r="AU886" s="150" t="s">
        <v>90</v>
      </c>
      <c r="AV886" s="148" t="s">
        <v>90</v>
      </c>
      <c r="AW886" s="148" t="s">
        <v>33</v>
      </c>
      <c r="AX886" s="148" t="s">
        <v>80</v>
      </c>
      <c r="AY886" s="150" t="s">
        <v>337</v>
      </c>
    </row>
    <row r="887" spans="2:65" s="148" customFormat="1" x14ac:dyDescent="0.2">
      <c r="B887" s="149"/>
      <c r="D887" s="143" t="s">
        <v>346</v>
      </c>
      <c r="E887" s="150"/>
      <c r="F887" s="151" t="s">
        <v>1014</v>
      </c>
      <c r="H887" s="152">
        <v>0.93799999999999994</v>
      </c>
      <c r="L887" s="149"/>
      <c r="M887" s="153"/>
      <c r="T887" s="154"/>
      <c r="AT887" s="150" t="s">
        <v>346</v>
      </c>
      <c r="AU887" s="150" t="s">
        <v>90</v>
      </c>
      <c r="AV887" s="148" t="s">
        <v>90</v>
      </c>
      <c r="AW887" s="148" t="s">
        <v>33</v>
      </c>
      <c r="AX887" s="148" t="s">
        <v>80</v>
      </c>
      <c r="AY887" s="150" t="s">
        <v>337</v>
      </c>
    </row>
    <row r="888" spans="2:65" s="155" customFormat="1" x14ac:dyDescent="0.2">
      <c r="B888" s="156"/>
      <c r="D888" s="143" t="s">
        <v>346</v>
      </c>
      <c r="E888" s="157"/>
      <c r="F888" s="158" t="s">
        <v>351</v>
      </c>
      <c r="H888" s="159">
        <v>437.82600000000002</v>
      </c>
      <c r="L888" s="156"/>
      <c r="M888" s="160"/>
      <c r="T888" s="161"/>
      <c r="AT888" s="157" t="s">
        <v>346</v>
      </c>
      <c r="AU888" s="157" t="s">
        <v>90</v>
      </c>
      <c r="AV888" s="155" t="s">
        <v>344</v>
      </c>
      <c r="AW888" s="155" t="s">
        <v>33</v>
      </c>
      <c r="AX888" s="155" t="s">
        <v>87</v>
      </c>
      <c r="AY888" s="157" t="s">
        <v>337</v>
      </c>
    </row>
    <row r="889" spans="2:65" s="16" customFormat="1" ht="16.5" customHeight="1" x14ac:dyDescent="0.2">
      <c r="B889" s="17"/>
      <c r="C889" s="128">
        <v>83</v>
      </c>
      <c r="D889" s="162" t="s">
        <v>519</v>
      </c>
      <c r="E889" s="163" t="s">
        <v>1015</v>
      </c>
      <c r="F889" s="164" t="s">
        <v>1016</v>
      </c>
      <c r="G889" s="165" t="s">
        <v>425</v>
      </c>
      <c r="H889" s="166">
        <v>503.49900000000002</v>
      </c>
      <c r="I889" s="167"/>
      <c r="J889" s="168">
        <f>ROUND(I889*H889,2)</f>
        <v>0</v>
      </c>
      <c r="K889" s="164" t="s">
        <v>343</v>
      </c>
      <c r="L889" s="169"/>
      <c r="M889" s="170"/>
      <c r="N889" s="171" t="s">
        <v>45</v>
      </c>
      <c r="P889" s="137">
        <f>O889*H889</f>
        <v>0</v>
      </c>
      <c r="Q889" s="137">
        <v>2.5400000000000002E-3</v>
      </c>
      <c r="R889" s="137">
        <f>Q889*H889</f>
        <v>1.2788874600000002</v>
      </c>
      <c r="S889" s="137">
        <v>0</v>
      </c>
      <c r="T889" s="138">
        <f>S889*H889</f>
        <v>0</v>
      </c>
      <c r="AR889" s="139" t="s">
        <v>621</v>
      </c>
      <c r="AT889" s="139" t="s">
        <v>519</v>
      </c>
      <c r="AU889" s="139" t="s">
        <v>90</v>
      </c>
      <c r="AY889" s="2" t="s">
        <v>337</v>
      </c>
      <c r="BE889" s="140">
        <f>IF(N889="základní",J889,0)</f>
        <v>0</v>
      </c>
      <c r="BF889" s="140">
        <f>IF(N889="snížená",J889,0)</f>
        <v>0</v>
      </c>
      <c r="BG889" s="140">
        <f>IF(N889="zákl. přenesená",J889,0)</f>
        <v>0</v>
      </c>
      <c r="BH889" s="140">
        <f>IF(N889="sníž. přenesená",J889,0)</f>
        <v>0</v>
      </c>
      <c r="BI889" s="140">
        <f>IF(N889="nulová",J889,0)</f>
        <v>0</v>
      </c>
      <c r="BJ889" s="2" t="s">
        <v>87</v>
      </c>
      <c r="BK889" s="140">
        <f>ROUND(I889*H889,2)</f>
        <v>0</v>
      </c>
      <c r="BL889" s="2" t="s">
        <v>496</v>
      </c>
      <c r="BM889" s="139" t="s">
        <v>1017</v>
      </c>
    </row>
    <row r="890" spans="2:65" s="141" customFormat="1" x14ac:dyDescent="0.2">
      <c r="B890" s="142"/>
      <c r="D890" s="143" t="s">
        <v>346</v>
      </c>
      <c r="E890" s="144"/>
      <c r="F890" s="145" t="s">
        <v>1018</v>
      </c>
      <c r="H890" s="144"/>
      <c r="L890" s="142"/>
      <c r="M890" s="146"/>
      <c r="T890" s="147"/>
      <c r="AT890" s="144" t="s">
        <v>346</v>
      </c>
      <c r="AU890" s="144" t="s">
        <v>90</v>
      </c>
      <c r="AV890" s="141" t="s">
        <v>87</v>
      </c>
      <c r="AW890" s="141" t="s">
        <v>33</v>
      </c>
      <c r="AX890" s="141" t="s">
        <v>80</v>
      </c>
      <c r="AY890" s="144" t="s">
        <v>337</v>
      </c>
    </row>
    <row r="891" spans="2:65" s="141" customFormat="1" x14ac:dyDescent="0.2">
      <c r="B891" s="142"/>
      <c r="D891" s="143" t="s">
        <v>346</v>
      </c>
      <c r="E891" s="144"/>
      <c r="F891" s="145" t="s">
        <v>1019</v>
      </c>
      <c r="H891" s="144"/>
      <c r="L891" s="142"/>
      <c r="M891" s="146"/>
      <c r="T891" s="147"/>
      <c r="AT891" s="144" t="s">
        <v>346</v>
      </c>
      <c r="AU891" s="144" t="s">
        <v>90</v>
      </c>
      <c r="AV891" s="141" t="s">
        <v>87</v>
      </c>
      <c r="AW891" s="141" t="s">
        <v>33</v>
      </c>
      <c r="AX891" s="141" t="s">
        <v>80</v>
      </c>
      <c r="AY891" s="144" t="s">
        <v>337</v>
      </c>
    </row>
    <row r="892" spans="2:65" s="148" customFormat="1" x14ac:dyDescent="0.2">
      <c r="B892" s="149"/>
      <c r="D892" s="143" t="s">
        <v>346</v>
      </c>
      <c r="E892" s="150"/>
      <c r="F892" s="151" t="s">
        <v>1020</v>
      </c>
      <c r="H892" s="152">
        <v>467.14699999999999</v>
      </c>
      <c r="L892" s="149"/>
      <c r="M892" s="153"/>
      <c r="T892" s="154"/>
      <c r="AT892" s="150" t="s">
        <v>346</v>
      </c>
      <c r="AU892" s="150" t="s">
        <v>90</v>
      </c>
      <c r="AV892" s="148" t="s">
        <v>90</v>
      </c>
      <c r="AW892" s="148" t="s">
        <v>33</v>
      </c>
      <c r="AX892" s="148" t="s">
        <v>80</v>
      </c>
      <c r="AY892" s="150" t="s">
        <v>337</v>
      </c>
    </row>
    <row r="893" spans="2:65" s="148" customFormat="1" x14ac:dyDescent="0.2">
      <c r="B893" s="149"/>
      <c r="D893" s="143" t="s">
        <v>346</v>
      </c>
      <c r="E893" s="150"/>
      <c r="F893" s="151" t="s">
        <v>1021</v>
      </c>
      <c r="H893" s="152">
        <v>5.0259999999999998</v>
      </c>
      <c r="L893" s="149"/>
      <c r="M893" s="153"/>
      <c r="T893" s="154"/>
      <c r="AT893" s="150" t="s">
        <v>346</v>
      </c>
      <c r="AU893" s="150" t="s">
        <v>90</v>
      </c>
      <c r="AV893" s="148" t="s">
        <v>90</v>
      </c>
      <c r="AW893" s="148" t="s">
        <v>33</v>
      </c>
      <c r="AX893" s="148" t="s">
        <v>80</v>
      </c>
      <c r="AY893" s="150" t="s">
        <v>337</v>
      </c>
    </row>
    <row r="894" spans="2:65" s="141" customFormat="1" x14ac:dyDescent="0.2">
      <c r="B894" s="142"/>
      <c r="D894" s="143" t="s">
        <v>346</v>
      </c>
      <c r="E894" s="144"/>
      <c r="F894" s="145" t="s">
        <v>1012</v>
      </c>
      <c r="H894" s="144"/>
      <c r="L894" s="142"/>
      <c r="M894" s="146"/>
      <c r="T894" s="147"/>
      <c r="AT894" s="144" t="s">
        <v>346</v>
      </c>
      <c r="AU894" s="144" t="s">
        <v>90</v>
      </c>
      <c r="AV894" s="141" t="s">
        <v>87</v>
      </c>
      <c r="AW894" s="141" t="s">
        <v>33</v>
      </c>
      <c r="AX894" s="141" t="s">
        <v>80</v>
      </c>
      <c r="AY894" s="144" t="s">
        <v>337</v>
      </c>
    </row>
    <row r="895" spans="2:65" s="148" customFormat="1" x14ac:dyDescent="0.2">
      <c r="B895" s="149"/>
      <c r="D895" s="143" t="s">
        <v>346</v>
      </c>
      <c r="E895" s="150"/>
      <c r="F895" s="151" t="s">
        <v>1022</v>
      </c>
      <c r="H895" s="152">
        <v>30.248000000000001</v>
      </c>
      <c r="L895" s="149"/>
      <c r="M895" s="153"/>
      <c r="T895" s="154"/>
      <c r="AT895" s="150" t="s">
        <v>346</v>
      </c>
      <c r="AU895" s="150" t="s">
        <v>90</v>
      </c>
      <c r="AV895" s="148" t="s">
        <v>90</v>
      </c>
      <c r="AW895" s="148" t="s">
        <v>33</v>
      </c>
      <c r="AX895" s="148" t="s">
        <v>80</v>
      </c>
      <c r="AY895" s="150" t="s">
        <v>337</v>
      </c>
    </row>
    <row r="896" spans="2:65" s="148" customFormat="1" x14ac:dyDescent="0.2">
      <c r="B896" s="149"/>
      <c r="D896" s="143" t="s">
        <v>346</v>
      </c>
      <c r="E896" s="150"/>
      <c r="F896" s="151" t="s">
        <v>1023</v>
      </c>
      <c r="H896" s="152">
        <v>1.0780000000000001</v>
      </c>
      <c r="L896" s="149"/>
      <c r="M896" s="153"/>
      <c r="T896" s="154"/>
      <c r="AT896" s="150" t="s">
        <v>346</v>
      </c>
      <c r="AU896" s="150" t="s">
        <v>90</v>
      </c>
      <c r="AV896" s="148" t="s">
        <v>90</v>
      </c>
      <c r="AW896" s="148" t="s">
        <v>33</v>
      </c>
      <c r="AX896" s="148" t="s">
        <v>80</v>
      </c>
      <c r="AY896" s="150" t="s">
        <v>337</v>
      </c>
    </row>
    <row r="897" spans="2:65" s="155" customFormat="1" x14ac:dyDescent="0.2">
      <c r="B897" s="156"/>
      <c r="D897" s="143" t="s">
        <v>346</v>
      </c>
      <c r="E897" s="157"/>
      <c r="F897" s="158" t="s">
        <v>351</v>
      </c>
      <c r="H897" s="159">
        <v>503.49900000000002</v>
      </c>
      <c r="L897" s="156"/>
      <c r="M897" s="160"/>
      <c r="T897" s="161"/>
      <c r="AT897" s="157" t="s">
        <v>346</v>
      </c>
      <c r="AU897" s="157" t="s">
        <v>90</v>
      </c>
      <c r="AV897" s="155" t="s">
        <v>344</v>
      </c>
      <c r="AW897" s="155" t="s">
        <v>33</v>
      </c>
      <c r="AX897" s="155" t="s">
        <v>87</v>
      </c>
      <c r="AY897" s="157" t="s">
        <v>337</v>
      </c>
    </row>
    <row r="898" spans="2:65" s="16" customFormat="1" ht="21.75" customHeight="1" x14ac:dyDescent="0.2">
      <c r="B898" s="17"/>
      <c r="C898" s="128">
        <v>84</v>
      </c>
      <c r="D898" s="128" t="s">
        <v>339</v>
      </c>
      <c r="E898" s="129" t="s">
        <v>1025</v>
      </c>
      <c r="F898" s="130" t="s">
        <v>1026</v>
      </c>
      <c r="G898" s="131" t="s">
        <v>449</v>
      </c>
      <c r="H898" s="132">
        <v>20</v>
      </c>
      <c r="I898" s="133"/>
      <c r="J898" s="134">
        <f>ROUND(I898*H898,2)</f>
        <v>0</v>
      </c>
      <c r="K898" s="130" t="s">
        <v>343</v>
      </c>
      <c r="L898" s="17"/>
      <c r="M898" s="135"/>
      <c r="N898" s="136" t="s">
        <v>45</v>
      </c>
      <c r="P898" s="137">
        <f>O898*H898</f>
        <v>0</v>
      </c>
      <c r="Q898" s="137">
        <v>6.3000000000000003E-4</v>
      </c>
      <c r="R898" s="137">
        <f>Q898*H898</f>
        <v>1.26E-2</v>
      </c>
      <c r="S898" s="137">
        <v>0</v>
      </c>
      <c r="T898" s="138">
        <f>S898*H898</f>
        <v>0</v>
      </c>
      <c r="AR898" s="139" t="s">
        <v>496</v>
      </c>
      <c r="AT898" s="139" t="s">
        <v>339</v>
      </c>
      <c r="AU898" s="139" t="s">
        <v>90</v>
      </c>
      <c r="AY898" s="2" t="s">
        <v>337</v>
      </c>
      <c r="BE898" s="140">
        <f>IF(N898="základní",J898,0)</f>
        <v>0</v>
      </c>
      <c r="BF898" s="140">
        <f>IF(N898="snížená",J898,0)</f>
        <v>0</v>
      </c>
      <c r="BG898" s="140">
        <f>IF(N898="zákl. přenesená",J898,0)</f>
        <v>0</v>
      </c>
      <c r="BH898" s="140">
        <f>IF(N898="sníž. přenesená",J898,0)</f>
        <v>0</v>
      </c>
      <c r="BI898" s="140">
        <f>IF(N898="nulová",J898,0)</f>
        <v>0</v>
      </c>
      <c r="BJ898" s="2" t="s">
        <v>87</v>
      </c>
      <c r="BK898" s="140">
        <f>ROUND(I898*H898,2)</f>
        <v>0</v>
      </c>
      <c r="BL898" s="2" t="s">
        <v>496</v>
      </c>
      <c r="BM898" s="139" t="s">
        <v>1027</v>
      </c>
    </row>
    <row r="899" spans="2:65" s="16" customFormat="1" ht="16.5" customHeight="1" x14ac:dyDescent="0.2">
      <c r="B899" s="17"/>
      <c r="C899" s="128">
        <v>85</v>
      </c>
      <c r="D899" s="162" t="s">
        <v>519</v>
      </c>
      <c r="E899" s="163" t="s">
        <v>1028</v>
      </c>
      <c r="F899" s="164" t="s">
        <v>1029</v>
      </c>
      <c r="G899" s="165" t="s">
        <v>990</v>
      </c>
      <c r="H899" s="166">
        <v>0.04</v>
      </c>
      <c r="I899" s="167"/>
      <c r="J899" s="168">
        <f>ROUND(I899*H899,2)</f>
        <v>0</v>
      </c>
      <c r="K899" s="164" t="s">
        <v>343</v>
      </c>
      <c r="L899" s="169"/>
      <c r="M899" s="170"/>
      <c r="N899" s="171" t="s">
        <v>45</v>
      </c>
      <c r="P899" s="137">
        <f>O899*H899</f>
        <v>0</v>
      </c>
      <c r="Q899" s="137">
        <v>1</v>
      </c>
      <c r="R899" s="137">
        <f>Q899*H899</f>
        <v>0.04</v>
      </c>
      <c r="S899" s="137">
        <v>0</v>
      </c>
      <c r="T899" s="138">
        <f>S899*H899</f>
        <v>0</v>
      </c>
      <c r="AR899" s="139" t="s">
        <v>621</v>
      </c>
      <c r="AT899" s="139" t="s">
        <v>519</v>
      </c>
      <c r="AU899" s="139" t="s">
        <v>90</v>
      </c>
      <c r="AY899" s="2" t="s">
        <v>337</v>
      </c>
      <c r="BE899" s="140">
        <f>IF(N899="základní",J899,0)</f>
        <v>0</v>
      </c>
      <c r="BF899" s="140">
        <f>IF(N899="snížená",J899,0)</f>
        <v>0</v>
      </c>
      <c r="BG899" s="140">
        <f>IF(N899="zákl. přenesená",J899,0)</f>
        <v>0</v>
      </c>
      <c r="BH899" s="140">
        <f>IF(N899="sníž. přenesená",J899,0)</f>
        <v>0</v>
      </c>
      <c r="BI899" s="140">
        <f>IF(N899="nulová",J899,0)</f>
        <v>0</v>
      </c>
      <c r="BJ899" s="2" t="s">
        <v>87</v>
      </c>
      <c r="BK899" s="140">
        <f>ROUND(I899*H899,2)</f>
        <v>0</v>
      </c>
      <c r="BL899" s="2" t="s">
        <v>496</v>
      </c>
      <c r="BM899" s="139" t="s">
        <v>1030</v>
      </c>
    </row>
    <row r="900" spans="2:65" s="148" customFormat="1" x14ac:dyDescent="0.2">
      <c r="B900" s="149"/>
      <c r="D900" s="143" t="s">
        <v>346</v>
      </c>
      <c r="F900" s="151" t="s">
        <v>1031</v>
      </c>
      <c r="H900" s="152">
        <v>0.04</v>
      </c>
      <c r="L900" s="149"/>
      <c r="M900" s="153"/>
      <c r="T900" s="154"/>
      <c r="AT900" s="150" t="s">
        <v>346</v>
      </c>
      <c r="AU900" s="150" t="s">
        <v>90</v>
      </c>
      <c r="AV900" s="148" t="s">
        <v>90</v>
      </c>
      <c r="AW900" s="148" t="s">
        <v>3</v>
      </c>
      <c r="AX900" s="148" t="s">
        <v>87</v>
      </c>
      <c r="AY900" s="150" t="s">
        <v>337</v>
      </c>
    </row>
    <row r="901" spans="2:65" s="16" customFormat="1" ht="16.5" customHeight="1" x14ac:dyDescent="0.2">
      <c r="B901" s="17"/>
      <c r="C901" s="128">
        <v>86</v>
      </c>
      <c r="D901" s="128" t="s">
        <v>339</v>
      </c>
      <c r="E901" s="129" t="s">
        <v>1032</v>
      </c>
      <c r="F901" s="130" t="s">
        <v>1033</v>
      </c>
      <c r="G901" s="131" t="s">
        <v>990</v>
      </c>
      <c r="H901" s="132">
        <v>1.742</v>
      </c>
      <c r="I901" s="133"/>
      <c r="J901" s="134">
        <f>ROUND(I901*H901,2)</f>
        <v>0</v>
      </c>
      <c r="K901" s="130" t="s">
        <v>343</v>
      </c>
      <c r="L901" s="17"/>
      <c r="M901" s="135"/>
      <c r="N901" s="136" t="s">
        <v>45</v>
      </c>
      <c r="P901" s="137">
        <f>O901*H901</f>
        <v>0</v>
      </c>
      <c r="Q901" s="137">
        <v>0</v>
      </c>
      <c r="R901" s="137">
        <f>Q901*H901</f>
        <v>0</v>
      </c>
      <c r="S901" s="137">
        <v>0</v>
      </c>
      <c r="T901" s="138">
        <f>S901*H901</f>
        <v>0</v>
      </c>
      <c r="AR901" s="139" t="s">
        <v>496</v>
      </c>
      <c r="AT901" s="139" t="s">
        <v>339</v>
      </c>
      <c r="AU901" s="139" t="s">
        <v>90</v>
      </c>
      <c r="AY901" s="2" t="s">
        <v>337</v>
      </c>
      <c r="BE901" s="140">
        <f>IF(N901="základní",J901,0)</f>
        <v>0</v>
      </c>
      <c r="BF901" s="140">
        <f>IF(N901="snížená",J901,0)</f>
        <v>0</v>
      </c>
      <c r="BG901" s="140">
        <f>IF(N901="zákl. přenesená",J901,0)</f>
        <v>0</v>
      </c>
      <c r="BH901" s="140">
        <f>IF(N901="sníž. přenesená",J901,0)</f>
        <v>0</v>
      </c>
      <c r="BI901" s="140">
        <f>IF(N901="nulová",J901,0)</f>
        <v>0</v>
      </c>
      <c r="BJ901" s="2" t="s">
        <v>87</v>
      </c>
      <c r="BK901" s="140">
        <f>ROUND(I901*H901,2)</f>
        <v>0</v>
      </c>
      <c r="BL901" s="2" t="s">
        <v>496</v>
      </c>
      <c r="BM901" s="139" t="s">
        <v>1034</v>
      </c>
    </row>
    <row r="902" spans="2:65" s="116" customFormat="1" ht="22.9" customHeight="1" x14ac:dyDescent="0.2">
      <c r="B902" s="117"/>
      <c r="D902" s="118" t="s">
        <v>79</v>
      </c>
      <c r="E902" s="126" t="s">
        <v>1035</v>
      </c>
      <c r="F902" s="126" t="s">
        <v>1036</v>
      </c>
      <c r="J902" s="127">
        <f>BK902</f>
        <v>0</v>
      </c>
      <c r="L902" s="117"/>
      <c r="M902" s="121"/>
      <c r="P902" s="122">
        <f>SUM(P903:P974)</f>
        <v>0</v>
      </c>
      <c r="R902" s="122">
        <f>SUM(R903:R974)</f>
        <v>7.42592374</v>
      </c>
      <c r="T902" s="123">
        <f>SUM(T903:T974)</f>
        <v>0</v>
      </c>
      <c r="AR902" s="118" t="s">
        <v>90</v>
      </c>
      <c r="AT902" s="124" t="s">
        <v>79</v>
      </c>
      <c r="AU902" s="124" t="s">
        <v>87</v>
      </c>
      <c r="AY902" s="118" t="s">
        <v>337</v>
      </c>
      <c r="BK902" s="125">
        <f>SUM(BK903:BK974)</f>
        <v>0</v>
      </c>
    </row>
    <row r="903" spans="2:65" s="16" customFormat="1" ht="16.5" customHeight="1" x14ac:dyDescent="0.2">
      <c r="B903" s="17"/>
      <c r="C903" s="128">
        <v>87</v>
      </c>
      <c r="D903" s="128" t="s">
        <v>339</v>
      </c>
      <c r="E903" s="129" t="s">
        <v>1038</v>
      </c>
      <c r="F903" s="130" t="s">
        <v>1039</v>
      </c>
      <c r="G903" s="131" t="s">
        <v>425</v>
      </c>
      <c r="H903" s="132">
        <v>3023.69</v>
      </c>
      <c r="I903" s="133"/>
      <c r="J903" s="134">
        <f>ROUND(I903*H903,2)</f>
        <v>0</v>
      </c>
      <c r="K903" s="130" t="s">
        <v>343</v>
      </c>
      <c r="L903" s="17"/>
      <c r="M903" s="135"/>
      <c r="N903" s="136" t="s">
        <v>45</v>
      </c>
      <c r="P903" s="137">
        <f>O903*H903</f>
        <v>0</v>
      </c>
      <c r="Q903" s="137">
        <v>0</v>
      </c>
      <c r="R903" s="137">
        <f>Q903*H903</f>
        <v>0</v>
      </c>
      <c r="S903" s="137">
        <v>0</v>
      </c>
      <c r="T903" s="138">
        <f>S903*H903</f>
        <v>0</v>
      </c>
      <c r="AR903" s="139" t="s">
        <v>496</v>
      </c>
      <c r="AT903" s="139" t="s">
        <v>339</v>
      </c>
      <c r="AU903" s="139" t="s">
        <v>90</v>
      </c>
      <c r="AY903" s="2" t="s">
        <v>337</v>
      </c>
      <c r="BE903" s="140">
        <f>IF(N903="základní",J903,0)</f>
        <v>0</v>
      </c>
      <c r="BF903" s="140">
        <f>IF(N903="snížená",J903,0)</f>
        <v>0</v>
      </c>
      <c r="BG903" s="140">
        <f>IF(N903="zákl. přenesená",J903,0)</f>
        <v>0</v>
      </c>
      <c r="BH903" s="140">
        <f>IF(N903="sníž. přenesená",J903,0)</f>
        <v>0</v>
      </c>
      <c r="BI903" s="140">
        <f>IF(N903="nulová",J903,0)</f>
        <v>0</v>
      </c>
      <c r="BJ903" s="2" t="s">
        <v>87</v>
      </c>
      <c r="BK903" s="140">
        <f>ROUND(I903*H903,2)</f>
        <v>0</v>
      </c>
      <c r="BL903" s="2" t="s">
        <v>496</v>
      </c>
      <c r="BM903" s="139" t="s">
        <v>1040</v>
      </c>
    </row>
    <row r="904" spans="2:65" s="141" customFormat="1" x14ac:dyDescent="0.2">
      <c r="B904" s="142"/>
      <c r="D904" s="143" t="s">
        <v>346</v>
      </c>
      <c r="E904" s="144"/>
      <c r="F904" s="145" t="s">
        <v>1041</v>
      </c>
      <c r="H904" s="144"/>
      <c r="L904" s="142"/>
      <c r="M904" s="146"/>
      <c r="T904" s="147"/>
      <c r="AT904" s="144" t="s">
        <v>346</v>
      </c>
      <c r="AU904" s="144" t="s">
        <v>90</v>
      </c>
      <c r="AV904" s="141" t="s">
        <v>87</v>
      </c>
      <c r="AW904" s="141" t="s">
        <v>33</v>
      </c>
      <c r="AX904" s="141" t="s">
        <v>80</v>
      </c>
      <c r="AY904" s="144" t="s">
        <v>337</v>
      </c>
    </row>
    <row r="905" spans="2:65" s="148" customFormat="1" x14ac:dyDescent="0.2">
      <c r="B905" s="149"/>
      <c r="D905" s="143" t="s">
        <v>346</v>
      </c>
      <c r="E905" s="150"/>
      <c r="F905" s="151" t="s">
        <v>247</v>
      </c>
      <c r="H905" s="152">
        <v>1287.3900000000001</v>
      </c>
      <c r="L905" s="149"/>
      <c r="M905" s="153"/>
      <c r="T905" s="154"/>
      <c r="AT905" s="150" t="s">
        <v>346</v>
      </c>
      <c r="AU905" s="150" t="s">
        <v>90</v>
      </c>
      <c r="AV905" s="148" t="s">
        <v>90</v>
      </c>
      <c r="AW905" s="148" t="s">
        <v>33</v>
      </c>
      <c r="AX905" s="148" t="s">
        <v>80</v>
      </c>
      <c r="AY905" s="150" t="s">
        <v>337</v>
      </c>
    </row>
    <row r="906" spans="2:65" s="141" customFormat="1" x14ac:dyDescent="0.2">
      <c r="B906" s="142"/>
      <c r="D906" s="143" t="s">
        <v>346</v>
      </c>
      <c r="E906" s="144"/>
      <c r="F906" s="145" t="s">
        <v>1042</v>
      </c>
      <c r="H906" s="144"/>
      <c r="L906" s="142"/>
      <c r="M906" s="146"/>
      <c r="T906" s="147"/>
      <c r="AT906" s="144" t="s">
        <v>346</v>
      </c>
      <c r="AU906" s="144" t="s">
        <v>90</v>
      </c>
      <c r="AV906" s="141" t="s">
        <v>87</v>
      </c>
      <c r="AW906" s="141" t="s">
        <v>33</v>
      </c>
      <c r="AX906" s="141" t="s">
        <v>80</v>
      </c>
      <c r="AY906" s="144" t="s">
        <v>337</v>
      </c>
    </row>
    <row r="907" spans="2:65" s="148" customFormat="1" x14ac:dyDescent="0.2">
      <c r="B907" s="149"/>
      <c r="D907" s="143" t="s">
        <v>346</v>
      </c>
      <c r="E907" s="150"/>
      <c r="F907" s="151" t="s">
        <v>255</v>
      </c>
      <c r="H907" s="152">
        <v>406.21499999999997</v>
      </c>
      <c r="L907" s="149"/>
      <c r="M907" s="153"/>
      <c r="T907" s="154"/>
      <c r="AT907" s="150" t="s">
        <v>346</v>
      </c>
      <c r="AU907" s="150" t="s">
        <v>90</v>
      </c>
      <c r="AV907" s="148" t="s">
        <v>90</v>
      </c>
      <c r="AW907" s="148" t="s">
        <v>33</v>
      </c>
      <c r="AX907" s="148" t="s">
        <v>80</v>
      </c>
      <c r="AY907" s="150" t="s">
        <v>337</v>
      </c>
    </row>
    <row r="908" spans="2:65" s="148" customFormat="1" x14ac:dyDescent="0.2">
      <c r="B908" s="149"/>
      <c r="D908" s="143" t="s">
        <v>346</v>
      </c>
      <c r="E908" s="150"/>
      <c r="F908" s="151" t="s">
        <v>257</v>
      </c>
      <c r="H908" s="152">
        <v>24.625</v>
      </c>
      <c r="L908" s="149"/>
      <c r="M908" s="153"/>
      <c r="T908" s="154"/>
      <c r="AT908" s="150" t="s">
        <v>346</v>
      </c>
      <c r="AU908" s="150" t="s">
        <v>90</v>
      </c>
      <c r="AV908" s="148" t="s">
        <v>90</v>
      </c>
      <c r="AW908" s="148" t="s">
        <v>33</v>
      </c>
      <c r="AX908" s="148" t="s">
        <v>80</v>
      </c>
      <c r="AY908" s="150" t="s">
        <v>337</v>
      </c>
    </row>
    <row r="909" spans="2:65" s="148" customFormat="1" x14ac:dyDescent="0.2">
      <c r="B909" s="149"/>
      <c r="D909" s="143" t="s">
        <v>346</v>
      </c>
      <c r="E909" s="150"/>
      <c r="F909" s="151" t="s">
        <v>259</v>
      </c>
      <c r="H909" s="152">
        <v>4.37</v>
      </c>
      <c r="L909" s="149"/>
      <c r="M909" s="153"/>
      <c r="T909" s="154"/>
      <c r="AT909" s="150" t="s">
        <v>346</v>
      </c>
      <c r="AU909" s="150" t="s">
        <v>90</v>
      </c>
      <c r="AV909" s="148" t="s">
        <v>90</v>
      </c>
      <c r="AW909" s="148" t="s">
        <v>33</v>
      </c>
      <c r="AX909" s="148" t="s">
        <v>80</v>
      </c>
      <c r="AY909" s="150" t="s">
        <v>337</v>
      </c>
    </row>
    <row r="910" spans="2:65" s="141" customFormat="1" x14ac:dyDescent="0.2">
      <c r="B910" s="142"/>
      <c r="D910" s="143" t="s">
        <v>346</v>
      </c>
      <c r="E910" s="144"/>
      <c r="F910" s="145" t="s">
        <v>1043</v>
      </c>
      <c r="H910" s="144"/>
      <c r="L910" s="142"/>
      <c r="M910" s="146"/>
      <c r="T910" s="147"/>
      <c r="AT910" s="144" t="s">
        <v>346</v>
      </c>
      <c r="AU910" s="144" t="s">
        <v>90</v>
      </c>
      <c r="AV910" s="141" t="s">
        <v>87</v>
      </c>
      <c r="AW910" s="141" t="s">
        <v>33</v>
      </c>
      <c r="AX910" s="141" t="s">
        <v>80</v>
      </c>
      <c r="AY910" s="144" t="s">
        <v>337</v>
      </c>
    </row>
    <row r="911" spans="2:65" s="148" customFormat="1" x14ac:dyDescent="0.2">
      <c r="B911" s="149"/>
      <c r="D911" s="143" t="s">
        <v>346</v>
      </c>
      <c r="E911" s="150"/>
      <c r="F911" s="151" t="s">
        <v>253</v>
      </c>
      <c r="H911" s="152">
        <v>526.46</v>
      </c>
      <c r="L911" s="149"/>
      <c r="M911" s="153"/>
      <c r="T911" s="154"/>
      <c r="AT911" s="150" t="s">
        <v>346</v>
      </c>
      <c r="AU911" s="150" t="s">
        <v>90</v>
      </c>
      <c r="AV911" s="148" t="s">
        <v>90</v>
      </c>
      <c r="AW911" s="148" t="s">
        <v>33</v>
      </c>
      <c r="AX911" s="148" t="s">
        <v>80</v>
      </c>
      <c r="AY911" s="150" t="s">
        <v>337</v>
      </c>
    </row>
    <row r="912" spans="2:65" s="141" customFormat="1" x14ac:dyDescent="0.2">
      <c r="B912" s="142"/>
      <c r="D912" s="143" t="s">
        <v>346</v>
      </c>
      <c r="E912" s="144"/>
      <c r="F912" s="145" t="s">
        <v>1044</v>
      </c>
      <c r="H912" s="144"/>
      <c r="L912" s="142"/>
      <c r="M912" s="146"/>
      <c r="T912" s="147"/>
      <c r="AT912" s="144" t="s">
        <v>346</v>
      </c>
      <c r="AU912" s="144" t="s">
        <v>90</v>
      </c>
      <c r="AV912" s="141" t="s">
        <v>87</v>
      </c>
      <c r="AW912" s="141" t="s">
        <v>33</v>
      </c>
      <c r="AX912" s="141" t="s">
        <v>80</v>
      </c>
      <c r="AY912" s="144" t="s">
        <v>337</v>
      </c>
    </row>
    <row r="913" spans="2:65" s="148" customFormat="1" x14ac:dyDescent="0.2">
      <c r="B913" s="149"/>
      <c r="D913" s="143" t="s">
        <v>346</v>
      </c>
      <c r="E913" s="150"/>
      <c r="F913" s="151" t="s">
        <v>249</v>
      </c>
      <c r="H913" s="152">
        <v>255.733</v>
      </c>
      <c r="L913" s="149"/>
      <c r="M913" s="153"/>
      <c r="T913" s="154"/>
      <c r="AT913" s="150" t="s">
        <v>346</v>
      </c>
      <c r="AU913" s="150" t="s">
        <v>90</v>
      </c>
      <c r="AV913" s="148" t="s">
        <v>90</v>
      </c>
      <c r="AW913" s="148" t="s">
        <v>33</v>
      </c>
      <c r="AX913" s="148" t="s">
        <v>80</v>
      </c>
      <c r="AY913" s="150" t="s">
        <v>337</v>
      </c>
    </row>
    <row r="914" spans="2:65" s="148" customFormat="1" x14ac:dyDescent="0.2">
      <c r="B914" s="149"/>
      <c r="D914" s="143" t="s">
        <v>346</v>
      </c>
      <c r="E914" s="150"/>
      <c r="F914" s="151" t="s">
        <v>251</v>
      </c>
      <c r="H914" s="152">
        <v>56.546999999999997</v>
      </c>
      <c r="L914" s="149"/>
      <c r="M914" s="153"/>
      <c r="T914" s="154"/>
      <c r="AT914" s="150" t="s">
        <v>346</v>
      </c>
      <c r="AU914" s="150" t="s">
        <v>90</v>
      </c>
      <c r="AV914" s="148" t="s">
        <v>90</v>
      </c>
      <c r="AW914" s="148" t="s">
        <v>33</v>
      </c>
      <c r="AX914" s="148" t="s">
        <v>80</v>
      </c>
      <c r="AY914" s="150" t="s">
        <v>337</v>
      </c>
    </row>
    <row r="915" spans="2:65" s="148" customFormat="1" x14ac:dyDescent="0.2">
      <c r="B915" s="149"/>
      <c r="D915" s="143" t="s">
        <v>346</v>
      </c>
      <c r="E915" s="150"/>
      <c r="F915" s="151" t="s">
        <v>265</v>
      </c>
      <c r="H915" s="152">
        <v>261.39</v>
      </c>
      <c r="L915" s="149"/>
      <c r="M915" s="153"/>
      <c r="T915" s="154"/>
      <c r="AT915" s="150" t="s">
        <v>346</v>
      </c>
      <c r="AU915" s="150" t="s">
        <v>90</v>
      </c>
      <c r="AV915" s="148" t="s">
        <v>90</v>
      </c>
      <c r="AW915" s="148" t="s">
        <v>33</v>
      </c>
      <c r="AX915" s="148" t="s">
        <v>80</v>
      </c>
      <c r="AY915" s="150" t="s">
        <v>337</v>
      </c>
    </row>
    <row r="916" spans="2:65" s="148" customFormat="1" x14ac:dyDescent="0.2">
      <c r="B916" s="149"/>
      <c r="D916" s="143" t="s">
        <v>346</v>
      </c>
      <c r="E916" s="150"/>
      <c r="F916" s="151" t="s">
        <v>228</v>
      </c>
      <c r="H916" s="152">
        <v>200.96</v>
      </c>
      <c r="L916" s="149"/>
      <c r="M916" s="153"/>
      <c r="T916" s="154"/>
      <c r="AT916" s="150" t="s">
        <v>346</v>
      </c>
      <c r="AU916" s="150" t="s">
        <v>90</v>
      </c>
      <c r="AV916" s="148" t="s">
        <v>90</v>
      </c>
      <c r="AW916" s="148" t="s">
        <v>33</v>
      </c>
      <c r="AX916" s="148" t="s">
        <v>80</v>
      </c>
      <c r="AY916" s="150" t="s">
        <v>337</v>
      </c>
    </row>
    <row r="917" spans="2:65" s="155" customFormat="1" x14ac:dyDescent="0.2">
      <c r="B917" s="156"/>
      <c r="D917" s="143" t="s">
        <v>346</v>
      </c>
      <c r="E917" s="157"/>
      <c r="F917" s="158" t="s">
        <v>351</v>
      </c>
      <c r="H917" s="159">
        <v>3023.69</v>
      </c>
      <c r="L917" s="156"/>
      <c r="M917" s="160"/>
      <c r="T917" s="161"/>
      <c r="AT917" s="157" t="s">
        <v>346</v>
      </c>
      <c r="AU917" s="157" t="s">
        <v>90</v>
      </c>
      <c r="AV917" s="155" t="s">
        <v>344</v>
      </c>
      <c r="AW917" s="155" t="s">
        <v>33</v>
      </c>
      <c r="AX917" s="155" t="s">
        <v>87</v>
      </c>
      <c r="AY917" s="157" t="s">
        <v>337</v>
      </c>
    </row>
    <row r="918" spans="2:65" s="16" customFormat="1" ht="16.5" customHeight="1" x14ac:dyDescent="0.2">
      <c r="B918" s="17"/>
      <c r="C918" s="128">
        <v>88</v>
      </c>
      <c r="D918" s="162" t="s">
        <v>519</v>
      </c>
      <c r="E918" s="163" t="s">
        <v>1045</v>
      </c>
      <c r="F918" s="164" t="s">
        <v>1046</v>
      </c>
      <c r="G918" s="165" t="s">
        <v>425</v>
      </c>
      <c r="H918" s="166">
        <v>536.98900000000003</v>
      </c>
      <c r="I918" s="167"/>
      <c r="J918" s="168">
        <f>ROUND(I918*H918,2)</f>
        <v>0</v>
      </c>
      <c r="K918" s="164"/>
      <c r="L918" s="169"/>
      <c r="M918" s="170"/>
      <c r="N918" s="171" t="s">
        <v>45</v>
      </c>
      <c r="P918" s="137">
        <f>O918*H918</f>
        <v>0</v>
      </c>
      <c r="Q918" s="137">
        <v>1E-3</v>
      </c>
      <c r="R918" s="137">
        <f>Q918*H918</f>
        <v>0.53698900000000005</v>
      </c>
      <c r="S918" s="137">
        <v>0</v>
      </c>
      <c r="T918" s="138">
        <f>S918*H918</f>
        <v>0</v>
      </c>
      <c r="AR918" s="139" t="s">
        <v>621</v>
      </c>
      <c r="AT918" s="139" t="s">
        <v>519</v>
      </c>
      <c r="AU918" s="139" t="s">
        <v>90</v>
      </c>
      <c r="AY918" s="2" t="s">
        <v>337</v>
      </c>
      <c r="BE918" s="140">
        <f>IF(N918="základní",J918,0)</f>
        <v>0</v>
      </c>
      <c r="BF918" s="140">
        <f>IF(N918="snížená",J918,0)</f>
        <v>0</v>
      </c>
      <c r="BG918" s="140">
        <f>IF(N918="zákl. přenesená",J918,0)</f>
        <v>0</v>
      </c>
      <c r="BH918" s="140">
        <f>IF(N918="sníž. přenesená",J918,0)</f>
        <v>0</v>
      </c>
      <c r="BI918" s="140">
        <f>IF(N918="nulová",J918,0)</f>
        <v>0</v>
      </c>
      <c r="BJ918" s="2" t="s">
        <v>87</v>
      </c>
      <c r="BK918" s="140">
        <f>ROUND(I918*H918,2)</f>
        <v>0</v>
      </c>
      <c r="BL918" s="2" t="s">
        <v>496</v>
      </c>
      <c r="BM918" s="139" t="s">
        <v>1047</v>
      </c>
    </row>
    <row r="919" spans="2:65" s="148" customFormat="1" x14ac:dyDescent="0.2">
      <c r="B919" s="149"/>
      <c r="D919" s="143" t="s">
        <v>346</v>
      </c>
      <c r="E919" s="150"/>
      <c r="F919" s="151" t="s">
        <v>253</v>
      </c>
      <c r="H919" s="152">
        <v>526.46</v>
      </c>
      <c r="L919" s="149"/>
      <c r="M919" s="153"/>
      <c r="T919" s="154"/>
      <c r="AT919" s="150" t="s">
        <v>346</v>
      </c>
      <c r="AU919" s="150" t="s">
        <v>90</v>
      </c>
      <c r="AV919" s="148" t="s">
        <v>90</v>
      </c>
      <c r="AW919" s="148" t="s">
        <v>33</v>
      </c>
      <c r="AX919" s="148" t="s">
        <v>87</v>
      </c>
      <c r="AY919" s="150" t="s">
        <v>337</v>
      </c>
    </row>
    <row r="920" spans="2:65" s="148" customFormat="1" x14ac:dyDescent="0.2">
      <c r="B920" s="149"/>
      <c r="D920" s="143" t="s">
        <v>346</v>
      </c>
      <c r="F920" s="151" t="s">
        <v>1048</v>
      </c>
      <c r="H920" s="152">
        <v>536.98900000000003</v>
      </c>
      <c r="L920" s="149"/>
      <c r="M920" s="153"/>
      <c r="T920" s="154"/>
      <c r="AT920" s="150" t="s">
        <v>346</v>
      </c>
      <c r="AU920" s="150" t="s">
        <v>90</v>
      </c>
      <c r="AV920" s="148" t="s">
        <v>90</v>
      </c>
      <c r="AW920" s="148" t="s">
        <v>3</v>
      </c>
      <c r="AX920" s="148" t="s">
        <v>87</v>
      </c>
      <c r="AY920" s="150" t="s">
        <v>337</v>
      </c>
    </row>
    <row r="921" spans="2:65" s="16" customFormat="1" ht="16.5" customHeight="1" x14ac:dyDescent="0.2">
      <c r="B921" s="17"/>
      <c r="C921" s="128">
        <v>89</v>
      </c>
      <c r="D921" s="162" t="s">
        <v>519</v>
      </c>
      <c r="E921" s="163" t="s">
        <v>1050</v>
      </c>
      <c r="F921" s="164" t="s">
        <v>1051</v>
      </c>
      <c r="G921" s="165" t="s">
        <v>425</v>
      </c>
      <c r="H921" s="166">
        <v>790.12300000000005</v>
      </c>
      <c r="I921" s="167"/>
      <c r="J921" s="168">
        <f>ROUND(I921*H921,2)</f>
        <v>0</v>
      </c>
      <c r="K921" s="164"/>
      <c r="L921" s="169"/>
      <c r="M921" s="170"/>
      <c r="N921" s="171" t="s">
        <v>45</v>
      </c>
      <c r="P921" s="137">
        <f>O921*H921</f>
        <v>0</v>
      </c>
      <c r="Q921" s="137">
        <v>1.5E-3</v>
      </c>
      <c r="R921" s="137">
        <f>Q921*H921</f>
        <v>1.1851845000000001</v>
      </c>
      <c r="S921" s="137">
        <v>0</v>
      </c>
      <c r="T921" s="138">
        <f>S921*H921</f>
        <v>0</v>
      </c>
      <c r="AR921" s="139" t="s">
        <v>621</v>
      </c>
      <c r="AT921" s="139" t="s">
        <v>519</v>
      </c>
      <c r="AU921" s="139" t="s">
        <v>90</v>
      </c>
      <c r="AY921" s="2" t="s">
        <v>337</v>
      </c>
      <c r="BE921" s="140">
        <f>IF(N921="základní",J921,0)</f>
        <v>0</v>
      </c>
      <c r="BF921" s="140">
        <f>IF(N921="snížená",J921,0)</f>
        <v>0</v>
      </c>
      <c r="BG921" s="140">
        <f>IF(N921="zákl. přenesená",J921,0)</f>
        <v>0</v>
      </c>
      <c r="BH921" s="140">
        <f>IF(N921="sníž. přenesená",J921,0)</f>
        <v>0</v>
      </c>
      <c r="BI921" s="140">
        <f>IF(N921="nulová",J921,0)</f>
        <v>0</v>
      </c>
      <c r="BJ921" s="2" t="s">
        <v>87</v>
      </c>
      <c r="BK921" s="140">
        <f>ROUND(I921*H921,2)</f>
        <v>0</v>
      </c>
      <c r="BL921" s="2" t="s">
        <v>496</v>
      </c>
      <c r="BM921" s="139" t="s">
        <v>1052</v>
      </c>
    </row>
    <row r="922" spans="2:65" s="148" customFormat="1" x14ac:dyDescent="0.2">
      <c r="B922" s="149"/>
      <c r="D922" s="143" t="s">
        <v>346</v>
      </c>
      <c r="E922" s="150"/>
      <c r="F922" s="151" t="s">
        <v>249</v>
      </c>
      <c r="H922" s="152">
        <v>255.733</v>
      </c>
      <c r="L922" s="149"/>
      <c r="M922" s="153"/>
      <c r="T922" s="154"/>
      <c r="AT922" s="150" t="s">
        <v>346</v>
      </c>
      <c r="AU922" s="150" t="s">
        <v>90</v>
      </c>
      <c r="AV922" s="148" t="s">
        <v>90</v>
      </c>
      <c r="AW922" s="148" t="s">
        <v>33</v>
      </c>
      <c r="AX922" s="148" t="s">
        <v>80</v>
      </c>
      <c r="AY922" s="150" t="s">
        <v>337</v>
      </c>
    </row>
    <row r="923" spans="2:65" s="148" customFormat="1" x14ac:dyDescent="0.2">
      <c r="B923" s="149"/>
      <c r="D923" s="143" t="s">
        <v>346</v>
      </c>
      <c r="E923" s="150"/>
      <c r="F923" s="151" t="s">
        <v>251</v>
      </c>
      <c r="H923" s="152">
        <v>56.546999999999997</v>
      </c>
      <c r="L923" s="149"/>
      <c r="M923" s="153"/>
      <c r="T923" s="154"/>
      <c r="AT923" s="150" t="s">
        <v>346</v>
      </c>
      <c r="AU923" s="150" t="s">
        <v>90</v>
      </c>
      <c r="AV923" s="148" t="s">
        <v>90</v>
      </c>
      <c r="AW923" s="148" t="s">
        <v>33</v>
      </c>
      <c r="AX923" s="148" t="s">
        <v>80</v>
      </c>
      <c r="AY923" s="150" t="s">
        <v>337</v>
      </c>
    </row>
    <row r="924" spans="2:65" s="148" customFormat="1" x14ac:dyDescent="0.2">
      <c r="B924" s="149"/>
      <c r="D924" s="143" t="s">
        <v>346</v>
      </c>
      <c r="E924" s="150"/>
      <c r="F924" s="151" t="s">
        <v>265</v>
      </c>
      <c r="H924" s="152">
        <v>261.39</v>
      </c>
      <c r="L924" s="149"/>
      <c r="M924" s="153"/>
      <c r="T924" s="154"/>
      <c r="AT924" s="150" t="s">
        <v>346</v>
      </c>
      <c r="AU924" s="150" t="s">
        <v>90</v>
      </c>
      <c r="AV924" s="148" t="s">
        <v>90</v>
      </c>
      <c r="AW924" s="148" t="s">
        <v>33</v>
      </c>
      <c r="AX924" s="148" t="s">
        <v>80</v>
      </c>
      <c r="AY924" s="150" t="s">
        <v>337</v>
      </c>
    </row>
    <row r="925" spans="2:65" s="148" customFormat="1" x14ac:dyDescent="0.2">
      <c r="B925" s="149"/>
      <c r="D925" s="143" t="s">
        <v>346</v>
      </c>
      <c r="E925" s="150"/>
      <c r="F925" s="151" t="s">
        <v>228</v>
      </c>
      <c r="H925" s="152">
        <v>200.96</v>
      </c>
      <c r="L925" s="149"/>
      <c r="M925" s="153"/>
      <c r="T925" s="154"/>
      <c r="AT925" s="150" t="s">
        <v>346</v>
      </c>
      <c r="AU925" s="150" t="s">
        <v>90</v>
      </c>
      <c r="AV925" s="148" t="s">
        <v>90</v>
      </c>
      <c r="AW925" s="148" t="s">
        <v>33</v>
      </c>
      <c r="AX925" s="148" t="s">
        <v>80</v>
      </c>
      <c r="AY925" s="150" t="s">
        <v>337</v>
      </c>
    </row>
    <row r="926" spans="2:65" s="155" customFormat="1" x14ac:dyDescent="0.2">
      <c r="B926" s="156"/>
      <c r="D926" s="143" t="s">
        <v>346</v>
      </c>
      <c r="E926" s="157"/>
      <c r="F926" s="158" t="s">
        <v>351</v>
      </c>
      <c r="H926" s="159">
        <v>774.63</v>
      </c>
      <c r="L926" s="156"/>
      <c r="M926" s="160"/>
      <c r="T926" s="161"/>
      <c r="AT926" s="157" t="s">
        <v>346</v>
      </c>
      <c r="AU926" s="157" t="s">
        <v>90</v>
      </c>
      <c r="AV926" s="155" t="s">
        <v>344</v>
      </c>
      <c r="AW926" s="155" t="s">
        <v>33</v>
      </c>
      <c r="AX926" s="155" t="s">
        <v>87</v>
      </c>
      <c r="AY926" s="157" t="s">
        <v>337</v>
      </c>
    </row>
    <row r="927" spans="2:65" s="148" customFormat="1" x14ac:dyDescent="0.2">
      <c r="B927" s="149"/>
      <c r="D927" s="143" t="s">
        <v>346</v>
      </c>
      <c r="F927" s="151" t="s">
        <v>1053</v>
      </c>
      <c r="H927" s="152">
        <v>790.12300000000005</v>
      </c>
      <c r="L927" s="149"/>
      <c r="M927" s="153"/>
      <c r="T927" s="154"/>
      <c r="AT927" s="150" t="s">
        <v>346</v>
      </c>
      <c r="AU927" s="150" t="s">
        <v>90</v>
      </c>
      <c r="AV927" s="148" t="s">
        <v>90</v>
      </c>
      <c r="AW927" s="148" t="s">
        <v>3</v>
      </c>
      <c r="AX927" s="148" t="s">
        <v>87</v>
      </c>
      <c r="AY927" s="150" t="s">
        <v>337</v>
      </c>
    </row>
    <row r="928" spans="2:65" s="16" customFormat="1" ht="21.75" customHeight="1" x14ac:dyDescent="0.2">
      <c r="B928" s="17"/>
      <c r="C928" s="128">
        <v>90</v>
      </c>
      <c r="D928" s="162" t="s">
        <v>519</v>
      </c>
      <c r="E928" s="163" t="s">
        <v>1054</v>
      </c>
      <c r="F928" s="164" t="s">
        <v>1055</v>
      </c>
      <c r="G928" s="165" t="s">
        <v>425</v>
      </c>
      <c r="H928" s="166">
        <v>1313.1379999999999</v>
      </c>
      <c r="I928" s="167"/>
      <c r="J928" s="168">
        <f>ROUND(I928*H928,2)</f>
        <v>0</v>
      </c>
      <c r="K928" s="164" t="s">
        <v>343</v>
      </c>
      <c r="L928" s="169"/>
      <c r="M928" s="170"/>
      <c r="N928" s="171" t="s">
        <v>45</v>
      </c>
      <c r="P928" s="137">
        <f>O928*H928</f>
        <v>0</v>
      </c>
      <c r="Q928" s="137">
        <v>4.8000000000000001E-4</v>
      </c>
      <c r="R928" s="137">
        <f>Q928*H928</f>
        <v>0.63030624000000002</v>
      </c>
      <c r="S928" s="137">
        <v>0</v>
      </c>
      <c r="T928" s="138">
        <f>S928*H928</f>
        <v>0</v>
      </c>
      <c r="AR928" s="139" t="s">
        <v>621</v>
      </c>
      <c r="AT928" s="139" t="s">
        <v>519</v>
      </c>
      <c r="AU928" s="139" t="s">
        <v>90</v>
      </c>
      <c r="AY928" s="2" t="s">
        <v>337</v>
      </c>
      <c r="BE928" s="140">
        <f>IF(N928="základní",J928,0)</f>
        <v>0</v>
      </c>
      <c r="BF928" s="140">
        <f>IF(N928="snížená",J928,0)</f>
        <v>0</v>
      </c>
      <c r="BG928" s="140">
        <f>IF(N928="zákl. přenesená",J928,0)</f>
        <v>0</v>
      </c>
      <c r="BH928" s="140">
        <f>IF(N928="sníž. přenesená",J928,0)</f>
        <v>0</v>
      </c>
      <c r="BI928" s="140">
        <f>IF(N928="nulová",J928,0)</f>
        <v>0</v>
      </c>
      <c r="BJ928" s="2" t="s">
        <v>87</v>
      </c>
      <c r="BK928" s="140">
        <f>ROUND(I928*H928,2)</f>
        <v>0</v>
      </c>
      <c r="BL928" s="2" t="s">
        <v>496</v>
      </c>
      <c r="BM928" s="139" t="s">
        <v>1056</v>
      </c>
    </row>
    <row r="929" spans="2:65" s="148" customFormat="1" x14ac:dyDescent="0.2">
      <c r="B929" s="149"/>
      <c r="D929" s="143" t="s">
        <v>346</v>
      </c>
      <c r="E929" s="150"/>
      <c r="F929" s="151" t="s">
        <v>247</v>
      </c>
      <c r="H929" s="152">
        <v>1287.3900000000001</v>
      </c>
      <c r="L929" s="149"/>
      <c r="M929" s="153"/>
      <c r="T929" s="154"/>
      <c r="AT929" s="150" t="s">
        <v>346</v>
      </c>
      <c r="AU929" s="150" t="s">
        <v>90</v>
      </c>
      <c r="AV929" s="148" t="s">
        <v>90</v>
      </c>
      <c r="AW929" s="148" t="s">
        <v>33</v>
      </c>
      <c r="AX929" s="148" t="s">
        <v>87</v>
      </c>
      <c r="AY929" s="150" t="s">
        <v>337</v>
      </c>
    </row>
    <row r="930" spans="2:65" s="148" customFormat="1" x14ac:dyDescent="0.2">
      <c r="B930" s="149"/>
      <c r="D930" s="143" t="s">
        <v>346</v>
      </c>
      <c r="F930" s="151" t="s">
        <v>1057</v>
      </c>
      <c r="H930" s="152">
        <v>1313.1379999999999</v>
      </c>
      <c r="L930" s="149"/>
      <c r="M930" s="153"/>
      <c r="T930" s="154"/>
      <c r="AT930" s="150" t="s">
        <v>346</v>
      </c>
      <c r="AU930" s="150" t="s">
        <v>90</v>
      </c>
      <c r="AV930" s="148" t="s">
        <v>90</v>
      </c>
      <c r="AW930" s="148" t="s">
        <v>3</v>
      </c>
      <c r="AX930" s="148" t="s">
        <v>87</v>
      </c>
      <c r="AY930" s="150" t="s">
        <v>337</v>
      </c>
    </row>
    <row r="931" spans="2:65" s="16" customFormat="1" ht="21.75" customHeight="1" x14ac:dyDescent="0.2">
      <c r="B931" s="17"/>
      <c r="C931" s="128">
        <v>91</v>
      </c>
      <c r="D931" s="162" t="s">
        <v>519</v>
      </c>
      <c r="E931" s="163" t="s">
        <v>1059</v>
      </c>
      <c r="F931" s="164" t="s">
        <v>1060</v>
      </c>
      <c r="G931" s="165" t="s">
        <v>425</v>
      </c>
      <c r="H931" s="166">
        <v>443.91399999999999</v>
      </c>
      <c r="I931" s="167"/>
      <c r="J931" s="168">
        <f>ROUND(I931*H931,2)</f>
        <v>0</v>
      </c>
      <c r="K931" s="164" t="s">
        <v>343</v>
      </c>
      <c r="L931" s="169"/>
      <c r="M931" s="170"/>
      <c r="N931" s="171" t="s">
        <v>45</v>
      </c>
      <c r="P931" s="137">
        <f>O931*H931</f>
        <v>0</v>
      </c>
      <c r="Q931" s="137">
        <v>8.9999999999999998E-4</v>
      </c>
      <c r="R931" s="137">
        <f>Q931*H931</f>
        <v>0.39952259999999995</v>
      </c>
      <c r="S931" s="137">
        <v>0</v>
      </c>
      <c r="T931" s="138">
        <f>S931*H931</f>
        <v>0</v>
      </c>
      <c r="AR931" s="139" t="s">
        <v>621</v>
      </c>
      <c r="AT931" s="139" t="s">
        <v>519</v>
      </c>
      <c r="AU931" s="139" t="s">
        <v>90</v>
      </c>
      <c r="AY931" s="2" t="s">
        <v>337</v>
      </c>
      <c r="BE931" s="140">
        <f>IF(N931="základní",J931,0)</f>
        <v>0</v>
      </c>
      <c r="BF931" s="140">
        <f>IF(N931="snížená",J931,0)</f>
        <v>0</v>
      </c>
      <c r="BG931" s="140">
        <f>IF(N931="zákl. přenesená",J931,0)</f>
        <v>0</v>
      </c>
      <c r="BH931" s="140">
        <f>IF(N931="sníž. přenesená",J931,0)</f>
        <v>0</v>
      </c>
      <c r="BI931" s="140">
        <f>IF(N931="nulová",J931,0)</f>
        <v>0</v>
      </c>
      <c r="BJ931" s="2" t="s">
        <v>87</v>
      </c>
      <c r="BK931" s="140">
        <f>ROUND(I931*H931,2)</f>
        <v>0</v>
      </c>
      <c r="BL931" s="2" t="s">
        <v>496</v>
      </c>
      <c r="BM931" s="139" t="s">
        <v>1061</v>
      </c>
    </row>
    <row r="932" spans="2:65" s="148" customFormat="1" x14ac:dyDescent="0.2">
      <c r="B932" s="149"/>
      <c r="D932" s="143" t="s">
        <v>346</v>
      </c>
      <c r="E932" s="150"/>
      <c r="F932" s="151" t="s">
        <v>255</v>
      </c>
      <c r="H932" s="152">
        <v>406.21499999999997</v>
      </c>
      <c r="L932" s="149"/>
      <c r="M932" s="153"/>
      <c r="T932" s="154"/>
      <c r="AT932" s="150" t="s">
        <v>346</v>
      </c>
      <c r="AU932" s="150" t="s">
        <v>90</v>
      </c>
      <c r="AV932" s="148" t="s">
        <v>90</v>
      </c>
      <c r="AW932" s="148" t="s">
        <v>33</v>
      </c>
      <c r="AX932" s="148" t="s">
        <v>80</v>
      </c>
      <c r="AY932" s="150" t="s">
        <v>337</v>
      </c>
    </row>
    <row r="933" spans="2:65" s="148" customFormat="1" x14ac:dyDescent="0.2">
      <c r="B933" s="149"/>
      <c r="D933" s="143" t="s">
        <v>346</v>
      </c>
      <c r="E933" s="150"/>
      <c r="F933" s="151" t="s">
        <v>257</v>
      </c>
      <c r="H933" s="152">
        <v>24.625</v>
      </c>
      <c r="L933" s="149"/>
      <c r="M933" s="153"/>
      <c r="T933" s="154"/>
      <c r="AT933" s="150" t="s">
        <v>346</v>
      </c>
      <c r="AU933" s="150" t="s">
        <v>90</v>
      </c>
      <c r="AV933" s="148" t="s">
        <v>90</v>
      </c>
      <c r="AW933" s="148" t="s">
        <v>33</v>
      </c>
      <c r="AX933" s="148" t="s">
        <v>80</v>
      </c>
      <c r="AY933" s="150" t="s">
        <v>337</v>
      </c>
    </row>
    <row r="934" spans="2:65" s="148" customFormat="1" x14ac:dyDescent="0.2">
      <c r="B934" s="149"/>
      <c r="D934" s="143" t="s">
        <v>346</v>
      </c>
      <c r="E934" s="150"/>
      <c r="F934" s="151" t="s">
        <v>259</v>
      </c>
      <c r="H934" s="152">
        <v>4.37</v>
      </c>
      <c r="L934" s="149"/>
      <c r="M934" s="153"/>
      <c r="T934" s="154"/>
      <c r="AT934" s="150" t="s">
        <v>346</v>
      </c>
      <c r="AU934" s="150" t="s">
        <v>90</v>
      </c>
      <c r="AV934" s="148" t="s">
        <v>90</v>
      </c>
      <c r="AW934" s="148" t="s">
        <v>33</v>
      </c>
      <c r="AX934" s="148" t="s">
        <v>80</v>
      </c>
      <c r="AY934" s="150" t="s">
        <v>337</v>
      </c>
    </row>
    <row r="935" spans="2:65" s="155" customFormat="1" x14ac:dyDescent="0.2">
      <c r="B935" s="156"/>
      <c r="D935" s="143" t="s">
        <v>346</v>
      </c>
      <c r="E935" s="157"/>
      <c r="F935" s="158" t="s">
        <v>351</v>
      </c>
      <c r="H935" s="159">
        <v>435.21</v>
      </c>
      <c r="L935" s="156"/>
      <c r="M935" s="160"/>
      <c r="T935" s="161"/>
      <c r="AT935" s="157" t="s">
        <v>346</v>
      </c>
      <c r="AU935" s="157" t="s">
        <v>90</v>
      </c>
      <c r="AV935" s="155" t="s">
        <v>344</v>
      </c>
      <c r="AW935" s="155" t="s">
        <v>33</v>
      </c>
      <c r="AX935" s="155" t="s">
        <v>87</v>
      </c>
      <c r="AY935" s="157" t="s">
        <v>337</v>
      </c>
    </row>
    <row r="936" spans="2:65" s="148" customFormat="1" x14ac:dyDescent="0.2">
      <c r="B936" s="149"/>
      <c r="D936" s="143" t="s">
        <v>346</v>
      </c>
      <c r="F936" s="151" t="s">
        <v>1062</v>
      </c>
      <c r="H936" s="152">
        <v>443.91399999999999</v>
      </c>
      <c r="L936" s="149"/>
      <c r="M936" s="153"/>
      <c r="T936" s="154"/>
      <c r="AT936" s="150" t="s">
        <v>346</v>
      </c>
      <c r="AU936" s="150" t="s">
        <v>90</v>
      </c>
      <c r="AV936" s="148" t="s">
        <v>90</v>
      </c>
      <c r="AW936" s="148" t="s">
        <v>3</v>
      </c>
      <c r="AX936" s="148" t="s">
        <v>87</v>
      </c>
      <c r="AY936" s="150" t="s">
        <v>337</v>
      </c>
    </row>
    <row r="937" spans="2:65" s="16" customFormat="1" ht="16.5" customHeight="1" x14ac:dyDescent="0.2">
      <c r="B937" s="17"/>
      <c r="C937" s="128">
        <v>92</v>
      </c>
      <c r="D937" s="128" t="s">
        <v>339</v>
      </c>
      <c r="E937" s="129" t="s">
        <v>1064</v>
      </c>
      <c r="F937" s="130" t="s">
        <v>1065</v>
      </c>
      <c r="G937" s="131" t="s">
        <v>425</v>
      </c>
      <c r="H937" s="132">
        <v>228.95</v>
      </c>
      <c r="I937" s="133"/>
      <c r="J937" s="134">
        <f>ROUND(I937*H937,2)</f>
        <v>0</v>
      </c>
      <c r="K937" s="130" t="s">
        <v>343</v>
      </c>
      <c r="L937" s="17"/>
      <c r="M937" s="135"/>
      <c r="N937" s="136" t="s">
        <v>45</v>
      </c>
      <c r="P937" s="137">
        <f>O937*H937</f>
        <v>0</v>
      </c>
      <c r="Q937" s="137">
        <v>4.1799999999999997E-3</v>
      </c>
      <c r="R937" s="137">
        <f>Q937*H937</f>
        <v>0.95701099999999983</v>
      </c>
      <c r="S937" s="137">
        <v>0</v>
      </c>
      <c r="T937" s="138">
        <f>S937*H937</f>
        <v>0</v>
      </c>
      <c r="AR937" s="139" t="s">
        <v>496</v>
      </c>
      <c r="AT937" s="139" t="s">
        <v>339</v>
      </c>
      <c r="AU937" s="139" t="s">
        <v>90</v>
      </c>
      <c r="AY937" s="2" t="s">
        <v>337</v>
      </c>
      <c r="BE937" s="140">
        <f>IF(N937="základní",J937,0)</f>
        <v>0</v>
      </c>
      <c r="BF937" s="140">
        <f>IF(N937="snížená",J937,0)</f>
        <v>0</v>
      </c>
      <c r="BG937" s="140">
        <f>IF(N937="zákl. přenesená",J937,0)</f>
        <v>0</v>
      </c>
      <c r="BH937" s="140">
        <f>IF(N937="sníž. přenesená",J937,0)</f>
        <v>0</v>
      </c>
      <c r="BI937" s="140">
        <f>IF(N937="nulová",J937,0)</f>
        <v>0</v>
      </c>
      <c r="BJ937" s="2" t="s">
        <v>87</v>
      </c>
      <c r="BK937" s="140">
        <f>ROUND(I937*H937,2)</f>
        <v>0</v>
      </c>
      <c r="BL937" s="2" t="s">
        <v>496</v>
      </c>
      <c r="BM937" s="139" t="s">
        <v>1066</v>
      </c>
    </row>
    <row r="938" spans="2:65" s="141" customFormat="1" x14ac:dyDescent="0.2">
      <c r="B938" s="142"/>
      <c r="D938" s="143" t="s">
        <v>346</v>
      </c>
      <c r="E938" s="144"/>
      <c r="F938" s="145" t="s">
        <v>1067</v>
      </c>
      <c r="H938" s="144"/>
      <c r="L938" s="142"/>
      <c r="M938" s="146"/>
      <c r="T938" s="147"/>
      <c r="AT938" s="144" t="s">
        <v>346</v>
      </c>
      <c r="AU938" s="144" t="s">
        <v>90</v>
      </c>
      <c r="AV938" s="141" t="s">
        <v>87</v>
      </c>
      <c r="AW938" s="141" t="s">
        <v>33</v>
      </c>
      <c r="AX938" s="141" t="s">
        <v>80</v>
      </c>
      <c r="AY938" s="144" t="s">
        <v>337</v>
      </c>
    </row>
    <row r="939" spans="2:65" s="141" customFormat="1" x14ac:dyDescent="0.2">
      <c r="B939" s="142"/>
      <c r="D939" s="143" t="s">
        <v>346</v>
      </c>
      <c r="E939" s="144"/>
      <c r="F939" s="145" t="s">
        <v>1068</v>
      </c>
      <c r="H939" s="144"/>
      <c r="L939" s="142"/>
      <c r="M939" s="146"/>
      <c r="T939" s="147"/>
      <c r="AT939" s="144" t="s">
        <v>346</v>
      </c>
      <c r="AU939" s="144" t="s">
        <v>90</v>
      </c>
      <c r="AV939" s="141" t="s">
        <v>87</v>
      </c>
      <c r="AW939" s="141" t="s">
        <v>33</v>
      </c>
      <c r="AX939" s="141" t="s">
        <v>80</v>
      </c>
      <c r="AY939" s="144" t="s">
        <v>337</v>
      </c>
    </row>
    <row r="940" spans="2:65" s="141" customFormat="1" x14ac:dyDescent="0.2">
      <c r="B940" s="142"/>
      <c r="D940" s="143" t="s">
        <v>346</v>
      </c>
      <c r="E940" s="144"/>
      <c r="F940" s="145" t="s">
        <v>362</v>
      </c>
      <c r="H940" s="144"/>
      <c r="L940" s="142"/>
      <c r="M940" s="146"/>
      <c r="T940" s="147"/>
      <c r="AT940" s="144" t="s">
        <v>346</v>
      </c>
      <c r="AU940" s="144" t="s">
        <v>90</v>
      </c>
      <c r="AV940" s="141" t="s">
        <v>87</v>
      </c>
      <c r="AW940" s="141" t="s">
        <v>33</v>
      </c>
      <c r="AX940" s="141" t="s">
        <v>80</v>
      </c>
      <c r="AY940" s="144" t="s">
        <v>337</v>
      </c>
    </row>
    <row r="941" spans="2:65" s="148" customFormat="1" x14ac:dyDescent="0.2">
      <c r="B941" s="149"/>
      <c r="D941" s="143" t="s">
        <v>346</v>
      </c>
      <c r="E941" s="150"/>
      <c r="F941" s="151" t="s">
        <v>1069</v>
      </c>
      <c r="H941" s="152">
        <v>26.43</v>
      </c>
      <c r="L941" s="149"/>
      <c r="M941" s="153"/>
      <c r="T941" s="154"/>
      <c r="AT941" s="150" t="s">
        <v>346</v>
      </c>
      <c r="AU941" s="150" t="s">
        <v>90</v>
      </c>
      <c r="AV941" s="148" t="s">
        <v>90</v>
      </c>
      <c r="AW941" s="148" t="s">
        <v>33</v>
      </c>
      <c r="AX941" s="148" t="s">
        <v>80</v>
      </c>
      <c r="AY941" s="150" t="s">
        <v>337</v>
      </c>
    </row>
    <row r="942" spans="2:65" s="141" customFormat="1" x14ac:dyDescent="0.2">
      <c r="B942" s="142"/>
      <c r="D942" s="143" t="s">
        <v>346</v>
      </c>
      <c r="E942" s="144"/>
      <c r="F942" s="145" t="s">
        <v>367</v>
      </c>
      <c r="H942" s="144"/>
      <c r="L942" s="142"/>
      <c r="M942" s="146"/>
      <c r="T942" s="147"/>
      <c r="AT942" s="144" t="s">
        <v>346</v>
      </c>
      <c r="AU942" s="144" t="s">
        <v>90</v>
      </c>
      <c r="AV942" s="141" t="s">
        <v>87</v>
      </c>
      <c r="AW942" s="141" t="s">
        <v>33</v>
      </c>
      <c r="AX942" s="141" t="s">
        <v>80</v>
      </c>
      <c r="AY942" s="144" t="s">
        <v>337</v>
      </c>
    </row>
    <row r="943" spans="2:65" s="148" customFormat="1" x14ac:dyDescent="0.2">
      <c r="B943" s="149"/>
      <c r="D943" s="143" t="s">
        <v>346</v>
      </c>
      <c r="E943" s="150"/>
      <c r="F943" s="151" t="s">
        <v>1070</v>
      </c>
      <c r="H943" s="152">
        <v>25.41</v>
      </c>
      <c r="L943" s="149"/>
      <c r="M943" s="153"/>
      <c r="T943" s="154"/>
      <c r="AT943" s="150" t="s">
        <v>346</v>
      </c>
      <c r="AU943" s="150" t="s">
        <v>90</v>
      </c>
      <c r="AV943" s="148" t="s">
        <v>90</v>
      </c>
      <c r="AW943" s="148" t="s">
        <v>33</v>
      </c>
      <c r="AX943" s="148" t="s">
        <v>80</v>
      </c>
      <c r="AY943" s="150" t="s">
        <v>337</v>
      </c>
    </row>
    <row r="944" spans="2:65" s="141" customFormat="1" x14ac:dyDescent="0.2">
      <c r="B944" s="142"/>
      <c r="D944" s="143" t="s">
        <v>346</v>
      </c>
      <c r="E944" s="144"/>
      <c r="F944" s="145" t="s">
        <v>368</v>
      </c>
      <c r="H944" s="144"/>
      <c r="L944" s="142"/>
      <c r="M944" s="146"/>
      <c r="T944" s="147"/>
      <c r="AT944" s="144" t="s">
        <v>346</v>
      </c>
      <c r="AU944" s="144" t="s">
        <v>90</v>
      </c>
      <c r="AV944" s="141" t="s">
        <v>87</v>
      </c>
      <c r="AW944" s="141" t="s">
        <v>33</v>
      </c>
      <c r="AX944" s="141" t="s">
        <v>80</v>
      </c>
      <c r="AY944" s="144" t="s">
        <v>337</v>
      </c>
    </row>
    <row r="945" spans="2:65" s="148" customFormat="1" x14ac:dyDescent="0.2">
      <c r="B945" s="149"/>
      <c r="D945" s="143" t="s">
        <v>346</v>
      </c>
      <c r="E945" s="150"/>
      <c r="F945" s="151" t="s">
        <v>1070</v>
      </c>
      <c r="H945" s="152">
        <v>25.41</v>
      </c>
      <c r="L945" s="149"/>
      <c r="M945" s="153"/>
      <c r="T945" s="154"/>
      <c r="AT945" s="150" t="s">
        <v>346</v>
      </c>
      <c r="AU945" s="150" t="s">
        <v>90</v>
      </c>
      <c r="AV945" s="148" t="s">
        <v>90</v>
      </c>
      <c r="AW945" s="148" t="s">
        <v>33</v>
      </c>
      <c r="AX945" s="148" t="s">
        <v>80</v>
      </c>
      <c r="AY945" s="150" t="s">
        <v>337</v>
      </c>
    </row>
    <row r="946" spans="2:65" s="141" customFormat="1" x14ac:dyDescent="0.2">
      <c r="B946" s="142"/>
      <c r="D946" s="143" t="s">
        <v>346</v>
      </c>
      <c r="E946" s="144"/>
      <c r="F946" s="145" t="s">
        <v>370</v>
      </c>
      <c r="H946" s="144"/>
      <c r="L946" s="142"/>
      <c r="M946" s="146"/>
      <c r="T946" s="147"/>
      <c r="AT946" s="144" t="s">
        <v>346</v>
      </c>
      <c r="AU946" s="144" t="s">
        <v>90</v>
      </c>
      <c r="AV946" s="141" t="s">
        <v>87</v>
      </c>
      <c r="AW946" s="141" t="s">
        <v>33</v>
      </c>
      <c r="AX946" s="141" t="s">
        <v>80</v>
      </c>
      <c r="AY946" s="144" t="s">
        <v>337</v>
      </c>
    </row>
    <row r="947" spans="2:65" s="148" customFormat="1" x14ac:dyDescent="0.2">
      <c r="B947" s="149"/>
      <c r="D947" s="143" t="s">
        <v>346</v>
      </c>
      <c r="E947" s="150"/>
      <c r="F947" s="151" t="s">
        <v>1071</v>
      </c>
      <c r="H947" s="152">
        <v>26</v>
      </c>
      <c r="L947" s="149"/>
      <c r="M947" s="153"/>
      <c r="T947" s="154"/>
      <c r="AT947" s="150" t="s">
        <v>346</v>
      </c>
      <c r="AU947" s="150" t="s">
        <v>90</v>
      </c>
      <c r="AV947" s="148" t="s">
        <v>90</v>
      </c>
      <c r="AW947" s="148" t="s">
        <v>33</v>
      </c>
      <c r="AX947" s="148" t="s">
        <v>80</v>
      </c>
      <c r="AY947" s="150" t="s">
        <v>337</v>
      </c>
    </row>
    <row r="948" spans="2:65" s="141" customFormat="1" x14ac:dyDescent="0.2">
      <c r="B948" s="142"/>
      <c r="D948" s="143" t="s">
        <v>346</v>
      </c>
      <c r="E948" s="144"/>
      <c r="F948" s="145" t="s">
        <v>1072</v>
      </c>
      <c r="H948" s="144"/>
      <c r="L948" s="142"/>
      <c r="M948" s="146"/>
      <c r="T948" s="147"/>
      <c r="AT948" s="144" t="s">
        <v>346</v>
      </c>
      <c r="AU948" s="144" t="s">
        <v>90</v>
      </c>
      <c r="AV948" s="141" t="s">
        <v>87</v>
      </c>
      <c r="AW948" s="141" t="s">
        <v>33</v>
      </c>
      <c r="AX948" s="141" t="s">
        <v>80</v>
      </c>
      <c r="AY948" s="144" t="s">
        <v>337</v>
      </c>
    </row>
    <row r="949" spans="2:65" s="141" customFormat="1" x14ac:dyDescent="0.2">
      <c r="B949" s="142"/>
      <c r="D949" s="143" t="s">
        <v>346</v>
      </c>
      <c r="E949" s="144"/>
      <c r="F949" s="145" t="s">
        <v>362</v>
      </c>
      <c r="H949" s="144"/>
      <c r="L949" s="142"/>
      <c r="M949" s="146"/>
      <c r="T949" s="147"/>
      <c r="AT949" s="144" t="s">
        <v>346</v>
      </c>
      <c r="AU949" s="144" t="s">
        <v>90</v>
      </c>
      <c r="AV949" s="141" t="s">
        <v>87</v>
      </c>
      <c r="AW949" s="141" t="s">
        <v>33</v>
      </c>
      <c r="AX949" s="141" t="s">
        <v>80</v>
      </c>
      <c r="AY949" s="144" t="s">
        <v>337</v>
      </c>
    </row>
    <row r="950" spans="2:65" s="148" customFormat="1" x14ac:dyDescent="0.2">
      <c r="B950" s="149"/>
      <c r="D950" s="143" t="s">
        <v>346</v>
      </c>
      <c r="E950" s="150"/>
      <c r="F950" s="151" t="s">
        <v>1073</v>
      </c>
      <c r="H950" s="152">
        <v>4.625</v>
      </c>
      <c r="L950" s="149"/>
      <c r="M950" s="153"/>
      <c r="T950" s="154"/>
      <c r="AT950" s="150" t="s">
        <v>346</v>
      </c>
      <c r="AU950" s="150" t="s">
        <v>90</v>
      </c>
      <c r="AV950" s="148" t="s">
        <v>90</v>
      </c>
      <c r="AW950" s="148" t="s">
        <v>33</v>
      </c>
      <c r="AX950" s="148" t="s">
        <v>80</v>
      </c>
      <c r="AY950" s="150" t="s">
        <v>337</v>
      </c>
    </row>
    <row r="951" spans="2:65" s="148" customFormat="1" x14ac:dyDescent="0.2">
      <c r="B951" s="149"/>
      <c r="D951" s="143" t="s">
        <v>346</v>
      </c>
      <c r="E951" s="150"/>
      <c r="F951" s="151" t="s">
        <v>1074</v>
      </c>
      <c r="H951" s="152">
        <v>16.8</v>
      </c>
      <c r="L951" s="149"/>
      <c r="M951" s="153"/>
      <c r="T951" s="154"/>
      <c r="AT951" s="150" t="s">
        <v>346</v>
      </c>
      <c r="AU951" s="150" t="s">
        <v>90</v>
      </c>
      <c r="AV951" s="148" t="s">
        <v>90</v>
      </c>
      <c r="AW951" s="148" t="s">
        <v>33</v>
      </c>
      <c r="AX951" s="148" t="s">
        <v>80</v>
      </c>
      <c r="AY951" s="150" t="s">
        <v>337</v>
      </c>
    </row>
    <row r="952" spans="2:65" s="148" customFormat="1" x14ac:dyDescent="0.2">
      <c r="B952" s="149"/>
      <c r="D952" s="143" t="s">
        <v>346</v>
      </c>
      <c r="E952" s="150"/>
      <c r="F952" s="151" t="s">
        <v>1075</v>
      </c>
      <c r="H952" s="152">
        <v>10</v>
      </c>
      <c r="L952" s="149"/>
      <c r="M952" s="153"/>
      <c r="T952" s="154"/>
      <c r="AT952" s="150" t="s">
        <v>346</v>
      </c>
      <c r="AU952" s="150" t="s">
        <v>90</v>
      </c>
      <c r="AV952" s="148" t="s">
        <v>90</v>
      </c>
      <c r="AW952" s="148" t="s">
        <v>33</v>
      </c>
      <c r="AX952" s="148" t="s">
        <v>80</v>
      </c>
      <c r="AY952" s="150" t="s">
        <v>337</v>
      </c>
    </row>
    <row r="953" spans="2:65" s="141" customFormat="1" x14ac:dyDescent="0.2">
      <c r="B953" s="142"/>
      <c r="D953" s="143" t="s">
        <v>346</v>
      </c>
      <c r="E953" s="144"/>
      <c r="F953" s="145" t="s">
        <v>1076</v>
      </c>
      <c r="H953" s="144"/>
      <c r="L953" s="142"/>
      <c r="M953" s="146"/>
      <c r="T953" s="147"/>
      <c r="AT953" s="144" t="s">
        <v>346</v>
      </c>
      <c r="AU953" s="144" t="s">
        <v>90</v>
      </c>
      <c r="AV953" s="141" t="s">
        <v>87</v>
      </c>
      <c r="AW953" s="141" t="s">
        <v>33</v>
      </c>
      <c r="AX953" s="141" t="s">
        <v>80</v>
      </c>
      <c r="AY953" s="144" t="s">
        <v>337</v>
      </c>
    </row>
    <row r="954" spans="2:65" s="148" customFormat="1" x14ac:dyDescent="0.2">
      <c r="B954" s="149"/>
      <c r="D954" s="143" t="s">
        <v>346</v>
      </c>
      <c r="E954" s="150"/>
      <c r="F954" s="151" t="s">
        <v>1077</v>
      </c>
      <c r="H954" s="152">
        <v>13.875</v>
      </c>
      <c r="L954" s="149"/>
      <c r="M954" s="153"/>
      <c r="T954" s="154"/>
      <c r="AT954" s="150" t="s">
        <v>346</v>
      </c>
      <c r="AU954" s="150" t="s">
        <v>90</v>
      </c>
      <c r="AV954" s="148" t="s">
        <v>90</v>
      </c>
      <c r="AW954" s="148" t="s">
        <v>33</v>
      </c>
      <c r="AX954" s="148" t="s">
        <v>80</v>
      </c>
      <c r="AY954" s="150" t="s">
        <v>337</v>
      </c>
    </row>
    <row r="955" spans="2:65" s="148" customFormat="1" x14ac:dyDescent="0.2">
      <c r="B955" s="149"/>
      <c r="D955" s="143" t="s">
        <v>346</v>
      </c>
      <c r="E955" s="150"/>
      <c r="F955" s="151" t="s">
        <v>1078</v>
      </c>
      <c r="H955" s="152">
        <v>50.4</v>
      </c>
      <c r="L955" s="149"/>
      <c r="M955" s="153"/>
      <c r="T955" s="154"/>
      <c r="AT955" s="150" t="s">
        <v>346</v>
      </c>
      <c r="AU955" s="150" t="s">
        <v>90</v>
      </c>
      <c r="AV955" s="148" t="s">
        <v>90</v>
      </c>
      <c r="AW955" s="148" t="s">
        <v>33</v>
      </c>
      <c r="AX955" s="148" t="s">
        <v>80</v>
      </c>
      <c r="AY955" s="150" t="s">
        <v>337</v>
      </c>
    </row>
    <row r="956" spans="2:65" s="148" customFormat="1" x14ac:dyDescent="0.2">
      <c r="B956" s="149"/>
      <c r="D956" s="143" t="s">
        <v>346</v>
      </c>
      <c r="E956" s="150"/>
      <c r="F956" s="151" t="s">
        <v>1079</v>
      </c>
      <c r="H956" s="152">
        <v>30</v>
      </c>
      <c r="L956" s="149"/>
      <c r="M956" s="153"/>
      <c r="T956" s="154"/>
      <c r="AT956" s="150" t="s">
        <v>346</v>
      </c>
      <c r="AU956" s="150" t="s">
        <v>90</v>
      </c>
      <c r="AV956" s="148" t="s">
        <v>90</v>
      </c>
      <c r="AW956" s="148" t="s">
        <v>33</v>
      </c>
      <c r="AX956" s="148" t="s">
        <v>80</v>
      </c>
      <c r="AY956" s="150" t="s">
        <v>337</v>
      </c>
    </row>
    <row r="957" spans="2:65" s="172" customFormat="1" x14ac:dyDescent="0.2">
      <c r="B957" s="173"/>
      <c r="D957" s="143" t="s">
        <v>346</v>
      </c>
      <c r="E957" s="174" t="s">
        <v>208</v>
      </c>
      <c r="F957" s="175" t="s">
        <v>609</v>
      </c>
      <c r="H957" s="176">
        <v>228.95</v>
      </c>
      <c r="L957" s="173"/>
      <c r="M957" s="177"/>
      <c r="T957" s="178"/>
      <c r="AT957" s="174" t="s">
        <v>346</v>
      </c>
      <c r="AU957" s="174" t="s">
        <v>90</v>
      </c>
      <c r="AV957" s="172" t="s">
        <v>113</v>
      </c>
      <c r="AW957" s="172" t="s">
        <v>33</v>
      </c>
      <c r="AX957" s="172" t="s">
        <v>87</v>
      </c>
      <c r="AY957" s="174" t="s">
        <v>337</v>
      </c>
    </row>
    <row r="958" spans="2:65" s="16" customFormat="1" ht="16.5" customHeight="1" x14ac:dyDescent="0.2">
      <c r="B958" s="17"/>
      <c r="C958" s="128">
        <v>93</v>
      </c>
      <c r="D958" s="128" t="s">
        <v>339</v>
      </c>
      <c r="E958" s="129" t="s">
        <v>1081</v>
      </c>
      <c r="F958" s="130" t="s">
        <v>1082</v>
      </c>
      <c r="G958" s="131" t="s">
        <v>425</v>
      </c>
      <c r="H958" s="132">
        <v>420.61</v>
      </c>
      <c r="I958" s="133"/>
      <c r="J958" s="134">
        <f>ROUND(I958*H958,2)</f>
        <v>0</v>
      </c>
      <c r="K958" s="130" t="s">
        <v>343</v>
      </c>
      <c r="L958" s="17"/>
      <c r="M958" s="135"/>
      <c r="N958" s="136" t="s">
        <v>45</v>
      </c>
      <c r="P958" s="137">
        <f>O958*H958</f>
        <v>0</v>
      </c>
      <c r="Q958" s="137">
        <v>1.5399999999999999E-3</v>
      </c>
      <c r="R958" s="137">
        <f>Q958*H958</f>
        <v>0.64773939999999997</v>
      </c>
      <c r="S958" s="137">
        <v>0</v>
      </c>
      <c r="T958" s="138">
        <f>S958*H958</f>
        <v>0</v>
      </c>
      <c r="AR958" s="139" t="s">
        <v>496</v>
      </c>
      <c r="AT958" s="139" t="s">
        <v>339</v>
      </c>
      <c r="AU958" s="139" t="s">
        <v>90</v>
      </c>
      <c r="AY958" s="2" t="s">
        <v>337</v>
      </c>
      <c r="BE958" s="140">
        <f>IF(N958="základní",J958,0)</f>
        <v>0</v>
      </c>
      <c r="BF958" s="140">
        <f>IF(N958="snížená",J958,0)</f>
        <v>0</v>
      </c>
      <c r="BG958" s="140">
        <f>IF(N958="zákl. přenesená",J958,0)</f>
        <v>0</v>
      </c>
      <c r="BH958" s="140">
        <f>IF(N958="sníž. přenesená",J958,0)</f>
        <v>0</v>
      </c>
      <c r="BI958" s="140">
        <f>IF(N958="nulová",J958,0)</f>
        <v>0</v>
      </c>
      <c r="BJ958" s="2" t="s">
        <v>87</v>
      </c>
      <c r="BK958" s="140">
        <f>ROUND(I958*H958,2)</f>
        <v>0</v>
      </c>
      <c r="BL958" s="2" t="s">
        <v>496</v>
      </c>
      <c r="BM958" s="139" t="s">
        <v>1083</v>
      </c>
    </row>
    <row r="959" spans="2:65" s="141" customFormat="1" x14ac:dyDescent="0.2">
      <c r="B959" s="142"/>
      <c r="D959" s="143" t="s">
        <v>346</v>
      </c>
      <c r="E959" s="144"/>
      <c r="F959" s="145" t="s">
        <v>1084</v>
      </c>
      <c r="H959" s="144"/>
      <c r="L959" s="142"/>
      <c r="M959" s="146"/>
      <c r="T959" s="147"/>
      <c r="AT959" s="144" t="s">
        <v>346</v>
      </c>
      <c r="AU959" s="144" t="s">
        <v>90</v>
      </c>
      <c r="AV959" s="141" t="s">
        <v>87</v>
      </c>
      <c r="AW959" s="141" t="s">
        <v>33</v>
      </c>
      <c r="AX959" s="141" t="s">
        <v>80</v>
      </c>
      <c r="AY959" s="144" t="s">
        <v>337</v>
      </c>
    </row>
    <row r="960" spans="2:65" s="141" customFormat="1" x14ac:dyDescent="0.2">
      <c r="B960" s="142"/>
      <c r="D960" s="143" t="s">
        <v>346</v>
      </c>
      <c r="E960" s="144"/>
      <c r="F960" s="145" t="s">
        <v>1068</v>
      </c>
      <c r="H960" s="144"/>
      <c r="L960" s="142"/>
      <c r="M960" s="146"/>
      <c r="T960" s="147"/>
      <c r="AT960" s="144" t="s">
        <v>346</v>
      </c>
      <c r="AU960" s="144" t="s">
        <v>90</v>
      </c>
      <c r="AV960" s="141" t="s">
        <v>87</v>
      </c>
      <c r="AW960" s="141" t="s">
        <v>33</v>
      </c>
      <c r="AX960" s="141" t="s">
        <v>80</v>
      </c>
      <c r="AY960" s="144" t="s">
        <v>337</v>
      </c>
    </row>
    <row r="961" spans="2:65" s="141" customFormat="1" x14ac:dyDescent="0.2">
      <c r="B961" s="142"/>
      <c r="D961" s="143" t="s">
        <v>346</v>
      </c>
      <c r="E961" s="144"/>
      <c r="F961" s="145" t="s">
        <v>477</v>
      </c>
      <c r="H961" s="144"/>
      <c r="L961" s="142"/>
      <c r="M961" s="146"/>
      <c r="T961" s="147"/>
      <c r="AT961" s="144" t="s">
        <v>346</v>
      </c>
      <c r="AU961" s="144" t="s">
        <v>90</v>
      </c>
      <c r="AV961" s="141" t="s">
        <v>87</v>
      </c>
      <c r="AW961" s="141" t="s">
        <v>33</v>
      </c>
      <c r="AX961" s="141" t="s">
        <v>80</v>
      </c>
      <c r="AY961" s="144" t="s">
        <v>337</v>
      </c>
    </row>
    <row r="962" spans="2:65" s="148" customFormat="1" x14ac:dyDescent="0.2">
      <c r="B962" s="149"/>
      <c r="D962" s="143" t="s">
        <v>346</v>
      </c>
      <c r="E962" s="150"/>
      <c r="F962" s="151" t="s">
        <v>1085</v>
      </c>
      <c r="H962" s="152">
        <v>6.5</v>
      </c>
      <c r="L962" s="149"/>
      <c r="M962" s="153"/>
      <c r="T962" s="154"/>
      <c r="AT962" s="150" t="s">
        <v>346</v>
      </c>
      <c r="AU962" s="150" t="s">
        <v>90</v>
      </c>
      <c r="AV962" s="148" t="s">
        <v>90</v>
      </c>
      <c r="AW962" s="148" t="s">
        <v>33</v>
      </c>
      <c r="AX962" s="148" t="s">
        <v>80</v>
      </c>
      <c r="AY962" s="150" t="s">
        <v>337</v>
      </c>
    </row>
    <row r="963" spans="2:65" s="141" customFormat="1" x14ac:dyDescent="0.2">
      <c r="B963" s="142"/>
      <c r="D963" s="143" t="s">
        <v>346</v>
      </c>
      <c r="E963" s="144"/>
      <c r="F963" s="145" t="s">
        <v>357</v>
      </c>
      <c r="H963" s="144"/>
      <c r="L963" s="142"/>
      <c r="M963" s="146"/>
      <c r="T963" s="147"/>
      <c r="AT963" s="144" t="s">
        <v>346</v>
      </c>
      <c r="AU963" s="144" t="s">
        <v>90</v>
      </c>
      <c r="AV963" s="141" t="s">
        <v>87</v>
      </c>
      <c r="AW963" s="141" t="s">
        <v>33</v>
      </c>
      <c r="AX963" s="141" t="s">
        <v>80</v>
      </c>
      <c r="AY963" s="144" t="s">
        <v>337</v>
      </c>
    </row>
    <row r="964" spans="2:65" s="148" customFormat="1" x14ac:dyDescent="0.2">
      <c r="B964" s="149"/>
      <c r="D964" s="143" t="s">
        <v>346</v>
      </c>
      <c r="E964" s="150"/>
      <c r="F964" s="151" t="s">
        <v>1086</v>
      </c>
      <c r="H964" s="152">
        <v>414.11</v>
      </c>
      <c r="L964" s="149"/>
      <c r="M964" s="153"/>
      <c r="T964" s="154"/>
      <c r="AT964" s="150" t="s">
        <v>346</v>
      </c>
      <c r="AU964" s="150" t="s">
        <v>90</v>
      </c>
      <c r="AV964" s="148" t="s">
        <v>90</v>
      </c>
      <c r="AW964" s="148" t="s">
        <v>33</v>
      </c>
      <c r="AX964" s="148" t="s">
        <v>80</v>
      </c>
      <c r="AY964" s="150" t="s">
        <v>337</v>
      </c>
    </row>
    <row r="965" spans="2:65" s="141" customFormat="1" x14ac:dyDescent="0.2">
      <c r="B965" s="142"/>
      <c r="D965" s="143" t="s">
        <v>346</v>
      </c>
      <c r="E965" s="144"/>
      <c r="F965" s="145" t="s">
        <v>1087</v>
      </c>
      <c r="H965" s="144"/>
      <c r="L965" s="142"/>
      <c r="M965" s="146"/>
      <c r="T965" s="147"/>
      <c r="AT965" s="144" t="s">
        <v>346</v>
      </c>
      <c r="AU965" s="144" t="s">
        <v>90</v>
      </c>
      <c r="AV965" s="141" t="s">
        <v>87</v>
      </c>
      <c r="AW965" s="141" t="s">
        <v>33</v>
      </c>
      <c r="AX965" s="141" t="s">
        <v>80</v>
      </c>
      <c r="AY965" s="144" t="s">
        <v>337</v>
      </c>
    </row>
    <row r="966" spans="2:65" s="148" customFormat="1" x14ac:dyDescent="0.2">
      <c r="B966" s="149"/>
      <c r="D966" s="143" t="s">
        <v>346</v>
      </c>
      <c r="E966" s="150"/>
      <c r="F966" s="151" t="s">
        <v>80</v>
      </c>
      <c r="H966" s="152">
        <v>0</v>
      </c>
      <c r="L966" s="149"/>
      <c r="M966" s="153"/>
      <c r="T966" s="154"/>
      <c r="AT966" s="150" t="s">
        <v>346</v>
      </c>
      <c r="AU966" s="150" t="s">
        <v>90</v>
      </c>
      <c r="AV966" s="148" t="s">
        <v>90</v>
      </c>
      <c r="AW966" s="148" t="s">
        <v>33</v>
      </c>
      <c r="AX966" s="148" t="s">
        <v>80</v>
      </c>
      <c r="AY966" s="150" t="s">
        <v>337</v>
      </c>
    </row>
    <row r="967" spans="2:65" s="172" customFormat="1" x14ac:dyDescent="0.2">
      <c r="B967" s="173"/>
      <c r="D967" s="143" t="s">
        <v>346</v>
      </c>
      <c r="E967" s="174" t="s">
        <v>206</v>
      </c>
      <c r="F967" s="175" t="s">
        <v>609</v>
      </c>
      <c r="H967" s="176">
        <v>420.61</v>
      </c>
      <c r="L967" s="173"/>
      <c r="M967" s="177"/>
      <c r="T967" s="178"/>
      <c r="AT967" s="174" t="s">
        <v>346</v>
      </c>
      <c r="AU967" s="174" t="s">
        <v>90</v>
      </c>
      <c r="AV967" s="172" t="s">
        <v>113</v>
      </c>
      <c r="AW967" s="172" t="s">
        <v>33</v>
      </c>
      <c r="AX967" s="172" t="s">
        <v>87</v>
      </c>
      <c r="AY967" s="174" t="s">
        <v>337</v>
      </c>
    </row>
    <row r="968" spans="2:65" s="16" customFormat="1" ht="21.75" customHeight="1" x14ac:dyDescent="0.2">
      <c r="B968" s="17"/>
      <c r="C968" s="128">
        <v>94</v>
      </c>
      <c r="D968" s="162" t="s">
        <v>519</v>
      </c>
      <c r="E968" s="163" t="s">
        <v>1088</v>
      </c>
      <c r="F968" s="164" t="s">
        <v>1089</v>
      </c>
      <c r="G968" s="165" t="s">
        <v>425</v>
      </c>
      <c r="H968" s="166">
        <v>682.03800000000001</v>
      </c>
      <c r="I968" s="167"/>
      <c r="J968" s="168">
        <f>ROUND(I968*H968,2)</f>
        <v>0</v>
      </c>
      <c r="K968" s="164"/>
      <c r="L968" s="169"/>
      <c r="M968" s="170"/>
      <c r="N968" s="171" t="s">
        <v>45</v>
      </c>
      <c r="P968" s="137">
        <f>O968*H968</f>
        <v>0</v>
      </c>
      <c r="Q968" s="137">
        <v>4.4999999999999997E-3</v>
      </c>
      <c r="R968" s="137">
        <f>Q968*H968</f>
        <v>3.0691709999999999</v>
      </c>
      <c r="S968" s="137">
        <v>0</v>
      </c>
      <c r="T968" s="138">
        <f>S968*H968</f>
        <v>0</v>
      </c>
      <c r="AR968" s="139" t="s">
        <v>621</v>
      </c>
      <c r="AT968" s="139" t="s">
        <v>519</v>
      </c>
      <c r="AU968" s="139" t="s">
        <v>90</v>
      </c>
      <c r="AY968" s="2" t="s">
        <v>337</v>
      </c>
      <c r="BE968" s="140">
        <f>IF(N968="základní",J968,0)</f>
        <v>0</v>
      </c>
      <c r="BF968" s="140">
        <f>IF(N968="snížená",J968,0)</f>
        <v>0</v>
      </c>
      <c r="BG968" s="140">
        <f>IF(N968="zákl. přenesená",J968,0)</f>
        <v>0</v>
      </c>
      <c r="BH968" s="140">
        <f>IF(N968="sníž. přenesená",J968,0)</f>
        <v>0</v>
      </c>
      <c r="BI968" s="140">
        <f>IF(N968="nulová",J968,0)</f>
        <v>0</v>
      </c>
      <c r="BJ968" s="2" t="s">
        <v>87</v>
      </c>
      <c r="BK968" s="140">
        <f>ROUND(I968*H968,2)</f>
        <v>0</v>
      </c>
      <c r="BL968" s="2" t="s">
        <v>496</v>
      </c>
      <c r="BM968" s="139" t="s">
        <v>1090</v>
      </c>
    </row>
    <row r="969" spans="2:65" s="141" customFormat="1" x14ac:dyDescent="0.2">
      <c r="B969" s="142"/>
      <c r="D969" s="143" t="s">
        <v>346</v>
      </c>
      <c r="E969" s="144"/>
      <c r="F969" s="145" t="s">
        <v>1091</v>
      </c>
      <c r="H969" s="144"/>
      <c r="L969" s="142"/>
      <c r="M969" s="146"/>
      <c r="T969" s="147"/>
      <c r="AT969" s="144" t="s">
        <v>346</v>
      </c>
      <c r="AU969" s="144" t="s">
        <v>90</v>
      </c>
      <c r="AV969" s="141" t="s">
        <v>87</v>
      </c>
      <c r="AW969" s="141" t="s">
        <v>33</v>
      </c>
      <c r="AX969" s="141" t="s">
        <v>80</v>
      </c>
      <c r="AY969" s="144" t="s">
        <v>337</v>
      </c>
    </row>
    <row r="970" spans="2:65" s="148" customFormat="1" x14ac:dyDescent="0.2">
      <c r="B970" s="149"/>
      <c r="D970" s="143" t="s">
        <v>346</v>
      </c>
      <c r="E970" s="150"/>
      <c r="F970" s="151" t="s">
        <v>206</v>
      </c>
      <c r="H970" s="152">
        <v>420.61</v>
      </c>
      <c r="L970" s="149"/>
      <c r="M970" s="153"/>
      <c r="T970" s="154"/>
      <c r="AT970" s="150" t="s">
        <v>346</v>
      </c>
      <c r="AU970" s="150" t="s">
        <v>90</v>
      </c>
      <c r="AV970" s="148" t="s">
        <v>90</v>
      </c>
      <c r="AW970" s="148" t="s">
        <v>33</v>
      </c>
      <c r="AX970" s="148" t="s">
        <v>80</v>
      </c>
      <c r="AY970" s="150" t="s">
        <v>337</v>
      </c>
    </row>
    <row r="971" spans="2:65" s="148" customFormat="1" x14ac:dyDescent="0.2">
      <c r="B971" s="149"/>
      <c r="D971" s="143" t="s">
        <v>346</v>
      </c>
      <c r="E971" s="150"/>
      <c r="F971" s="151" t="s">
        <v>208</v>
      </c>
      <c r="H971" s="152">
        <v>228.95</v>
      </c>
      <c r="L971" s="149"/>
      <c r="M971" s="153"/>
      <c r="T971" s="154"/>
      <c r="AT971" s="150" t="s">
        <v>346</v>
      </c>
      <c r="AU971" s="150" t="s">
        <v>90</v>
      </c>
      <c r="AV971" s="148" t="s">
        <v>90</v>
      </c>
      <c r="AW971" s="148" t="s">
        <v>33</v>
      </c>
      <c r="AX971" s="148" t="s">
        <v>80</v>
      </c>
      <c r="AY971" s="150" t="s">
        <v>337</v>
      </c>
    </row>
    <row r="972" spans="2:65" s="155" customFormat="1" x14ac:dyDescent="0.2">
      <c r="B972" s="156"/>
      <c r="D972" s="143" t="s">
        <v>346</v>
      </c>
      <c r="E972" s="157"/>
      <c r="F972" s="158" t="s">
        <v>351</v>
      </c>
      <c r="H972" s="159">
        <v>649.55999999999995</v>
      </c>
      <c r="L972" s="156"/>
      <c r="M972" s="160"/>
      <c r="T972" s="161"/>
      <c r="AT972" s="157" t="s">
        <v>346</v>
      </c>
      <c r="AU972" s="157" t="s">
        <v>90</v>
      </c>
      <c r="AV972" s="155" t="s">
        <v>344</v>
      </c>
      <c r="AW972" s="155" t="s">
        <v>33</v>
      </c>
      <c r="AX972" s="155" t="s">
        <v>87</v>
      </c>
      <c r="AY972" s="157" t="s">
        <v>337</v>
      </c>
    </row>
    <row r="973" spans="2:65" s="148" customFormat="1" x14ac:dyDescent="0.2">
      <c r="B973" s="149"/>
      <c r="D973" s="143" t="s">
        <v>346</v>
      </c>
      <c r="F973" s="151" t="s">
        <v>1092</v>
      </c>
      <c r="H973" s="152">
        <v>682.03800000000001</v>
      </c>
      <c r="L973" s="149"/>
      <c r="M973" s="153"/>
      <c r="T973" s="154"/>
      <c r="AT973" s="150" t="s">
        <v>346</v>
      </c>
      <c r="AU973" s="150" t="s">
        <v>90</v>
      </c>
      <c r="AV973" s="148" t="s">
        <v>90</v>
      </c>
      <c r="AW973" s="148" t="s">
        <v>3</v>
      </c>
      <c r="AX973" s="148" t="s">
        <v>87</v>
      </c>
      <c r="AY973" s="150" t="s">
        <v>337</v>
      </c>
    </row>
    <row r="974" spans="2:65" s="16" customFormat="1" ht="16.5" customHeight="1" x14ac:dyDescent="0.2">
      <c r="B974" s="17"/>
      <c r="C974" s="128">
        <v>95</v>
      </c>
      <c r="D974" s="128" t="s">
        <v>339</v>
      </c>
      <c r="E974" s="129" t="s">
        <v>1094</v>
      </c>
      <c r="F974" s="130" t="s">
        <v>1095</v>
      </c>
      <c r="G974" s="131" t="s">
        <v>990</v>
      </c>
      <c r="H974" s="132">
        <v>7.4260000000000002</v>
      </c>
      <c r="I974" s="133"/>
      <c r="J974" s="134">
        <f>ROUND(I974*H974,2)</f>
        <v>0</v>
      </c>
      <c r="K974" s="130" t="s">
        <v>343</v>
      </c>
      <c r="L974" s="17"/>
      <c r="M974" s="135"/>
      <c r="N974" s="136" t="s">
        <v>45</v>
      </c>
      <c r="P974" s="137">
        <f>O974*H974</f>
        <v>0</v>
      </c>
      <c r="Q974" s="137">
        <v>0</v>
      </c>
      <c r="R974" s="137">
        <f>Q974*H974</f>
        <v>0</v>
      </c>
      <c r="S974" s="137">
        <v>0</v>
      </c>
      <c r="T974" s="138">
        <f>S974*H974</f>
        <v>0</v>
      </c>
      <c r="AR974" s="139" t="s">
        <v>496</v>
      </c>
      <c r="AT974" s="139" t="s">
        <v>339</v>
      </c>
      <c r="AU974" s="139" t="s">
        <v>90</v>
      </c>
      <c r="AY974" s="2" t="s">
        <v>337</v>
      </c>
      <c r="BE974" s="140">
        <f>IF(N974="základní",J974,0)</f>
        <v>0</v>
      </c>
      <c r="BF974" s="140">
        <f>IF(N974="snížená",J974,0)</f>
        <v>0</v>
      </c>
      <c r="BG974" s="140">
        <f>IF(N974="zákl. přenesená",J974,0)</f>
        <v>0</v>
      </c>
      <c r="BH974" s="140">
        <f>IF(N974="sníž. přenesená",J974,0)</f>
        <v>0</v>
      </c>
      <c r="BI974" s="140">
        <f>IF(N974="nulová",J974,0)</f>
        <v>0</v>
      </c>
      <c r="BJ974" s="2" t="s">
        <v>87</v>
      </c>
      <c r="BK974" s="140">
        <f>ROUND(I974*H974,2)</f>
        <v>0</v>
      </c>
      <c r="BL974" s="2" t="s">
        <v>496</v>
      </c>
      <c r="BM974" s="139" t="s">
        <v>1096</v>
      </c>
    </row>
    <row r="975" spans="2:65" s="116" customFormat="1" ht="22.9" customHeight="1" x14ac:dyDescent="0.2">
      <c r="B975" s="117"/>
      <c r="D975" s="118" t="s">
        <v>79</v>
      </c>
      <c r="E975" s="126" t="s">
        <v>1097</v>
      </c>
      <c r="F975" s="126" t="s">
        <v>1098</v>
      </c>
      <c r="J975" s="127">
        <f>BK975</f>
        <v>0</v>
      </c>
      <c r="L975" s="117"/>
      <c r="M975" s="121"/>
      <c r="P975" s="122">
        <f>SUM(P976:P1030)</f>
        <v>0</v>
      </c>
      <c r="R975" s="122">
        <f>SUM(R976:R1030)</f>
        <v>1.2051064500000002</v>
      </c>
      <c r="T975" s="123">
        <f>SUM(T976:T1030)</f>
        <v>0</v>
      </c>
      <c r="AR975" s="118" t="s">
        <v>90</v>
      </c>
      <c r="AT975" s="124" t="s">
        <v>79</v>
      </c>
      <c r="AU975" s="124" t="s">
        <v>87</v>
      </c>
      <c r="AY975" s="118" t="s">
        <v>337</v>
      </c>
      <c r="BK975" s="125">
        <f>SUM(BK976:BK1030)</f>
        <v>0</v>
      </c>
    </row>
    <row r="976" spans="2:65" s="16" customFormat="1" ht="16.5" customHeight="1" x14ac:dyDescent="0.2">
      <c r="B976" s="17"/>
      <c r="C976" s="128">
        <v>96</v>
      </c>
      <c r="D976" s="128" t="s">
        <v>339</v>
      </c>
      <c r="E976" s="129" t="s">
        <v>1099</v>
      </c>
      <c r="F976" s="130" t="s">
        <v>1100</v>
      </c>
      <c r="G976" s="131" t="s">
        <v>425</v>
      </c>
      <c r="H976" s="132">
        <v>48.96</v>
      </c>
      <c r="I976" s="133"/>
      <c r="J976" s="134">
        <f>ROUND(I976*H976,2)</f>
        <v>0</v>
      </c>
      <c r="K976" s="130" t="s">
        <v>343</v>
      </c>
      <c r="L976" s="17"/>
      <c r="M976" s="135"/>
      <c r="N976" s="136" t="s">
        <v>45</v>
      </c>
      <c r="P976" s="137">
        <f>O976*H976</f>
        <v>0</v>
      </c>
      <c r="Q976" s="137">
        <v>3.6000000000000002E-4</v>
      </c>
      <c r="R976" s="137">
        <f>Q976*H976</f>
        <v>1.7625600000000002E-2</v>
      </c>
      <c r="S976" s="137">
        <v>0</v>
      </c>
      <c r="T976" s="138">
        <f>S976*H976</f>
        <v>0</v>
      </c>
      <c r="AR976" s="139" t="s">
        <v>496</v>
      </c>
      <c r="AT976" s="139" t="s">
        <v>339</v>
      </c>
      <c r="AU976" s="139" t="s">
        <v>90</v>
      </c>
      <c r="AY976" s="2" t="s">
        <v>337</v>
      </c>
      <c r="BE976" s="140">
        <f>IF(N976="základní",J976,0)</f>
        <v>0</v>
      </c>
      <c r="BF976" s="140">
        <f>IF(N976="snížená",J976,0)</f>
        <v>0</v>
      </c>
      <c r="BG976" s="140">
        <f>IF(N976="zákl. přenesená",J976,0)</f>
        <v>0</v>
      </c>
      <c r="BH976" s="140">
        <f>IF(N976="sníž. přenesená",J976,0)</f>
        <v>0</v>
      </c>
      <c r="BI976" s="140">
        <f>IF(N976="nulová",J976,0)</f>
        <v>0</v>
      </c>
      <c r="BJ976" s="2" t="s">
        <v>87</v>
      </c>
      <c r="BK976" s="140">
        <f>ROUND(I976*H976,2)</f>
        <v>0</v>
      </c>
      <c r="BL976" s="2" t="s">
        <v>496</v>
      </c>
      <c r="BM976" s="139" t="s">
        <v>1101</v>
      </c>
    </row>
    <row r="977" spans="2:65" s="141" customFormat="1" x14ac:dyDescent="0.2">
      <c r="B977" s="142"/>
      <c r="D977" s="143" t="s">
        <v>346</v>
      </c>
      <c r="E977" s="144"/>
      <c r="F977" s="145" t="s">
        <v>1102</v>
      </c>
      <c r="H977" s="144"/>
      <c r="L977" s="142"/>
      <c r="M977" s="146"/>
      <c r="T977" s="147"/>
      <c r="AT977" s="144" t="s">
        <v>346</v>
      </c>
      <c r="AU977" s="144" t="s">
        <v>90</v>
      </c>
      <c r="AV977" s="141" t="s">
        <v>87</v>
      </c>
      <c r="AW977" s="141" t="s">
        <v>33</v>
      </c>
      <c r="AX977" s="141" t="s">
        <v>80</v>
      </c>
      <c r="AY977" s="144" t="s">
        <v>337</v>
      </c>
    </row>
    <row r="978" spans="2:65" s="141" customFormat="1" x14ac:dyDescent="0.2">
      <c r="B978" s="142"/>
      <c r="D978" s="143" t="s">
        <v>346</v>
      </c>
      <c r="E978" s="144"/>
      <c r="F978" s="145" t="s">
        <v>357</v>
      </c>
      <c r="H978" s="144"/>
      <c r="L978" s="142"/>
      <c r="M978" s="146"/>
      <c r="T978" s="147"/>
      <c r="AT978" s="144" t="s">
        <v>346</v>
      </c>
      <c r="AU978" s="144" t="s">
        <v>90</v>
      </c>
      <c r="AV978" s="141" t="s">
        <v>87</v>
      </c>
      <c r="AW978" s="141" t="s">
        <v>33</v>
      </c>
      <c r="AX978" s="141" t="s">
        <v>80</v>
      </c>
      <c r="AY978" s="144" t="s">
        <v>337</v>
      </c>
    </row>
    <row r="979" spans="2:65" s="141" customFormat="1" x14ac:dyDescent="0.2">
      <c r="B979" s="142"/>
      <c r="D979" s="143" t="s">
        <v>346</v>
      </c>
      <c r="E979" s="144"/>
      <c r="F979" s="145" t="s">
        <v>1103</v>
      </c>
      <c r="H979" s="144"/>
      <c r="L979" s="142"/>
      <c r="M979" s="146"/>
      <c r="T979" s="147"/>
      <c r="AT979" s="144" t="s">
        <v>346</v>
      </c>
      <c r="AU979" s="144" t="s">
        <v>90</v>
      </c>
      <c r="AV979" s="141" t="s">
        <v>87</v>
      </c>
      <c r="AW979" s="141" t="s">
        <v>33</v>
      </c>
      <c r="AX979" s="141" t="s">
        <v>80</v>
      </c>
      <c r="AY979" s="144" t="s">
        <v>337</v>
      </c>
    </row>
    <row r="980" spans="2:65" s="148" customFormat="1" x14ac:dyDescent="0.2">
      <c r="B980" s="149"/>
      <c r="D980" s="143" t="s">
        <v>346</v>
      </c>
      <c r="E980" s="150"/>
      <c r="F980" s="151" t="s">
        <v>1104</v>
      </c>
      <c r="H980" s="152">
        <v>8.64</v>
      </c>
      <c r="L980" s="149"/>
      <c r="M980" s="153"/>
      <c r="T980" s="154"/>
      <c r="AT980" s="150" t="s">
        <v>346</v>
      </c>
      <c r="AU980" s="150" t="s">
        <v>90</v>
      </c>
      <c r="AV980" s="148" t="s">
        <v>90</v>
      </c>
      <c r="AW980" s="148" t="s">
        <v>33</v>
      </c>
      <c r="AX980" s="148" t="s">
        <v>80</v>
      </c>
      <c r="AY980" s="150" t="s">
        <v>337</v>
      </c>
    </row>
    <row r="981" spans="2:65" s="141" customFormat="1" x14ac:dyDescent="0.2">
      <c r="B981" s="142"/>
      <c r="D981" s="143" t="s">
        <v>346</v>
      </c>
      <c r="E981" s="144"/>
      <c r="F981" s="145" t="s">
        <v>1105</v>
      </c>
      <c r="H981" s="144"/>
      <c r="L981" s="142"/>
      <c r="M981" s="146"/>
      <c r="T981" s="147"/>
      <c r="AT981" s="144" t="s">
        <v>346</v>
      </c>
      <c r="AU981" s="144" t="s">
        <v>90</v>
      </c>
      <c r="AV981" s="141" t="s">
        <v>87</v>
      </c>
      <c r="AW981" s="141" t="s">
        <v>33</v>
      </c>
      <c r="AX981" s="141" t="s">
        <v>80</v>
      </c>
      <c r="AY981" s="144" t="s">
        <v>337</v>
      </c>
    </row>
    <row r="982" spans="2:65" s="148" customFormat="1" x14ac:dyDescent="0.2">
      <c r="B982" s="149"/>
      <c r="D982" s="143" t="s">
        <v>346</v>
      </c>
      <c r="E982" s="150"/>
      <c r="F982" s="151" t="s">
        <v>1106</v>
      </c>
      <c r="H982" s="152">
        <v>40.32</v>
      </c>
      <c r="L982" s="149"/>
      <c r="M982" s="153"/>
      <c r="T982" s="154"/>
      <c r="AT982" s="150" t="s">
        <v>346</v>
      </c>
      <c r="AU982" s="150" t="s">
        <v>90</v>
      </c>
      <c r="AV982" s="148" t="s">
        <v>90</v>
      </c>
      <c r="AW982" s="148" t="s">
        <v>33</v>
      </c>
      <c r="AX982" s="148" t="s">
        <v>80</v>
      </c>
      <c r="AY982" s="150" t="s">
        <v>337</v>
      </c>
    </row>
    <row r="983" spans="2:65" s="172" customFormat="1" x14ac:dyDescent="0.2">
      <c r="B983" s="173"/>
      <c r="D983" s="143" t="s">
        <v>346</v>
      </c>
      <c r="E983" s="174" t="s">
        <v>214</v>
      </c>
      <c r="F983" s="175" t="s">
        <v>609</v>
      </c>
      <c r="H983" s="176">
        <v>48.96</v>
      </c>
      <c r="L983" s="173"/>
      <c r="M983" s="177"/>
      <c r="T983" s="178"/>
      <c r="AT983" s="174" t="s">
        <v>346</v>
      </c>
      <c r="AU983" s="174" t="s">
        <v>90</v>
      </c>
      <c r="AV983" s="172" t="s">
        <v>113</v>
      </c>
      <c r="AW983" s="172" t="s">
        <v>33</v>
      </c>
      <c r="AX983" s="172" t="s">
        <v>87</v>
      </c>
      <c r="AY983" s="174" t="s">
        <v>337</v>
      </c>
    </row>
    <row r="984" spans="2:65" s="16" customFormat="1" ht="24.2" customHeight="1" x14ac:dyDescent="0.2">
      <c r="B984" s="17"/>
      <c r="C984" s="128">
        <v>97</v>
      </c>
      <c r="D984" s="162" t="s">
        <v>519</v>
      </c>
      <c r="E984" s="163" t="s">
        <v>1108</v>
      </c>
      <c r="F984" s="164" t="s">
        <v>1109</v>
      </c>
      <c r="G984" s="165" t="s">
        <v>449</v>
      </c>
      <c r="H984" s="166">
        <v>17</v>
      </c>
      <c r="I984" s="167"/>
      <c r="J984" s="168">
        <f>ROUND(I984*H984,2)</f>
        <v>0</v>
      </c>
      <c r="K984" s="164" t="s">
        <v>343</v>
      </c>
      <c r="L984" s="169"/>
      <c r="M984" s="170"/>
      <c r="N984" s="171" t="s">
        <v>45</v>
      </c>
      <c r="P984" s="137">
        <f>O984*H984</f>
        <v>0</v>
      </c>
      <c r="Q984" s="137">
        <v>1.7500000000000002E-2</v>
      </c>
      <c r="R984" s="137">
        <f>Q984*H984</f>
        <v>0.29750000000000004</v>
      </c>
      <c r="S984" s="137">
        <v>0</v>
      </c>
      <c r="T984" s="138">
        <f>S984*H984</f>
        <v>0</v>
      </c>
      <c r="AR984" s="139" t="s">
        <v>621</v>
      </c>
      <c r="AT984" s="139" t="s">
        <v>519</v>
      </c>
      <c r="AU984" s="139" t="s">
        <v>90</v>
      </c>
      <c r="AY984" s="2" t="s">
        <v>337</v>
      </c>
      <c r="BE984" s="140">
        <f>IF(N984="základní",J984,0)</f>
        <v>0</v>
      </c>
      <c r="BF984" s="140">
        <f>IF(N984="snížená",J984,0)</f>
        <v>0</v>
      </c>
      <c r="BG984" s="140">
        <f>IF(N984="zákl. přenesená",J984,0)</f>
        <v>0</v>
      </c>
      <c r="BH984" s="140">
        <f>IF(N984="sníž. přenesená",J984,0)</f>
        <v>0</v>
      </c>
      <c r="BI984" s="140">
        <f>IF(N984="nulová",J984,0)</f>
        <v>0</v>
      </c>
      <c r="BJ984" s="2" t="s">
        <v>87</v>
      </c>
      <c r="BK984" s="140">
        <f>ROUND(I984*H984,2)</f>
        <v>0</v>
      </c>
      <c r="BL984" s="2" t="s">
        <v>496</v>
      </c>
      <c r="BM984" s="139" t="s">
        <v>1110</v>
      </c>
    </row>
    <row r="985" spans="2:65" s="141" customFormat="1" x14ac:dyDescent="0.2">
      <c r="B985" s="142"/>
      <c r="D985" s="143" t="s">
        <v>346</v>
      </c>
      <c r="E985" s="144"/>
      <c r="F985" s="145" t="s">
        <v>1102</v>
      </c>
      <c r="H985" s="144"/>
      <c r="L985" s="142"/>
      <c r="M985" s="146"/>
      <c r="T985" s="147"/>
      <c r="AT985" s="144" t="s">
        <v>346</v>
      </c>
      <c r="AU985" s="144" t="s">
        <v>90</v>
      </c>
      <c r="AV985" s="141" t="s">
        <v>87</v>
      </c>
      <c r="AW985" s="141" t="s">
        <v>33</v>
      </c>
      <c r="AX985" s="141" t="s">
        <v>80</v>
      </c>
      <c r="AY985" s="144" t="s">
        <v>337</v>
      </c>
    </row>
    <row r="986" spans="2:65" s="141" customFormat="1" x14ac:dyDescent="0.2">
      <c r="B986" s="142"/>
      <c r="D986" s="143" t="s">
        <v>346</v>
      </c>
      <c r="E986" s="144"/>
      <c r="F986" s="145" t="s">
        <v>357</v>
      </c>
      <c r="H986" s="144"/>
      <c r="L986" s="142"/>
      <c r="M986" s="146"/>
      <c r="T986" s="147"/>
      <c r="AT986" s="144" t="s">
        <v>346</v>
      </c>
      <c r="AU986" s="144" t="s">
        <v>90</v>
      </c>
      <c r="AV986" s="141" t="s">
        <v>87</v>
      </c>
      <c r="AW986" s="141" t="s">
        <v>33</v>
      </c>
      <c r="AX986" s="141" t="s">
        <v>80</v>
      </c>
      <c r="AY986" s="144" t="s">
        <v>337</v>
      </c>
    </row>
    <row r="987" spans="2:65" s="141" customFormat="1" x14ac:dyDescent="0.2">
      <c r="B987" s="142"/>
      <c r="D987" s="143" t="s">
        <v>346</v>
      </c>
      <c r="E987" s="144"/>
      <c r="F987" s="145" t="s">
        <v>1103</v>
      </c>
      <c r="H987" s="144"/>
      <c r="L987" s="142"/>
      <c r="M987" s="146"/>
      <c r="T987" s="147"/>
      <c r="AT987" s="144" t="s">
        <v>346</v>
      </c>
      <c r="AU987" s="144" t="s">
        <v>90</v>
      </c>
      <c r="AV987" s="141" t="s">
        <v>87</v>
      </c>
      <c r="AW987" s="141" t="s">
        <v>33</v>
      </c>
      <c r="AX987" s="141" t="s">
        <v>80</v>
      </c>
      <c r="AY987" s="144" t="s">
        <v>337</v>
      </c>
    </row>
    <row r="988" spans="2:65" s="148" customFormat="1" x14ac:dyDescent="0.2">
      <c r="B988" s="149"/>
      <c r="D988" s="143" t="s">
        <v>346</v>
      </c>
      <c r="E988" s="150"/>
      <c r="F988" s="151" t="s">
        <v>113</v>
      </c>
      <c r="H988" s="152">
        <v>3</v>
      </c>
      <c r="L988" s="149"/>
      <c r="M988" s="153"/>
      <c r="T988" s="154"/>
      <c r="AT988" s="150" t="s">
        <v>346</v>
      </c>
      <c r="AU988" s="150" t="s">
        <v>90</v>
      </c>
      <c r="AV988" s="148" t="s">
        <v>90</v>
      </c>
      <c r="AW988" s="148" t="s">
        <v>33</v>
      </c>
      <c r="AX988" s="148" t="s">
        <v>80</v>
      </c>
      <c r="AY988" s="150" t="s">
        <v>337</v>
      </c>
    </row>
    <row r="989" spans="2:65" s="141" customFormat="1" x14ac:dyDescent="0.2">
      <c r="B989" s="142"/>
      <c r="D989" s="143" t="s">
        <v>346</v>
      </c>
      <c r="E989" s="144"/>
      <c r="F989" s="145" t="s">
        <v>1105</v>
      </c>
      <c r="H989" s="144"/>
      <c r="L989" s="142"/>
      <c r="M989" s="146"/>
      <c r="T989" s="147"/>
      <c r="AT989" s="144" t="s">
        <v>346</v>
      </c>
      <c r="AU989" s="144" t="s">
        <v>90</v>
      </c>
      <c r="AV989" s="141" t="s">
        <v>87</v>
      </c>
      <c r="AW989" s="141" t="s">
        <v>33</v>
      </c>
      <c r="AX989" s="141" t="s">
        <v>80</v>
      </c>
      <c r="AY989" s="144" t="s">
        <v>337</v>
      </c>
    </row>
    <row r="990" spans="2:65" s="148" customFormat="1" x14ac:dyDescent="0.2">
      <c r="B990" s="149"/>
      <c r="D990" s="143" t="s">
        <v>346</v>
      </c>
      <c r="E990" s="150"/>
      <c r="F990" s="151" t="s">
        <v>480</v>
      </c>
      <c r="H990" s="152">
        <v>14</v>
      </c>
      <c r="L990" s="149"/>
      <c r="M990" s="153"/>
      <c r="T990" s="154"/>
      <c r="AT990" s="150" t="s">
        <v>346</v>
      </c>
      <c r="AU990" s="150" t="s">
        <v>90</v>
      </c>
      <c r="AV990" s="148" t="s">
        <v>90</v>
      </c>
      <c r="AW990" s="148" t="s">
        <v>33</v>
      </c>
      <c r="AX990" s="148" t="s">
        <v>80</v>
      </c>
      <c r="AY990" s="150" t="s">
        <v>337</v>
      </c>
    </row>
    <row r="991" spans="2:65" s="155" customFormat="1" x14ac:dyDescent="0.2">
      <c r="B991" s="156"/>
      <c r="D991" s="143" t="s">
        <v>346</v>
      </c>
      <c r="E991" s="157"/>
      <c r="F991" s="158" t="s">
        <v>351</v>
      </c>
      <c r="H991" s="159">
        <v>17</v>
      </c>
      <c r="L991" s="156"/>
      <c r="M991" s="160"/>
      <c r="T991" s="161"/>
      <c r="AT991" s="157" t="s">
        <v>346</v>
      </c>
      <c r="AU991" s="157" t="s">
        <v>90</v>
      </c>
      <c r="AV991" s="155" t="s">
        <v>344</v>
      </c>
      <c r="AW991" s="155" t="s">
        <v>33</v>
      </c>
      <c r="AX991" s="155" t="s">
        <v>87</v>
      </c>
      <c r="AY991" s="157" t="s">
        <v>337</v>
      </c>
    </row>
    <row r="992" spans="2:65" s="16" customFormat="1" ht="16.5" customHeight="1" x14ac:dyDescent="0.2">
      <c r="B992" s="17"/>
      <c r="C992" s="128">
        <v>98</v>
      </c>
      <c r="D992" s="128" t="s">
        <v>339</v>
      </c>
      <c r="E992" s="129" t="s">
        <v>1111</v>
      </c>
      <c r="F992" s="130" t="s">
        <v>1112</v>
      </c>
      <c r="G992" s="131" t="s">
        <v>425</v>
      </c>
      <c r="H992" s="132">
        <v>118.52500000000001</v>
      </c>
      <c r="I992" s="133"/>
      <c r="J992" s="134">
        <f>ROUND(I992*H992,2)</f>
        <v>0</v>
      </c>
      <c r="K992" s="130" t="s">
        <v>343</v>
      </c>
      <c r="L992" s="17"/>
      <c r="M992" s="135"/>
      <c r="N992" s="136" t="s">
        <v>45</v>
      </c>
      <c r="P992" s="137">
        <f>O992*H992</f>
        <v>0</v>
      </c>
      <c r="Q992" s="137">
        <v>1.1800000000000001E-3</v>
      </c>
      <c r="R992" s="137">
        <f>Q992*H992</f>
        <v>0.13985950000000003</v>
      </c>
      <c r="S992" s="137">
        <v>0</v>
      </c>
      <c r="T992" s="138">
        <f>S992*H992</f>
        <v>0</v>
      </c>
      <c r="AR992" s="139" t="s">
        <v>496</v>
      </c>
      <c r="AT992" s="139" t="s">
        <v>339</v>
      </c>
      <c r="AU992" s="139" t="s">
        <v>90</v>
      </c>
      <c r="AY992" s="2" t="s">
        <v>337</v>
      </c>
      <c r="BE992" s="140">
        <f>IF(N992="základní",J992,0)</f>
        <v>0</v>
      </c>
      <c r="BF992" s="140">
        <f>IF(N992="snížená",J992,0)</f>
        <v>0</v>
      </c>
      <c r="BG992" s="140">
        <f>IF(N992="zákl. přenesená",J992,0)</f>
        <v>0</v>
      </c>
      <c r="BH992" s="140">
        <f>IF(N992="sníž. přenesená",J992,0)</f>
        <v>0</v>
      </c>
      <c r="BI992" s="140">
        <f>IF(N992="nulová",J992,0)</f>
        <v>0</v>
      </c>
      <c r="BJ992" s="2" t="s">
        <v>87</v>
      </c>
      <c r="BK992" s="140">
        <f>ROUND(I992*H992,2)</f>
        <v>0</v>
      </c>
      <c r="BL992" s="2" t="s">
        <v>496</v>
      </c>
      <c r="BM992" s="139" t="s">
        <v>1113</v>
      </c>
    </row>
    <row r="993" spans="2:65" s="141" customFormat="1" x14ac:dyDescent="0.2">
      <c r="B993" s="142"/>
      <c r="D993" s="143" t="s">
        <v>346</v>
      </c>
      <c r="E993" s="144"/>
      <c r="F993" s="145" t="s">
        <v>1114</v>
      </c>
      <c r="H993" s="144"/>
      <c r="L993" s="142"/>
      <c r="M993" s="146"/>
      <c r="T993" s="147"/>
      <c r="AT993" s="144" t="s">
        <v>346</v>
      </c>
      <c r="AU993" s="144" t="s">
        <v>90</v>
      </c>
      <c r="AV993" s="141" t="s">
        <v>87</v>
      </c>
      <c r="AW993" s="141" t="s">
        <v>33</v>
      </c>
      <c r="AX993" s="141" t="s">
        <v>80</v>
      </c>
      <c r="AY993" s="144" t="s">
        <v>337</v>
      </c>
    </row>
    <row r="994" spans="2:65" s="141" customFormat="1" x14ac:dyDescent="0.2">
      <c r="B994" s="142"/>
      <c r="D994" s="143" t="s">
        <v>346</v>
      </c>
      <c r="E994" s="144"/>
      <c r="F994" s="145" t="s">
        <v>1068</v>
      </c>
      <c r="H994" s="144"/>
      <c r="L994" s="142"/>
      <c r="M994" s="146"/>
      <c r="T994" s="147"/>
      <c r="AT994" s="144" t="s">
        <v>346</v>
      </c>
      <c r="AU994" s="144" t="s">
        <v>90</v>
      </c>
      <c r="AV994" s="141" t="s">
        <v>87</v>
      </c>
      <c r="AW994" s="141" t="s">
        <v>33</v>
      </c>
      <c r="AX994" s="141" t="s">
        <v>80</v>
      </c>
      <c r="AY994" s="144" t="s">
        <v>337</v>
      </c>
    </row>
    <row r="995" spans="2:65" s="141" customFormat="1" x14ac:dyDescent="0.2">
      <c r="B995" s="142"/>
      <c r="D995" s="143" t="s">
        <v>346</v>
      </c>
      <c r="E995" s="144"/>
      <c r="F995" s="145" t="s">
        <v>357</v>
      </c>
      <c r="H995" s="144"/>
      <c r="L995" s="142"/>
      <c r="M995" s="146"/>
      <c r="T995" s="147"/>
      <c r="AT995" s="144" t="s">
        <v>346</v>
      </c>
      <c r="AU995" s="144" t="s">
        <v>90</v>
      </c>
      <c r="AV995" s="141" t="s">
        <v>87</v>
      </c>
      <c r="AW995" s="141" t="s">
        <v>33</v>
      </c>
      <c r="AX995" s="141" t="s">
        <v>80</v>
      </c>
      <c r="AY995" s="144" t="s">
        <v>337</v>
      </c>
    </row>
    <row r="996" spans="2:65" s="148" customFormat="1" x14ac:dyDescent="0.2">
      <c r="B996" s="149"/>
      <c r="D996" s="143" t="s">
        <v>346</v>
      </c>
      <c r="E996" s="150"/>
      <c r="F996" s="151" t="s">
        <v>1115</v>
      </c>
      <c r="H996" s="152">
        <v>28.85</v>
      </c>
      <c r="L996" s="149"/>
      <c r="M996" s="153"/>
      <c r="T996" s="154"/>
      <c r="AT996" s="150" t="s">
        <v>346</v>
      </c>
      <c r="AU996" s="150" t="s">
        <v>90</v>
      </c>
      <c r="AV996" s="148" t="s">
        <v>90</v>
      </c>
      <c r="AW996" s="148" t="s">
        <v>33</v>
      </c>
      <c r="AX996" s="148" t="s">
        <v>80</v>
      </c>
      <c r="AY996" s="150" t="s">
        <v>337</v>
      </c>
    </row>
    <row r="997" spans="2:65" s="141" customFormat="1" x14ac:dyDescent="0.2">
      <c r="B997" s="142"/>
      <c r="D997" s="143" t="s">
        <v>346</v>
      </c>
      <c r="E997" s="144"/>
      <c r="F997" s="145" t="s">
        <v>367</v>
      </c>
      <c r="H997" s="144"/>
      <c r="L997" s="142"/>
      <c r="M997" s="146"/>
      <c r="T997" s="147"/>
      <c r="AT997" s="144" t="s">
        <v>346</v>
      </c>
      <c r="AU997" s="144" t="s">
        <v>90</v>
      </c>
      <c r="AV997" s="141" t="s">
        <v>87</v>
      </c>
      <c r="AW997" s="141" t="s">
        <v>33</v>
      </c>
      <c r="AX997" s="141" t="s">
        <v>80</v>
      </c>
      <c r="AY997" s="144" t="s">
        <v>337</v>
      </c>
    </row>
    <row r="998" spans="2:65" s="148" customFormat="1" x14ac:dyDescent="0.2">
      <c r="B998" s="149"/>
      <c r="D998" s="143" t="s">
        <v>346</v>
      </c>
      <c r="E998" s="150"/>
      <c r="F998" s="151" t="s">
        <v>1116</v>
      </c>
      <c r="H998" s="152">
        <v>86.53</v>
      </c>
      <c r="L998" s="149"/>
      <c r="M998" s="153"/>
      <c r="T998" s="154"/>
      <c r="AT998" s="150" t="s">
        <v>346</v>
      </c>
      <c r="AU998" s="150" t="s">
        <v>90</v>
      </c>
      <c r="AV998" s="148" t="s">
        <v>90</v>
      </c>
      <c r="AW998" s="148" t="s">
        <v>33</v>
      </c>
      <c r="AX998" s="148" t="s">
        <v>80</v>
      </c>
      <c r="AY998" s="150" t="s">
        <v>337</v>
      </c>
    </row>
    <row r="999" spans="2:65" s="172" customFormat="1" x14ac:dyDescent="0.2">
      <c r="B999" s="173"/>
      <c r="D999" s="143" t="s">
        <v>346</v>
      </c>
      <c r="E999" s="174" t="s">
        <v>212</v>
      </c>
      <c r="F999" s="175" t="s">
        <v>609</v>
      </c>
      <c r="H999" s="176">
        <v>115.38</v>
      </c>
      <c r="L999" s="173"/>
      <c r="M999" s="177"/>
      <c r="T999" s="178"/>
      <c r="AT999" s="174" t="s">
        <v>346</v>
      </c>
      <c r="AU999" s="174" t="s">
        <v>90</v>
      </c>
      <c r="AV999" s="172" t="s">
        <v>113</v>
      </c>
      <c r="AW999" s="172" t="s">
        <v>33</v>
      </c>
      <c r="AX999" s="172" t="s">
        <v>80</v>
      </c>
      <c r="AY999" s="174" t="s">
        <v>337</v>
      </c>
    </row>
    <row r="1000" spans="2:65" s="141" customFormat="1" x14ac:dyDescent="0.2">
      <c r="B1000" s="142"/>
      <c r="D1000" s="143" t="s">
        <v>346</v>
      </c>
      <c r="E1000" s="144"/>
      <c r="F1000" s="145" t="s">
        <v>1117</v>
      </c>
      <c r="H1000" s="144"/>
      <c r="L1000" s="142"/>
      <c r="M1000" s="146"/>
      <c r="T1000" s="147"/>
      <c r="AT1000" s="144" t="s">
        <v>346</v>
      </c>
      <c r="AU1000" s="144" t="s">
        <v>90</v>
      </c>
      <c r="AV1000" s="141" t="s">
        <v>87</v>
      </c>
      <c r="AW1000" s="141" t="s">
        <v>33</v>
      </c>
      <c r="AX1000" s="141" t="s">
        <v>80</v>
      </c>
      <c r="AY1000" s="144" t="s">
        <v>337</v>
      </c>
    </row>
    <row r="1001" spans="2:65" s="141" customFormat="1" x14ac:dyDescent="0.2">
      <c r="B1001" s="142"/>
      <c r="D1001" s="143" t="s">
        <v>346</v>
      </c>
      <c r="E1001" s="144"/>
      <c r="F1001" s="145" t="s">
        <v>357</v>
      </c>
      <c r="H1001" s="144"/>
      <c r="L1001" s="142"/>
      <c r="M1001" s="146"/>
      <c r="T1001" s="147"/>
      <c r="AT1001" s="144" t="s">
        <v>346</v>
      </c>
      <c r="AU1001" s="144" t="s">
        <v>90</v>
      </c>
      <c r="AV1001" s="141" t="s">
        <v>87</v>
      </c>
      <c r="AW1001" s="141" t="s">
        <v>33</v>
      </c>
      <c r="AX1001" s="141" t="s">
        <v>80</v>
      </c>
      <c r="AY1001" s="144" t="s">
        <v>337</v>
      </c>
    </row>
    <row r="1002" spans="2:65" s="141" customFormat="1" x14ac:dyDescent="0.2">
      <c r="B1002" s="142"/>
      <c r="D1002" s="143" t="s">
        <v>346</v>
      </c>
      <c r="E1002" s="144"/>
      <c r="F1002" s="145" t="s">
        <v>1118</v>
      </c>
      <c r="H1002" s="144"/>
      <c r="L1002" s="142"/>
      <c r="M1002" s="146"/>
      <c r="T1002" s="147"/>
      <c r="AT1002" s="144" t="s">
        <v>346</v>
      </c>
      <c r="AU1002" s="144" t="s">
        <v>90</v>
      </c>
      <c r="AV1002" s="141" t="s">
        <v>87</v>
      </c>
      <c r="AW1002" s="141" t="s">
        <v>33</v>
      </c>
      <c r="AX1002" s="141" t="s">
        <v>80</v>
      </c>
      <c r="AY1002" s="144" t="s">
        <v>337</v>
      </c>
    </row>
    <row r="1003" spans="2:65" s="148" customFormat="1" x14ac:dyDescent="0.2">
      <c r="B1003" s="149"/>
      <c r="D1003" s="143" t="s">
        <v>346</v>
      </c>
      <c r="E1003" s="150"/>
      <c r="F1003" s="151" t="s">
        <v>1119</v>
      </c>
      <c r="H1003" s="152">
        <v>1.22</v>
      </c>
      <c r="L1003" s="149"/>
      <c r="M1003" s="153"/>
      <c r="T1003" s="154"/>
      <c r="AT1003" s="150" t="s">
        <v>346</v>
      </c>
      <c r="AU1003" s="150" t="s">
        <v>90</v>
      </c>
      <c r="AV1003" s="148" t="s">
        <v>90</v>
      </c>
      <c r="AW1003" s="148" t="s">
        <v>33</v>
      </c>
      <c r="AX1003" s="148" t="s">
        <v>80</v>
      </c>
      <c r="AY1003" s="150" t="s">
        <v>337</v>
      </c>
    </row>
    <row r="1004" spans="2:65" s="141" customFormat="1" x14ac:dyDescent="0.2">
      <c r="B1004" s="142"/>
      <c r="D1004" s="143" t="s">
        <v>346</v>
      </c>
      <c r="E1004" s="144"/>
      <c r="F1004" s="145" t="s">
        <v>1103</v>
      </c>
      <c r="H1004" s="144"/>
      <c r="L1004" s="142"/>
      <c r="M1004" s="146"/>
      <c r="T1004" s="147"/>
      <c r="AT1004" s="144" t="s">
        <v>346</v>
      </c>
      <c r="AU1004" s="144" t="s">
        <v>90</v>
      </c>
      <c r="AV1004" s="141" t="s">
        <v>87</v>
      </c>
      <c r="AW1004" s="141" t="s">
        <v>33</v>
      </c>
      <c r="AX1004" s="141" t="s">
        <v>80</v>
      </c>
      <c r="AY1004" s="144" t="s">
        <v>337</v>
      </c>
    </row>
    <row r="1005" spans="2:65" s="148" customFormat="1" x14ac:dyDescent="0.2">
      <c r="B1005" s="149"/>
      <c r="D1005" s="143" t="s">
        <v>346</v>
      </c>
      <c r="E1005" s="150"/>
      <c r="F1005" s="151" t="s">
        <v>1120</v>
      </c>
      <c r="H1005" s="152">
        <v>1.925</v>
      </c>
      <c r="L1005" s="149"/>
      <c r="M1005" s="153"/>
      <c r="T1005" s="154"/>
      <c r="AT1005" s="150" t="s">
        <v>346</v>
      </c>
      <c r="AU1005" s="150" t="s">
        <v>90</v>
      </c>
      <c r="AV1005" s="148" t="s">
        <v>90</v>
      </c>
      <c r="AW1005" s="148" t="s">
        <v>33</v>
      </c>
      <c r="AX1005" s="148" t="s">
        <v>80</v>
      </c>
      <c r="AY1005" s="150" t="s">
        <v>337</v>
      </c>
    </row>
    <row r="1006" spans="2:65" s="155" customFormat="1" x14ac:dyDescent="0.2">
      <c r="B1006" s="156"/>
      <c r="D1006" s="143" t="s">
        <v>346</v>
      </c>
      <c r="E1006" s="157"/>
      <c r="F1006" s="158" t="s">
        <v>351</v>
      </c>
      <c r="H1006" s="159">
        <v>118.52500000000001</v>
      </c>
      <c r="L1006" s="156"/>
      <c r="M1006" s="160"/>
      <c r="T1006" s="161"/>
      <c r="AT1006" s="157" t="s">
        <v>346</v>
      </c>
      <c r="AU1006" s="157" t="s">
        <v>90</v>
      </c>
      <c r="AV1006" s="155" t="s">
        <v>344</v>
      </c>
      <c r="AW1006" s="155" t="s">
        <v>33</v>
      </c>
      <c r="AX1006" s="155" t="s">
        <v>87</v>
      </c>
      <c r="AY1006" s="157" t="s">
        <v>337</v>
      </c>
    </row>
    <row r="1007" spans="2:65" s="16" customFormat="1" ht="16.5" customHeight="1" x14ac:dyDescent="0.2">
      <c r="B1007" s="17"/>
      <c r="C1007" s="128">
        <v>99</v>
      </c>
      <c r="D1007" s="162" t="s">
        <v>519</v>
      </c>
      <c r="E1007" s="163" t="s">
        <v>1121</v>
      </c>
      <c r="F1007" s="164" t="s">
        <v>1122</v>
      </c>
      <c r="G1007" s="165" t="s">
        <v>425</v>
      </c>
      <c r="H1007" s="166">
        <v>124.45099999999999</v>
      </c>
      <c r="I1007" s="167"/>
      <c r="J1007" s="168">
        <f>ROUND(I1007*H1007,2)</f>
        <v>0</v>
      </c>
      <c r="K1007" s="164" t="s">
        <v>343</v>
      </c>
      <c r="L1007" s="169"/>
      <c r="M1007" s="170"/>
      <c r="N1007" s="171" t="s">
        <v>45</v>
      </c>
      <c r="P1007" s="137">
        <f>O1007*H1007</f>
        <v>0</v>
      </c>
      <c r="Q1007" s="137">
        <v>4.1000000000000003E-3</v>
      </c>
      <c r="R1007" s="137">
        <f>Q1007*H1007</f>
        <v>0.51024910000000001</v>
      </c>
      <c r="S1007" s="137">
        <v>0</v>
      </c>
      <c r="T1007" s="138">
        <f>S1007*H1007</f>
        <v>0</v>
      </c>
      <c r="AR1007" s="139" t="s">
        <v>446</v>
      </c>
      <c r="AT1007" s="139" t="s">
        <v>519</v>
      </c>
      <c r="AU1007" s="139" t="s">
        <v>90</v>
      </c>
      <c r="AY1007" s="2" t="s">
        <v>337</v>
      </c>
      <c r="BE1007" s="140">
        <f>IF(N1007="základní",J1007,0)</f>
        <v>0</v>
      </c>
      <c r="BF1007" s="140">
        <f>IF(N1007="snížená",J1007,0)</f>
        <v>0</v>
      </c>
      <c r="BG1007" s="140">
        <f>IF(N1007="zákl. přenesená",J1007,0)</f>
        <v>0</v>
      </c>
      <c r="BH1007" s="140">
        <f>IF(N1007="sníž. přenesená",J1007,0)</f>
        <v>0</v>
      </c>
      <c r="BI1007" s="140">
        <f>IF(N1007="nulová",J1007,0)</f>
        <v>0</v>
      </c>
      <c r="BJ1007" s="2" t="s">
        <v>87</v>
      </c>
      <c r="BK1007" s="140">
        <f>ROUND(I1007*H1007,2)</f>
        <v>0</v>
      </c>
      <c r="BL1007" s="2" t="s">
        <v>344</v>
      </c>
      <c r="BM1007" s="139" t="s">
        <v>1123</v>
      </c>
    </row>
    <row r="1008" spans="2:65" s="148" customFormat="1" x14ac:dyDescent="0.2">
      <c r="B1008" s="149"/>
      <c r="D1008" s="143" t="s">
        <v>346</v>
      </c>
      <c r="F1008" s="151" t="s">
        <v>1124</v>
      </c>
      <c r="H1008" s="152">
        <v>124.45099999999999</v>
      </c>
      <c r="L1008" s="149"/>
      <c r="M1008" s="153"/>
      <c r="T1008" s="154"/>
      <c r="AT1008" s="150" t="s">
        <v>346</v>
      </c>
      <c r="AU1008" s="150" t="s">
        <v>90</v>
      </c>
      <c r="AV1008" s="148" t="s">
        <v>90</v>
      </c>
      <c r="AW1008" s="148" t="s">
        <v>3</v>
      </c>
      <c r="AX1008" s="148" t="s">
        <v>87</v>
      </c>
      <c r="AY1008" s="150" t="s">
        <v>337</v>
      </c>
    </row>
    <row r="1009" spans="2:65" s="16" customFormat="1" ht="16.5" customHeight="1" x14ac:dyDescent="0.2">
      <c r="B1009" s="17"/>
      <c r="C1009" s="128">
        <v>100</v>
      </c>
      <c r="D1009" s="128" t="s">
        <v>339</v>
      </c>
      <c r="E1009" s="129" t="s">
        <v>1126</v>
      </c>
      <c r="F1009" s="130" t="s">
        <v>1127</v>
      </c>
      <c r="G1009" s="131" t="s">
        <v>724</v>
      </c>
      <c r="H1009" s="132">
        <v>81.5</v>
      </c>
      <c r="I1009" s="133"/>
      <c r="J1009" s="134">
        <f>ROUND(I1009*H1009,2)</f>
        <v>0</v>
      </c>
      <c r="K1009" s="130" t="s">
        <v>343</v>
      </c>
      <c r="L1009" s="17"/>
      <c r="M1009" s="135"/>
      <c r="N1009" s="136" t="s">
        <v>45</v>
      </c>
      <c r="P1009" s="137">
        <f>O1009*H1009</f>
        <v>0</v>
      </c>
      <c r="Q1009" s="137">
        <v>2.0000000000000001E-4</v>
      </c>
      <c r="R1009" s="137">
        <f>Q1009*H1009</f>
        <v>1.6300000000000002E-2</v>
      </c>
      <c r="S1009" s="137">
        <v>0</v>
      </c>
      <c r="T1009" s="138">
        <f>S1009*H1009</f>
        <v>0</v>
      </c>
      <c r="AR1009" s="139" t="s">
        <v>496</v>
      </c>
      <c r="AT1009" s="139" t="s">
        <v>339</v>
      </c>
      <c r="AU1009" s="139" t="s">
        <v>90</v>
      </c>
      <c r="AY1009" s="2" t="s">
        <v>337</v>
      </c>
      <c r="BE1009" s="140">
        <f>IF(N1009="základní",J1009,0)</f>
        <v>0</v>
      </c>
      <c r="BF1009" s="140">
        <f>IF(N1009="snížená",J1009,0)</f>
        <v>0</v>
      </c>
      <c r="BG1009" s="140">
        <f>IF(N1009="zákl. přenesená",J1009,0)</f>
        <v>0</v>
      </c>
      <c r="BH1009" s="140">
        <f>IF(N1009="sníž. přenesená",J1009,0)</f>
        <v>0</v>
      </c>
      <c r="BI1009" s="140">
        <f>IF(N1009="nulová",J1009,0)</f>
        <v>0</v>
      </c>
      <c r="BJ1009" s="2" t="s">
        <v>87</v>
      </c>
      <c r="BK1009" s="140">
        <f>ROUND(I1009*H1009,2)</f>
        <v>0</v>
      </c>
      <c r="BL1009" s="2" t="s">
        <v>496</v>
      </c>
      <c r="BM1009" s="139" t="s">
        <v>1128</v>
      </c>
    </row>
    <row r="1010" spans="2:65" s="141" customFormat="1" x14ac:dyDescent="0.2">
      <c r="B1010" s="142"/>
      <c r="D1010" s="143" t="s">
        <v>346</v>
      </c>
      <c r="E1010" s="144"/>
      <c r="F1010" s="145" t="s">
        <v>1114</v>
      </c>
      <c r="H1010" s="144"/>
      <c r="L1010" s="142"/>
      <c r="M1010" s="146"/>
      <c r="T1010" s="147"/>
      <c r="AT1010" s="144" t="s">
        <v>346</v>
      </c>
      <c r="AU1010" s="144" t="s">
        <v>90</v>
      </c>
      <c r="AV1010" s="141" t="s">
        <v>87</v>
      </c>
      <c r="AW1010" s="141" t="s">
        <v>33</v>
      </c>
      <c r="AX1010" s="141" t="s">
        <v>80</v>
      </c>
      <c r="AY1010" s="144" t="s">
        <v>337</v>
      </c>
    </row>
    <row r="1011" spans="2:65" s="141" customFormat="1" x14ac:dyDescent="0.2">
      <c r="B1011" s="142"/>
      <c r="D1011" s="143" t="s">
        <v>346</v>
      </c>
      <c r="E1011" s="144"/>
      <c r="F1011" s="145" t="s">
        <v>1118</v>
      </c>
      <c r="H1011" s="144"/>
      <c r="L1011" s="142"/>
      <c r="M1011" s="146"/>
      <c r="T1011" s="147"/>
      <c r="AT1011" s="144" t="s">
        <v>346</v>
      </c>
      <c r="AU1011" s="144" t="s">
        <v>90</v>
      </c>
      <c r="AV1011" s="141" t="s">
        <v>87</v>
      </c>
      <c r="AW1011" s="141" t="s">
        <v>33</v>
      </c>
      <c r="AX1011" s="141" t="s">
        <v>80</v>
      </c>
      <c r="AY1011" s="144" t="s">
        <v>337</v>
      </c>
    </row>
    <row r="1012" spans="2:65" s="148" customFormat="1" x14ac:dyDescent="0.2">
      <c r="B1012" s="149"/>
      <c r="D1012" s="143" t="s">
        <v>346</v>
      </c>
      <c r="E1012" s="150"/>
      <c r="F1012" s="151" t="s">
        <v>1129</v>
      </c>
      <c r="H1012" s="152">
        <v>17.600000000000001</v>
      </c>
      <c r="L1012" s="149"/>
      <c r="M1012" s="153"/>
      <c r="T1012" s="154"/>
      <c r="AT1012" s="150" t="s">
        <v>346</v>
      </c>
      <c r="AU1012" s="150" t="s">
        <v>90</v>
      </c>
      <c r="AV1012" s="148" t="s">
        <v>90</v>
      </c>
      <c r="AW1012" s="148" t="s">
        <v>33</v>
      </c>
      <c r="AX1012" s="148" t="s">
        <v>80</v>
      </c>
      <c r="AY1012" s="150" t="s">
        <v>337</v>
      </c>
    </row>
    <row r="1013" spans="2:65" s="148" customFormat="1" x14ac:dyDescent="0.2">
      <c r="B1013" s="149"/>
      <c r="D1013" s="143" t="s">
        <v>346</v>
      </c>
      <c r="E1013" s="150"/>
      <c r="F1013" s="151" t="s">
        <v>1130</v>
      </c>
      <c r="H1013" s="152">
        <v>3.2</v>
      </c>
      <c r="L1013" s="149"/>
      <c r="M1013" s="153"/>
      <c r="T1013" s="154"/>
      <c r="AT1013" s="150" t="s">
        <v>346</v>
      </c>
      <c r="AU1013" s="150" t="s">
        <v>90</v>
      </c>
      <c r="AV1013" s="148" t="s">
        <v>90</v>
      </c>
      <c r="AW1013" s="148" t="s">
        <v>33</v>
      </c>
      <c r="AX1013" s="148" t="s">
        <v>80</v>
      </c>
      <c r="AY1013" s="150" t="s">
        <v>337</v>
      </c>
    </row>
    <row r="1014" spans="2:65" s="148" customFormat="1" x14ac:dyDescent="0.2">
      <c r="B1014" s="149"/>
      <c r="D1014" s="143" t="s">
        <v>346</v>
      </c>
      <c r="E1014" s="150"/>
      <c r="F1014" s="151" t="s">
        <v>1131</v>
      </c>
      <c r="H1014" s="152">
        <v>2.5</v>
      </c>
      <c r="L1014" s="149"/>
      <c r="M1014" s="153"/>
      <c r="T1014" s="154"/>
      <c r="AT1014" s="150" t="s">
        <v>346</v>
      </c>
      <c r="AU1014" s="150" t="s">
        <v>90</v>
      </c>
      <c r="AV1014" s="148" t="s">
        <v>90</v>
      </c>
      <c r="AW1014" s="148" t="s">
        <v>33</v>
      </c>
      <c r="AX1014" s="148" t="s">
        <v>80</v>
      </c>
      <c r="AY1014" s="150" t="s">
        <v>337</v>
      </c>
    </row>
    <row r="1015" spans="2:65" s="141" customFormat="1" x14ac:dyDescent="0.2">
      <c r="B1015" s="142"/>
      <c r="D1015" s="143" t="s">
        <v>346</v>
      </c>
      <c r="E1015" s="144"/>
      <c r="F1015" s="145" t="s">
        <v>1103</v>
      </c>
      <c r="H1015" s="144"/>
      <c r="L1015" s="142"/>
      <c r="M1015" s="146"/>
      <c r="T1015" s="147"/>
      <c r="AT1015" s="144" t="s">
        <v>346</v>
      </c>
      <c r="AU1015" s="144" t="s">
        <v>90</v>
      </c>
      <c r="AV1015" s="141" t="s">
        <v>87</v>
      </c>
      <c r="AW1015" s="141" t="s">
        <v>33</v>
      </c>
      <c r="AX1015" s="141" t="s">
        <v>80</v>
      </c>
      <c r="AY1015" s="144" t="s">
        <v>337</v>
      </c>
    </row>
    <row r="1016" spans="2:65" s="148" customFormat="1" x14ac:dyDescent="0.2">
      <c r="B1016" s="149"/>
      <c r="D1016" s="143" t="s">
        <v>346</v>
      </c>
      <c r="E1016" s="150"/>
      <c r="F1016" s="151" t="s">
        <v>1132</v>
      </c>
      <c r="H1016" s="152">
        <v>16.100000000000001</v>
      </c>
      <c r="L1016" s="149"/>
      <c r="M1016" s="153"/>
      <c r="T1016" s="154"/>
      <c r="AT1016" s="150" t="s">
        <v>346</v>
      </c>
      <c r="AU1016" s="150" t="s">
        <v>90</v>
      </c>
      <c r="AV1016" s="148" t="s">
        <v>90</v>
      </c>
      <c r="AW1016" s="148" t="s">
        <v>33</v>
      </c>
      <c r="AX1016" s="148" t="s">
        <v>80</v>
      </c>
      <c r="AY1016" s="150" t="s">
        <v>337</v>
      </c>
    </row>
    <row r="1017" spans="2:65" s="141" customFormat="1" x14ac:dyDescent="0.2">
      <c r="B1017" s="142"/>
      <c r="D1017" s="143" t="s">
        <v>346</v>
      </c>
      <c r="E1017" s="144"/>
      <c r="F1017" s="145" t="s">
        <v>1133</v>
      </c>
      <c r="H1017" s="144"/>
      <c r="L1017" s="142"/>
      <c r="M1017" s="146"/>
      <c r="T1017" s="147"/>
      <c r="AT1017" s="144" t="s">
        <v>346</v>
      </c>
      <c r="AU1017" s="144" t="s">
        <v>90</v>
      </c>
      <c r="AV1017" s="141" t="s">
        <v>87</v>
      </c>
      <c r="AW1017" s="141" t="s">
        <v>33</v>
      </c>
      <c r="AX1017" s="141" t="s">
        <v>80</v>
      </c>
      <c r="AY1017" s="144" t="s">
        <v>337</v>
      </c>
    </row>
    <row r="1018" spans="2:65" s="148" customFormat="1" x14ac:dyDescent="0.2">
      <c r="B1018" s="149"/>
      <c r="D1018" s="143" t="s">
        <v>346</v>
      </c>
      <c r="E1018" s="150"/>
      <c r="F1018" s="151" t="s">
        <v>1134</v>
      </c>
      <c r="H1018" s="152">
        <v>38.4</v>
      </c>
      <c r="L1018" s="149"/>
      <c r="M1018" s="153"/>
      <c r="T1018" s="154"/>
      <c r="AT1018" s="150" t="s">
        <v>346</v>
      </c>
      <c r="AU1018" s="150" t="s">
        <v>90</v>
      </c>
      <c r="AV1018" s="148" t="s">
        <v>90</v>
      </c>
      <c r="AW1018" s="148" t="s">
        <v>33</v>
      </c>
      <c r="AX1018" s="148" t="s">
        <v>80</v>
      </c>
      <c r="AY1018" s="150" t="s">
        <v>337</v>
      </c>
    </row>
    <row r="1019" spans="2:65" s="148" customFormat="1" x14ac:dyDescent="0.2">
      <c r="B1019" s="149"/>
      <c r="D1019" s="143" t="s">
        <v>346</v>
      </c>
      <c r="E1019" s="150"/>
      <c r="F1019" s="151" t="s">
        <v>1135</v>
      </c>
      <c r="H1019" s="152">
        <v>3.7</v>
      </c>
      <c r="L1019" s="149"/>
      <c r="M1019" s="153"/>
      <c r="T1019" s="154"/>
      <c r="AT1019" s="150" t="s">
        <v>346</v>
      </c>
      <c r="AU1019" s="150" t="s">
        <v>90</v>
      </c>
      <c r="AV1019" s="148" t="s">
        <v>90</v>
      </c>
      <c r="AW1019" s="148" t="s">
        <v>33</v>
      </c>
      <c r="AX1019" s="148" t="s">
        <v>80</v>
      </c>
      <c r="AY1019" s="150" t="s">
        <v>337</v>
      </c>
    </row>
    <row r="1020" spans="2:65" s="155" customFormat="1" x14ac:dyDescent="0.2">
      <c r="B1020" s="156"/>
      <c r="D1020" s="143" t="s">
        <v>346</v>
      </c>
      <c r="E1020" s="157"/>
      <c r="F1020" s="158" t="s">
        <v>351</v>
      </c>
      <c r="H1020" s="159">
        <v>81.5</v>
      </c>
      <c r="L1020" s="156"/>
      <c r="M1020" s="160"/>
      <c r="T1020" s="161"/>
      <c r="AT1020" s="157" t="s">
        <v>346</v>
      </c>
      <c r="AU1020" s="157" t="s">
        <v>90</v>
      </c>
      <c r="AV1020" s="155" t="s">
        <v>344</v>
      </c>
      <c r="AW1020" s="155" t="s">
        <v>33</v>
      </c>
      <c r="AX1020" s="155" t="s">
        <v>87</v>
      </c>
      <c r="AY1020" s="157" t="s">
        <v>337</v>
      </c>
    </row>
    <row r="1021" spans="2:65" s="16" customFormat="1" ht="16.5" customHeight="1" x14ac:dyDescent="0.2">
      <c r="B1021" s="17"/>
      <c r="C1021" s="128">
        <v>101</v>
      </c>
      <c r="D1021" s="162" t="s">
        <v>519</v>
      </c>
      <c r="E1021" s="163" t="s">
        <v>1137</v>
      </c>
      <c r="F1021" s="164" t="s">
        <v>1138</v>
      </c>
      <c r="G1021" s="165" t="s">
        <v>724</v>
      </c>
      <c r="H1021" s="166">
        <v>85.575000000000003</v>
      </c>
      <c r="I1021" s="167"/>
      <c r="J1021" s="168">
        <f>ROUND(I1021*H1021,2)</f>
        <v>0</v>
      </c>
      <c r="K1021" s="164" t="s">
        <v>343</v>
      </c>
      <c r="L1021" s="169"/>
      <c r="M1021" s="170"/>
      <c r="N1021" s="171" t="s">
        <v>45</v>
      </c>
      <c r="P1021" s="137">
        <f>O1021*H1021</f>
        <v>0</v>
      </c>
      <c r="Q1021" s="137">
        <v>1.9000000000000001E-4</v>
      </c>
      <c r="R1021" s="137">
        <f>Q1021*H1021</f>
        <v>1.6259250000000003E-2</v>
      </c>
      <c r="S1021" s="137">
        <v>0</v>
      </c>
      <c r="T1021" s="138">
        <f>S1021*H1021</f>
        <v>0</v>
      </c>
      <c r="AR1021" s="139" t="s">
        <v>621</v>
      </c>
      <c r="AT1021" s="139" t="s">
        <v>519</v>
      </c>
      <c r="AU1021" s="139" t="s">
        <v>90</v>
      </c>
      <c r="AY1021" s="2" t="s">
        <v>337</v>
      </c>
      <c r="BE1021" s="140">
        <f>IF(N1021="základní",J1021,0)</f>
        <v>0</v>
      </c>
      <c r="BF1021" s="140">
        <f>IF(N1021="snížená",J1021,0)</f>
        <v>0</v>
      </c>
      <c r="BG1021" s="140">
        <f>IF(N1021="zákl. přenesená",J1021,0)</f>
        <v>0</v>
      </c>
      <c r="BH1021" s="140">
        <f>IF(N1021="sníž. přenesená",J1021,0)</f>
        <v>0</v>
      </c>
      <c r="BI1021" s="140">
        <f>IF(N1021="nulová",J1021,0)</f>
        <v>0</v>
      </c>
      <c r="BJ1021" s="2" t="s">
        <v>87</v>
      </c>
      <c r="BK1021" s="140">
        <f>ROUND(I1021*H1021,2)</f>
        <v>0</v>
      </c>
      <c r="BL1021" s="2" t="s">
        <v>496</v>
      </c>
      <c r="BM1021" s="139" t="s">
        <v>1139</v>
      </c>
    </row>
    <row r="1022" spans="2:65" s="148" customFormat="1" x14ac:dyDescent="0.2">
      <c r="B1022" s="149"/>
      <c r="D1022" s="143" t="s">
        <v>346</v>
      </c>
      <c r="F1022" s="151" t="s">
        <v>1140</v>
      </c>
      <c r="H1022" s="152">
        <v>85.575000000000003</v>
      </c>
      <c r="L1022" s="149"/>
      <c r="M1022" s="153"/>
      <c r="T1022" s="154"/>
      <c r="AT1022" s="150" t="s">
        <v>346</v>
      </c>
      <c r="AU1022" s="150" t="s">
        <v>90</v>
      </c>
      <c r="AV1022" s="148" t="s">
        <v>90</v>
      </c>
      <c r="AW1022" s="148" t="s">
        <v>3</v>
      </c>
      <c r="AX1022" s="148" t="s">
        <v>87</v>
      </c>
      <c r="AY1022" s="150" t="s">
        <v>337</v>
      </c>
    </row>
    <row r="1023" spans="2:65" s="16" customFormat="1" ht="16.5" customHeight="1" x14ac:dyDescent="0.2">
      <c r="B1023" s="17"/>
      <c r="C1023" s="128">
        <v>102</v>
      </c>
      <c r="D1023" s="128" t="s">
        <v>339</v>
      </c>
      <c r="E1023" s="129" t="s">
        <v>1141</v>
      </c>
      <c r="F1023" s="130" t="s">
        <v>1142</v>
      </c>
      <c r="G1023" s="131" t="s">
        <v>425</v>
      </c>
      <c r="H1023" s="132">
        <v>40.53</v>
      </c>
      <c r="I1023" s="133"/>
      <c r="J1023" s="134">
        <f>ROUND(I1023*H1023,2)</f>
        <v>0</v>
      </c>
      <c r="K1023" s="130" t="s">
        <v>343</v>
      </c>
      <c r="L1023" s="17"/>
      <c r="M1023" s="135"/>
      <c r="N1023" s="136" t="s">
        <v>45</v>
      </c>
      <c r="P1023" s="137">
        <f>O1023*H1023</f>
        <v>0</v>
      </c>
      <c r="Q1023" s="137">
        <v>8.0999999999999996E-4</v>
      </c>
      <c r="R1023" s="137">
        <f>Q1023*H1023</f>
        <v>3.2829299999999999E-2</v>
      </c>
      <c r="S1023" s="137">
        <v>0</v>
      </c>
      <c r="T1023" s="138">
        <f>S1023*H1023</f>
        <v>0</v>
      </c>
      <c r="AR1023" s="139" t="s">
        <v>496</v>
      </c>
      <c r="AT1023" s="139" t="s">
        <v>339</v>
      </c>
      <c r="AU1023" s="139" t="s">
        <v>90</v>
      </c>
      <c r="AY1023" s="2" t="s">
        <v>337</v>
      </c>
      <c r="BE1023" s="140">
        <f>IF(N1023="základní",J1023,0)</f>
        <v>0</v>
      </c>
      <c r="BF1023" s="140">
        <f>IF(N1023="snížená",J1023,0)</f>
        <v>0</v>
      </c>
      <c r="BG1023" s="140">
        <f>IF(N1023="zákl. přenesená",J1023,0)</f>
        <v>0</v>
      </c>
      <c r="BH1023" s="140">
        <f>IF(N1023="sníž. přenesená",J1023,0)</f>
        <v>0</v>
      </c>
      <c r="BI1023" s="140">
        <f>IF(N1023="nulová",J1023,0)</f>
        <v>0</v>
      </c>
      <c r="BJ1023" s="2" t="s">
        <v>87</v>
      </c>
      <c r="BK1023" s="140">
        <f>ROUND(I1023*H1023,2)</f>
        <v>0</v>
      </c>
      <c r="BL1023" s="2" t="s">
        <v>496</v>
      </c>
      <c r="BM1023" s="139" t="s">
        <v>1143</v>
      </c>
    </row>
    <row r="1024" spans="2:65" s="141" customFormat="1" x14ac:dyDescent="0.2">
      <c r="B1024" s="142"/>
      <c r="D1024" s="143" t="s">
        <v>346</v>
      </c>
      <c r="E1024" s="144"/>
      <c r="F1024" s="145" t="s">
        <v>1144</v>
      </c>
      <c r="H1024" s="144"/>
      <c r="L1024" s="142"/>
      <c r="M1024" s="146"/>
      <c r="T1024" s="147"/>
      <c r="AT1024" s="144" t="s">
        <v>346</v>
      </c>
      <c r="AU1024" s="144" t="s">
        <v>90</v>
      </c>
      <c r="AV1024" s="141" t="s">
        <v>87</v>
      </c>
      <c r="AW1024" s="141" t="s">
        <v>33</v>
      </c>
      <c r="AX1024" s="141" t="s">
        <v>80</v>
      </c>
      <c r="AY1024" s="144" t="s">
        <v>337</v>
      </c>
    </row>
    <row r="1025" spans="2:65" s="141" customFormat="1" x14ac:dyDescent="0.2">
      <c r="B1025" s="142"/>
      <c r="D1025" s="143" t="s">
        <v>346</v>
      </c>
      <c r="E1025" s="144"/>
      <c r="F1025" s="145" t="s">
        <v>680</v>
      </c>
      <c r="H1025" s="144"/>
      <c r="L1025" s="142"/>
      <c r="M1025" s="146"/>
      <c r="T1025" s="147"/>
      <c r="AT1025" s="144" t="s">
        <v>346</v>
      </c>
      <c r="AU1025" s="144" t="s">
        <v>90</v>
      </c>
      <c r="AV1025" s="141" t="s">
        <v>87</v>
      </c>
      <c r="AW1025" s="141" t="s">
        <v>33</v>
      </c>
      <c r="AX1025" s="141" t="s">
        <v>80</v>
      </c>
      <c r="AY1025" s="144" t="s">
        <v>337</v>
      </c>
    </row>
    <row r="1026" spans="2:65" s="148" customFormat="1" x14ac:dyDescent="0.2">
      <c r="B1026" s="149"/>
      <c r="D1026" s="143" t="s">
        <v>346</v>
      </c>
      <c r="E1026" s="150"/>
      <c r="F1026" s="151" t="s">
        <v>1145</v>
      </c>
      <c r="H1026" s="152">
        <v>40.53</v>
      </c>
      <c r="L1026" s="149"/>
      <c r="M1026" s="153"/>
      <c r="T1026" s="154"/>
      <c r="AT1026" s="150" t="s">
        <v>346</v>
      </c>
      <c r="AU1026" s="150" t="s">
        <v>90</v>
      </c>
      <c r="AV1026" s="148" t="s">
        <v>90</v>
      </c>
      <c r="AW1026" s="148" t="s">
        <v>33</v>
      </c>
      <c r="AX1026" s="148" t="s">
        <v>80</v>
      </c>
      <c r="AY1026" s="150" t="s">
        <v>337</v>
      </c>
    </row>
    <row r="1027" spans="2:65" s="172" customFormat="1" x14ac:dyDescent="0.2">
      <c r="B1027" s="173"/>
      <c r="D1027" s="143" t="s">
        <v>346</v>
      </c>
      <c r="E1027" s="174"/>
      <c r="F1027" s="175" t="s">
        <v>609</v>
      </c>
      <c r="H1027" s="176">
        <v>40.53</v>
      </c>
      <c r="L1027" s="173"/>
      <c r="M1027" s="177"/>
      <c r="T1027" s="178"/>
      <c r="AT1027" s="174" t="s">
        <v>346</v>
      </c>
      <c r="AU1027" s="174" t="s">
        <v>90</v>
      </c>
      <c r="AV1027" s="172" t="s">
        <v>113</v>
      </c>
      <c r="AW1027" s="172" t="s">
        <v>33</v>
      </c>
      <c r="AX1027" s="172" t="s">
        <v>87</v>
      </c>
      <c r="AY1027" s="174" t="s">
        <v>337</v>
      </c>
    </row>
    <row r="1028" spans="2:65" s="16" customFormat="1" ht="24.2" customHeight="1" x14ac:dyDescent="0.2">
      <c r="B1028" s="17"/>
      <c r="C1028" s="128">
        <v>103</v>
      </c>
      <c r="D1028" s="162" t="s">
        <v>519</v>
      </c>
      <c r="E1028" s="163" t="s">
        <v>1147</v>
      </c>
      <c r="F1028" s="164" t="s">
        <v>1148</v>
      </c>
      <c r="G1028" s="165" t="s">
        <v>425</v>
      </c>
      <c r="H1028" s="166">
        <v>42.557000000000002</v>
      </c>
      <c r="I1028" s="167"/>
      <c r="J1028" s="168">
        <f>ROUND(I1028*H1028,2)</f>
        <v>0</v>
      </c>
      <c r="K1028" s="164"/>
      <c r="L1028" s="169"/>
      <c r="M1028" s="170"/>
      <c r="N1028" s="171" t="s">
        <v>45</v>
      </c>
      <c r="P1028" s="137">
        <f>O1028*H1028</f>
        <v>0</v>
      </c>
      <c r="Q1028" s="137">
        <v>4.1000000000000003E-3</v>
      </c>
      <c r="R1028" s="137">
        <f>Q1028*H1028</f>
        <v>0.17448370000000002</v>
      </c>
      <c r="S1028" s="137">
        <v>0</v>
      </c>
      <c r="T1028" s="138">
        <f>S1028*H1028</f>
        <v>0</v>
      </c>
      <c r="AR1028" s="139" t="s">
        <v>621</v>
      </c>
      <c r="AT1028" s="139" t="s">
        <v>519</v>
      </c>
      <c r="AU1028" s="139" t="s">
        <v>90</v>
      </c>
      <c r="AY1028" s="2" t="s">
        <v>337</v>
      </c>
      <c r="BE1028" s="140">
        <f>IF(N1028="základní",J1028,0)</f>
        <v>0</v>
      </c>
      <c r="BF1028" s="140">
        <f>IF(N1028="snížená",J1028,0)</f>
        <v>0</v>
      </c>
      <c r="BG1028" s="140">
        <f>IF(N1028="zákl. přenesená",J1028,0)</f>
        <v>0</v>
      </c>
      <c r="BH1028" s="140">
        <f>IF(N1028="sníž. přenesená",J1028,0)</f>
        <v>0</v>
      </c>
      <c r="BI1028" s="140">
        <f>IF(N1028="nulová",J1028,0)</f>
        <v>0</v>
      </c>
      <c r="BJ1028" s="2" t="s">
        <v>87</v>
      </c>
      <c r="BK1028" s="140">
        <f>ROUND(I1028*H1028,2)</f>
        <v>0</v>
      </c>
      <c r="BL1028" s="2" t="s">
        <v>496</v>
      </c>
      <c r="BM1028" s="139" t="s">
        <v>1149</v>
      </c>
    </row>
    <row r="1029" spans="2:65" s="148" customFormat="1" x14ac:dyDescent="0.2">
      <c r="B1029" s="149"/>
      <c r="D1029" s="143" t="s">
        <v>346</v>
      </c>
      <c r="F1029" s="151" t="s">
        <v>1150</v>
      </c>
      <c r="H1029" s="152">
        <v>42.557000000000002</v>
      </c>
      <c r="L1029" s="149"/>
      <c r="M1029" s="153"/>
      <c r="T1029" s="154"/>
      <c r="AT1029" s="150" t="s">
        <v>346</v>
      </c>
      <c r="AU1029" s="150" t="s">
        <v>90</v>
      </c>
      <c r="AV1029" s="148" t="s">
        <v>90</v>
      </c>
      <c r="AW1029" s="148" t="s">
        <v>3</v>
      </c>
      <c r="AX1029" s="148" t="s">
        <v>87</v>
      </c>
      <c r="AY1029" s="150" t="s">
        <v>337</v>
      </c>
    </row>
    <row r="1030" spans="2:65" s="16" customFormat="1" ht="16.5" customHeight="1" x14ac:dyDescent="0.2">
      <c r="B1030" s="17"/>
      <c r="C1030" s="128">
        <v>104</v>
      </c>
      <c r="D1030" s="128" t="s">
        <v>339</v>
      </c>
      <c r="E1030" s="129" t="s">
        <v>1151</v>
      </c>
      <c r="F1030" s="130" t="s">
        <v>1152</v>
      </c>
      <c r="G1030" s="131" t="s">
        <v>990</v>
      </c>
      <c r="H1030" s="132">
        <v>0.69499999999999995</v>
      </c>
      <c r="I1030" s="133"/>
      <c r="J1030" s="134">
        <f>ROUND(I1030*H1030,2)</f>
        <v>0</v>
      </c>
      <c r="K1030" s="130" t="s">
        <v>343</v>
      </c>
      <c r="L1030" s="17"/>
      <c r="M1030" s="135"/>
      <c r="N1030" s="136" t="s">
        <v>45</v>
      </c>
      <c r="P1030" s="137">
        <f>O1030*H1030</f>
        <v>0</v>
      </c>
      <c r="Q1030" s="137">
        <v>0</v>
      </c>
      <c r="R1030" s="137">
        <f>Q1030*H1030</f>
        <v>0</v>
      </c>
      <c r="S1030" s="137">
        <v>0</v>
      </c>
      <c r="T1030" s="138">
        <f>S1030*H1030</f>
        <v>0</v>
      </c>
      <c r="AR1030" s="139" t="s">
        <v>496</v>
      </c>
      <c r="AT1030" s="139" t="s">
        <v>339</v>
      </c>
      <c r="AU1030" s="139" t="s">
        <v>90</v>
      </c>
      <c r="AY1030" s="2" t="s">
        <v>337</v>
      </c>
      <c r="BE1030" s="140">
        <f>IF(N1030="základní",J1030,0)</f>
        <v>0</v>
      </c>
      <c r="BF1030" s="140">
        <f>IF(N1030="snížená",J1030,0)</f>
        <v>0</v>
      </c>
      <c r="BG1030" s="140">
        <f>IF(N1030="zákl. přenesená",J1030,0)</f>
        <v>0</v>
      </c>
      <c r="BH1030" s="140">
        <f>IF(N1030="sníž. přenesená",J1030,0)</f>
        <v>0</v>
      </c>
      <c r="BI1030" s="140">
        <f>IF(N1030="nulová",J1030,0)</f>
        <v>0</v>
      </c>
      <c r="BJ1030" s="2" t="s">
        <v>87</v>
      </c>
      <c r="BK1030" s="140">
        <f>ROUND(I1030*H1030,2)</f>
        <v>0</v>
      </c>
      <c r="BL1030" s="2" t="s">
        <v>496</v>
      </c>
      <c r="BM1030" s="139" t="s">
        <v>1153</v>
      </c>
    </row>
    <row r="1031" spans="2:65" s="116" customFormat="1" ht="22.9" customHeight="1" x14ac:dyDescent="0.2">
      <c r="B1031" s="117"/>
      <c r="D1031" s="118" t="s">
        <v>79</v>
      </c>
      <c r="E1031" s="126" t="s">
        <v>1154</v>
      </c>
      <c r="F1031" s="126" t="s">
        <v>1155</v>
      </c>
      <c r="J1031" s="127">
        <f>BK1031</f>
        <v>0</v>
      </c>
      <c r="L1031" s="117"/>
      <c r="M1031" s="121"/>
      <c r="P1031" s="122">
        <f>SUM(P1032:P1702)</f>
        <v>0</v>
      </c>
      <c r="R1031" s="122">
        <f>SUM(R1032:R1702)</f>
        <v>221.51865625999994</v>
      </c>
      <c r="T1031" s="123">
        <f>SUM(T1032:T1702)</f>
        <v>0</v>
      </c>
      <c r="AR1031" s="118" t="s">
        <v>90</v>
      </c>
      <c r="AT1031" s="124" t="s">
        <v>79</v>
      </c>
      <c r="AU1031" s="124" t="s">
        <v>87</v>
      </c>
      <c r="AY1031" s="118" t="s">
        <v>337</v>
      </c>
      <c r="BK1031" s="125">
        <f>SUM(BK1032:BK1702)</f>
        <v>0</v>
      </c>
    </row>
    <row r="1032" spans="2:65" s="16" customFormat="1" ht="16.5" customHeight="1" x14ac:dyDescent="0.2">
      <c r="B1032" s="17"/>
      <c r="C1032" s="128">
        <v>105</v>
      </c>
      <c r="D1032" s="128" t="s">
        <v>339</v>
      </c>
      <c r="E1032" s="129" t="s">
        <v>1157</v>
      </c>
      <c r="F1032" s="130" t="s">
        <v>1158</v>
      </c>
      <c r="G1032" s="131" t="s">
        <v>425</v>
      </c>
      <c r="H1032" s="132">
        <v>1771.54</v>
      </c>
      <c r="I1032" s="133"/>
      <c r="J1032" s="134">
        <f>ROUND(I1032*H1032,2)</f>
        <v>0</v>
      </c>
      <c r="K1032" s="130" t="s">
        <v>343</v>
      </c>
      <c r="L1032" s="17"/>
      <c r="M1032" s="135"/>
      <c r="N1032" s="136" t="s">
        <v>45</v>
      </c>
      <c r="P1032" s="137">
        <f>O1032*H1032</f>
        <v>0</v>
      </c>
      <c r="Q1032" s="137">
        <v>2.1870000000000001E-2</v>
      </c>
      <c r="R1032" s="137">
        <f>Q1032*H1032</f>
        <v>38.743579799999999</v>
      </c>
      <c r="S1032" s="137">
        <v>0</v>
      </c>
      <c r="T1032" s="138">
        <f>S1032*H1032</f>
        <v>0</v>
      </c>
      <c r="AR1032" s="139" t="s">
        <v>496</v>
      </c>
      <c r="AT1032" s="139" t="s">
        <v>339</v>
      </c>
      <c r="AU1032" s="139" t="s">
        <v>90</v>
      </c>
      <c r="AY1032" s="2" t="s">
        <v>337</v>
      </c>
      <c r="BE1032" s="140">
        <f>IF(N1032="základní",J1032,0)</f>
        <v>0</v>
      </c>
      <c r="BF1032" s="140">
        <f>IF(N1032="snížená",J1032,0)</f>
        <v>0</v>
      </c>
      <c r="BG1032" s="140">
        <f>IF(N1032="zákl. přenesená",J1032,0)</f>
        <v>0</v>
      </c>
      <c r="BH1032" s="140">
        <f>IF(N1032="sníž. přenesená",J1032,0)</f>
        <v>0</v>
      </c>
      <c r="BI1032" s="140">
        <f>IF(N1032="nulová",J1032,0)</f>
        <v>0</v>
      </c>
      <c r="BJ1032" s="2" t="s">
        <v>87</v>
      </c>
      <c r="BK1032" s="140">
        <f>ROUND(I1032*H1032,2)</f>
        <v>0</v>
      </c>
      <c r="BL1032" s="2" t="s">
        <v>496</v>
      </c>
      <c r="BM1032" s="139" t="s">
        <v>1159</v>
      </c>
    </row>
    <row r="1033" spans="2:65" s="141" customFormat="1" x14ac:dyDescent="0.2">
      <c r="B1033" s="142"/>
      <c r="D1033" s="143" t="s">
        <v>346</v>
      </c>
      <c r="E1033" s="144"/>
      <c r="F1033" s="145" t="s">
        <v>1068</v>
      </c>
      <c r="H1033" s="144"/>
      <c r="L1033" s="142"/>
      <c r="M1033" s="146"/>
      <c r="T1033" s="147"/>
      <c r="AT1033" s="144" t="s">
        <v>346</v>
      </c>
      <c r="AU1033" s="144" t="s">
        <v>90</v>
      </c>
      <c r="AV1033" s="141" t="s">
        <v>87</v>
      </c>
      <c r="AW1033" s="141" t="s">
        <v>33</v>
      </c>
      <c r="AX1033" s="141" t="s">
        <v>80</v>
      </c>
      <c r="AY1033" s="144" t="s">
        <v>337</v>
      </c>
    </row>
    <row r="1034" spans="2:65" s="141" customFormat="1" x14ac:dyDescent="0.2">
      <c r="B1034" s="142"/>
      <c r="D1034" s="143" t="s">
        <v>346</v>
      </c>
      <c r="E1034" s="144"/>
      <c r="F1034" s="145" t="s">
        <v>357</v>
      </c>
      <c r="H1034" s="144"/>
      <c r="L1034" s="142"/>
      <c r="M1034" s="146"/>
      <c r="T1034" s="147"/>
      <c r="AT1034" s="144" t="s">
        <v>346</v>
      </c>
      <c r="AU1034" s="144" t="s">
        <v>90</v>
      </c>
      <c r="AV1034" s="141" t="s">
        <v>87</v>
      </c>
      <c r="AW1034" s="141" t="s">
        <v>33</v>
      </c>
      <c r="AX1034" s="141" t="s">
        <v>80</v>
      </c>
      <c r="AY1034" s="144" t="s">
        <v>337</v>
      </c>
    </row>
    <row r="1035" spans="2:65" s="148" customFormat="1" x14ac:dyDescent="0.2">
      <c r="B1035" s="149"/>
      <c r="D1035" s="143" t="s">
        <v>346</v>
      </c>
      <c r="E1035" s="150"/>
      <c r="F1035" s="151" t="s">
        <v>1160</v>
      </c>
      <c r="H1035" s="152">
        <v>136.69999999999999</v>
      </c>
      <c r="L1035" s="149"/>
      <c r="M1035" s="153"/>
      <c r="T1035" s="154"/>
      <c r="AT1035" s="150" t="s">
        <v>346</v>
      </c>
      <c r="AU1035" s="150" t="s">
        <v>90</v>
      </c>
      <c r="AV1035" s="148" t="s">
        <v>90</v>
      </c>
      <c r="AW1035" s="148" t="s">
        <v>33</v>
      </c>
      <c r="AX1035" s="148" t="s">
        <v>80</v>
      </c>
      <c r="AY1035" s="150" t="s">
        <v>337</v>
      </c>
    </row>
    <row r="1036" spans="2:65" s="141" customFormat="1" x14ac:dyDescent="0.2">
      <c r="B1036" s="142"/>
      <c r="D1036" s="143" t="s">
        <v>346</v>
      </c>
      <c r="E1036" s="144"/>
      <c r="F1036" s="145" t="s">
        <v>362</v>
      </c>
      <c r="H1036" s="144"/>
      <c r="L1036" s="142"/>
      <c r="M1036" s="146"/>
      <c r="T1036" s="147"/>
      <c r="AT1036" s="144" t="s">
        <v>346</v>
      </c>
      <c r="AU1036" s="144" t="s">
        <v>90</v>
      </c>
      <c r="AV1036" s="141" t="s">
        <v>87</v>
      </c>
      <c r="AW1036" s="141" t="s">
        <v>33</v>
      </c>
      <c r="AX1036" s="141" t="s">
        <v>80</v>
      </c>
      <c r="AY1036" s="144" t="s">
        <v>337</v>
      </c>
    </row>
    <row r="1037" spans="2:65" s="148" customFormat="1" x14ac:dyDescent="0.2">
      <c r="B1037" s="149"/>
      <c r="D1037" s="143" t="s">
        <v>346</v>
      </c>
      <c r="E1037" s="150"/>
      <c r="F1037" s="151" t="s">
        <v>1161</v>
      </c>
      <c r="H1037" s="152">
        <v>244.97</v>
      </c>
      <c r="L1037" s="149"/>
      <c r="M1037" s="153"/>
      <c r="T1037" s="154"/>
      <c r="AT1037" s="150" t="s">
        <v>346</v>
      </c>
      <c r="AU1037" s="150" t="s">
        <v>90</v>
      </c>
      <c r="AV1037" s="148" t="s">
        <v>90</v>
      </c>
      <c r="AW1037" s="148" t="s">
        <v>33</v>
      </c>
      <c r="AX1037" s="148" t="s">
        <v>80</v>
      </c>
      <c r="AY1037" s="150" t="s">
        <v>337</v>
      </c>
    </row>
    <row r="1038" spans="2:65" s="141" customFormat="1" x14ac:dyDescent="0.2">
      <c r="B1038" s="142"/>
      <c r="D1038" s="143" t="s">
        <v>346</v>
      </c>
      <c r="E1038" s="144"/>
      <c r="F1038" s="145" t="s">
        <v>367</v>
      </c>
      <c r="H1038" s="144"/>
      <c r="L1038" s="142"/>
      <c r="M1038" s="146"/>
      <c r="T1038" s="147"/>
      <c r="AT1038" s="144" t="s">
        <v>346</v>
      </c>
      <c r="AU1038" s="144" t="s">
        <v>90</v>
      </c>
      <c r="AV1038" s="141" t="s">
        <v>87</v>
      </c>
      <c r="AW1038" s="141" t="s">
        <v>33</v>
      </c>
      <c r="AX1038" s="141" t="s">
        <v>80</v>
      </c>
      <c r="AY1038" s="144" t="s">
        <v>337</v>
      </c>
    </row>
    <row r="1039" spans="2:65" s="148" customFormat="1" x14ac:dyDescent="0.2">
      <c r="B1039" s="149"/>
      <c r="D1039" s="143" t="s">
        <v>346</v>
      </c>
      <c r="E1039" s="150"/>
      <c r="F1039" s="151" t="s">
        <v>1162</v>
      </c>
      <c r="H1039" s="152">
        <v>333.5</v>
      </c>
      <c r="L1039" s="149"/>
      <c r="M1039" s="153"/>
      <c r="T1039" s="154"/>
      <c r="AT1039" s="150" t="s">
        <v>346</v>
      </c>
      <c r="AU1039" s="150" t="s">
        <v>90</v>
      </c>
      <c r="AV1039" s="148" t="s">
        <v>90</v>
      </c>
      <c r="AW1039" s="148" t="s">
        <v>33</v>
      </c>
      <c r="AX1039" s="148" t="s">
        <v>80</v>
      </c>
      <c r="AY1039" s="150" t="s">
        <v>337</v>
      </c>
    </row>
    <row r="1040" spans="2:65" s="141" customFormat="1" x14ac:dyDescent="0.2">
      <c r="B1040" s="142"/>
      <c r="D1040" s="143" t="s">
        <v>346</v>
      </c>
      <c r="E1040" s="144"/>
      <c r="F1040" s="145" t="s">
        <v>368</v>
      </c>
      <c r="H1040" s="144"/>
      <c r="L1040" s="142"/>
      <c r="M1040" s="146"/>
      <c r="T1040" s="147"/>
      <c r="AT1040" s="144" t="s">
        <v>346</v>
      </c>
      <c r="AU1040" s="144" t="s">
        <v>90</v>
      </c>
      <c r="AV1040" s="141" t="s">
        <v>87</v>
      </c>
      <c r="AW1040" s="141" t="s">
        <v>33</v>
      </c>
      <c r="AX1040" s="141" t="s">
        <v>80</v>
      </c>
      <c r="AY1040" s="144" t="s">
        <v>337</v>
      </c>
    </row>
    <row r="1041" spans="2:65" s="148" customFormat="1" x14ac:dyDescent="0.2">
      <c r="B1041" s="149"/>
      <c r="D1041" s="143" t="s">
        <v>346</v>
      </c>
      <c r="E1041" s="150"/>
      <c r="F1041" s="151" t="s">
        <v>1163</v>
      </c>
      <c r="H1041" s="152">
        <v>398.61</v>
      </c>
      <c r="L1041" s="149"/>
      <c r="M1041" s="153"/>
      <c r="T1041" s="154"/>
      <c r="AT1041" s="150" t="s">
        <v>346</v>
      </c>
      <c r="AU1041" s="150" t="s">
        <v>90</v>
      </c>
      <c r="AV1041" s="148" t="s">
        <v>90</v>
      </c>
      <c r="AW1041" s="148" t="s">
        <v>33</v>
      </c>
      <c r="AX1041" s="148" t="s">
        <v>80</v>
      </c>
      <c r="AY1041" s="150" t="s">
        <v>337</v>
      </c>
    </row>
    <row r="1042" spans="2:65" s="141" customFormat="1" x14ac:dyDescent="0.2">
      <c r="B1042" s="142"/>
      <c r="D1042" s="143" t="s">
        <v>346</v>
      </c>
      <c r="E1042" s="144"/>
      <c r="F1042" s="145" t="s">
        <v>370</v>
      </c>
      <c r="H1042" s="144"/>
      <c r="L1042" s="142"/>
      <c r="M1042" s="146"/>
      <c r="T1042" s="147"/>
      <c r="AT1042" s="144" t="s">
        <v>346</v>
      </c>
      <c r="AU1042" s="144" t="s">
        <v>90</v>
      </c>
      <c r="AV1042" s="141" t="s">
        <v>87</v>
      </c>
      <c r="AW1042" s="141" t="s">
        <v>33</v>
      </c>
      <c r="AX1042" s="141" t="s">
        <v>80</v>
      </c>
      <c r="AY1042" s="144" t="s">
        <v>337</v>
      </c>
    </row>
    <row r="1043" spans="2:65" s="148" customFormat="1" x14ac:dyDescent="0.2">
      <c r="B1043" s="149"/>
      <c r="D1043" s="143" t="s">
        <v>346</v>
      </c>
      <c r="E1043" s="150"/>
      <c r="F1043" s="151" t="s">
        <v>1164</v>
      </c>
      <c r="H1043" s="152">
        <v>400.69</v>
      </c>
      <c r="L1043" s="149"/>
      <c r="M1043" s="153"/>
      <c r="T1043" s="154"/>
      <c r="AT1043" s="150" t="s">
        <v>346</v>
      </c>
      <c r="AU1043" s="150" t="s">
        <v>90</v>
      </c>
      <c r="AV1043" s="148" t="s">
        <v>90</v>
      </c>
      <c r="AW1043" s="148" t="s">
        <v>33</v>
      </c>
      <c r="AX1043" s="148" t="s">
        <v>80</v>
      </c>
      <c r="AY1043" s="150" t="s">
        <v>337</v>
      </c>
    </row>
    <row r="1044" spans="2:65" s="141" customFormat="1" x14ac:dyDescent="0.2">
      <c r="B1044" s="142"/>
      <c r="D1044" s="143" t="s">
        <v>346</v>
      </c>
      <c r="E1044" s="144"/>
      <c r="F1044" s="145" t="s">
        <v>434</v>
      </c>
      <c r="H1044" s="144"/>
      <c r="L1044" s="142"/>
      <c r="M1044" s="146"/>
      <c r="T1044" s="147"/>
      <c r="AT1044" s="144" t="s">
        <v>346</v>
      </c>
      <c r="AU1044" s="144" t="s">
        <v>90</v>
      </c>
      <c r="AV1044" s="141" t="s">
        <v>87</v>
      </c>
      <c r="AW1044" s="141" t="s">
        <v>33</v>
      </c>
      <c r="AX1044" s="141" t="s">
        <v>80</v>
      </c>
      <c r="AY1044" s="144" t="s">
        <v>337</v>
      </c>
    </row>
    <row r="1045" spans="2:65" s="148" customFormat="1" x14ac:dyDescent="0.2">
      <c r="B1045" s="149"/>
      <c r="D1045" s="143" t="s">
        <v>346</v>
      </c>
      <c r="E1045" s="150"/>
      <c r="F1045" s="151" t="s">
        <v>1165</v>
      </c>
      <c r="H1045" s="152">
        <v>257.07</v>
      </c>
      <c r="L1045" s="149"/>
      <c r="M1045" s="153"/>
      <c r="T1045" s="154"/>
      <c r="AT1045" s="150" t="s">
        <v>346</v>
      </c>
      <c r="AU1045" s="150" t="s">
        <v>90</v>
      </c>
      <c r="AV1045" s="148" t="s">
        <v>90</v>
      </c>
      <c r="AW1045" s="148" t="s">
        <v>33</v>
      </c>
      <c r="AX1045" s="148" t="s">
        <v>80</v>
      </c>
      <c r="AY1045" s="150" t="s">
        <v>337</v>
      </c>
    </row>
    <row r="1046" spans="2:65" s="172" customFormat="1" x14ac:dyDescent="0.2">
      <c r="B1046" s="173"/>
      <c r="D1046" s="143" t="s">
        <v>346</v>
      </c>
      <c r="E1046" s="174" t="s">
        <v>204</v>
      </c>
      <c r="F1046" s="175" t="s">
        <v>609</v>
      </c>
      <c r="H1046" s="176">
        <v>1771.54</v>
      </c>
      <c r="L1046" s="173"/>
      <c r="M1046" s="177"/>
      <c r="T1046" s="178"/>
      <c r="AT1046" s="174" t="s">
        <v>346</v>
      </c>
      <c r="AU1046" s="174" t="s">
        <v>90</v>
      </c>
      <c r="AV1046" s="172" t="s">
        <v>113</v>
      </c>
      <c r="AW1046" s="172" t="s">
        <v>33</v>
      </c>
      <c r="AX1046" s="172" t="s">
        <v>87</v>
      </c>
      <c r="AY1046" s="174" t="s">
        <v>337</v>
      </c>
    </row>
    <row r="1047" spans="2:65" s="16" customFormat="1" ht="16.5" customHeight="1" x14ac:dyDescent="0.2">
      <c r="B1047" s="17"/>
      <c r="C1047" s="128">
        <v>106</v>
      </c>
      <c r="D1047" s="128" t="s">
        <v>339</v>
      </c>
      <c r="E1047" s="129" t="s">
        <v>1166</v>
      </c>
      <c r="F1047" s="130" t="s">
        <v>1167</v>
      </c>
      <c r="G1047" s="131" t="s">
        <v>425</v>
      </c>
      <c r="H1047" s="132">
        <v>494.34</v>
      </c>
      <c r="I1047" s="133"/>
      <c r="J1047" s="134">
        <f>ROUND(I1047*H1047,2)</f>
        <v>0</v>
      </c>
      <c r="K1047" s="130" t="s">
        <v>343</v>
      </c>
      <c r="L1047" s="17"/>
      <c r="M1047" s="135"/>
      <c r="N1047" s="136" t="s">
        <v>45</v>
      </c>
      <c r="P1047" s="137">
        <f>O1047*H1047</f>
        <v>0</v>
      </c>
      <c r="Q1047" s="137">
        <v>2.487E-2</v>
      </c>
      <c r="R1047" s="137">
        <f>Q1047*H1047</f>
        <v>12.294235799999999</v>
      </c>
      <c r="S1047" s="137">
        <v>0</v>
      </c>
      <c r="T1047" s="138">
        <f>S1047*H1047</f>
        <v>0</v>
      </c>
      <c r="AR1047" s="139" t="s">
        <v>496</v>
      </c>
      <c r="AT1047" s="139" t="s">
        <v>339</v>
      </c>
      <c r="AU1047" s="139" t="s">
        <v>90</v>
      </c>
      <c r="AY1047" s="2" t="s">
        <v>337</v>
      </c>
      <c r="BE1047" s="140">
        <f>IF(N1047="základní",J1047,0)</f>
        <v>0</v>
      </c>
      <c r="BF1047" s="140">
        <f>IF(N1047="snížená",J1047,0)</f>
        <v>0</v>
      </c>
      <c r="BG1047" s="140">
        <f>IF(N1047="zákl. přenesená",J1047,0)</f>
        <v>0</v>
      </c>
      <c r="BH1047" s="140">
        <f>IF(N1047="sníž. přenesená",J1047,0)</f>
        <v>0</v>
      </c>
      <c r="BI1047" s="140">
        <f>IF(N1047="nulová",J1047,0)</f>
        <v>0</v>
      </c>
      <c r="BJ1047" s="2" t="s">
        <v>87</v>
      </c>
      <c r="BK1047" s="140">
        <f>ROUND(I1047*H1047,2)</f>
        <v>0</v>
      </c>
      <c r="BL1047" s="2" t="s">
        <v>496</v>
      </c>
      <c r="BM1047" s="139" t="s">
        <v>1168</v>
      </c>
    </row>
    <row r="1048" spans="2:65" s="141" customFormat="1" x14ac:dyDescent="0.2">
      <c r="B1048" s="142"/>
      <c r="D1048" s="143" t="s">
        <v>346</v>
      </c>
      <c r="E1048" s="144"/>
      <c r="F1048" s="145" t="s">
        <v>1068</v>
      </c>
      <c r="H1048" s="144"/>
      <c r="L1048" s="142"/>
      <c r="M1048" s="146"/>
      <c r="T1048" s="147"/>
      <c r="AT1048" s="144" t="s">
        <v>346</v>
      </c>
      <c r="AU1048" s="144" t="s">
        <v>90</v>
      </c>
      <c r="AV1048" s="141" t="s">
        <v>87</v>
      </c>
      <c r="AW1048" s="141" t="s">
        <v>33</v>
      </c>
      <c r="AX1048" s="141" t="s">
        <v>80</v>
      </c>
      <c r="AY1048" s="144" t="s">
        <v>337</v>
      </c>
    </row>
    <row r="1049" spans="2:65" s="141" customFormat="1" x14ac:dyDescent="0.2">
      <c r="B1049" s="142"/>
      <c r="D1049" s="143" t="s">
        <v>346</v>
      </c>
      <c r="E1049" s="144"/>
      <c r="F1049" s="145" t="s">
        <v>357</v>
      </c>
      <c r="H1049" s="144"/>
      <c r="L1049" s="142"/>
      <c r="M1049" s="146"/>
      <c r="T1049" s="147"/>
      <c r="AT1049" s="144" t="s">
        <v>346</v>
      </c>
      <c r="AU1049" s="144" t="s">
        <v>90</v>
      </c>
      <c r="AV1049" s="141" t="s">
        <v>87</v>
      </c>
      <c r="AW1049" s="141" t="s">
        <v>33</v>
      </c>
      <c r="AX1049" s="141" t="s">
        <v>80</v>
      </c>
      <c r="AY1049" s="144" t="s">
        <v>337</v>
      </c>
    </row>
    <row r="1050" spans="2:65" s="148" customFormat="1" x14ac:dyDescent="0.2">
      <c r="B1050" s="149"/>
      <c r="D1050" s="143" t="s">
        <v>346</v>
      </c>
      <c r="E1050" s="150"/>
      <c r="F1050" s="151" t="s">
        <v>1169</v>
      </c>
      <c r="H1050" s="152">
        <v>49.63</v>
      </c>
      <c r="L1050" s="149"/>
      <c r="M1050" s="153"/>
      <c r="T1050" s="154"/>
      <c r="AT1050" s="150" t="s">
        <v>346</v>
      </c>
      <c r="AU1050" s="150" t="s">
        <v>90</v>
      </c>
      <c r="AV1050" s="148" t="s">
        <v>90</v>
      </c>
      <c r="AW1050" s="148" t="s">
        <v>33</v>
      </c>
      <c r="AX1050" s="148" t="s">
        <v>80</v>
      </c>
      <c r="AY1050" s="150" t="s">
        <v>337</v>
      </c>
    </row>
    <row r="1051" spans="2:65" s="141" customFormat="1" x14ac:dyDescent="0.2">
      <c r="B1051" s="142"/>
      <c r="D1051" s="143" t="s">
        <v>346</v>
      </c>
      <c r="E1051" s="144"/>
      <c r="F1051" s="145" t="s">
        <v>362</v>
      </c>
      <c r="H1051" s="144"/>
      <c r="L1051" s="142"/>
      <c r="M1051" s="146"/>
      <c r="T1051" s="147"/>
      <c r="AT1051" s="144" t="s">
        <v>346</v>
      </c>
      <c r="AU1051" s="144" t="s">
        <v>90</v>
      </c>
      <c r="AV1051" s="141" t="s">
        <v>87</v>
      </c>
      <c r="AW1051" s="141" t="s">
        <v>33</v>
      </c>
      <c r="AX1051" s="141" t="s">
        <v>80</v>
      </c>
      <c r="AY1051" s="144" t="s">
        <v>337</v>
      </c>
    </row>
    <row r="1052" spans="2:65" s="148" customFormat="1" x14ac:dyDescent="0.2">
      <c r="B1052" s="149"/>
      <c r="D1052" s="143" t="s">
        <v>346</v>
      </c>
      <c r="E1052" s="150"/>
      <c r="F1052" s="151" t="s">
        <v>1170</v>
      </c>
      <c r="H1052" s="152">
        <v>0.84</v>
      </c>
      <c r="L1052" s="149"/>
      <c r="M1052" s="153"/>
      <c r="T1052" s="154"/>
      <c r="AT1052" s="150" t="s">
        <v>346</v>
      </c>
      <c r="AU1052" s="150" t="s">
        <v>90</v>
      </c>
      <c r="AV1052" s="148" t="s">
        <v>90</v>
      </c>
      <c r="AW1052" s="148" t="s">
        <v>33</v>
      </c>
      <c r="AX1052" s="148" t="s">
        <v>80</v>
      </c>
      <c r="AY1052" s="150" t="s">
        <v>337</v>
      </c>
    </row>
    <row r="1053" spans="2:65" s="141" customFormat="1" x14ac:dyDescent="0.2">
      <c r="B1053" s="142"/>
      <c r="D1053" s="143" t="s">
        <v>346</v>
      </c>
      <c r="E1053" s="144"/>
      <c r="F1053" s="145" t="s">
        <v>434</v>
      </c>
      <c r="H1053" s="144"/>
      <c r="L1053" s="142"/>
      <c r="M1053" s="146"/>
      <c r="T1053" s="147"/>
      <c r="AT1053" s="144" t="s">
        <v>346</v>
      </c>
      <c r="AU1053" s="144" t="s">
        <v>90</v>
      </c>
      <c r="AV1053" s="141" t="s">
        <v>87</v>
      </c>
      <c r="AW1053" s="141" t="s">
        <v>33</v>
      </c>
      <c r="AX1053" s="141" t="s">
        <v>80</v>
      </c>
      <c r="AY1053" s="144" t="s">
        <v>337</v>
      </c>
    </row>
    <row r="1054" spans="2:65" s="148" customFormat="1" x14ac:dyDescent="0.2">
      <c r="B1054" s="149"/>
      <c r="D1054" s="143" t="s">
        <v>346</v>
      </c>
      <c r="E1054" s="150"/>
      <c r="F1054" s="151" t="s">
        <v>1171</v>
      </c>
      <c r="H1054" s="152">
        <v>443.87</v>
      </c>
      <c r="L1054" s="149"/>
      <c r="M1054" s="153"/>
      <c r="T1054" s="154"/>
      <c r="AT1054" s="150" t="s">
        <v>346</v>
      </c>
      <c r="AU1054" s="150" t="s">
        <v>90</v>
      </c>
      <c r="AV1054" s="148" t="s">
        <v>90</v>
      </c>
      <c r="AW1054" s="148" t="s">
        <v>33</v>
      </c>
      <c r="AX1054" s="148" t="s">
        <v>80</v>
      </c>
      <c r="AY1054" s="150" t="s">
        <v>337</v>
      </c>
    </row>
    <row r="1055" spans="2:65" s="172" customFormat="1" x14ac:dyDescent="0.2">
      <c r="B1055" s="173"/>
      <c r="D1055" s="143" t="s">
        <v>346</v>
      </c>
      <c r="E1055" s="174" t="s">
        <v>216</v>
      </c>
      <c r="F1055" s="175" t="s">
        <v>609</v>
      </c>
      <c r="H1055" s="176">
        <v>494.34</v>
      </c>
      <c r="L1055" s="173"/>
      <c r="M1055" s="177"/>
      <c r="T1055" s="178"/>
      <c r="AT1055" s="174" t="s">
        <v>346</v>
      </c>
      <c r="AU1055" s="174" t="s">
        <v>90</v>
      </c>
      <c r="AV1055" s="172" t="s">
        <v>113</v>
      </c>
      <c r="AW1055" s="172" t="s">
        <v>33</v>
      </c>
      <c r="AX1055" s="172" t="s">
        <v>87</v>
      </c>
      <c r="AY1055" s="174" t="s">
        <v>337</v>
      </c>
    </row>
    <row r="1056" spans="2:65" s="16" customFormat="1" ht="16.5" customHeight="1" x14ac:dyDescent="0.2">
      <c r="B1056" s="17"/>
      <c r="C1056" s="128">
        <v>107</v>
      </c>
      <c r="D1056" s="128" t="s">
        <v>339</v>
      </c>
      <c r="E1056" s="129" t="s">
        <v>1173</v>
      </c>
      <c r="F1056" s="130" t="s">
        <v>1174</v>
      </c>
      <c r="G1056" s="131" t="s">
        <v>425</v>
      </c>
      <c r="H1056" s="132">
        <v>211.74</v>
      </c>
      <c r="I1056" s="133"/>
      <c r="J1056" s="134">
        <f>ROUND(I1056*H1056,2)</f>
        <v>0</v>
      </c>
      <c r="K1056" s="130" t="s">
        <v>343</v>
      </c>
      <c r="L1056" s="17"/>
      <c r="M1056" s="135"/>
      <c r="N1056" s="136" t="s">
        <v>45</v>
      </c>
      <c r="P1056" s="137">
        <f>O1056*H1056</f>
        <v>0</v>
      </c>
      <c r="Q1056" s="137">
        <v>2.2599999999999999E-2</v>
      </c>
      <c r="R1056" s="137">
        <f>Q1056*H1056</f>
        <v>4.7853240000000001</v>
      </c>
      <c r="S1056" s="137">
        <v>0</v>
      </c>
      <c r="T1056" s="138">
        <f>S1056*H1056</f>
        <v>0</v>
      </c>
      <c r="AR1056" s="139" t="s">
        <v>496</v>
      </c>
      <c r="AT1056" s="139" t="s">
        <v>339</v>
      </c>
      <c r="AU1056" s="139" t="s">
        <v>90</v>
      </c>
      <c r="AY1056" s="2" t="s">
        <v>337</v>
      </c>
      <c r="BE1056" s="140">
        <f>IF(N1056="základní",J1056,0)</f>
        <v>0</v>
      </c>
      <c r="BF1056" s="140">
        <f>IF(N1056="snížená",J1056,0)</f>
        <v>0</v>
      </c>
      <c r="BG1056" s="140">
        <f>IF(N1056="zákl. přenesená",J1056,0)</f>
        <v>0</v>
      </c>
      <c r="BH1056" s="140">
        <f>IF(N1056="sníž. přenesená",J1056,0)</f>
        <v>0</v>
      </c>
      <c r="BI1056" s="140">
        <f>IF(N1056="nulová",J1056,0)</f>
        <v>0</v>
      </c>
      <c r="BJ1056" s="2" t="s">
        <v>87</v>
      </c>
      <c r="BK1056" s="140">
        <f>ROUND(I1056*H1056,2)</f>
        <v>0</v>
      </c>
      <c r="BL1056" s="2" t="s">
        <v>496</v>
      </c>
      <c r="BM1056" s="139" t="s">
        <v>1175</v>
      </c>
    </row>
    <row r="1057" spans="2:65" s="141" customFormat="1" x14ac:dyDescent="0.2">
      <c r="B1057" s="142"/>
      <c r="D1057" s="143" t="s">
        <v>346</v>
      </c>
      <c r="E1057" s="144"/>
      <c r="F1057" s="145" t="s">
        <v>1068</v>
      </c>
      <c r="H1057" s="144"/>
      <c r="L1057" s="142"/>
      <c r="M1057" s="146"/>
      <c r="T1057" s="147"/>
      <c r="AT1057" s="144" t="s">
        <v>346</v>
      </c>
      <c r="AU1057" s="144" t="s">
        <v>90</v>
      </c>
      <c r="AV1057" s="141" t="s">
        <v>87</v>
      </c>
      <c r="AW1057" s="141" t="s">
        <v>33</v>
      </c>
      <c r="AX1057" s="141" t="s">
        <v>80</v>
      </c>
      <c r="AY1057" s="144" t="s">
        <v>337</v>
      </c>
    </row>
    <row r="1058" spans="2:65" s="141" customFormat="1" x14ac:dyDescent="0.2">
      <c r="B1058" s="142"/>
      <c r="D1058" s="143" t="s">
        <v>346</v>
      </c>
      <c r="E1058" s="144"/>
      <c r="F1058" s="145" t="s">
        <v>357</v>
      </c>
      <c r="H1058" s="144"/>
      <c r="L1058" s="142"/>
      <c r="M1058" s="146"/>
      <c r="T1058" s="147"/>
      <c r="AT1058" s="144" t="s">
        <v>346</v>
      </c>
      <c r="AU1058" s="144" t="s">
        <v>90</v>
      </c>
      <c r="AV1058" s="141" t="s">
        <v>87</v>
      </c>
      <c r="AW1058" s="141" t="s">
        <v>33</v>
      </c>
      <c r="AX1058" s="141" t="s">
        <v>80</v>
      </c>
      <c r="AY1058" s="144" t="s">
        <v>337</v>
      </c>
    </row>
    <row r="1059" spans="2:65" s="148" customFormat="1" x14ac:dyDescent="0.2">
      <c r="B1059" s="149"/>
      <c r="D1059" s="143" t="s">
        <v>346</v>
      </c>
      <c r="E1059" s="150"/>
      <c r="F1059" s="151" t="s">
        <v>1176</v>
      </c>
      <c r="H1059" s="152">
        <v>30.4</v>
      </c>
      <c r="L1059" s="149"/>
      <c r="M1059" s="153"/>
      <c r="T1059" s="154"/>
      <c r="AT1059" s="150" t="s">
        <v>346</v>
      </c>
      <c r="AU1059" s="150" t="s">
        <v>90</v>
      </c>
      <c r="AV1059" s="148" t="s">
        <v>90</v>
      </c>
      <c r="AW1059" s="148" t="s">
        <v>33</v>
      </c>
      <c r="AX1059" s="148" t="s">
        <v>80</v>
      </c>
      <c r="AY1059" s="150" t="s">
        <v>337</v>
      </c>
    </row>
    <row r="1060" spans="2:65" s="141" customFormat="1" x14ac:dyDescent="0.2">
      <c r="B1060" s="142"/>
      <c r="D1060" s="143" t="s">
        <v>346</v>
      </c>
      <c r="E1060" s="144"/>
      <c r="F1060" s="145" t="s">
        <v>362</v>
      </c>
      <c r="H1060" s="144"/>
      <c r="L1060" s="142"/>
      <c r="M1060" s="146"/>
      <c r="T1060" s="147"/>
      <c r="AT1060" s="144" t="s">
        <v>346</v>
      </c>
      <c r="AU1060" s="144" t="s">
        <v>90</v>
      </c>
      <c r="AV1060" s="141" t="s">
        <v>87</v>
      </c>
      <c r="AW1060" s="141" t="s">
        <v>33</v>
      </c>
      <c r="AX1060" s="141" t="s">
        <v>80</v>
      </c>
      <c r="AY1060" s="144" t="s">
        <v>337</v>
      </c>
    </row>
    <row r="1061" spans="2:65" s="148" customFormat="1" x14ac:dyDescent="0.2">
      <c r="B1061" s="149"/>
      <c r="D1061" s="143" t="s">
        <v>346</v>
      </c>
      <c r="E1061" s="150"/>
      <c r="F1061" s="151" t="s">
        <v>1177</v>
      </c>
      <c r="H1061" s="152">
        <v>27.06</v>
      </c>
      <c r="L1061" s="149"/>
      <c r="M1061" s="153"/>
      <c r="T1061" s="154"/>
      <c r="AT1061" s="150" t="s">
        <v>346</v>
      </c>
      <c r="AU1061" s="150" t="s">
        <v>90</v>
      </c>
      <c r="AV1061" s="148" t="s">
        <v>90</v>
      </c>
      <c r="AW1061" s="148" t="s">
        <v>33</v>
      </c>
      <c r="AX1061" s="148" t="s">
        <v>80</v>
      </c>
      <c r="AY1061" s="150" t="s">
        <v>337</v>
      </c>
    </row>
    <row r="1062" spans="2:65" s="141" customFormat="1" x14ac:dyDescent="0.2">
      <c r="B1062" s="142"/>
      <c r="D1062" s="143" t="s">
        <v>346</v>
      </c>
      <c r="E1062" s="144"/>
      <c r="F1062" s="145" t="s">
        <v>367</v>
      </c>
      <c r="H1062" s="144"/>
      <c r="L1062" s="142"/>
      <c r="M1062" s="146"/>
      <c r="T1062" s="147"/>
      <c r="AT1062" s="144" t="s">
        <v>346</v>
      </c>
      <c r="AU1062" s="144" t="s">
        <v>90</v>
      </c>
      <c r="AV1062" s="141" t="s">
        <v>87</v>
      </c>
      <c r="AW1062" s="141" t="s">
        <v>33</v>
      </c>
      <c r="AX1062" s="141" t="s">
        <v>80</v>
      </c>
      <c r="AY1062" s="144" t="s">
        <v>337</v>
      </c>
    </row>
    <row r="1063" spans="2:65" s="148" customFormat="1" x14ac:dyDescent="0.2">
      <c r="B1063" s="149"/>
      <c r="D1063" s="143" t="s">
        <v>346</v>
      </c>
      <c r="E1063" s="150"/>
      <c r="F1063" s="151" t="s">
        <v>1178</v>
      </c>
      <c r="H1063" s="152">
        <v>39.770000000000003</v>
      </c>
      <c r="L1063" s="149"/>
      <c r="M1063" s="153"/>
      <c r="T1063" s="154"/>
      <c r="AT1063" s="150" t="s">
        <v>346</v>
      </c>
      <c r="AU1063" s="150" t="s">
        <v>90</v>
      </c>
      <c r="AV1063" s="148" t="s">
        <v>90</v>
      </c>
      <c r="AW1063" s="148" t="s">
        <v>33</v>
      </c>
      <c r="AX1063" s="148" t="s">
        <v>80</v>
      </c>
      <c r="AY1063" s="150" t="s">
        <v>337</v>
      </c>
    </row>
    <row r="1064" spans="2:65" s="141" customFormat="1" x14ac:dyDescent="0.2">
      <c r="B1064" s="142"/>
      <c r="D1064" s="143" t="s">
        <v>346</v>
      </c>
      <c r="E1064" s="144"/>
      <c r="F1064" s="145" t="s">
        <v>368</v>
      </c>
      <c r="H1064" s="144"/>
      <c r="L1064" s="142"/>
      <c r="M1064" s="146"/>
      <c r="T1064" s="147"/>
      <c r="AT1064" s="144" t="s">
        <v>346</v>
      </c>
      <c r="AU1064" s="144" t="s">
        <v>90</v>
      </c>
      <c r="AV1064" s="141" t="s">
        <v>87</v>
      </c>
      <c r="AW1064" s="141" t="s">
        <v>33</v>
      </c>
      <c r="AX1064" s="141" t="s">
        <v>80</v>
      </c>
      <c r="AY1064" s="144" t="s">
        <v>337</v>
      </c>
    </row>
    <row r="1065" spans="2:65" s="148" customFormat="1" x14ac:dyDescent="0.2">
      <c r="B1065" s="149"/>
      <c r="D1065" s="143" t="s">
        <v>346</v>
      </c>
      <c r="E1065" s="150"/>
      <c r="F1065" s="151" t="s">
        <v>1179</v>
      </c>
      <c r="H1065" s="152">
        <v>46.35</v>
      </c>
      <c r="L1065" s="149"/>
      <c r="M1065" s="153"/>
      <c r="T1065" s="154"/>
      <c r="AT1065" s="150" t="s">
        <v>346</v>
      </c>
      <c r="AU1065" s="150" t="s">
        <v>90</v>
      </c>
      <c r="AV1065" s="148" t="s">
        <v>90</v>
      </c>
      <c r="AW1065" s="148" t="s">
        <v>33</v>
      </c>
      <c r="AX1065" s="148" t="s">
        <v>80</v>
      </c>
      <c r="AY1065" s="150" t="s">
        <v>337</v>
      </c>
    </row>
    <row r="1066" spans="2:65" s="141" customFormat="1" x14ac:dyDescent="0.2">
      <c r="B1066" s="142"/>
      <c r="D1066" s="143" t="s">
        <v>346</v>
      </c>
      <c r="E1066" s="144"/>
      <c r="F1066" s="145" t="s">
        <v>370</v>
      </c>
      <c r="H1066" s="144"/>
      <c r="L1066" s="142"/>
      <c r="M1066" s="146"/>
      <c r="T1066" s="147"/>
      <c r="AT1066" s="144" t="s">
        <v>346</v>
      </c>
      <c r="AU1066" s="144" t="s">
        <v>90</v>
      </c>
      <c r="AV1066" s="141" t="s">
        <v>87</v>
      </c>
      <c r="AW1066" s="141" t="s">
        <v>33</v>
      </c>
      <c r="AX1066" s="141" t="s">
        <v>80</v>
      </c>
      <c r="AY1066" s="144" t="s">
        <v>337</v>
      </c>
    </row>
    <row r="1067" spans="2:65" s="148" customFormat="1" x14ac:dyDescent="0.2">
      <c r="B1067" s="149"/>
      <c r="D1067" s="143" t="s">
        <v>346</v>
      </c>
      <c r="E1067" s="150"/>
      <c r="F1067" s="151" t="s">
        <v>1180</v>
      </c>
      <c r="H1067" s="152">
        <v>42.46</v>
      </c>
      <c r="L1067" s="149"/>
      <c r="M1067" s="153"/>
      <c r="T1067" s="154"/>
      <c r="AT1067" s="150" t="s">
        <v>346</v>
      </c>
      <c r="AU1067" s="150" t="s">
        <v>90</v>
      </c>
      <c r="AV1067" s="148" t="s">
        <v>90</v>
      </c>
      <c r="AW1067" s="148" t="s">
        <v>33</v>
      </c>
      <c r="AX1067" s="148" t="s">
        <v>80</v>
      </c>
      <c r="AY1067" s="150" t="s">
        <v>337</v>
      </c>
    </row>
    <row r="1068" spans="2:65" s="141" customFormat="1" x14ac:dyDescent="0.2">
      <c r="B1068" s="142"/>
      <c r="D1068" s="143" t="s">
        <v>346</v>
      </c>
      <c r="E1068" s="144"/>
      <c r="F1068" s="145" t="s">
        <v>434</v>
      </c>
      <c r="H1068" s="144"/>
      <c r="L1068" s="142"/>
      <c r="M1068" s="146"/>
      <c r="T1068" s="147"/>
      <c r="AT1068" s="144" t="s">
        <v>346</v>
      </c>
      <c r="AU1068" s="144" t="s">
        <v>90</v>
      </c>
      <c r="AV1068" s="141" t="s">
        <v>87</v>
      </c>
      <c r="AW1068" s="141" t="s">
        <v>33</v>
      </c>
      <c r="AX1068" s="141" t="s">
        <v>80</v>
      </c>
      <c r="AY1068" s="144" t="s">
        <v>337</v>
      </c>
    </row>
    <row r="1069" spans="2:65" s="148" customFormat="1" x14ac:dyDescent="0.2">
      <c r="B1069" s="149"/>
      <c r="D1069" s="143" t="s">
        <v>346</v>
      </c>
      <c r="E1069" s="150"/>
      <c r="F1069" s="151" t="s">
        <v>1181</v>
      </c>
      <c r="H1069" s="152">
        <v>25.7</v>
      </c>
      <c r="L1069" s="149"/>
      <c r="M1069" s="153"/>
      <c r="T1069" s="154"/>
      <c r="AT1069" s="150" t="s">
        <v>346</v>
      </c>
      <c r="AU1069" s="150" t="s">
        <v>90</v>
      </c>
      <c r="AV1069" s="148" t="s">
        <v>90</v>
      </c>
      <c r="AW1069" s="148" t="s">
        <v>33</v>
      </c>
      <c r="AX1069" s="148" t="s">
        <v>80</v>
      </c>
      <c r="AY1069" s="150" t="s">
        <v>337</v>
      </c>
    </row>
    <row r="1070" spans="2:65" s="172" customFormat="1" x14ac:dyDescent="0.2">
      <c r="B1070" s="173"/>
      <c r="D1070" s="143" t="s">
        <v>346</v>
      </c>
      <c r="E1070" s="174" t="s">
        <v>202</v>
      </c>
      <c r="F1070" s="175" t="s">
        <v>609</v>
      </c>
      <c r="H1070" s="176">
        <v>211.74</v>
      </c>
      <c r="L1070" s="173"/>
      <c r="M1070" s="177"/>
      <c r="T1070" s="178"/>
      <c r="AT1070" s="174" t="s">
        <v>346</v>
      </c>
      <c r="AU1070" s="174" t="s">
        <v>90</v>
      </c>
      <c r="AV1070" s="172" t="s">
        <v>113</v>
      </c>
      <c r="AW1070" s="172" t="s">
        <v>33</v>
      </c>
      <c r="AX1070" s="172" t="s">
        <v>87</v>
      </c>
      <c r="AY1070" s="174" t="s">
        <v>337</v>
      </c>
    </row>
    <row r="1071" spans="2:65" s="16" customFormat="1" ht="16.5" customHeight="1" x14ac:dyDescent="0.2">
      <c r="B1071" s="17"/>
      <c r="C1071" s="128">
        <v>108</v>
      </c>
      <c r="D1071" s="128" t="s">
        <v>339</v>
      </c>
      <c r="E1071" s="129" t="s">
        <v>1182</v>
      </c>
      <c r="F1071" s="130" t="s">
        <v>1183</v>
      </c>
      <c r="G1071" s="131" t="s">
        <v>724</v>
      </c>
      <c r="H1071" s="132">
        <v>516.89499999999998</v>
      </c>
      <c r="I1071" s="133"/>
      <c r="J1071" s="134">
        <f>ROUND(I1071*H1071,2)</f>
        <v>0</v>
      </c>
      <c r="K1071" s="130" t="s">
        <v>343</v>
      </c>
      <c r="L1071" s="17"/>
      <c r="M1071" s="135"/>
      <c r="N1071" s="136" t="s">
        <v>45</v>
      </c>
      <c r="P1071" s="137">
        <f>O1071*H1071</f>
        <v>0</v>
      </c>
      <c r="Q1071" s="137">
        <v>4.3800000000000002E-3</v>
      </c>
      <c r="R1071" s="137">
        <f>Q1071*H1071</f>
        <v>2.2640001000000001</v>
      </c>
      <c r="S1071" s="137">
        <v>0</v>
      </c>
      <c r="T1071" s="138">
        <f>S1071*H1071</f>
        <v>0</v>
      </c>
      <c r="AR1071" s="139" t="s">
        <v>496</v>
      </c>
      <c r="AT1071" s="139" t="s">
        <v>339</v>
      </c>
      <c r="AU1071" s="139" t="s">
        <v>90</v>
      </c>
      <c r="AY1071" s="2" t="s">
        <v>337</v>
      </c>
      <c r="BE1071" s="140">
        <f>IF(N1071="základní",J1071,0)</f>
        <v>0</v>
      </c>
      <c r="BF1071" s="140">
        <f>IF(N1071="snížená",J1071,0)</f>
        <v>0</v>
      </c>
      <c r="BG1071" s="140">
        <f>IF(N1071="zákl. přenesená",J1071,0)</f>
        <v>0</v>
      </c>
      <c r="BH1071" s="140">
        <f>IF(N1071="sníž. přenesená",J1071,0)</f>
        <v>0</v>
      </c>
      <c r="BI1071" s="140">
        <f>IF(N1071="nulová",J1071,0)</f>
        <v>0</v>
      </c>
      <c r="BJ1071" s="2" t="s">
        <v>87</v>
      </c>
      <c r="BK1071" s="140">
        <f>ROUND(I1071*H1071,2)</f>
        <v>0</v>
      </c>
      <c r="BL1071" s="2" t="s">
        <v>496</v>
      </c>
      <c r="BM1071" s="139" t="s">
        <v>1184</v>
      </c>
    </row>
    <row r="1072" spans="2:65" s="141" customFormat="1" x14ac:dyDescent="0.2">
      <c r="B1072" s="142"/>
      <c r="D1072" s="143" t="s">
        <v>346</v>
      </c>
      <c r="E1072" s="144"/>
      <c r="F1072" s="145" t="s">
        <v>1185</v>
      </c>
      <c r="H1072" s="144"/>
      <c r="L1072" s="142"/>
      <c r="M1072" s="146"/>
      <c r="T1072" s="147"/>
      <c r="AT1072" s="144" t="s">
        <v>346</v>
      </c>
      <c r="AU1072" s="144" t="s">
        <v>90</v>
      </c>
      <c r="AV1072" s="141" t="s">
        <v>87</v>
      </c>
      <c r="AW1072" s="141" t="s">
        <v>33</v>
      </c>
      <c r="AX1072" s="141" t="s">
        <v>80</v>
      </c>
      <c r="AY1072" s="144" t="s">
        <v>337</v>
      </c>
    </row>
    <row r="1073" spans="2:51" s="141" customFormat="1" x14ac:dyDescent="0.2">
      <c r="B1073" s="142"/>
      <c r="D1073" s="143" t="s">
        <v>346</v>
      </c>
      <c r="E1073" s="144"/>
      <c r="F1073" s="145" t="s">
        <v>357</v>
      </c>
      <c r="H1073" s="144"/>
      <c r="L1073" s="142"/>
      <c r="M1073" s="146"/>
      <c r="T1073" s="147"/>
      <c r="AT1073" s="144" t="s">
        <v>346</v>
      </c>
      <c r="AU1073" s="144" t="s">
        <v>90</v>
      </c>
      <c r="AV1073" s="141" t="s">
        <v>87</v>
      </c>
      <c r="AW1073" s="141" t="s">
        <v>33</v>
      </c>
      <c r="AX1073" s="141" t="s">
        <v>80</v>
      </c>
      <c r="AY1073" s="144" t="s">
        <v>337</v>
      </c>
    </row>
    <row r="1074" spans="2:51" s="141" customFormat="1" x14ac:dyDescent="0.2">
      <c r="B1074" s="142"/>
      <c r="D1074" s="143" t="s">
        <v>346</v>
      </c>
      <c r="E1074" s="144"/>
      <c r="F1074" s="145" t="s">
        <v>1186</v>
      </c>
      <c r="H1074" s="144"/>
      <c r="L1074" s="142"/>
      <c r="M1074" s="146"/>
      <c r="T1074" s="147"/>
      <c r="AT1074" s="144" t="s">
        <v>346</v>
      </c>
      <c r="AU1074" s="144" t="s">
        <v>90</v>
      </c>
      <c r="AV1074" s="141" t="s">
        <v>87</v>
      </c>
      <c r="AW1074" s="141" t="s">
        <v>33</v>
      </c>
      <c r="AX1074" s="141" t="s">
        <v>80</v>
      </c>
      <c r="AY1074" s="144" t="s">
        <v>337</v>
      </c>
    </row>
    <row r="1075" spans="2:51" s="148" customFormat="1" x14ac:dyDescent="0.2">
      <c r="B1075" s="149"/>
      <c r="D1075" s="143" t="s">
        <v>346</v>
      </c>
      <c r="E1075" s="150"/>
      <c r="F1075" s="151" t="s">
        <v>1187</v>
      </c>
      <c r="H1075" s="152">
        <v>2.4</v>
      </c>
      <c r="L1075" s="149"/>
      <c r="M1075" s="153"/>
      <c r="T1075" s="154"/>
      <c r="AT1075" s="150" t="s">
        <v>346</v>
      </c>
      <c r="AU1075" s="150" t="s">
        <v>90</v>
      </c>
      <c r="AV1075" s="148" t="s">
        <v>90</v>
      </c>
      <c r="AW1075" s="148" t="s">
        <v>33</v>
      </c>
      <c r="AX1075" s="148" t="s">
        <v>80</v>
      </c>
      <c r="AY1075" s="150" t="s">
        <v>337</v>
      </c>
    </row>
    <row r="1076" spans="2:51" s="141" customFormat="1" x14ac:dyDescent="0.2">
      <c r="B1076" s="142"/>
      <c r="D1076" s="143" t="s">
        <v>346</v>
      </c>
      <c r="E1076" s="144"/>
      <c r="F1076" s="145" t="s">
        <v>1188</v>
      </c>
      <c r="H1076" s="144"/>
      <c r="L1076" s="142"/>
      <c r="M1076" s="146"/>
      <c r="T1076" s="147"/>
      <c r="AT1076" s="144" t="s">
        <v>346</v>
      </c>
      <c r="AU1076" s="144" t="s">
        <v>90</v>
      </c>
      <c r="AV1076" s="141" t="s">
        <v>87</v>
      </c>
      <c r="AW1076" s="141" t="s">
        <v>33</v>
      </c>
      <c r="AX1076" s="141" t="s">
        <v>80</v>
      </c>
      <c r="AY1076" s="144" t="s">
        <v>337</v>
      </c>
    </row>
    <row r="1077" spans="2:51" s="141" customFormat="1" x14ac:dyDescent="0.2">
      <c r="B1077" s="142"/>
      <c r="D1077" s="143" t="s">
        <v>346</v>
      </c>
      <c r="E1077" s="144"/>
      <c r="F1077" s="145" t="s">
        <v>357</v>
      </c>
      <c r="H1077" s="144"/>
      <c r="L1077" s="142"/>
      <c r="M1077" s="146"/>
      <c r="T1077" s="147"/>
      <c r="AT1077" s="144" t="s">
        <v>346</v>
      </c>
      <c r="AU1077" s="144" t="s">
        <v>90</v>
      </c>
      <c r="AV1077" s="141" t="s">
        <v>87</v>
      </c>
      <c r="AW1077" s="141" t="s">
        <v>33</v>
      </c>
      <c r="AX1077" s="141" t="s">
        <v>80</v>
      </c>
      <c r="AY1077" s="144" t="s">
        <v>337</v>
      </c>
    </row>
    <row r="1078" spans="2:51" s="141" customFormat="1" x14ac:dyDescent="0.2">
      <c r="B1078" s="142"/>
      <c r="D1078" s="143" t="s">
        <v>346</v>
      </c>
      <c r="E1078" s="144"/>
      <c r="F1078" s="145" t="s">
        <v>1118</v>
      </c>
      <c r="H1078" s="144"/>
      <c r="L1078" s="142"/>
      <c r="M1078" s="146"/>
      <c r="T1078" s="147"/>
      <c r="AT1078" s="144" t="s">
        <v>346</v>
      </c>
      <c r="AU1078" s="144" t="s">
        <v>90</v>
      </c>
      <c r="AV1078" s="141" t="s">
        <v>87</v>
      </c>
      <c r="AW1078" s="141" t="s">
        <v>33</v>
      </c>
      <c r="AX1078" s="141" t="s">
        <v>80</v>
      </c>
      <c r="AY1078" s="144" t="s">
        <v>337</v>
      </c>
    </row>
    <row r="1079" spans="2:51" s="148" customFormat="1" x14ac:dyDescent="0.2">
      <c r="B1079" s="149"/>
      <c r="D1079" s="143" t="s">
        <v>346</v>
      </c>
      <c r="E1079" s="150"/>
      <c r="F1079" s="151" t="s">
        <v>1189</v>
      </c>
      <c r="H1079" s="152">
        <v>12.2</v>
      </c>
      <c r="L1079" s="149"/>
      <c r="M1079" s="153"/>
      <c r="T1079" s="154"/>
      <c r="AT1079" s="150" t="s">
        <v>346</v>
      </c>
      <c r="AU1079" s="150" t="s">
        <v>90</v>
      </c>
      <c r="AV1079" s="148" t="s">
        <v>90</v>
      </c>
      <c r="AW1079" s="148" t="s">
        <v>33</v>
      </c>
      <c r="AX1079" s="148" t="s">
        <v>80</v>
      </c>
      <c r="AY1079" s="150" t="s">
        <v>337</v>
      </c>
    </row>
    <row r="1080" spans="2:51" s="141" customFormat="1" x14ac:dyDescent="0.2">
      <c r="B1080" s="142"/>
      <c r="D1080" s="143" t="s">
        <v>346</v>
      </c>
      <c r="E1080" s="144"/>
      <c r="F1080" s="145" t="s">
        <v>1190</v>
      </c>
      <c r="H1080" s="144"/>
      <c r="L1080" s="142"/>
      <c r="M1080" s="146"/>
      <c r="T1080" s="147"/>
      <c r="AT1080" s="144" t="s">
        <v>346</v>
      </c>
      <c r="AU1080" s="144" t="s">
        <v>90</v>
      </c>
      <c r="AV1080" s="141" t="s">
        <v>87</v>
      </c>
      <c r="AW1080" s="141" t="s">
        <v>33</v>
      </c>
      <c r="AX1080" s="141" t="s">
        <v>80</v>
      </c>
      <c r="AY1080" s="144" t="s">
        <v>337</v>
      </c>
    </row>
    <row r="1081" spans="2:51" s="148" customFormat="1" x14ac:dyDescent="0.2">
      <c r="B1081" s="149"/>
      <c r="D1081" s="143" t="s">
        <v>346</v>
      </c>
      <c r="E1081" s="150"/>
      <c r="F1081" s="151" t="s">
        <v>1191</v>
      </c>
      <c r="H1081" s="152">
        <v>2.25</v>
      </c>
      <c r="L1081" s="149"/>
      <c r="M1081" s="153"/>
      <c r="T1081" s="154"/>
      <c r="AT1081" s="150" t="s">
        <v>346</v>
      </c>
      <c r="AU1081" s="150" t="s">
        <v>90</v>
      </c>
      <c r="AV1081" s="148" t="s">
        <v>90</v>
      </c>
      <c r="AW1081" s="148" t="s">
        <v>33</v>
      </c>
      <c r="AX1081" s="148" t="s">
        <v>80</v>
      </c>
      <c r="AY1081" s="150" t="s">
        <v>337</v>
      </c>
    </row>
    <row r="1082" spans="2:51" s="141" customFormat="1" x14ac:dyDescent="0.2">
      <c r="B1082" s="142"/>
      <c r="D1082" s="143" t="s">
        <v>346</v>
      </c>
      <c r="E1082" s="144"/>
      <c r="F1082" s="145" t="s">
        <v>362</v>
      </c>
      <c r="H1082" s="144"/>
      <c r="L1082" s="142"/>
      <c r="M1082" s="146"/>
      <c r="T1082" s="147"/>
      <c r="AT1082" s="144" t="s">
        <v>346</v>
      </c>
      <c r="AU1082" s="144" t="s">
        <v>90</v>
      </c>
      <c r="AV1082" s="141" t="s">
        <v>87</v>
      </c>
      <c r="AW1082" s="141" t="s">
        <v>33</v>
      </c>
      <c r="AX1082" s="141" t="s">
        <v>80</v>
      </c>
      <c r="AY1082" s="144" t="s">
        <v>337</v>
      </c>
    </row>
    <row r="1083" spans="2:51" s="141" customFormat="1" x14ac:dyDescent="0.2">
      <c r="B1083" s="142"/>
      <c r="D1083" s="143" t="s">
        <v>346</v>
      </c>
      <c r="E1083" s="144"/>
      <c r="F1083" s="145" t="s">
        <v>1192</v>
      </c>
      <c r="H1083" s="144"/>
      <c r="L1083" s="142"/>
      <c r="M1083" s="146"/>
      <c r="T1083" s="147"/>
      <c r="AT1083" s="144" t="s">
        <v>346</v>
      </c>
      <c r="AU1083" s="144" t="s">
        <v>90</v>
      </c>
      <c r="AV1083" s="141" t="s">
        <v>87</v>
      </c>
      <c r="AW1083" s="141" t="s">
        <v>33</v>
      </c>
      <c r="AX1083" s="141" t="s">
        <v>80</v>
      </c>
      <c r="AY1083" s="144" t="s">
        <v>337</v>
      </c>
    </row>
    <row r="1084" spans="2:51" s="148" customFormat="1" x14ac:dyDescent="0.2">
      <c r="B1084" s="149"/>
      <c r="D1084" s="143" t="s">
        <v>346</v>
      </c>
      <c r="E1084" s="150"/>
      <c r="F1084" s="151" t="s">
        <v>1193</v>
      </c>
      <c r="H1084" s="152">
        <v>24.75</v>
      </c>
      <c r="L1084" s="149"/>
      <c r="M1084" s="153"/>
      <c r="T1084" s="154"/>
      <c r="AT1084" s="150" t="s">
        <v>346</v>
      </c>
      <c r="AU1084" s="150" t="s">
        <v>90</v>
      </c>
      <c r="AV1084" s="148" t="s">
        <v>90</v>
      </c>
      <c r="AW1084" s="148" t="s">
        <v>33</v>
      </c>
      <c r="AX1084" s="148" t="s">
        <v>80</v>
      </c>
      <c r="AY1084" s="150" t="s">
        <v>337</v>
      </c>
    </row>
    <row r="1085" spans="2:51" s="141" customFormat="1" x14ac:dyDescent="0.2">
      <c r="B1085" s="142"/>
      <c r="D1085" s="143" t="s">
        <v>346</v>
      </c>
      <c r="E1085" s="144"/>
      <c r="F1085" s="145" t="s">
        <v>1194</v>
      </c>
      <c r="H1085" s="144"/>
      <c r="L1085" s="142"/>
      <c r="M1085" s="146"/>
      <c r="T1085" s="147"/>
      <c r="AT1085" s="144" t="s">
        <v>346</v>
      </c>
      <c r="AU1085" s="144" t="s">
        <v>90</v>
      </c>
      <c r="AV1085" s="141" t="s">
        <v>87</v>
      </c>
      <c r="AW1085" s="141" t="s">
        <v>33</v>
      </c>
      <c r="AX1085" s="141" t="s">
        <v>80</v>
      </c>
      <c r="AY1085" s="144" t="s">
        <v>337</v>
      </c>
    </row>
    <row r="1086" spans="2:51" s="148" customFormat="1" x14ac:dyDescent="0.2">
      <c r="B1086" s="149"/>
      <c r="D1086" s="143" t="s">
        <v>346</v>
      </c>
      <c r="E1086" s="150"/>
      <c r="F1086" s="151" t="s">
        <v>1195</v>
      </c>
      <c r="H1086" s="152">
        <v>3.35</v>
      </c>
      <c r="L1086" s="149"/>
      <c r="M1086" s="153"/>
      <c r="T1086" s="154"/>
      <c r="AT1086" s="150" t="s">
        <v>346</v>
      </c>
      <c r="AU1086" s="150" t="s">
        <v>90</v>
      </c>
      <c r="AV1086" s="148" t="s">
        <v>90</v>
      </c>
      <c r="AW1086" s="148" t="s">
        <v>33</v>
      </c>
      <c r="AX1086" s="148" t="s">
        <v>80</v>
      </c>
      <c r="AY1086" s="150" t="s">
        <v>337</v>
      </c>
    </row>
    <row r="1087" spans="2:51" s="141" customFormat="1" x14ac:dyDescent="0.2">
      <c r="B1087" s="142"/>
      <c r="D1087" s="143" t="s">
        <v>346</v>
      </c>
      <c r="E1087" s="144"/>
      <c r="F1087" s="145" t="s">
        <v>1196</v>
      </c>
      <c r="H1087" s="144"/>
      <c r="L1087" s="142"/>
      <c r="M1087" s="146"/>
      <c r="T1087" s="147"/>
      <c r="AT1087" s="144" t="s">
        <v>346</v>
      </c>
      <c r="AU1087" s="144" t="s">
        <v>90</v>
      </c>
      <c r="AV1087" s="141" t="s">
        <v>87</v>
      </c>
      <c r="AW1087" s="141" t="s">
        <v>33</v>
      </c>
      <c r="AX1087" s="141" t="s">
        <v>80</v>
      </c>
      <c r="AY1087" s="144" t="s">
        <v>337</v>
      </c>
    </row>
    <row r="1088" spans="2:51" s="148" customFormat="1" x14ac:dyDescent="0.2">
      <c r="B1088" s="149"/>
      <c r="D1088" s="143" t="s">
        <v>346</v>
      </c>
      <c r="E1088" s="150"/>
      <c r="F1088" s="151" t="s">
        <v>1197</v>
      </c>
      <c r="H1088" s="152">
        <v>32.6</v>
      </c>
      <c r="L1088" s="149"/>
      <c r="M1088" s="153"/>
      <c r="T1088" s="154"/>
      <c r="AT1088" s="150" t="s">
        <v>346</v>
      </c>
      <c r="AU1088" s="150" t="s">
        <v>90</v>
      </c>
      <c r="AV1088" s="148" t="s">
        <v>90</v>
      </c>
      <c r="AW1088" s="148" t="s">
        <v>33</v>
      </c>
      <c r="AX1088" s="148" t="s">
        <v>80</v>
      </c>
      <c r="AY1088" s="150" t="s">
        <v>337</v>
      </c>
    </row>
    <row r="1089" spans="2:51" s="141" customFormat="1" x14ac:dyDescent="0.2">
      <c r="B1089" s="142"/>
      <c r="D1089" s="143" t="s">
        <v>346</v>
      </c>
      <c r="E1089" s="144"/>
      <c r="F1089" s="145" t="s">
        <v>1076</v>
      </c>
      <c r="H1089" s="144"/>
      <c r="L1089" s="142"/>
      <c r="M1089" s="146"/>
      <c r="T1089" s="147"/>
      <c r="AT1089" s="144" t="s">
        <v>346</v>
      </c>
      <c r="AU1089" s="144" t="s">
        <v>90</v>
      </c>
      <c r="AV1089" s="141" t="s">
        <v>87</v>
      </c>
      <c r="AW1089" s="141" t="s">
        <v>33</v>
      </c>
      <c r="AX1089" s="141" t="s">
        <v>80</v>
      </c>
      <c r="AY1089" s="144" t="s">
        <v>337</v>
      </c>
    </row>
    <row r="1090" spans="2:51" s="148" customFormat="1" x14ac:dyDescent="0.2">
      <c r="B1090" s="149"/>
      <c r="D1090" s="143" t="s">
        <v>346</v>
      </c>
      <c r="E1090" s="150"/>
      <c r="F1090" s="151" t="s">
        <v>1198</v>
      </c>
      <c r="H1090" s="152">
        <v>107.25</v>
      </c>
      <c r="L1090" s="149"/>
      <c r="M1090" s="153"/>
      <c r="T1090" s="154"/>
      <c r="AT1090" s="150" t="s">
        <v>346</v>
      </c>
      <c r="AU1090" s="150" t="s">
        <v>90</v>
      </c>
      <c r="AV1090" s="148" t="s">
        <v>90</v>
      </c>
      <c r="AW1090" s="148" t="s">
        <v>33</v>
      </c>
      <c r="AX1090" s="148" t="s">
        <v>80</v>
      </c>
      <c r="AY1090" s="150" t="s">
        <v>337</v>
      </c>
    </row>
    <row r="1091" spans="2:51" s="148" customFormat="1" x14ac:dyDescent="0.2">
      <c r="B1091" s="149"/>
      <c r="D1091" s="143" t="s">
        <v>346</v>
      </c>
      <c r="E1091" s="150"/>
      <c r="F1091" s="151" t="s">
        <v>1199</v>
      </c>
      <c r="H1091" s="152">
        <v>10.050000000000001</v>
      </c>
      <c r="L1091" s="149"/>
      <c r="M1091" s="153"/>
      <c r="T1091" s="154"/>
      <c r="AT1091" s="150" t="s">
        <v>346</v>
      </c>
      <c r="AU1091" s="150" t="s">
        <v>90</v>
      </c>
      <c r="AV1091" s="148" t="s">
        <v>90</v>
      </c>
      <c r="AW1091" s="148" t="s">
        <v>33</v>
      </c>
      <c r="AX1091" s="148" t="s">
        <v>80</v>
      </c>
      <c r="AY1091" s="150" t="s">
        <v>337</v>
      </c>
    </row>
    <row r="1092" spans="2:51" s="141" customFormat="1" x14ac:dyDescent="0.2">
      <c r="B1092" s="142"/>
      <c r="D1092" s="143" t="s">
        <v>346</v>
      </c>
      <c r="E1092" s="144"/>
      <c r="F1092" s="145" t="s">
        <v>1200</v>
      </c>
      <c r="H1092" s="144"/>
      <c r="L1092" s="142"/>
      <c r="M1092" s="146"/>
      <c r="T1092" s="147"/>
      <c r="AT1092" s="144" t="s">
        <v>346</v>
      </c>
      <c r="AU1092" s="144" t="s">
        <v>90</v>
      </c>
      <c r="AV1092" s="141" t="s">
        <v>87</v>
      </c>
      <c r="AW1092" s="141" t="s">
        <v>33</v>
      </c>
      <c r="AX1092" s="141" t="s">
        <v>80</v>
      </c>
      <c r="AY1092" s="144" t="s">
        <v>337</v>
      </c>
    </row>
    <row r="1093" spans="2:51" s="148" customFormat="1" x14ac:dyDescent="0.2">
      <c r="B1093" s="149"/>
      <c r="D1093" s="143" t="s">
        <v>346</v>
      </c>
      <c r="E1093" s="150"/>
      <c r="F1093" s="151" t="s">
        <v>1201</v>
      </c>
      <c r="H1093" s="152">
        <v>121.8</v>
      </c>
      <c r="L1093" s="149"/>
      <c r="M1093" s="153"/>
      <c r="T1093" s="154"/>
      <c r="AT1093" s="150" t="s">
        <v>346</v>
      </c>
      <c r="AU1093" s="150" t="s">
        <v>90</v>
      </c>
      <c r="AV1093" s="148" t="s">
        <v>90</v>
      </c>
      <c r="AW1093" s="148" t="s">
        <v>33</v>
      </c>
      <c r="AX1093" s="148" t="s">
        <v>80</v>
      </c>
      <c r="AY1093" s="150" t="s">
        <v>337</v>
      </c>
    </row>
    <row r="1094" spans="2:51" s="141" customFormat="1" x14ac:dyDescent="0.2">
      <c r="B1094" s="142"/>
      <c r="D1094" s="143" t="s">
        <v>346</v>
      </c>
      <c r="E1094" s="144"/>
      <c r="F1094" s="145" t="s">
        <v>1202</v>
      </c>
      <c r="H1094" s="144"/>
      <c r="L1094" s="142"/>
      <c r="M1094" s="146"/>
      <c r="T1094" s="147"/>
      <c r="AT1094" s="144" t="s">
        <v>346</v>
      </c>
      <c r="AU1094" s="144" t="s">
        <v>90</v>
      </c>
      <c r="AV1094" s="141" t="s">
        <v>87</v>
      </c>
      <c r="AW1094" s="141" t="s">
        <v>33</v>
      </c>
      <c r="AX1094" s="141" t="s">
        <v>80</v>
      </c>
      <c r="AY1094" s="144" t="s">
        <v>337</v>
      </c>
    </row>
    <row r="1095" spans="2:51" s="148" customFormat="1" x14ac:dyDescent="0.2">
      <c r="B1095" s="149"/>
      <c r="D1095" s="143" t="s">
        <v>346</v>
      </c>
      <c r="E1095" s="150"/>
      <c r="F1095" s="151" t="s">
        <v>1203</v>
      </c>
      <c r="H1095" s="152">
        <v>2.95</v>
      </c>
      <c r="L1095" s="149"/>
      <c r="M1095" s="153"/>
      <c r="T1095" s="154"/>
      <c r="AT1095" s="150" t="s">
        <v>346</v>
      </c>
      <c r="AU1095" s="150" t="s">
        <v>90</v>
      </c>
      <c r="AV1095" s="148" t="s">
        <v>90</v>
      </c>
      <c r="AW1095" s="148" t="s">
        <v>33</v>
      </c>
      <c r="AX1095" s="148" t="s">
        <v>80</v>
      </c>
      <c r="AY1095" s="150" t="s">
        <v>337</v>
      </c>
    </row>
    <row r="1096" spans="2:51" s="148" customFormat="1" x14ac:dyDescent="0.2">
      <c r="B1096" s="149"/>
      <c r="D1096" s="143" t="s">
        <v>346</v>
      </c>
      <c r="E1096" s="150"/>
      <c r="F1096" s="151" t="s">
        <v>1204</v>
      </c>
      <c r="H1096" s="152">
        <v>2.84</v>
      </c>
      <c r="L1096" s="149"/>
      <c r="M1096" s="153"/>
      <c r="T1096" s="154"/>
      <c r="AT1096" s="150" t="s">
        <v>346</v>
      </c>
      <c r="AU1096" s="150" t="s">
        <v>90</v>
      </c>
      <c r="AV1096" s="148" t="s">
        <v>90</v>
      </c>
      <c r="AW1096" s="148" t="s">
        <v>33</v>
      </c>
      <c r="AX1096" s="148" t="s">
        <v>80</v>
      </c>
      <c r="AY1096" s="150" t="s">
        <v>337</v>
      </c>
    </row>
    <row r="1097" spans="2:51" s="148" customFormat="1" x14ac:dyDescent="0.2">
      <c r="B1097" s="149"/>
      <c r="D1097" s="143" t="s">
        <v>346</v>
      </c>
      <c r="E1097" s="150"/>
      <c r="F1097" s="151" t="s">
        <v>1205</v>
      </c>
      <c r="H1097" s="152">
        <v>25.38</v>
      </c>
      <c r="L1097" s="149"/>
      <c r="M1097" s="153"/>
      <c r="T1097" s="154"/>
      <c r="AT1097" s="150" t="s">
        <v>346</v>
      </c>
      <c r="AU1097" s="150" t="s">
        <v>90</v>
      </c>
      <c r="AV1097" s="148" t="s">
        <v>90</v>
      </c>
      <c r="AW1097" s="148" t="s">
        <v>33</v>
      </c>
      <c r="AX1097" s="148" t="s">
        <v>80</v>
      </c>
      <c r="AY1097" s="150" t="s">
        <v>337</v>
      </c>
    </row>
    <row r="1098" spans="2:51" s="148" customFormat="1" x14ac:dyDescent="0.2">
      <c r="B1098" s="149"/>
      <c r="D1098" s="143" t="s">
        <v>346</v>
      </c>
      <c r="E1098" s="150"/>
      <c r="F1098" s="151" t="s">
        <v>1206</v>
      </c>
      <c r="H1098" s="152">
        <v>3.4</v>
      </c>
      <c r="L1098" s="149"/>
      <c r="M1098" s="153"/>
      <c r="T1098" s="154"/>
      <c r="AT1098" s="150" t="s">
        <v>346</v>
      </c>
      <c r="AU1098" s="150" t="s">
        <v>90</v>
      </c>
      <c r="AV1098" s="148" t="s">
        <v>90</v>
      </c>
      <c r="AW1098" s="148" t="s">
        <v>33</v>
      </c>
      <c r="AX1098" s="148" t="s">
        <v>80</v>
      </c>
      <c r="AY1098" s="150" t="s">
        <v>337</v>
      </c>
    </row>
    <row r="1099" spans="2:51" s="148" customFormat="1" x14ac:dyDescent="0.2">
      <c r="B1099" s="149"/>
      <c r="D1099" s="143" t="s">
        <v>346</v>
      </c>
      <c r="E1099" s="150"/>
      <c r="F1099" s="151" t="s">
        <v>1207</v>
      </c>
      <c r="H1099" s="152">
        <v>2.875</v>
      </c>
      <c r="L1099" s="149"/>
      <c r="M1099" s="153"/>
      <c r="T1099" s="154"/>
      <c r="AT1099" s="150" t="s">
        <v>346</v>
      </c>
      <c r="AU1099" s="150" t="s">
        <v>90</v>
      </c>
      <c r="AV1099" s="148" t="s">
        <v>90</v>
      </c>
      <c r="AW1099" s="148" t="s">
        <v>33</v>
      </c>
      <c r="AX1099" s="148" t="s">
        <v>80</v>
      </c>
      <c r="AY1099" s="150" t="s">
        <v>337</v>
      </c>
    </row>
    <row r="1100" spans="2:51" s="148" customFormat="1" x14ac:dyDescent="0.2">
      <c r="B1100" s="149"/>
      <c r="D1100" s="143" t="s">
        <v>346</v>
      </c>
      <c r="E1100" s="150"/>
      <c r="F1100" s="151" t="s">
        <v>1208</v>
      </c>
      <c r="H1100" s="152">
        <v>2.87</v>
      </c>
      <c r="L1100" s="149"/>
      <c r="M1100" s="153"/>
      <c r="T1100" s="154"/>
      <c r="AT1100" s="150" t="s">
        <v>346</v>
      </c>
      <c r="AU1100" s="150" t="s">
        <v>90</v>
      </c>
      <c r="AV1100" s="148" t="s">
        <v>90</v>
      </c>
      <c r="AW1100" s="148" t="s">
        <v>33</v>
      </c>
      <c r="AX1100" s="148" t="s">
        <v>80</v>
      </c>
      <c r="AY1100" s="150" t="s">
        <v>337</v>
      </c>
    </row>
    <row r="1101" spans="2:51" s="148" customFormat="1" x14ac:dyDescent="0.2">
      <c r="B1101" s="149"/>
      <c r="D1101" s="143" t="s">
        <v>346</v>
      </c>
      <c r="E1101" s="150"/>
      <c r="F1101" s="151" t="s">
        <v>1209</v>
      </c>
      <c r="H1101" s="152">
        <v>3.37</v>
      </c>
      <c r="L1101" s="149"/>
      <c r="M1101" s="153"/>
      <c r="T1101" s="154"/>
      <c r="AT1101" s="150" t="s">
        <v>346</v>
      </c>
      <c r="AU1101" s="150" t="s">
        <v>90</v>
      </c>
      <c r="AV1101" s="148" t="s">
        <v>90</v>
      </c>
      <c r="AW1101" s="148" t="s">
        <v>33</v>
      </c>
      <c r="AX1101" s="148" t="s">
        <v>80</v>
      </c>
      <c r="AY1101" s="150" t="s">
        <v>337</v>
      </c>
    </row>
    <row r="1102" spans="2:51" s="148" customFormat="1" x14ac:dyDescent="0.2">
      <c r="B1102" s="149"/>
      <c r="D1102" s="143" t="s">
        <v>346</v>
      </c>
      <c r="E1102" s="150"/>
      <c r="F1102" s="151" t="s">
        <v>1210</v>
      </c>
      <c r="H1102" s="152">
        <v>3.95</v>
      </c>
      <c r="L1102" s="149"/>
      <c r="M1102" s="153"/>
      <c r="T1102" s="154"/>
      <c r="AT1102" s="150" t="s">
        <v>346</v>
      </c>
      <c r="AU1102" s="150" t="s">
        <v>90</v>
      </c>
      <c r="AV1102" s="148" t="s">
        <v>90</v>
      </c>
      <c r="AW1102" s="148" t="s">
        <v>33</v>
      </c>
      <c r="AX1102" s="148" t="s">
        <v>80</v>
      </c>
      <c r="AY1102" s="150" t="s">
        <v>337</v>
      </c>
    </row>
    <row r="1103" spans="2:51" s="141" customFormat="1" x14ac:dyDescent="0.2">
      <c r="B1103" s="142"/>
      <c r="D1103" s="143" t="s">
        <v>346</v>
      </c>
      <c r="E1103" s="144"/>
      <c r="F1103" s="145" t="s">
        <v>1211</v>
      </c>
      <c r="H1103" s="144"/>
      <c r="L1103" s="142"/>
      <c r="M1103" s="146"/>
      <c r="T1103" s="147"/>
      <c r="AT1103" s="144" t="s">
        <v>346</v>
      </c>
      <c r="AU1103" s="144" t="s">
        <v>90</v>
      </c>
      <c r="AV1103" s="141" t="s">
        <v>87</v>
      </c>
      <c r="AW1103" s="141" t="s">
        <v>33</v>
      </c>
      <c r="AX1103" s="141" t="s">
        <v>80</v>
      </c>
      <c r="AY1103" s="144" t="s">
        <v>337</v>
      </c>
    </row>
    <row r="1104" spans="2:51" s="141" customFormat="1" x14ac:dyDescent="0.2">
      <c r="B1104" s="142"/>
      <c r="D1104" s="143" t="s">
        <v>346</v>
      </c>
      <c r="E1104" s="144"/>
      <c r="F1104" s="145" t="s">
        <v>357</v>
      </c>
      <c r="H1104" s="144"/>
      <c r="L1104" s="142"/>
      <c r="M1104" s="146"/>
      <c r="T1104" s="147"/>
      <c r="AT1104" s="144" t="s">
        <v>346</v>
      </c>
      <c r="AU1104" s="144" t="s">
        <v>90</v>
      </c>
      <c r="AV1104" s="141" t="s">
        <v>87</v>
      </c>
      <c r="AW1104" s="141" t="s">
        <v>33</v>
      </c>
      <c r="AX1104" s="141" t="s">
        <v>80</v>
      </c>
      <c r="AY1104" s="144" t="s">
        <v>337</v>
      </c>
    </row>
    <row r="1105" spans="2:65" s="148" customFormat="1" x14ac:dyDescent="0.2">
      <c r="B1105" s="149"/>
      <c r="D1105" s="143" t="s">
        <v>346</v>
      </c>
      <c r="E1105" s="150"/>
      <c r="F1105" s="151" t="s">
        <v>1212</v>
      </c>
      <c r="H1105" s="152">
        <v>3.05</v>
      </c>
      <c r="L1105" s="149"/>
      <c r="M1105" s="153"/>
      <c r="T1105" s="154"/>
      <c r="AT1105" s="150" t="s">
        <v>346</v>
      </c>
      <c r="AU1105" s="150" t="s">
        <v>90</v>
      </c>
      <c r="AV1105" s="148" t="s">
        <v>90</v>
      </c>
      <c r="AW1105" s="148" t="s">
        <v>33</v>
      </c>
      <c r="AX1105" s="148" t="s">
        <v>80</v>
      </c>
      <c r="AY1105" s="150" t="s">
        <v>337</v>
      </c>
    </row>
    <row r="1106" spans="2:65" s="148" customFormat="1" x14ac:dyDescent="0.2">
      <c r="B1106" s="149"/>
      <c r="D1106" s="143" t="s">
        <v>346</v>
      </c>
      <c r="E1106" s="150"/>
      <c r="F1106" s="151" t="s">
        <v>1213</v>
      </c>
      <c r="H1106" s="152">
        <v>35.200000000000003</v>
      </c>
      <c r="L1106" s="149"/>
      <c r="M1106" s="153"/>
      <c r="T1106" s="154"/>
      <c r="AT1106" s="150" t="s">
        <v>346</v>
      </c>
      <c r="AU1106" s="150" t="s">
        <v>90</v>
      </c>
      <c r="AV1106" s="148" t="s">
        <v>90</v>
      </c>
      <c r="AW1106" s="148" t="s">
        <v>33</v>
      </c>
      <c r="AX1106" s="148" t="s">
        <v>80</v>
      </c>
      <c r="AY1106" s="150" t="s">
        <v>337</v>
      </c>
    </row>
    <row r="1107" spans="2:65" s="148" customFormat="1" x14ac:dyDescent="0.2">
      <c r="B1107" s="149"/>
      <c r="D1107" s="143" t="s">
        <v>346</v>
      </c>
      <c r="E1107" s="150"/>
      <c r="F1107" s="151" t="s">
        <v>1214</v>
      </c>
      <c r="H1107" s="152">
        <v>40</v>
      </c>
      <c r="L1107" s="149"/>
      <c r="M1107" s="153"/>
      <c r="T1107" s="154"/>
      <c r="AT1107" s="150" t="s">
        <v>346</v>
      </c>
      <c r="AU1107" s="150" t="s">
        <v>90</v>
      </c>
      <c r="AV1107" s="148" t="s">
        <v>90</v>
      </c>
      <c r="AW1107" s="148" t="s">
        <v>33</v>
      </c>
      <c r="AX1107" s="148" t="s">
        <v>80</v>
      </c>
      <c r="AY1107" s="150" t="s">
        <v>337</v>
      </c>
    </row>
    <row r="1108" spans="2:65" s="148" customFormat="1" x14ac:dyDescent="0.2">
      <c r="B1108" s="149"/>
      <c r="D1108" s="143" t="s">
        <v>346</v>
      </c>
      <c r="E1108" s="150"/>
      <c r="F1108" s="151" t="s">
        <v>1215</v>
      </c>
      <c r="H1108" s="152">
        <v>53.88</v>
      </c>
      <c r="L1108" s="149"/>
      <c r="M1108" s="153"/>
      <c r="T1108" s="154"/>
      <c r="AT1108" s="150" t="s">
        <v>346</v>
      </c>
      <c r="AU1108" s="150" t="s">
        <v>90</v>
      </c>
      <c r="AV1108" s="148" t="s">
        <v>90</v>
      </c>
      <c r="AW1108" s="148" t="s">
        <v>33</v>
      </c>
      <c r="AX1108" s="148" t="s">
        <v>80</v>
      </c>
      <c r="AY1108" s="150" t="s">
        <v>337</v>
      </c>
    </row>
    <row r="1109" spans="2:65" s="148" customFormat="1" x14ac:dyDescent="0.2">
      <c r="B1109" s="149"/>
      <c r="D1109" s="143" t="s">
        <v>346</v>
      </c>
      <c r="E1109" s="150"/>
      <c r="F1109" s="151" t="s">
        <v>1216</v>
      </c>
      <c r="H1109" s="152">
        <v>4.9800000000000004</v>
      </c>
      <c r="L1109" s="149"/>
      <c r="M1109" s="153"/>
      <c r="T1109" s="154"/>
      <c r="AT1109" s="150" t="s">
        <v>346</v>
      </c>
      <c r="AU1109" s="150" t="s">
        <v>90</v>
      </c>
      <c r="AV1109" s="148" t="s">
        <v>90</v>
      </c>
      <c r="AW1109" s="148" t="s">
        <v>33</v>
      </c>
      <c r="AX1109" s="148" t="s">
        <v>80</v>
      </c>
      <c r="AY1109" s="150" t="s">
        <v>337</v>
      </c>
    </row>
    <row r="1110" spans="2:65" s="141" customFormat="1" x14ac:dyDescent="0.2">
      <c r="B1110" s="142"/>
      <c r="D1110" s="143" t="s">
        <v>346</v>
      </c>
      <c r="E1110" s="144"/>
      <c r="F1110" s="145" t="s">
        <v>362</v>
      </c>
      <c r="H1110" s="144"/>
      <c r="L1110" s="142"/>
      <c r="M1110" s="146"/>
      <c r="T1110" s="147"/>
      <c r="AT1110" s="144" t="s">
        <v>346</v>
      </c>
      <c r="AU1110" s="144" t="s">
        <v>90</v>
      </c>
      <c r="AV1110" s="141" t="s">
        <v>87</v>
      </c>
      <c r="AW1110" s="141" t="s">
        <v>33</v>
      </c>
      <c r="AX1110" s="141" t="s">
        <v>80</v>
      </c>
      <c r="AY1110" s="144" t="s">
        <v>337</v>
      </c>
    </row>
    <row r="1111" spans="2:65" s="148" customFormat="1" x14ac:dyDescent="0.2">
      <c r="B1111" s="149"/>
      <c r="D1111" s="143" t="s">
        <v>346</v>
      </c>
      <c r="E1111" s="150"/>
      <c r="F1111" s="151" t="s">
        <v>1217</v>
      </c>
      <c r="H1111" s="152">
        <v>4</v>
      </c>
      <c r="L1111" s="149"/>
      <c r="M1111" s="153"/>
      <c r="T1111" s="154"/>
      <c r="AT1111" s="150" t="s">
        <v>346</v>
      </c>
      <c r="AU1111" s="150" t="s">
        <v>90</v>
      </c>
      <c r="AV1111" s="148" t="s">
        <v>90</v>
      </c>
      <c r="AW1111" s="148" t="s">
        <v>33</v>
      </c>
      <c r="AX1111" s="148" t="s">
        <v>80</v>
      </c>
      <c r="AY1111" s="150" t="s">
        <v>337</v>
      </c>
    </row>
    <row r="1112" spans="2:65" s="141" customFormat="1" x14ac:dyDescent="0.2">
      <c r="B1112" s="142"/>
      <c r="D1112" s="143" t="s">
        <v>346</v>
      </c>
      <c r="E1112" s="144"/>
      <c r="F1112" s="145" t="s">
        <v>434</v>
      </c>
      <c r="H1112" s="144"/>
      <c r="L1112" s="142"/>
      <c r="M1112" s="146"/>
      <c r="T1112" s="147"/>
      <c r="AT1112" s="144" t="s">
        <v>346</v>
      </c>
      <c r="AU1112" s="144" t="s">
        <v>90</v>
      </c>
      <c r="AV1112" s="141" t="s">
        <v>87</v>
      </c>
      <c r="AW1112" s="141" t="s">
        <v>33</v>
      </c>
      <c r="AX1112" s="141" t="s">
        <v>80</v>
      </c>
      <c r="AY1112" s="144" t="s">
        <v>337</v>
      </c>
    </row>
    <row r="1113" spans="2:65" s="148" customFormat="1" x14ac:dyDescent="0.2">
      <c r="B1113" s="149"/>
      <c r="D1113" s="143" t="s">
        <v>346</v>
      </c>
      <c r="E1113" s="150"/>
      <c r="F1113" s="151" t="s">
        <v>1218</v>
      </c>
      <c r="H1113" s="152">
        <v>4.5</v>
      </c>
      <c r="L1113" s="149"/>
      <c r="M1113" s="153"/>
      <c r="T1113" s="154"/>
      <c r="AT1113" s="150" t="s">
        <v>346</v>
      </c>
      <c r="AU1113" s="150" t="s">
        <v>90</v>
      </c>
      <c r="AV1113" s="148" t="s">
        <v>90</v>
      </c>
      <c r="AW1113" s="148" t="s">
        <v>33</v>
      </c>
      <c r="AX1113" s="148" t="s">
        <v>80</v>
      </c>
      <c r="AY1113" s="150" t="s">
        <v>337</v>
      </c>
    </row>
    <row r="1114" spans="2:65" s="148" customFormat="1" x14ac:dyDescent="0.2">
      <c r="B1114" s="149"/>
      <c r="D1114" s="143" t="s">
        <v>346</v>
      </c>
      <c r="E1114" s="150"/>
      <c r="F1114" s="151" t="s">
        <v>1219</v>
      </c>
      <c r="H1114" s="152">
        <v>7</v>
      </c>
      <c r="L1114" s="149"/>
      <c r="M1114" s="153"/>
      <c r="T1114" s="154"/>
      <c r="AT1114" s="150" t="s">
        <v>346</v>
      </c>
      <c r="AU1114" s="150" t="s">
        <v>90</v>
      </c>
      <c r="AV1114" s="148" t="s">
        <v>90</v>
      </c>
      <c r="AW1114" s="148" t="s">
        <v>33</v>
      </c>
      <c r="AX1114" s="148" t="s">
        <v>80</v>
      </c>
      <c r="AY1114" s="150" t="s">
        <v>337</v>
      </c>
    </row>
    <row r="1115" spans="2:65" s="155" customFormat="1" x14ac:dyDescent="0.2">
      <c r="B1115" s="156"/>
      <c r="D1115" s="143" t="s">
        <v>346</v>
      </c>
      <c r="E1115" s="157" t="s">
        <v>281</v>
      </c>
      <c r="F1115" s="158" t="s">
        <v>351</v>
      </c>
      <c r="H1115" s="159">
        <v>516.89499999999998</v>
      </c>
      <c r="L1115" s="156"/>
      <c r="M1115" s="160"/>
      <c r="T1115" s="161"/>
      <c r="AT1115" s="157" t="s">
        <v>346</v>
      </c>
      <c r="AU1115" s="157" t="s">
        <v>90</v>
      </c>
      <c r="AV1115" s="155" t="s">
        <v>344</v>
      </c>
      <c r="AW1115" s="155" t="s">
        <v>33</v>
      </c>
      <c r="AX1115" s="155" t="s">
        <v>87</v>
      </c>
      <c r="AY1115" s="157" t="s">
        <v>337</v>
      </c>
    </row>
    <row r="1116" spans="2:65" s="16" customFormat="1" ht="16.5" customHeight="1" x14ac:dyDescent="0.2">
      <c r="B1116" s="17"/>
      <c r="C1116" s="128">
        <v>109</v>
      </c>
      <c r="D1116" s="128" t="s">
        <v>339</v>
      </c>
      <c r="E1116" s="129" t="s">
        <v>1221</v>
      </c>
      <c r="F1116" s="130" t="s">
        <v>1222</v>
      </c>
      <c r="G1116" s="131" t="s">
        <v>425</v>
      </c>
      <c r="H1116" s="132">
        <v>126.66200000000001</v>
      </c>
      <c r="I1116" s="133"/>
      <c r="J1116" s="134">
        <f>ROUND(I1116*H1116,2)</f>
        <v>0</v>
      </c>
      <c r="K1116" s="130" t="s">
        <v>343</v>
      </c>
      <c r="L1116" s="17"/>
      <c r="M1116" s="135"/>
      <c r="N1116" s="136" t="s">
        <v>45</v>
      </c>
      <c r="P1116" s="137">
        <f>O1116*H1116</f>
        <v>0</v>
      </c>
      <c r="Q1116" s="137">
        <v>1E-4</v>
      </c>
      <c r="R1116" s="137">
        <f>Q1116*H1116</f>
        <v>1.2666200000000001E-2</v>
      </c>
      <c r="S1116" s="137">
        <v>0</v>
      </c>
      <c r="T1116" s="138">
        <f>S1116*H1116</f>
        <v>0</v>
      </c>
      <c r="AR1116" s="139" t="s">
        <v>496</v>
      </c>
      <c r="AT1116" s="139" t="s">
        <v>339</v>
      </c>
      <c r="AU1116" s="139" t="s">
        <v>90</v>
      </c>
      <c r="AY1116" s="2" t="s">
        <v>337</v>
      </c>
      <c r="BE1116" s="140">
        <f>IF(N1116="základní",J1116,0)</f>
        <v>0</v>
      </c>
      <c r="BF1116" s="140">
        <f>IF(N1116="snížená",J1116,0)</f>
        <v>0</v>
      </c>
      <c r="BG1116" s="140">
        <f>IF(N1116="zákl. přenesená",J1116,0)</f>
        <v>0</v>
      </c>
      <c r="BH1116" s="140">
        <f>IF(N1116="sníž. přenesená",J1116,0)</f>
        <v>0</v>
      </c>
      <c r="BI1116" s="140">
        <f>IF(N1116="nulová",J1116,0)</f>
        <v>0</v>
      </c>
      <c r="BJ1116" s="2" t="s">
        <v>87</v>
      </c>
      <c r="BK1116" s="140">
        <f>ROUND(I1116*H1116,2)</f>
        <v>0</v>
      </c>
      <c r="BL1116" s="2" t="s">
        <v>496</v>
      </c>
      <c r="BM1116" s="139" t="s">
        <v>1223</v>
      </c>
    </row>
    <row r="1117" spans="2:65" s="141" customFormat="1" x14ac:dyDescent="0.2">
      <c r="B1117" s="142"/>
      <c r="D1117" s="143" t="s">
        <v>346</v>
      </c>
      <c r="E1117" s="144"/>
      <c r="F1117" s="145" t="s">
        <v>1188</v>
      </c>
      <c r="H1117" s="144"/>
      <c r="L1117" s="142"/>
      <c r="M1117" s="146"/>
      <c r="T1117" s="147"/>
      <c r="AT1117" s="144" t="s">
        <v>346</v>
      </c>
      <c r="AU1117" s="144" t="s">
        <v>90</v>
      </c>
      <c r="AV1117" s="141" t="s">
        <v>87</v>
      </c>
      <c r="AW1117" s="141" t="s">
        <v>33</v>
      </c>
      <c r="AX1117" s="141" t="s">
        <v>80</v>
      </c>
      <c r="AY1117" s="144" t="s">
        <v>337</v>
      </c>
    </row>
    <row r="1118" spans="2:65" s="141" customFormat="1" x14ac:dyDescent="0.2">
      <c r="B1118" s="142"/>
      <c r="D1118" s="143" t="s">
        <v>346</v>
      </c>
      <c r="E1118" s="144"/>
      <c r="F1118" s="145" t="s">
        <v>1224</v>
      </c>
      <c r="H1118" s="144"/>
      <c r="L1118" s="142"/>
      <c r="M1118" s="146"/>
      <c r="T1118" s="147"/>
      <c r="AT1118" s="144" t="s">
        <v>346</v>
      </c>
      <c r="AU1118" s="144" t="s">
        <v>90</v>
      </c>
      <c r="AV1118" s="141" t="s">
        <v>87</v>
      </c>
      <c r="AW1118" s="141" t="s">
        <v>33</v>
      </c>
      <c r="AX1118" s="141" t="s">
        <v>80</v>
      </c>
      <c r="AY1118" s="144" t="s">
        <v>337</v>
      </c>
    </row>
    <row r="1119" spans="2:65" s="141" customFormat="1" x14ac:dyDescent="0.2">
      <c r="B1119" s="142"/>
      <c r="D1119" s="143" t="s">
        <v>346</v>
      </c>
      <c r="E1119" s="144"/>
      <c r="F1119" s="145" t="s">
        <v>1225</v>
      </c>
      <c r="H1119" s="144"/>
      <c r="L1119" s="142"/>
      <c r="M1119" s="146"/>
      <c r="T1119" s="147"/>
      <c r="AT1119" s="144" t="s">
        <v>346</v>
      </c>
      <c r="AU1119" s="144" t="s">
        <v>90</v>
      </c>
      <c r="AV1119" s="141" t="s">
        <v>87</v>
      </c>
      <c r="AW1119" s="141" t="s">
        <v>33</v>
      </c>
      <c r="AX1119" s="141" t="s">
        <v>80</v>
      </c>
      <c r="AY1119" s="144" t="s">
        <v>337</v>
      </c>
    </row>
    <row r="1120" spans="2:65" s="148" customFormat="1" x14ac:dyDescent="0.2">
      <c r="B1120" s="149"/>
      <c r="D1120" s="143" t="s">
        <v>346</v>
      </c>
      <c r="E1120" s="150"/>
      <c r="F1120" s="151" t="s">
        <v>1226</v>
      </c>
      <c r="H1120" s="152">
        <v>22.738</v>
      </c>
      <c r="L1120" s="149"/>
      <c r="M1120" s="153"/>
      <c r="T1120" s="154"/>
      <c r="AT1120" s="150" t="s">
        <v>346</v>
      </c>
      <c r="AU1120" s="150" t="s">
        <v>90</v>
      </c>
      <c r="AV1120" s="148" t="s">
        <v>90</v>
      </c>
      <c r="AW1120" s="148" t="s">
        <v>33</v>
      </c>
      <c r="AX1120" s="148" t="s">
        <v>80</v>
      </c>
      <c r="AY1120" s="150" t="s">
        <v>337</v>
      </c>
    </row>
    <row r="1121" spans="2:65" s="141" customFormat="1" x14ac:dyDescent="0.2">
      <c r="B1121" s="142"/>
      <c r="D1121" s="143" t="s">
        <v>346</v>
      </c>
      <c r="E1121" s="144"/>
      <c r="F1121" s="145" t="s">
        <v>1076</v>
      </c>
      <c r="H1121" s="144"/>
      <c r="L1121" s="142"/>
      <c r="M1121" s="146"/>
      <c r="T1121" s="147"/>
      <c r="AT1121" s="144" t="s">
        <v>346</v>
      </c>
      <c r="AU1121" s="144" t="s">
        <v>90</v>
      </c>
      <c r="AV1121" s="141" t="s">
        <v>87</v>
      </c>
      <c r="AW1121" s="141" t="s">
        <v>33</v>
      </c>
      <c r="AX1121" s="141" t="s">
        <v>80</v>
      </c>
      <c r="AY1121" s="144" t="s">
        <v>337</v>
      </c>
    </row>
    <row r="1122" spans="2:65" s="148" customFormat="1" x14ac:dyDescent="0.2">
      <c r="B1122" s="149"/>
      <c r="D1122" s="143" t="s">
        <v>346</v>
      </c>
      <c r="E1122" s="150"/>
      <c r="F1122" s="151" t="s">
        <v>1227</v>
      </c>
      <c r="H1122" s="152">
        <v>88.676000000000002</v>
      </c>
      <c r="L1122" s="149"/>
      <c r="M1122" s="153"/>
      <c r="T1122" s="154"/>
      <c r="AT1122" s="150" t="s">
        <v>346</v>
      </c>
      <c r="AU1122" s="150" t="s">
        <v>90</v>
      </c>
      <c r="AV1122" s="148" t="s">
        <v>90</v>
      </c>
      <c r="AW1122" s="148" t="s">
        <v>33</v>
      </c>
      <c r="AX1122" s="148" t="s">
        <v>80</v>
      </c>
      <c r="AY1122" s="150" t="s">
        <v>337</v>
      </c>
    </row>
    <row r="1123" spans="2:65" s="148" customFormat="1" x14ac:dyDescent="0.2">
      <c r="B1123" s="149"/>
      <c r="D1123" s="143" t="s">
        <v>346</v>
      </c>
      <c r="E1123" s="150"/>
      <c r="F1123" s="151" t="s">
        <v>1228</v>
      </c>
      <c r="H1123" s="152">
        <v>15.247999999999999</v>
      </c>
      <c r="L1123" s="149"/>
      <c r="M1123" s="153"/>
      <c r="T1123" s="154"/>
      <c r="AT1123" s="150" t="s">
        <v>346</v>
      </c>
      <c r="AU1123" s="150" t="s">
        <v>90</v>
      </c>
      <c r="AV1123" s="148" t="s">
        <v>90</v>
      </c>
      <c r="AW1123" s="148" t="s">
        <v>33</v>
      </c>
      <c r="AX1123" s="148" t="s">
        <v>80</v>
      </c>
      <c r="AY1123" s="150" t="s">
        <v>337</v>
      </c>
    </row>
    <row r="1124" spans="2:65" s="155" customFormat="1" x14ac:dyDescent="0.2">
      <c r="B1124" s="156"/>
      <c r="D1124" s="143" t="s">
        <v>346</v>
      </c>
      <c r="E1124" s="157"/>
      <c r="F1124" s="158" t="s">
        <v>351</v>
      </c>
      <c r="H1124" s="159">
        <v>126.66200000000001</v>
      </c>
      <c r="L1124" s="156"/>
      <c r="M1124" s="160"/>
      <c r="T1124" s="161"/>
      <c r="AT1124" s="157" t="s">
        <v>346</v>
      </c>
      <c r="AU1124" s="157" t="s">
        <v>90</v>
      </c>
      <c r="AV1124" s="155" t="s">
        <v>344</v>
      </c>
      <c r="AW1124" s="155" t="s">
        <v>33</v>
      </c>
      <c r="AX1124" s="155" t="s">
        <v>87</v>
      </c>
      <c r="AY1124" s="157" t="s">
        <v>337</v>
      </c>
    </row>
    <row r="1125" spans="2:65" s="16" customFormat="1" ht="16.5" customHeight="1" x14ac:dyDescent="0.2">
      <c r="B1125" s="17"/>
      <c r="C1125" s="128">
        <v>110</v>
      </c>
      <c r="D1125" s="128" t="s">
        <v>339</v>
      </c>
      <c r="E1125" s="129" t="s">
        <v>1229</v>
      </c>
      <c r="F1125" s="130" t="s">
        <v>1230</v>
      </c>
      <c r="G1125" s="131" t="s">
        <v>724</v>
      </c>
      <c r="H1125" s="132">
        <v>612.01</v>
      </c>
      <c r="I1125" s="133"/>
      <c r="J1125" s="134">
        <f>ROUND(I1125*H1125,2)</f>
        <v>0</v>
      </c>
      <c r="K1125" s="130" t="s">
        <v>343</v>
      </c>
      <c r="L1125" s="17"/>
      <c r="M1125" s="135"/>
      <c r="N1125" s="136" t="s">
        <v>45</v>
      </c>
      <c r="P1125" s="137">
        <f>O1125*H1125</f>
        <v>0</v>
      </c>
      <c r="Q1125" s="137">
        <v>9.1E-4</v>
      </c>
      <c r="R1125" s="137">
        <f>Q1125*H1125</f>
        <v>0.55692909999999995</v>
      </c>
      <c r="S1125" s="137">
        <v>0</v>
      </c>
      <c r="T1125" s="138">
        <f>S1125*H1125</f>
        <v>0</v>
      </c>
      <c r="AR1125" s="139" t="s">
        <v>496</v>
      </c>
      <c r="AT1125" s="139" t="s">
        <v>339</v>
      </c>
      <c r="AU1125" s="139" t="s">
        <v>90</v>
      </c>
      <c r="AY1125" s="2" t="s">
        <v>337</v>
      </c>
      <c r="BE1125" s="140">
        <f>IF(N1125="základní",J1125,0)</f>
        <v>0</v>
      </c>
      <c r="BF1125" s="140">
        <f>IF(N1125="snížená",J1125,0)</f>
        <v>0</v>
      </c>
      <c r="BG1125" s="140">
        <f>IF(N1125="zákl. přenesená",J1125,0)</f>
        <v>0</v>
      </c>
      <c r="BH1125" s="140">
        <f>IF(N1125="sníž. přenesená",J1125,0)</f>
        <v>0</v>
      </c>
      <c r="BI1125" s="140">
        <f>IF(N1125="nulová",J1125,0)</f>
        <v>0</v>
      </c>
      <c r="BJ1125" s="2" t="s">
        <v>87</v>
      </c>
      <c r="BK1125" s="140">
        <f>ROUND(I1125*H1125,2)</f>
        <v>0</v>
      </c>
      <c r="BL1125" s="2" t="s">
        <v>496</v>
      </c>
      <c r="BM1125" s="139" t="s">
        <v>1231</v>
      </c>
    </row>
    <row r="1126" spans="2:65" s="141" customFormat="1" x14ac:dyDescent="0.2">
      <c r="B1126" s="142"/>
      <c r="D1126" s="143" t="s">
        <v>346</v>
      </c>
      <c r="E1126" s="144"/>
      <c r="F1126" s="145" t="s">
        <v>357</v>
      </c>
      <c r="H1126" s="144"/>
      <c r="L1126" s="142"/>
      <c r="M1126" s="146"/>
      <c r="T1126" s="147"/>
      <c r="AT1126" s="144" t="s">
        <v>346</v>
      </c>
      <c r="AU1126" s="144" t="s">
        <v>90</v>
      </c>
      <c r="AV1126" s="141" t="s">
        <v>87</v>
      </c>
      <c r="AW1126" s="141" t="s">
        <v>33</v>
      </c>
      <c r="AX1126" s="141" t="s">
        <v>80</v>
      </c>
      <c r="AY1126" s="144" t="s">
        <v>337</v>
      </c>
    </row>
    <row r="1127" spans="2:65" s="148" customFormat="1" x14ac:dyDescent="0.2">
      <c r="B1127" s="149"/>
      <c r="D1127" s="143" t="s">
        <v>346</v>
      </c>
      <c r="E1127" s="150"/>
      <c r="F1127" s="151" t="s">
        <v>1232</v>
      </c>
      <c r="H1127" s="152">
        <v>10.6</v>
      </c>
      <c r="L1127" s="149"/>
      <c r="M1127" s="153"/>
      <c r="T1127" s="154"/>
      <c r="AT1127" s="150" t="s">
        <v>346</v>
      </c>
      <c r="AU1127" s="150" t="s">
        <v>90</v>
      </c>
      <c r="AV1127" s="148" t="s">
        <v>90</v>
      </c>
      <c r="AW1127" s="148" t="s">
        <v>33</v>
      </c>
      <c r="AX1127" s="148" t="s">
        <v>80</v>
      </c>
      <c r="AY1127" s="150" t="s">
        <v>337</v>
      </c>
    </row>
    <row r="1128" spans="2:65" s="141" customFormat="1" x14ac:dyDescent="0.2">
      <c r="B1128" s="142"/>
      <c r="D1128" s="143" t="s">
        <v>346</v>
      </c>
      <c r="E1128" s="144"/>
      <c r="F1128" s="145" t="s">
        <v>1233</v>
      </c>
      <c r="H1128" s="144"/>
      <c r="L1128" s="142"/>
      <c r="M1128" s="146"/>
      <c r="T1128" s="147"/>
      <c r="AT1128" s="144" t="s">
        <v>346</v>
      </c>
      <c r="AU1128" s="144" t="s">
        <v>90</v>
      </c>
      <c r="AV1128" s="141" t="s">
        <v>87</v>
      </c>
      <c r="AW1128" s="141" t="s">
        <v>33</v>
      </c>
      <c r="AX1128" s="141" t="s">
        <v>80</v>
      </c>
      <c r="AY1128" s="144" t="s">
        <v>337</v>
      </c>
    </row>
    <row r="1129" spans="2:65" s="148" customFormat="1" x14ac:dyDescent="0.2">
      <c r="B1129" s="149"/>
      <c r="D1129" s="143" t="s">
        <v>346</v>
      </c>
      <c r="E1129" s="150"/>
      <c r="F1129" s="151" t="s">
        <v>1234</v>
      </c>
      <c r="H1129" s="152">
        <v>2.71</v>
      </c>
      <c r="L1129" s="149"/>
      <c r="M1129" s="153"/>
      <c r="T1129" s="154"/>
      <c r="AT1129" s="150" t="s">
        <v>346</v>
      </c>
      <c r="AU1129" s="150" t="s">
        <v>90</v>
      </c>
      <c r="AV1129" s="148" t="s">
        <v>90</v>
      </c>
      <c r="AW1129" s="148" t="s">
        <v>33</v>
      </c>
      <c r="AX1129" s="148" t="s">
        <v>80</v>
      </c>
      <c r="AY1129" s="150" t="s">
        <v>337</v>
      </c>
    </row>
    <row r="1130" spans="2:65" s="141" customFormat="1" x14ac:dyDescent="0.2">
      <c r="B1130" s="142"/>
      <c r="D1130" s="143" t="s">
        <v>346</v>
      </c>
      <c r="E1130" s="144"/>
      <c r="F1130" s="145" t="s">
        <v>362</v>
      </c>
      <c r="H1130" s="144"/>
      <c r="L1130" s="142"/>
      <c r="M1130" s="146"/>
      <c r="T1130" s="147"/>
      <c r="AT1130" s="144" t="s">
        <v>346</v>
      </c>
      <c r="AU1130" s="144" t="s">
        <v>90</v>
      </c>
      <c r="AV1130" s="141" t="s">
        <v>87</v>
      </c>
      <c r="AW1130" s="141" t="s">
        <v>33</v>
      </c>
      <c r="AX1130" s="141" t="s">
        <v>80</v>
      </c>
      <c r="AY1130" s="144" t="s">
        <v>337</v>
      </c>
    </row>
    <row r="1131" spans="2:65" s="148" customFormat="1" x14ac:dyDescent="0.2">
      <c r="B1131" s="149"/>
      <c r="D1131" s="143" t="s">
        <v>346</v>
      </c>
      <c r="E1131" s="150"/>
      <c r="F1131" s="151" t="s">
        <v>1235</v>
      </c>
      <c r="H1131" s="152">
        <v>79.3</v>
      </c>
      <c r="L1131" s="149"/>
      <c r="M1131" s="153"/>
      <c r="T1131" s="154"/>
      <c r="AT1131" s="150" t="s">
        <v>346</v>
      </c>
      <c r="AU1131" s="150" t="s">
        <v>90</v>
      </c>
      <c r="AV1131" s="148" t="s">
        <v>90</v>
      </c>
      <c r="AW1131" s="148" t="s">
        <v>33</v>
      </c>
      <c r="AX1131" s="148" t="s">
        <v>80</v>
      </c>
      <c r="AY1131" s="150" t="s">
        <v>337</v>
      </c>
    </row>
    <row r="1132" spans="2:65" s="141" customFormat="1" x14ac:dyDescent="0.2">
      <c r="B1132" s="142"/>
      <c r="D1132" s="143" t="s">
        <v>346</v>
      </c>
      <c r="E1132" s="144"/>
      <c r="F1132" s="145" t="s">
        <v>1233</v>
      </c>
      <c r="H1132" s="144"/>
      <c r="L1132" s="142"/>
      <c r="M1132" s="146"/>
      <c r="T1132" s="147"/>
      <c r="AT1132" s="144" t="s">
        <v>346</v>
      </c>
      <c r="AU1132" s="144" t="s">
        <v>90</v>
      </c>
      <c r="AV1132" s="141" t="s">
        <v>87</v>
      </c>
      <c r="AW1132" s="141" t="s">
        <v>33</v>
      </c>
      <c r="AX1132" s="141" t="s">
        <v>80</v>
      </c>
      <c r="AY1132" s="144" t="s">
        <v>337</v>
      </c>
    </row>
    <row r="1133" spans="2:65" s="148" customFormat="1" x14ac:dyDescent="0.2">
      <c r="B1133" s="149"/>
      <c r="D1133" s="143" t="s">
        <v>346</v>
      </c>
      <c r="E1133" s="150"/>
      <c r="F1133" s="151" t="s">
        <v>1236</v>
      </c>
      <c r="H1133" s="152">
        <v>18.3</v>
      </c>
      <c r="L1133" s="149"/>
      <c r="M1133" s="153"/>
      <c r="T1133" s="154"/>
      <c r="AT1133" s="150" t="s">
        <v>346</v>
      </c>
      <c r="AU1133" s="150" t="s">
        <v>90</v>
      </c>
      <c r="AV1133" s="148" t="s">
        <v>90</v>
      </c>
      <c r="AW1133" s="148" t="s">
        <v>33</v>
      </c>
      <c r="AX1133" s="148" t="s">
        <v>80</v>
      </c>
      <c r="AY1133" s="150" t="s">
        <v>337</v>
      </c>
    </row>
    <row r="1134" spans="2:65" s="141" customFormat="1" x14ac:dyDescent="0.2">
      <c r="B1134" s="142"/>
      <c r="D1134" s="143" t="s">
        <v>346</v>
      </c>
      <c r="E1134" s="144"/>
      <c r="F1134" s="145" t="s">
        <v>367</v>
      </c>
      <c r="H1134" s="144"/>
      <c r="L1134" s="142"/>
      <c r="M1134" s="146"/>
      <c r="T1134" s="147"/>
      <c r="AT1134" s="144" t="s">
        <v>346</v>
      </c>
      <c r="AU1134" s="144" t="s">
        <v>90</v>
      </c>
      <c r="AV1134" s="141" t="s">
        <v>87</v>
      </c>
      <c r="AW1134" s="141" t="s">
        <v>33</v>
      </c>
      <c r="AX1134" s="141" t="s">
        <v>80</v>
      </c>
      <c r="AY1134" s="144" t="s">
        <v>337</v>
      </c>
    </row>
    <row r="1135" spans="2:65" s="148" customFormat="1" x14ac:dyDescent="0.2">
      <c r="B1135" s="149"/>
      <c r="D1135" s="143" t="s">
        <v>346</v>
      </c>
      <c r="E1135" s="150"/>
      <c r="F1135" s="151" t="s">
        <v>1237</v>
      </c>
      <c r="H1135" s="152">
        <v>94.55</v>
      </c>
      <c r="L1135" s="149"/>
      <c r="M1135" s="153"/>
      <c r="T1135" s="154"/>
      <c r="AT1135" s="150" t="s">
        <v>346</v>
      </c>
      <c r="AU1135" s="150" t="s">
        <v>90</v>
      </c>
      <c r="AV1135" s="148" t="s">
        <v>90</v>
      </c>
      <c r="AW1135" s="148" t="s">
        <v>33</v>
      </c>
      <c r="AX1135" s="148" t="s">
        <v>80</v>
      </c>
      <c r="AY1135" s="150" t="s">
        <v>337</v>
      </c>
    </row>
    <row r="1136" spans="2:65" s="141" customFormat="1" x14ac:dyDescent="0.2">
      <c r="B1136" s="142"/>
      <c r="D1136" s="143" t="s">
        <v>346</v>
      </c>
      <c r="E1136" s="144"/>
      <c r="F1136" s="145" t="s">
        <v>1233</v>
      </c>
      <c r="H1136" s="144"/>
      <c r="L1136" s="142"/>
      <c r="M1136" s="146"/>
      <c r="T1136" s="147"/>
      <c r="AT1136" s="144" t="s">
        <v>346</v>
      </c>
      <c r="AU1136" s="144" t="s">
        <v>90</v>
      </c>
      <c r="AV1136" s="141" t="s">
        <v>87</v>
      </c>
      <c r="AW1136" s="141" t="s">
        <v>33</v>
      </c>
      <c r="AX1136" s="141" t="s">
        <v>80</v>
      </c>
      <c r="AY1136" s="144" t="s">
        <v>337</v>
      </c>
    </row>
    <row r="1137" spans="2:65" s="148" customFormat="1" x14ac:dyDescent="0.2">
      <c r="B1137" s="149"/>
      <c r="D1137" s="143" t="s">
        <v>346</v>
      </c>
      <c r="E1137" s="150"/>
      <c r="F1137" s="151" t="s">
        <v>1238</v>
      </c>
      <c r="H1137" s="152">
        <v>10.050000000000001</v>
      </c>
      <c r="L1137" s="149"/>
      <c r="M1137" s="153"/>
      <c r="T1137" s="154"/>
      <c r="AT1137" s="150" t="s">
        <v>346</v>
      </c>
      <c r="AU1137" s="150" t="s">
        <v>90</v>
      </c>
      <c r="AV1137" s="148" t="s">
        <v>90</v>
      </c>
      <c r="AW1137" s="148" t="s">
        <v>33</v>
      </c>
      <c r="AX1137" s="148" t="s">
        <v>80</v>
      </c>
      <c r="AY1137" s="150" t="s">
        <v>337</v>
      </c>
    </row>
    <row r="1138" spans="2:65" s="141" customFormat="1" x14ac:dyDescent="0.2">
      <c r="B1138" s="142"/>
      <c r="D1138" s="143" t="s">
        <v>346</v>
      </c>
      <c r="E1138" s="144"/>
      <c r="F1138" s="145" t="s">
        <v>368</v>
      </c>
      <c r="H1138" s="144"/>
      <c r="L1138" s="142"/>
      <c r="M1138" s="146"/>
      <c r="T1138" s="147"/>
      <c r="AT1138" s="144" t="s">
        <v>346</v>
      </c>
      <c r="AU1138" s="144" t="s">
        <v>90</v>
      </c>
      <c r="AV1138" s="141" t="s">
        <v>87</v>
      </c>
      <c r="AW1138" s="141" t="s">
        <v>33</v>
      </c>
      <c r="AX1138" s="141" t="s">
        <v>80</v>
      </c>
      <c r="AY1138" s="144" t="s">
        <v>337</v>
      </c>
    </row>
    <row r="1139" spans="2:65" s="148" customFormat="1" x14ac:dyDescent="0.2">
      <c r="B1139" s="149"/>
      <c r="D1139" s="143" t="s">
        <v>346</v>
      </c>
      <c r="E1139" s="150"/>
      <c r="F1139" s="151" t="s">
        <v>1237</v>
      </c>
      <c r="H1139" s="152">
        <v>94.55</v>
      </c>
      <c r="L1139" s="149"/>
      <c r="M1139" s="153"/>
      <c r="T1139" s="154"/>
      <c r="AT1139" s="150" t="s">
        <v>346</v>
      </c>
      <c r="AU1139" s="150" t="s">
        <v>90</v>
      </c>
      <c r="AV1139" s="148" t="s">
        <v>90</v>
      </c>
      <c r="AW1139" s="148" t="s">
        <v>33</v>
      </c>
      <c r="AX1139" s="148" t="s">
        <v>80</v>
      </c>
      <c r="AY1139" s="150" t="s">
        <v>337</v>
      </c>
    </row>
    <row r="1140" spans="2:65" s="141" customFormat="1" x14ac:dyDescent="0.2">
      <c r="B1140" s="142"/>
      <c r="D1140" s="143" t="s">
        <v>346</v>
      </c>
      <c r="E1140" s="144"/>
      <c r="F1140" s="145" t="s">
        <v>1233</v>
      </c>
      <c r="H1140" s="144"/>
      <c r="L1140" s="142"/>
      <c r="M1140" s="146"/>
      <c r="T1140" s="147"/>
      <c r="AT1140" s="144" t="s">
        <v>346</v>
      </c>
      <c r="AU1140" s="144" t="s">
        <v>90</v>
      </c>
      <c r="AV1140" s="141" t="s">
        <v>87</v>
      </c>
      <c r="AW1140" s="141" t="s">
        <v>33</v>
      </c>
      <c r="AX1140" s="141" t="s">
        <v>80</v>
      </c>
      <c r="AY1140" s="144" t="s">
        <v>337</v>
      </c>
    </row>
    <row r="1141" spans="2:65" s="148" customFormat="1" x14ac:dyDescent="0.2">
      <c r="B1141" s="149"/>
      <c r="D1141" s="143" t="s">
        <v>346</v>
      </c>
      <c r="E1141" s="150"/>
      <c r="F1141" s="151" t="s">
        <v>1239</v>
      </c>
      <c r="H1141" s="152">
        <v>9.15</v>
      </c>
      <c r="L1141" s="149"/>
      <c r="M1141" s="153"/>
      <c r="T1141" s="154"/>
      <c r="AT1141" s="150" t="s">
        <v>346</v>
      </c>
      <c r="AU1141" s="150" t="s">
        <v>90</v>
      </c>
      <c r="AV1141" s="148" t="s">
        <v>90</v>
      </c>
      <c r="AW1141" s="148" t="s">
        <v>33</v>
      </c>
      <c r="AX1141" s="148" t="s">
        <v>80</v>
      </c>
      <c r="AY1141" s="150" t="s">
        <v>337</v>
      </c>
    </row>
    <row r="1142" spans="2:65" s="141" customFormat="1" x14ac:dyDescent="0.2">
      <c r="B1142" s="142"/>
      <c r="D1142" s="143" t="s">
        <v>346</v>
      </c>
      <c r="E1142" s="144"/>
      <c r="F1142" s="145" t="s">
        <v>370</v>
      </c>
      <c r="H1142" s="144"/>
      <c r="L1142" s="142"/>
      <c r="M1142" s="146"/>
      <c r="T1142" s="147"/>
      <c r="AT1142" s="144" t="s">
        <v>346</v>
      </c>
      <c r="AU1142" s="144" t="s">
        <v>90</v>
      </c>
      <c r="AV1142" s="141" t="s">
        <v>87</v>
      </c>
      <c r="AW1142" s="141" t="s">
        <v>33</v>
      </c>
      <c r="AX1142" s="141" t="s">
        <v>80</v>
      </c>
      <c r="AY1142" s="144" t="s">
        <v>337</v>
      </c>
    </row>
    <row r="1143" spans="2:65" s="148" customFormat="1" x14ac:dyDescent="0.2">
      <c r="B1143" s="149"/>
      <c r="D1143" s="143" t="s">
        <v>346</v>
      </c>
      <c r="E1143" s="150"/>
      <c r="F1143" s="151" t="s">
        <v>1237</v>
      </c>
      <c r="H1143" s="152">
        <v>94.55</v>
      </c>
      <c r="L1143" s="149"/>
      <c r="M1143" s="153"/>
      <c r="T1143" s="154"/>
      <c r="AT1143" s="150" t="s">
        <v>346</v>
      </c>
      <c r="AU1143" s="150" t="s">
        <v>90</v>
      </c>
      <c r="AV1143" s="148" t="s">
        <v>90</v>
      </c>
      <c r="AW1143" s="148" t="s">
        <v>33</v>
      </c>
      <c r="AX1143" s="148" t="s">
        <v>80</v>
      </c>
      <c r="AY1143" s="150" t="s">
        <v>337</v>
      </c>
    </row>
    <row r="1144" spans="2:65" s="141" customFormat="1" x14ac:dyDescent="0.2">
      <c r="B1144" s="142"/>
      <c r="D1144" s="143" t="s">
        <v>346</v>
      </c>
      <c r="E1144" s="144"/>
      <c r="F1144" s="145" t="s">
        <v>1233</v>
      </c>
      <c r="H1144" s="144"/>
      <c r="L1144" s="142"/>
      <c r="M1144" s="146"/>
      <c r="T1144" s="147"/>
      <c r="AT1144" s="144" t="s">
        <v>346</v>
      </c>
      <c r="AU1144" s="144" t="s">
        <v>90</v>
      </c>
      <c r="AV1144" s="141" t="s">
        <v>87</v>
      </c>
      <c r="AW1144" s="141" t="s">
        <v>33</v>
      </c>
      <c r="AX1144" s="141" t="s">
        <v>80</v>
      </c>
      <c r="AY1144" s="144" t="s">
        <v>337</v>
      </c>
    </row>
    <row r="1145" spans="2:65" s="148" customFormat="1" x14ac:dyDescent="0.2">
      <c r="B1145" s="149"/>
      <c r="D1145" s="143" t="s">
        <v>346</v>
      </c>
      <c r="E1145" s="150"/>
      <c r="F1145" s="151" t="s">
        <v>1240</v>
      </c>
      <c r="H1145" s="152">
        <v>15.25</v>
      </c>
      <c r="L1145" s="149"/>
      <c r="M1145" s="153"/>
      <c r="T1145" s="154"/>
      <c r="AT1145" s="150" t="s">
        <v>346</v>
      </c>
      <c r="AU1145" s="150" t="s">
        <v>90</v>
      </c>
      <c r="AV1145" s="148" t="s">
        <v>90</v>
      </c>
      <c r="AW1145" s="148" t="s">
        <v>33</v>
      </c>
      <c r="AX1145" s="148" t="s">
        <v>80</v>
      </c>
      <c r="AY1145" s="150" t="s">
        <v>337</v>
      </c>
    </row>
    <row r="1146" spans="2:65" s="141" customFormat="1" x14ac:dyDescent="0.2">
      <c r="B1146" s="142"/>
      <c r="D1146" s="143" t="s">
        <v>346</v>
      </c>
      <c r="E1146" s="144"/>
      <c r="F1146" s="145" t="s">
        <v>434</v>
      </c>
      <c r="H1146" s="144"/>
      <c r="L1146" s="142"/>
      <c r="M1146" s="146"/>
      <c r="T1146" s="147"/>
      <c r="AT1146" s="144" t="s">
        <v>346</v>
      </c>
      <c r="AU1146" s="144" t="s">
        <v>90</v>
      </c>
      <c r="AV1146" s="141" t="s">
        <v>87</v>
      </c>
      <c r="AW1146" s="141" t="s">
        <v>33</v>
      </c>
      <c r="AX1146" s="141" t="s">
        <v>80</v>
      </c>
      <c r="AY1146" s="144" t="s">
        <v>337</v>
      </c>
    </row>
    <row r="1147" spans="2:65" s="148" customFormat="1" x14ac:dyDescent="0.2">
      <c r="B1147" s="149"/>
      <c r="D1147" s="143" t="s">
        <v>346</v>
      </c>
      <c r="E1147" s="150"/>
      <c r="F1147" s="151" t="s">
        <v>1241</v>
      </c>
      <c r="H1147" s="152">
        <v>183</v>
      </c>
      <c r="L1147" s="149"/>
      <c r="M1147" s="153"/>
      <c r="T1147" s="154"/>
      <c r="AT1147" s="150" t="s">
        <v>346</v>
      </c>
      <c r="AU1147" s="150" t="s">
        <v>90</v>
      </c>
      <c r="AV1147" s="148" t="s">
        <v>90</v>
      </c>
      <c r="AW1147" s="148" t="s">
        <v>33</v>
      </c>
      <c r="AX1147" s="148" t="s">
        <v>80</v>
      </c>
      <c r="AY1147" s="150" t="s">
        <v>337</v>
      </c>
    </row>
    <row r="1148" spans="2:65" s="155" customFormat="1" x14ac:dyDescent="0.2">
      <c r="B1148" s="156"/>
      <c r="D1148" s="143" t="s">
        <v>346</v>
      </c>
      <c r="E1148" s="157"/>
      <c r="F1148" s="158" t="s">
        <v>351</v>
      </c>
      <c r="H1148" s="159">
        <v>612.01</v>
      </c>
      <c r="L1148" s="156"/>
      <c r="M1148" s="160"/>
      <c r="T1148" s="161"/>
      <c r="AT1148" s="157" t="s">
        <v>346</v>
      </c>
      <c r="AU1148" s="157" t="s">
        <v>90</v>
      </c>
      <c r="AV1148" s="155" t="s">
        <v>344</v>
      </c>
      <c r="AW1148" s="155" t="s">
        <v>33</v>
      </c>
      <c r="AX1148" s="155" t="s">
        <v>87</v>
      </c>
      <c r="AY1148" s="157" t="s">
        <v>337</v>
      </c>
    </row>
    <row r="1149" spans="2:65" s="16" customFormat="1" ht="16.5" customHeight="1" x14ac:dyDescent="0.2">
      <c r="B1149" s="17"/>
      <c r="C1149" s="128">
        <v>111</v>
      </c>
      <c r="D1149" s="128" t="s">
        <v>339</v>
      </c>
      <c r="E1149" s="129" t="s">
        <v>1243</v>
      </c>
      <c r="F1149" s="130" t="s">
        <v>1244</v>
      </c>
      <c r="G1149" s="131" t="s">
        <v>724</v>
      </c>
      <c r="H1149" s="132">
        <v>2157</v>
      </c>
      <c r="I1149" s="133"/>
      <c r="J1149" s="134">
        <f>ROUND(I1149*H1149,2)</f>
        <v>0</v>
      </c>
      <c r="K1149" s="130" t="s">
        <v>343</v>
      </c>
      <c r="L1149" s="17"/>
      <c r="M1149" s="135"/>
      <c r="N1149" s="136" t="s">
        <v>45</v>
      </c>
      <c r="P1149" s="137">
        <f>O1149*H1149</f>
        <v>0</v>
      </c>
      <c r="Q1149" s="137">
        <v>2.0000000000000001E-4</v>
      </c>
      <c r="R1149" s="137">
        <f>Q1149*H1149</f>
        <v>0.43140000000000001</v>
      </c>
      <c r="S1149" s="137">
        <v>0</v>
      </c>
      <c r="T1149" s="138">
        <f>S1149*H1149</f>
        <v>0</v>
      </c>
      <c r="AR1149" s="139" t="s">
        <v>496</v>
      </c>
      <c r="AT1149" s="139" t="s">
        <v>339</v>
      </c>
      <c r="AU1149" s="139" t="s">
        <v>90</v>
      </c>
      <c r="AY1149" s="2" t="s">
        <v>337</v>
      </c>
      <c r="BE1149" s="140">
        <f>IF(N1149="základní",J1149,0)</f>
        <v>0</v>
      </c>
      <c r="BF1149" s="140">
        <f>IF(N1149="snížená",J1149,0)</f>
        <v>0</v>
      </c>
      <c r="BG1149" s="140">
        <f>IF(N1149="zákl. přenesená",J1149,0)</f>
        <v>0</v>
      </c>
      <c r="BH1149" s="140">
        <f>IF(N1149="sníž. přenesená",J1149,0)</f>
        <v>0</v>
      </c>
      <c r="BI1149" s="140">
        <f>IF(N1149="nulová",J1149,0)</f>
        <v>0</v>
      </c>
      <c r="BJ1149" s="2" t="s">
        <v>87</v>
      </c>
      <c r="BK1149" s="140">
        <f>ROUND(I1149*H1149,2)</f>
        <v>0</v>
      </c>
      <c r="BL1149" s="2" t="s">
        <v>496</v>
      </c>
      <c r="BM1149" s="139" t="s">
        <v>1245</v>
      </c>
    </row>
    <row r="1150" spans="2:65" s="141" customFormat="1" x14ac:dyDescent="0.2">
      <c r="B1150" s="142"/>
      <c r="D1150" s="143" t="s">
        <v>346</v>
      </c>
      <c r="E1150" s="144"/>
      <c r="F1150" s="145" t="s">
        <v>1246</v>
      </c>
      <c r="H1150" s="144"/>
      <c r="L1150" s="142"/>
      <c r="M1150" s="146"/>
      <c r="T1150" s="147"/>
      <c r="AT1150" s="144" t="s">
        <v>346</v>
      </c>
      <c r="AU1150" s="144" t="s">
        <v>90</v>
      </c>
      <c r="AV1150" s="141" t="s">
        <v>87</v>
      </c>
      <c r="AW1150" s="141" t="s">
        <v>33</v>
      </c>
      <c r="AX1150" s="141" t="s">
        <v>80</v>
      </c>
      <c r="AY1150" s="144" t="s">
        <v>337</v>
      </c>
    </row>
    <row r="1151" spans="2:65" s="148" customFormat="1" x14ac:dyDescent="0.2">
      <c r="B1151" s="149"/>
      <c r="D1151" s="143" t="s">
        <v>346</v>
      </c>
      <c r="E1151" s="150"/>
      <c r="F1151" s="151" t="s">
        <v>1247</v>
      </c>
      <c r="H1151" s="152">
        <v>315.15699999999998</v>
      </c>
      <c r="L1151" s="149"/>
      <c r="M1151" s="153"/>
      <c r="T1151" s="154"/>
      <c r="AT1151" s="150" t="s">
        <v>346</v>
      </c>
      <c r="AU1151" s="150" t="s">
        <v>90</v>
      </c>
      <c r="AV1151" s="148" t="s">
        <v>90</v>
      </c>
      <c r="AW1151" s="148" t="s">
        <v>33</v>
      </c>
      <c r="AX1151" s="148" t="s">
        <v>80</v>
      </c>
      <c r="AY1151" s="150" t="s">
        <v>337</v>
      </c>
    </row>
    <row r="1152" spans="2:65" s="148" customFormat="1" x14ac:dyDescent="0.2">
      <c r="B1152" s="149"/>
      <c r="D1152" s="143" t="s">
        <v>346</v>
      </c>
      <c r="E1152" s="150"/>
      <c r="F1152" s="151" t="s">
        <v>1248</v>
      </c>
      <c r="H1152" s="152">
        <v>2.2000000000000002</v>
      </c>
      <c r="L1152" s="149"/>
      <c r="M1152" s="153"/>
      <c r="T1152" s="154"/>
      <c r="AT1152" s="150" t="s">
        <v>346</v>
      </c>
      <c r="AU1152" s="150" t="s">
        <v>90</v>
      </c>
      <c r="AV1152" s="148" t="s">
        <v>90</v>
      </c>
      <c r="AW1152" s="148" t="s">
        <v>33</v>
      </c>
      <c r="AX1152" s="148" t="s">
        <v>80</v>
      </c>
      <c r="AY1152" s="150" t="s">
        <v>337</v>
      </c>
    </row>
    <row r="1153" spans="2:51" s="148" customFormat="1" x14ac:dyDescent="0.2">
      <c r="B1153" s="149"/>
      <c r="D1153" s="143" t="s">
        <v>346</v>
      </c>
      <c r="E1153" s="150"/>
      <c r="F1153" s="151" t="s">
        <v>1249</v>
      </c>
      <c r="H1153" s="152">
        <v>116.245</v>
      </c>
      <c r="L1153" s="149"/>
      <c r="M1153" s="153"/>
      <c r="T1153" s="154"/>
      <c r="AT1153" s="150" t="s">
        <v>346</v>
      </c>
      <c r="AU1153" s="150" t="s">
        <v>90</v>
      </c>
      <c r="AV1153" s="148" t="s">
        <v>90</v>
      </c>
      <c r="AW1153" s="148" t="s">
        <v>33</v>
      </c>
      <c r="AX1153" s="148" t="s">
        <v>80</v>
      </c>
      <c r="AY1153" s="150" t="s">
        <v>337</v>
      </c>
    </row>
    <row r="1154" spans="2:51" s="148" customFormat="1" x14ac:dyDescent="0.2">
      <c r="B1154" s="149"/>
      <c r="D1154" s="143" t="s">
        <v>346</v>
      </c>
      <c r="E1154" s="150"/>
      <c r="F1154" s="151" t="s">
        <v>1250</v>
      </c>
      <c r="H1154" s="152">
        <v>322.30399999999997</v>
      </c>
      <c r="L1154" s="149"/>
      <c r="M1154" s="153"/>
      <c r="T1154" s="154"/>
      <c r="AT1154" s="150" t="s">
        <v>346</v>
      </c>
      <c r="AU1154" s="150" t="s">
        <v>90</v>
      </c>
      <c r="AV1154" s="148" t="s">
        <v>90</v>
      </c>
      <c r="AW1154" s="148" t="s">
        <v>33</v>
      </c>
      <c r="AX1154" s="148" t="s">
        <v>80</v>
      </c>
      <c r="AY1154" s="150" t="s">
        <v>337</v>
      </c>
    </row>
    <row r="1155" spans="2:51" s="148" customFormat="1" x14ac:dyDescent="0.2">
      <c r="B1155" s="149"/>
      <c r="D1155" s="143" t="s">
        <v>346</v>
      </c>
      <c r="E1155" s="150"/>
      <c r="F1155" s="151" t="s">
        <v>1251</v>
      </c>
      <c r="H1155" s="152">
        <v>39.344000000000001</v>
      </c>
      <c r="L1155" s="149"/>
      <c r="M1155" s="153"/>
      <c r="T1155" s="154"/>
      <c r="AT1155" s="150" t="s">
        <v>346</v>
      </c>
      <c r="AU1155" s="150" t="s">
        <v>90</v>
      </c>
      <c r="AV1155" s="148" t="s">
        <v>90</v>
      </c>
      <c r="AW1155" s="148" t="s">
        <v>33</v>
      </c>
      <c r="AX1155" s="148" t="s">
        <v>80</v>
      </c>
      <c r="AY1155" s="150" t="s">
        <v>337</v>
      </c>
    </row>
    <row r="1156" spans="2:51" s="148" customFormat="1" x14ac:dyDescent="0.2">
      <c r="B1156" s="149"/>
      <c r="D1156" s="143" t="s">
        <v>346</v>
      </c>
      <c r="E1156" s="150"/>
      <c r="F1156" s="151" t="s">
        <v>1252</v>
      </c>
      <c r="H1156" s="152">
        <v>7.8689999999999998</v>
      </c>
      <c r="L1156" s="149"/>
      <c r="M1156" s="153"/>
      <c r="T1156" s="154"/>
      <c r="AT1156" s="150" t="s">
        <v>346</v>
      </c>
      <c r="AU1156" s="150" t="s">
        <v>90</v>
      </c>
      <c r="AV1156" s="148" t="s">
        <v>90</v>
      </c>
      <c r="AW1156" s="148" t="s">
        <v>33</v>
      </c>
      <c r="AX1156" s="148" t="s">
        <v>80</v>
      </c>
      <c r="AY1156" s="150" t="s">
        <v>337</v>
      </c>
    </row>
    <row r="1157" spans="2:51" s="148" customFormat="1" x14ac:dyDescent="0.2">
      <c r="B1157" s="149"/>
      <c r="D1157" s="143" t="s">
        <v>346</v>
      </c>
      <c r="E1157" s="150"/>
      <c r="F1157" s="151" t="s">
        <v>1253</v>
      </c>
      <c r="H1157" s="152">
        <v>310.791</v>
      </c>
      <c r="L1157" s="149"/>
      <c r="M1157" s="153"/>
      <c r="T1157" s="154"/>
      <c r="AT1157" s="150" t="s">
        <v>346</v>
      </c>
      <c r="AU1157" s="150" t="s">
        <v>90</v>
      </c>
      <c r="AV1157" s="148" t="s">
        <v>90</v>
      </c>
      <c r="AW1157" s="148" t="s">
        <v>33</v>
      </c>
      <c r="AX1157" s="148" t="s">
        <v>80</v>
      </c>
      <c r="AY1157" s="150" t="s">
        <v>337</v>
      </c>
    </row>
    <row r="1158" spans="2:51" s="148" customFormat="1" x14ac:dyDescent="0.2">
      <c r="B1158" s="149"/>
      <c r="D1158" s="143" t="s">
        <v>346</v>
      </c>
      <c r="E1158" s="150"/>
      <c r="F1158" s="151" t="s">
        <v>1254</v>
      </c>
      <c r="H1158" s="152">
        <v>20</v>
      </c>
      <c r="L1158" s="149"/>
      <c r="M1158" s="153"/>
      <c r="T1158" s="154"/>
      <c r="AT1158" s="150" t="s">
        <v>346</v>
      </c>
      <c r="AU1158" s="150" t="s">
        <v>90</v>
      </c>
      <c r="AV1158" s="148" t="s">
        <v>90</v>
      </c>
      <c r="AW1158" s="148" t="s">
        <v>33</v>
      </c>
      <c r="AX1158" s="148" t="s">
        <v>80</v>
      </c>
      <c r="AY1158" s="150" t="s">
        <v>337</v>
      </c>
    </row>
    <row r="1159" spans="2:51" s="148" customFormat="1" x14ac:dyDescent="0.2">
      <c r="B1159" s="149"/>
      <c r="D1159" s="143" t="s">
        <v>346</v>
      </c>
      <c r="E1159" s="150"/>
      <c r="F1159" s="151" t="s">
        <v>1255</v>
      </c>
      <c r="H1159" s="152">
        <v>66.097999999999999</v>
      </c>
      <c r="L1159" s="149"/>
      <c r="M1159" s="153"/>
      <c r="T1159" s="154"/>
      <c r="AT1159" s="150" t="s">
        <v>346</v>
      </c>
      <c r="AU1159" s="150" t="s">
        <v>90</v>
      </c>
      <c r="AV1159" s="148" t="s">
        <v>90</v>
      </c>
      <c r="AW1159" s="148" t="s">
        <v>33</v>
      </c>
      <c r="AX1159" s="148" t="s">
        <v>80</v>
      </c>
      <c r="AY1159" s="150" t="s">
        <v>337</v>
      </c>
    </row>
    <row r="1160" spans="2:51" s="148" customFormat="1" x14ac:dyDescent="0.2">
      <c r="B1160" s="149"/>
      <c r="D1160" s="143" t="s">
        <v>346</v>
      </c>
      <c r="E1160" s="150"/>
      <c r="F1160" s="151" t="s">
        <v>1256</v>
      </c>
      <c r="H1160" s="152">
        <v>12.787000000000001</v>
      </c>
      <c r="L1160" s="149"/>
      <c r="M1160" s="153"/>
      <c r="T1160" s="154"/>
      <c r="AT1160" s="150" t="s">
        <v>346</v>
      </c>
      <c r="AU1160" s="150" t="s">
        <v>90</v>
      </c>
      <c r="AV1160" s="148" t="s">
        <v>90</v>
      </c>
      <c r="AW1160" s="148" t="s">
        <v>33</v>
      </c>
      <c r="AX1160" s="148" t="s">
        <v>80</v>
      </c>
      <c r="AY1160" s="150" t="s">
        <v>337</v>
      </c>
    </row>
    <row r="1161" spans="2:51" s="148" customFormat="1" x14ac:dyDescent="0.2">
      <c r="B1161" s="149"/>
      <c r="D1161" s="143" t="s">
        <v>346</v>
      </c>
      <c r="E1161" s="150"/>
      <c r="F1161" s="151" t="s">
        <v>1257</v>
      </c>
      <c r="H1161" s="152">
        <v>35.405999999999999</v>
      </c>
      <c r="L1161" s="149"/>
      <c r="M1161" s="153"/>
      <c r="T1161" s="154"/>
      <c r="AT1161" s="150" t="s">
        <v>346</v>
      </c>
      <c r="AU1161" s="150" t="s">
        <v>90</v>
      </c>
      <c r="AV1161" s="148" t="s">
        <v>90</v>
      </c>
      <c r="AW1161" s="148" t="s">
        <v>33</v>
      </c>
      <c r="AX1161" s="148" t="s">
        <v>80</v>
      </c>
      <c r="AY1161" s="150" t="s">
        <v>337</v>
      </c>
    </row>
    <row r="1162" spans="2:51" s="148" customFormat="1" x14ac:dyDescent="0.2">
      <c r="B1162" s="149"/>
      <c r="D1162" s="143" t="s">
        <v>346</v>
      </c>
      <c r="E1162" s="150"/>
      <c r="F1162" s="151" t="s">
        <v>1258</v>
      </c>
      <c r="H1162" s="152">
        <v>281.68599999999998</v>
      </c>
      <c r="L1162" s="149"/>
      <c r="M1162" s="153"/>
      <c r="T1162" s="154"/>
      <c r="AT1162" s="150" t="s">
        <v>346</v>
      </c>
      <c r="AU1162" s="150" t="s">
        <v>90</v>
      </c>
      <c r="AV1162" s="148" t="s">
        <v>90</v>
      </c>
      <c r="AW1162" s="148" t="s">
        <v>33</v>
      </c>
      <c r="AX1162" s="148" t="s">
        <v>80</v>
      </c>
      <c r="AY1162" s="150" t="s">
        <v>337</v>
      </c>
    </row>
    <row r="1163" spans="2:51" s="148" customFormat="1" x14ac:dyDescent="0.2">
      <c r="B1163" s="149"/>
      <c r="D1163" s="143" t="s">
        <v>346</v>
      </c>
      <c r="E1163" s="150"/>
      <c r="F1163" s="151" t="s">
        <v>1259</v>
      </c>
      <c r="H1163" s="152">
        <v>33.600999999999999</v>
      </c>
      <c r="L1163" s="149"/>
      <c r="M1163" s="153"/>
      <c r="T1163" s="154"/>
      <c r="AT1163" s="150" t="s">
        <v>346</v>
      </c>
      <c r="AU1163" s="150" t="s">
        <v>90</v>
      </c>
      <c r="AV1163" s="148" t="s">
        <v>90</v>
      </c>
      <c r="AW1163" s="148" t="s">
        <v>33</v>
      </c>
      <c r="AX1163" s="148" t="s">
        <v>80</v>
      </c>
      <c r="AY1163" s="150" t="s">
        <v>337</v>
      </c>
    </row>
    <row r="1164" spans="2:51" s="148" customFormat="1" x14ac:dyDescent="0.2">
      <c r="B1164" s="149"/>
      <c r="D1164" s="143" t="s">
        <v>346</v>
      </c>
      <c r="E1164" s="150"/>
      <c r="F1164" s="151" t="s">
        <v>1260</v>
      </c>
      <c r="H1164" s="152">
        <v>267.08800000000002</v>
      </c>
      <c r="L1164" s="149"/>
      <c r="M1164" s="153"/>
      <c r="T1164" s="154"/>
      <c r="AT1164" s="150" t="s">
        <v>346</v>
      </c>
      <c r="AU1164" s="150" t="s">
        <v>90</v>
      </c>
      <c r="AV1164" s="148" t="s">
        <v>90</v>
      </c>
      <c r="AW1164" s="148" t="s">
        <v>33</v>
      </c>
      <c r="AX1164" s="148" t="s">
        <v>80</v>
      </c>
      <c r="AY1164" s="150" t="s">
        <v>337</v>
      </c>
    </row>
    <row r="1165" spans="2:51" s="148" customFormat="1" x14ac:dyDescent="0.2">
      <c r="B1165" s="149"/>
      <c r="D1165" s="143" t="s">
        <v>346</v>
      </c>
      <c r="E1165" s="150"/>
      <c r="F1165" s="151" t="s">
        <v>1261</v>
      </c>
      <c r="H1165" s="152">
        <v>86.855999999999995</v>
      </c>
      <c r="L1165" s="149"/>
      <c r="M1165" s="153"/>
      <c r="T1165" s="154"/>
      <c r="AT1165" s="150" t="s">
        <v>346</v>
      </c>
      <c r="AU1165" s="150" t="s">
        <v>90</v>
      </c>
      <c r="AV1165" s="148" t="s">
        <v>90</v>
      </c>
      <c r="AW1165" s="148" t="s">
        <v>33</v>
      </c>
      <c r="AX1165" s="148" t="s">
        <v>80</v>
      </c>
      <c r="AY1165" s="150" t="s">
        <v>337</v>
      </c>
    </row>
    <row r="1166" spans="2:51" s="148" customFormat="1" x14ac:dyDescent="0.2">
      <c r="B1166" s="149"/>
      <c r="D1166" s="143" t="s">
        <v>346</v>
      </c>
      <c r="E1166" s="150"/>
      <c r="F1166" s="151" t="s">
        <v>1262</v>
      </c>
      <c r="H1166" s="152">
        <v>28.879000000000001</v>
      </c>
      <c r="L1166" s="149"/>
      <c r="M1166" s="153"/>
      <c r="T1166" s="154"/>
      <c r="AT1166" s="150" t="s">
        <v>346</v>
      </c>
      <c r="AU1166" s="150" t="s">
        <v>90</v>
      </c>
      <c r="AV1166" s="148" t="s">
        <v>90</v>
      </c>
      <c r="AW1166" s="148" t="s">
        <v>33</v>
      </c>
      <c r="AX1166" s="148" t="s">
        <v>80</v>
      </c>
      <c r="AY1166" s="150" t="s">
        <v>337</v>
      </c>
    </row>
    <row r="1167" spans="2:51" s="148" customFormat="1" x14ac:dyDescent="0.2">
      <c r="B1167" s="149"/>
      <c r="D1167" s="143" t="s">
        <v>346</v>
      </c>
      <c r="E1167" s="150"/>
      <c r="F1167" s="151" t="s">
        <v>1263</v>
      </c>
      <c r="H1167" s="152">
        <v>20.128</v>
      </c>
      <c r="L1167" s="149"/>
      <c r="M1167" s="153"/>
      <c r="T1167" s="154"/>
      <c r="AT1167" s="150" t="s">
        <v>346</v>
      </c>
      <c r="AU1167" s="150" t="s">
        <v>90</v>
      </c>
      <c r="AV1167" s="148" t="s">
        <v>90</v>
      </c>
      <c r="AW1167" s="148" t="s">
        <v>33</v>
      </c>
      <c r="AX1167" s="148" t="s">
        <v>80</v>
      </c>
      <c r="AY1167" s="150" t="s">
        <v>337</v>
      </c>
    </row>
    <row r="1168" spans="2:51" s="148" customFormat="1" x14ac:dyDescent="0.2">
      <c r="B1168" s="149"/>
      <c r="D1168" s="143" t="s">
        <v>346</v>
      </c>
      <c r="E1168" s="150"/>
      <c r="F1168" s="151" t="s">
        <v>1264</v>
      </c>
      <c r="H1168" s="152">
        <v>190.56100000000001</v>
      </c>
      <c r="L1168" s="149"/>
      <c r="M1168" s="153"/>
      <c r="T1168" s="154"/>
      <c r="AT1168" s="150" t="s">
        <v>346</v>
      </c>
      <c r="AU1168" s="150" t="s">
        <v>90</v>
      </c>
      <c r="AV1168" s="148" t="s">
        <v>90</v>
      </c>
      <c r="AW1168" s="148" t="s">
        <v>33</v>
      </c>
      <c r="AX1168" s="148" t="s">
        <v>80</v>
      </c>
      <c r="AY1168" s="150" t="s">
        <v>337</v>
      </c>
    </row>
    <row r="1169" spans="2:65" s="155" customFormat="1" x14ac:dyDescent="0.2">
      <c r="B1169" s="156"/>
      <c r="D1169" s="143" t="s">
        <v>346</v>
      </c>
      <c r="E1169" s="157"/>
      <c r="F1169" s="158" t="s">
        <v>351</v>
      </c>
      <c r="H1169" s="159">
        <v>2157</v>
      </c>
      <c r="L1169" s="156"/>
      <c r="M1169" s="160"/>
      <c r="T1169" s="161"/>
      <c r="AT1169" s="157" t="s">
        <v>346</v>
      </c>
      <c r="AU1169" s="157" t="s">
        <v>90</v>
      </c>
      <c r="AV1169" s="155" t="s">
        <v>344</v>
      </c>
      <c r="AW1169" s="155" t="s">
        <v>33</v>
      </c>
      <c r="AX1169" s="155" t="s">
        <v>87</v>
      </c>
      <c r="AY1169" s="157" t="s">
        <v>337</v>
      </c>
    </row>
    <row r="1170" spans="2:65" s="16" customFormat="1" ht="16.5" customHeight="1" x14ac:dyDescent="0.2">
      <c r="B1170" s="17"/>
      <c r="C1170" s="128">
        <v>112</v>
      </c>
      <c r="D1170" s="128" t="s">
        <v>339</v>
      </c>
      <c r="E1170" s="129" t="s">
        <v>1265</v>
      </c>
      <c r="F1170" s="130" t="s">
        <v>1266</v>
      </c>
      <c r="G1170" s="131" t="s">
        <v>724</v>
      </c>
      <c r="H1170" s="132">
        <v>266</v>
      </c>
      <c r="I1170" s="133"/>
      <c r="J1170" s="134">
        <f>ROUND(I1170*H1170,2)</f>
        <v>0</v>
      </c>
      <c r="K1170" s="130" t="s">
        <v>343</v>
      </c>
      <c r="L1170" s="17"/>
      <c r="M1170" s="135"/>
      <c r="N1170" s="136" t="s">
        <v>45</v>
      </c>
      <c r="P1170" s="137">
        <f>O1170*H1170</f>
        <v>0</v>
      </c>
      <c r="Q1170" s="137">
        <v>5.1900000000000002E-3</v>
      </c>
      <c r="R1170" s="137">
        <f>Q1170*H1170</f>
        <v>1.3805400000000001</v>
      </c>
      <c r="S1170" s="137">
        <v>0</v>
      </c>
      <c r="T1170" s="138">
        <f>S1170*H1170</f>
        <v>0</v>
      </c>
      <c r="AR1170" s="139" t="s">
        <v>496</v>
      </c>
      <c r="AT1170" s="139" t="s">
        <v>339</v>
      </c>
      <c r="AU1170" s="139" t="s">
        <v>90</v>
      </c>
      <c r="AY1170" s="2" t="s">
        <v>337</v>
      </c>
      <c r="BE1170" s="140">
        <f>IF(N1170="základní",J1170,0)</f>
        <v>0</v>
      </c>
      <c r="BF1170" s="140">
        <f>IF(N1170="snížená",J1170,0)</f>
        <v>0</v>
      </c>
      <c r="BG1170" s="140">
        <f>IF(N1170="zákl. přenesená",J1170,0)</f>
        <v>0</v>
      </c>
      <c r="BH1170" s="140">
        <f>IF(N1170="sníž. přenesená",J1170,0)</f>
        <v>0</v>
      </c>
      <c r="BI1170" s="140">
        <f>IF(N1170="nulová",J1170,0)</f>
        <v>0</v>
      </c>
      <c r="BJ1170" s="2" t="s">
        <v>87</v>
      </c>
      <c r="BK1170" s="140">
        <f>ROUND(I1170*H1170,2)</f>
        <v>0</v>
      </c>
      <c r="BL1170" s="2" t="s">
        <v>496</v>
      </c>
      <c r="BM1170" s="139" t="s">
        <v>1267</v>
      </c>
    </row>
    <row r="1171" spans="2:65" s="141" customFormat="1" x14ac:dyDescent="0.2">
      <c r="B1171" s="142"/>
      <c r="D1171" s="143" t="s">
        <v>346</v>
      </c>
      <c r="E1171" s="144"/>
      <c r="F1171" s="145" t="s">
        <v>357</v>
      </c>
      <c r="H1171" s="144"/>
      <c r="L1171" s="142"/>
      <c r="M1171" s="146"/>
      <c r="T1171" s="147"/>
      <c r="AT1171" s="144" t="s">
        <v>346</v>
      </c>
      <c r="AU1171" s="144" t="s">
        <v>90</v>
      </c>
      <c r="AV1171" s="141" t="s">
        <v>87</v>
      </c>
      <c r="AW1171" s="141" t="s">
        <v>33</v>
      </c>
      <c r="AX1171" s="141" t="s">
        <v>80</v>
      </c>
      <c r="AY1171" s="144" t="s">
        <v>337</v>
      </c>
    </row>
    <row r="1172" spans="2:65" s="148" customFormat="1" x14ac:dyDescent="0.2">
      <c r="B1172" s="149"/>
      <c r="D1172" s="143" t="s">
        <v>346</v>
      </c>
      <c r="E1172" s="150"/>
      <c r="F1172" s="151" t="s">
        <v>1268</v>
      </c>
      <c r="H1172" s="152">
        <v>2</v>
      </c>
      <c r="L1172" s="149"/>
      <c r="M1172" s="153"/>
      <c r="T1172" s="154"/>
      <c r="AT1172" s="150" t="s">
        <v>346</v>
      </c>
      <c r="AU1172" s="150" t="s">
        <v>90</v>
      </c>
      <c r="AV1172" s="148" t="s">
        <v>90</v>
      </c>
      <c r="AW1172" s="148" t="s">
        <v>33</v>
      </c>
      <c r="AX1172" s="148" t="s">
        <v>80</v>
      </c>
      <c r="AY1172" s="150" t="s">
        <v>337</v>
      </c>
    </row>
    <row r="1173" spans="2:65" s="141" customFormat="1" x14ac:dyDescent="0.2">
      <c r="B1173" s="142"/>
      <c r="D1173" s="143" t="s">
        <v>346</v>
      </c>
      <c r="E1173" s="144"/>
      <c r="F1173" s="145" t="s">
        <v>362</v>
      </c>
      <c r="H1173" s="144"/>
      <c r="L1173" s="142"/>
      <c r="M1173" s="146"/>
      <c r="T1173" s="147"/>
      <c r="AT1173" s="144" t="s">
        <v>346</v>
      </c>
      <c r="AU1173" s="144" t="s">
        <v>90</v>
      </c>
      <c r="AV1173" s="141" t="s">
        <v>87</v>
      </c>
      <c r="AW1173" s="141" t="s">
        <v>33</v>
      </c>
      <c r="AX1173" s="141" t="s">
        <v>80</v>
      </c>
      <c r="AY1173" s="144" t="s">
        <v>337</v>
      </c>
    </row>
    <row r="1174" spans="2:65" s="148" customFormat="1" x14ac:dyDescent="0.2">
      <c r="B1174" s="149"/>
      <c r="D1174" s="143" t="s">
        <v>346</v>
      </c>
      <c r="E1174" s="150"/>
      <c r="F1174" s="151" t="s">
        <v>1269</v>
      </c>
      <c r="H1174" s="152">
        <v>45</v>
      </c>
      <c r="L1174" s="149"/>
      <c r="M1174" s="153"/>
      <c r="T1174" s="154"/>
      <c r="AT1174" s="150" t="s">
        <v>346</v>
      </c>
      <c r="AU1174" s="150" t="s">
        <v>90</v>
      </c>
      <c r="AV1174" s="148" t="s">
        <v>90</v>
      </c>
      <c r="AW1174" s="148" t="s">
        <v>33</v>
      </c>
      <c r="AX1174" s="148" t="s">
        <v>80</v>
      </c>
      <c r="AY1174" s="150" t="s">
        <v>337</v>
      </c>
    </row>
    <row r="1175" spans="2:65" s="141" customFormat="1" x14ac:dyDescent="0.2">
      <c r="B1175" s="142"/>
      <c r="D1175" s="143" t="s">
        <v>346</v>
      </c>
      <c r="E1175" s="144"/>
      <c r="F1175" s="145" t="s">
        <v>367</v>
      </c>
      <c r="H1175" s="144"/>
      <c r="L1175" s="142"/>
      <c r="M1175" s="146"/>
      <c r="T1175" s="147"/>
      <c r="AT1175" s="144" t="s">
        <v>346</v>
      </c>
      <c r="AU1175" s="144" t="s">
        <v>90</v>
      </c>
      <c r="AV1175" s="141" t="s">
        <v>87</v>
      </c>
      <c r="AW1175" s="141" t="s">
        <v>33</v>
      </c>
      <c r="AX1175" s="141" t="s">
        <v>80</v>
      </c>
      <c r="AY1175" s="144" t="s">
        <v>337</v>
      </c>
    </row>
    <row r="1176" spans="2:65" s="148" customFormat="1" x14ac:dyDescent="0.2">
      <c r="B1176" s="149"/>
      <c r="D1176" s="143" t="s">
        <v>346</v>
      </c>
      <c r="E1176" s="150"/>
      <c r="F1176" s="151" t="s">
        <v>1270</v>
      </c>
      <c r="H1176" s="152">
        <v>57</v>
      </c>
      <c r="L1176" s="149"/>
      <c r="M1176" s="153"/>
      <c r="T1176" s="154"/>
      <c r="AT1176" s="150" t="s">
        <v>346</v>
      </c>
      <c r="AU1176" s="150" t="s">
        <v>90</v>
      </c>
      <c r="AV1176" s="148" t="s">
        <v>90</v>
      </c>
      <c r="AW1176" s="148" t="s">
        <v>33</v>
      </c>
      <c r="AX1176" s="148" t="s">
        <v>80</v>
      </c>
      <c r="AY1176" s="150" t="s">
        <v>337</v>
      </c>
    </row>
    <row r="1177" spans="2:65" s="141" customFormat="1" x14ac:dyDescent="0.2">
      <c r="B1177" s="142"/>
      <c r="D1177" s="143" t="s">
        <v>346</v>
      </c>
      <c r="E1177" s="144"/>
      <c r="F1177" s="145" t="s">
        <v>368</v>
      </c>
      <c r="H1177" s="144"/>
      <c r="L1177" s="142"/>
      <c r="M1177" s="146"/>
      <c r="T1177" s="147"/>
      <c r="AT1177" s="144" t="s">
        <v>346</v>
      </c>
      <c r="AU1177" s="144" t="s">
        <v>90</v>
      </c>
      <c r="AV1177" s="141" t="s">
        <v>87</v>
      </c>
      <c r="AW1177" s="141" t="s">
        <v>33</v>
      </c>
      <c r="AX1177" s="141" t="s">
        <v>80</v>
      </c>
      <c r="AY1177" s="144" t="s">
        <v>337</v>
      </c>
    </row>
    <row r="1178" spans="2:65" s="148" customFormat="1" x14ac:dyDescent="0.2">
      <c r="B1178" s="149"/>
      <c r="D1178" s="143" t="s">
        <v>346</v>
      </c>
      <c r="E1178" s="150"/>
      <c r="F1178" s="151" t="s">
        <v>1270</v>
      </c>
      <c r="H1178" s="152">
        <v>57</v>
      </c>
      <c r="L1178" s="149"/>
      <c r="M1178" s="153"/>
      <c r="T1178" s="154"/>
      <c r="AT1178" s="150" t="s">
        <v>346</v>
      </c>
      <c r="AU1178" s="150" t="s">
        <v>90</v>
      </c>
      <c r="AV1178" s="148" t="s">
        <v>90</v>
      </c>
      <c r="AW1178" s="148" t="s">
        <v>33</v>
      </c>
      <c r="AX1178" s="148" t="s">
        <v>80</v>
      </c>
      <c r="AY1178" s="150" t="s">
        <v>337</v>
      </c>
    </row>
    <row r="1179" spans="2:65" s="141" customFormat="1" x14ac:dyDescent="0.2">
      <c r="B1179" s="142"/>
      <c r="D1179" s="143" t="s">
        <v>346</v>
      </c>
      <c r="E1179" s="144"/>
      <c r="F1179" s="145" t="s">
        <v>370</v>
      </c>
      <c r="H1179" s="144"/>
      <c r="L1179" s="142"/>
      <c r="M1179" s="146"/>
      <c r="T1179" s="147"/>
      <c r="AT1179" s="144" t="s">
        <v>346</v>
      </c>
      <c r="AU1179" s="144" t="s">
        <v>90</v>
      </c>
      <c r="AV1179" s="141" t="s">
        <v>87</v>
      </c>
      <c r="AW1179" s="141" t="s">
        <v>33</v>
      </c>
      <c r="AX1179" s="141" t="s">
        <v>80</v>
      </c>
      <c r="AY1179" s="144" t="s">
        <v>337</v>
      </c>
    </row>
    <row r="1180" spans="2:65" s="148" customFormat="1" x14ac:dyDescent="0.2">
      <c r="B1180" s="149"/>
      <c r="D1180" s="143" t="s">
        <v>346</v>
      </c>
      <c r="E1180" s="150"/>
      <c r="F1180" s="151" t="s">
        <v>1270</v>
      </c>
      <c r="H1180" s="152">
        <v>57</v>
      </c>
      <c r="L1180" s="149"/>
      <c r="M1180" s="153"/>
      <c r="T1180" s="154"/>
      <c r="AT1180" s="150" t="s">
        <v>346</v>
      </c>
      <c r="AU1180" s="150" t="s">
        <v>90</v>
      </c>
      <c r="AV1180" s="148" t="s">
        <v>90</v>
      </c>
      <c r="AW1180" s="148" t="s">
        <v>33</v>
      </c>
      <c r="AX1180" s="148" t="s">
        <v>80</v>
      </c>
      <c r="AY1180" s="150" t="s">
        <v>337</v>
      </c>
    </row>
    <row r="1181" spans="2:65" s="141" customFormat="1" x14ac:dyDescent="0.2">
      <c r="B1181" s="142"/>
      <c r="D1181" s="143" t="s">
        <v>346</v>
      </c>
      <c r="E1181" s="144"/>
      <c r="F1181" s="145" t="s">
        <v>434</v>
      </c>
      <c r="H1181" s="144"/>
      <c r="L1181" s="142"/>
      <c r="M1181" s="146"/>
      <c r="T1181" s="147"/>
      <c r="AT1181" s="144" t="s">
        <v>346</v>
      </c>
      <c r="AU1181" s="144" t="s">
        <v>90</v>
      </c>
      <c r="AV1181" s="141" t="s">
        <v>87</v>
      </c>
      <c r="AW1181" s="141" t="s">
        <v>33</v>
      </c>
      <c r="AX1181" s="141" t="s">
        <v>80</v>
      </c>
      <c r="AY1181" s="144" t="s">
        <v>337</v>
      </c>
    </row>
    <row r="1182" spans="2:65" s="148" customFormat="1" x14ac:dyDescent="0.2">
      <c r="B1182" s="149"/>
      <c r="D1182" s="143" t="s">
        <v>346</v>
      </c>
      <c r="E1182" s="150"/>
      <c r="F1182" s="151" t="s">
        <v>1271</v>
      </c>
      <c r="H1182" s="152">
        <v>48</v>
      </c>
      <c r="L1182" s="149"/>
      <c r="M1182" s="153"/>
      <c r="T1182" s="154"/>
      <c r="AT1182" s="150" t="s">
        <v>346</v>
      </c>
      <c r="AU1182" s="150" t="s">
        <v>90</v>
      </c>
      <c r="AV1182" s="148" t="s">
        <v>90</v>
      </c>
      <c r="AW1182" s="148" t="s">
        <v>33</v>
      </c>
      <c r="AX1182" s="148" t="s">
        <v>80</v>
      </c>
      <c r="AY1182" s="150" t="s">
        <v>337</v>
      </c>
    </row>
    <row r="1183" spans="2:65" s="155" customFormat="1" x14ac:dyDescent="0.2">
      <c r="B1183" s="156"/>
      <c r="D1183" s="143" t="s">
        <v>346</v>
      </c>
      <c r="E1183" s="157"/>
      <c r="F1183" s="158" t="s">
        <v>351</v>
      </c>
      <c r="H1183" s="159">
        <v>266</v>
      </c>
      <c r="L1183" s="156"/>
      <c r="M1183" s="160"/>
      <c r="T1183" s="161"/>
      <c r="AT1183" s="157" t="s">
        <v>346</v>
      </c>
      <c r="AU1183" s="157" t="s">
        <v>90</v>
      </c>
      <c r="AV1183" s="155" t="s">
        <v>344</v>
      </c>
      <c r="AW1183" s="155" t="s">
        <v>33</v>
      </c>
      <c r="AX1183" s="155" t="s">
        <v>87</v>
      </c>
      <c r="AY1183" s="157" t="s">
        <v>337</v>
      </c>
    </row>
    <row r="1184" spans="2:65" s="16" customFormat="1" ht="16.5" customHeight="1" x14ac:dyDescent="0.2">
      <c r="B1184" s="17"/>
      <c r="C1184" s="128">
        <v>113</v>
      </c>
      <c r="D1184" s="128" t="s">
        <v>339</v>
      </c>
      <c r="E1184" s="129" t="s">
        <v>1273</v>
      </c>
      <c r="F1184" s="130" t="s">
        <v>1274</v>
      </c>
      <c r="G1184" s="131" t="s">
        <v>724</v>
      </c>
      <c r="H1184" s="132">
        <v>361.31</v>
      </c>
      <c r="I1184" s="133"/>
      <c r="J1184" s="134">
        <f>ROUND(I1184*H1184,2)</f>
        <v>0</v>
      </c>
      <c r="K1184" s="130" t="s">
        <v>343</v>
      </c>
      <c r="L1184" s="17"/>
      <c r="M1184" s="135"/>
      <c r="N1184" s="136" t="s">
        <v>45</v>
      </c>
      <c r="P1184" s="137">
        <f>O1184*H1184</f>
        <v>0</v>
      </c>
      <c r="Q1184" s="137">
        <v>3.6000000000000002E-4</v>
      </c>
      <c r="R1184" s="137">
        <f>Q1184*H1184</f>
        <v>0.13007160000000001</v>
      </c>
      <c r="S1184" s="137">
        <v>0</v>
      </c>
      <c r="T1184" s="138">
        <f>S1184*H1184</f>
        <v>0</v>
      </c>
      <c r="AR1184" s="139" t="s">
        <v>496</v>
      </c>
      <c r="AT1184" s="139" t="s">
        <v>339</v>
      </c>
      <c r="AU1184" s="139" t="s">
        <v>90</v>
      </c>
      <c r="AY1184" s="2" t="s">
        <v>337</v>
      </c>
      <c r="BE1184" s="140">
        <f>IF(N1184="základní",J1184,0)</f>
        <v>0</v>
      </c>
      <c r="BF1184" s="140">
        <f>IF(N1184="snížená",J1184,0)</f>
        <v>0</v>
      </c>
      <c r="BG1184" s="140">
        <f>IF(N1184="zákl. přenesená",J1184,0)</f>
        <v>0</v>
      </c>
      <c r="BH1184" s="140">
        <f>IF(N1184="sníž. přenesená",J1184,0)</f>
        <v>0</v>
      </c>
      <c r="BI1184" s="140">
        <f>IF(N1184="nulová",J1184,0)</f>
        <v>0</v>
      </c>
      <c r="BJ1184" s="2" t="s">
        <v>87</v>
      </c>
      <c r="BK1184" s="140">
        <f>ROUND(I1184*H1184,2)</f>
        <v>0</v>
      </c>
      <c r="BL1184" s="2" t="s">
        <v>496</v>
      </c>
      <c r="BM1184" s="139" t="s">
        <v>1275</v>
      </c>
    </row>
    <row r="1185" spans="2:51" s="141" customFormat="1" x14ac:dyDescent="0.2">
      <c r="B1185" s="142"/>
      <c r="D1185" s="143" t="s">
        <v>346</v>
      </c>
      <c r="E1185" s="144"/>
      <c r="F1185" s="145" t="s">
        <v>357</v>
      </c>
      <c r="H1185" s="144"/>
      <c r="L1185" s="142"/>
      <c r="M1185" s="146"/>
      <c r="T1185" s="147"/>
      <c r="AT1185" s="144" t="s">
        <v>346</v>
      </c>
      <c r="AU1185" s="144" t="s">
        <v>90</v>
      </c>
      <c r="AV1185" s="141" t="s">
        <v>87</v>
      </c>
      <c r="AW1185" s="141" t="s">
        <v>33</v>
      </c>
      <c r="AX1185" s="141" t="s">
        <v>80</v>
      </c>
      <c r="AY1185" s="144" t="s">
        <v>337</v>
      </c>
    </row>
    <row r="1186" spans="2:51" s="148" customFormat="1" x14ac:dyDescent="0.2">
      <c r="B1186" s="149"/>
      <c r="D1186" s="143" t="s">
        <v>346</v>
      </c>
      <c r="E1186" s="150"/>
      <c r="F1186" s="151" t="s">
        <v>1232</v>
      </c>
      <c r="H1186" s="152">
        <v>10.6</v>
      </c>
      <c r="L1186" s="149"/>
      <c r="M1186" s="153"/>
      <c r="T1186" s="154"/>
      <c r="AT1186" s="150" t="s">
        <v>346</v>
      </c>
      <c r="AU1186" s="150" t="s">
        <v>90</v>
      </c>
      <c r="AV1186" s="148" t="s">
        <v>90</v>
      </c>
      <c r="AW1186" s="148" t="s">
        <v>33</v>
      </c>
      <c r="AX1186" s="148" t="s">
        <v>80</v>
      </c>
      <c r="AY1186" s="150" t="s">
        <v>337</v>
      </c>
    </row>
    <row r="1187" spans="2:51" s="141" customFormat="1" x14ac:dyDescent="0.2">
      <c r="B1187" s="142"/>
      <c r="D1187" s="143" t="s">
        <v>346</v>
      </c>
      <c r="E1187" s="144"/>
      <c r="F1187" s="145" t="s">
        <v>1233</v>
      </c>
      <c r="H1187" s="144"/>
      <c r="L1187" s="142"/>
      <c r="M1187" s="146"/>
      <c r="T1187" s="147"/>
      <c r="AT1187" s="144" t="s">
        <v>346</v>
      </c>
      <c r="AU1187" s="144" t="s">
        <v>90</v>
      </c>
      <c r="AV1187" s="141" t="s">
        <v>87</v>
      </c>
      <c r="AW1187" s="141" t="s">
        <v>33</v>
      </c>
      <c r="AX1187" s="141" t="s">
        <v>80</v>
      </c>
      <c r="AY1187" s="144" t="s">
        <v>337</v>
      </c>
    </row>
    <row r="1188" spans="2:51" s="148" customFormat="1" x14ac:dyDescent="0.2">
      <c r="B1188" s="149"/>
      <c r="D1188" s="143" t="s">
        <v>346</v>
      </c>
      <c r="E1188" s="150"/>
      <c r="F1188" s="151" t="s">
        <v>1234</v>
      </c>
      <c r="H1188" s="152">
        <v>2.71</v>
      </c>
      <c r="L1188" s="149"/>
      <c r="M1188" s="153"/>
      <c r="T1188" s="154"/>
      <c r="AT1188" s="150" t="s">
        <v>346</v>
      </c>
      <c r="AU1188" s="150" t="s">
        <v>90</v>
      </c>
      <c r="AV1188" s="148" t="s">
        <v>90</v>
      </c>
      <c r="AW1188" s="148" t="s">
        <v>33</v>
      </c>
      <c r="AX1188" s="148" t="s">
        <v>80</v>
      </c>
      <c r="AY1188" s="150" t="s">
        <v>337</v>
      </c>
    </row>
    <row r="1189" spans="2:51" s="141" customFormat="1" x14ac:dyDescent="0.2">
      <c r="B1189" s="142"/>
      <c r="D1189" s="143" t="s">
        <v>346</v>
      </c>
      <c r="E1189" s="144"/>
      <c r="F1189" s="145" t="s">
        <v>362</v>
      </c>
      <c r="H1189" s="144"/>
      <c r="L1189" s="142"/>
      <c r="M1189" s="146"/>
      <c r="T1189" s="147"/>
      <c r="AT1189" s="144" t="s">
        <v>346</v>
      </c>
      <c r="AU1189" s="144" t="s">
        <v>90</v>
      </c>
      <c r="AV1189" s="141" t="s">
        <v>87</v>
      </c>
      <c r="AW1189" s="141" t="s">
        <v>33</v>
      </c>
      <c r="AX1189" s="141" t="s">
        <v>80</v>
      </c>
      <c r="AY1189" s="144" t="s">
        <v>337</v>
      </c>
    </row>
    <row r="1190" spans="2:51" s="148" customFormat="1" x14ac:dyDescent="0.2">
      <c r="B1190" s="149"/>
      <c r="D1190" s="143" t="s">
        <v>346</v>
      </c>
      <c r="E1190" s="150"/>
      <c r="F1190" s="151" t="s">
        <v>1276</v>
      </c>
      <c r="H1190" s="152">
        <v>45.75</v>
      </c>
      <c r="L1190" s="149"/>
      <c r="M1190" s="153"/>
      <c r="T1190" s="154"/>
      <c r="AT1190" s="150" t="s">
        <v>346</v>
      </c>
      <c r="AU1190" s="150" t="s">
        <v>90</v>
      </c>
      <c r="AV1190" s="148" t="s">
        <v>90</v>
      </c>
      <c r="AW1190" s="148" t="s">
        <v>33</v>
      </c>
      <c r="AX1190" s="148" t="s">
        <v>80</v>
      </c>
      <c r="AY1190" s="150" t="s">
        <v>337</v>
      </c>
    </row>
    <row r="1191" spans="2:51" s="141" customFormat="1" x14ac:dyDescent="0.2">
      <c r="B1191" s="142"/>
      <c r="D1191" s="143" t="s">
        <v>346</v>
      </c>
      <c r="E1191" s="144"/>
      <c r="F1191" s="145" t="s">
        <v>1233</v>
      </c>
      <c r="H1191" s="144"/>
      <c r="L1191" s="142"/>
      <c r="M1191" s="146"/>
      <c r="T1191" s="147"/>
      <c r="AT1191" s="144" t="s">
        <v>346</v>
      </c>
      <c r="AU1191" s="144" t="s">
        <v>90</v>
      </c>
      <c r="AV1191" s="141" t="s">
        <v>87</v>
      </c>
      <c r="AW1191" s="141" t="s">
        <v>33</v>
      </c>
      <c r="AX1191" s="141" t="s">
        <v>80</v>
      </c>
      <c r="AY1191" s="144" t="s">
        <v>337</v>
      </c>
    </row>
    <row r="1192" spans="2:51" s="148" customFormat="1" x14ac:dyDescent="0.2">
      <c r="B1192" s="149"/>
      <c r="D1192" s="143" t="s">
        <v>346</v>
      </c>
      <c r="E1192" s="150"/>
      <c r="F1192" s="151" t="s">
        <v>1277</v>
      </c>
      <c r="H1192" s="152">
        <v>12.2</v>
      </c>
      <c r="L1192" s="149"/>
      <c r="M1192" s="153"/>
      <c r="T1192" s="154"/>
      <c r="AT1192" s="150" t="s">
        <v>346</v>
      </c>
      <c r="AU1192" s="150" t="s">
        <v>90</v>
      </c>
      <c r="AV1192" s="148" t="s">
        <v>90</v>
      </c>
      <c r="AW1192" s="148" t="s">
        <v>33</v>
      </c>
      <c r="AX1192" s="148" t="s">
        <v>80</v>
      </c>
      <c r="AY1192" s="150" t="s">
        <v>337</v>
      </c>
    </row>
    <row r="1193" spans="2:51" s="141" customFormat="1" x14ac:dyDescent="0.2">
      <c r="B1193" s="142"/>
      <c r="D1193" s="143" t="s">
        <v>346</v>
      </c>
      <c r="E1193" s="144"/>
      <c r="F1193" s="145" t="s">
        <v>367</v>
      </c>
      <c r="H1193" s="144"/>
      <c r="L1193" s="142"/>
      <c r="M1193" s="146"/>
      <c r="T1193" s="147"/>
      <c r="AT1193" s="144" t="s">
        <v>346</v>
      </c>
      <c r="AU1193" s="144" t="s">
        <v>90</v>
      </c>
      <c r="AV1193" s="141" t="s">
        <v>87</v>
      </c>
      <c r="AW1193" s="141" t="s">
        <v>33</v>
      </c>
      <c r="AX1193" s="141" t="s">
        <v>80</v>
      </c>
      <c r="AY1193" s="144" t="s">
        <v>337</v>
      </c>
    </row>
    <row r="1194" spans="2:51" s="148" customFormat="1" x14ac:dyDescent="0.2">
      <c r="B1194" s="149"/>
      <c r="D1194" s="143" t="s">
        <v>346</v>
      </c>
      <c r="E1194" s="150"/>
      <c r="F1194" s="151" t="s">
        <v>1276</v>
      </c>
      <c r="H1194" s="152">
        <v>45.75</v>
      </c>
      <c r="L1194" s="149"/>
      <c r="M1194" s="153"/>
      <c r="T1194" s="154"/>
      <c r="AT1194" s="150" t="s">
        <v>346</v>
      </c>
      <c r="AU1194" s="150" t="s">
        <v>90</v>
      </c>
      <c r="AV1194" s="148" t="s">
        <v>90</v>
      </c>
      <c r="AW1194" s="148" t="s">
        <v>33</v>
      </c>
      <c r="AX1194" s="148" t="s">
        <v>80</v>
      </c>
      <c r="AY1194" s="150" t="s">
        <v>337</v>
      </c>
    </row>
    <row r="1195" spans="2:51" s="141" customFormat="1" x14ac:dyDescent="0.2">
      <c r="B1195" s="142"/>
      <c r="D1195" s="143" t="s">
        <v>346</v>
      </c>
      <c r="E1195" s="144"/>
      <c r="F1195" s="145" t="s">
        <v>1233</v>
      </c>
      <c r="H1195" s="144"/>
      <c r="L1195" s="142"/>
      <c r="M1195" s="146"/>
      <c r="T1195" s="147"/>
      <c r="AT1195" s="144" t="s">
        <v>346</v>
      </c>
      <c r="AU1195" s="144" t="s">
        <v>90</v>
      </c>
      <c r="AV1195" s="141" t="s">
        <v>87</v>
      </c>
      <c r="AW1195" s="141" t="s">
        <v>33</v>
      </c>
      <c r="AX1195" s="141" t="s">
        <v>80</v>
      </c>
      <c r="AY1195" s="144" t="s">
        <v>337</v>
      </c>
    </row>
    <row r="1196" spans="2:51" s="148" customFormat="1" x14ac:dyDescent="0.2">
      <c r="B1196" s="149"/>
      <c r="D1196" s="143" t="s">
        <v>346</v>
      </c>
      <c r="E1196" s="150"/>
      <c r="F1196" s="151" t="s">
        <v>1278</v>
      </c>
      <c r="H1196" s="152">
        <v>3.35</v>
      </c>
      <c r="L1196" s="149"/>
      <c r="M1196" s="153"/>
      <c r="T1196" s="154"/>
      <c r="AT1196" s="150" t="s">
        <v>346</v>
      </c>
      <c r="AU1196" s="150" t="s">
        <v>90</v>
      </c>
      <c r="AV1196" s="148" t="s">
        <v>90</v>
      </c>
      <c r="AW1196" s="148" t="s">
        <v>33</v>
      </c>
      <c r="AX1196" s="148" t="s">
        <v>80</v>
      </c>
      <c r="AY1196" s="150" t="s">
        <v>337</v>
      </c>
    </row>
    <row r="1197" spans="2:51" s="141" customFormat="1" x14ac:dyDescent="0.2">
      <c r="B1197" s="142"/>
      <c r="D1197" s="143" t="s">
        <v>346</v>
      </c>
      <c r="E1197" s="144"/>
      <c r="F1197" s="145" t="s">
        <v>368</v>
      </c>
      <c r="H1197" s="144"/>
      <c r="L1197" s="142"/>
      <c r="M1197" s="146"/>
      <c r="T1197" s="147"/>
      <c r="AT1197" s="144" t="s">
        <v>346</v>
      </c>
      <c r="AU1197" s="144" t="s">
        <v>90</v>
      </c>
      <c r="AV1197" s="141" t="s">
        <v>87</v>
      </c>
      <c r="AW1197" s="141" t="s">
        <v>33</v>
      </c>
      <c r="AX1197" s="141" t="s">
        <v>80</v>
      </c>
      <c r="AY1197" s="144" t="s">
        <v>337</v>
      </c>
    </row>
    <row r="1198" spans="2:51" s="148" customFormat="1" x14ac:dyDescent="0.2">
      <c r="B1198" s="149"/>
      <c r="D1198" s="143" t="s">
        <v>346</v>
      </c>
      <c r="E1198" s="150"/>
      <c r="F1198" s="151" t="s">
        <v>1276</v>
      </c>
      <c r="H1198" s="152">
        <v>45.75</v>
      </c>
      <c r="L1198" s="149"/>
      <c r="M1198" s="153"/>
      <c r="T1198" s="154"/>
      <c r="AT1198" s="150" t="s">
        <v>346</v>
      </c>
      <c r="AU1198" s="150" t="s">
        <v>90</v>
      </c>
      <c r="AV1198" s="148" t="s">
        <v>90</v>
      </c>
      <c r="AW1198" s="148" t="s">
        <v>33</v>
      </c>
      <c r="AX1198" s="148" t="s">
        <v>80</v>
      </c>
      <c r="AY1198" s="150" t="s">
        <v>337</v>
      </c>
    </row>
    <row r="1199" spans="2:51" s="141" customFormat="1" x14ac:dyDescent="0.2">
      <c r="B1199" s="142"/>
      <c r="D1199" s="143" t="s">
        <v>346</v>
      </c>
      <c r="E1199" s="144"/>
      <c r="F1199" s="145" t="s">
        <v>1233</v>
      </c>
      <c r="H1199" s="144"/>
      <c r="L1199" s="142"/>
      <c r="M1199" s="146"/>
      <c r="T1199" s="147"/>
      <c r="AT1199" s="144" t="s">
        <v>346</v>
      </c>
      <c r="AU1199" s="144" t="s">
        <v>90</v>
      </c>
      <c r="AV1199" s="141" t="s">
        <v>87</v>
      </c>
      <c r="AW1199" s="141" t="s">
        <v>33</v>
      </c>
      <c r="AX1199" s="141" t="s">
        <v>80</v>
      </c>
      <c r="AY1199" s="144" t="s">
        <v>337</v>
      </c>
    </row>
    <row r="1200" spans="2:51" s="148" customFormat="1" x14ac:dyDescent="0.2">
      <c r="B1200" s="149"/>
      <c r="D1200" s="143" t="s">
        <v>346</v>
      </c>
      <c r="E1200" s="150"/>
      <c r="F1200" s="151" t="s">
        <v>1239</v>
      </c>
      <c r="H1200" s="152">
        <v>9.15</v>
      </c>
      <c r="L1200" s="149"/>
      <c r="M1200" s="153"/>
      <c r="T1200" s="154"/>
      <c r="AT1200" s="150" t="s">
        <v>346</v>
      </c>
      <c r="AU1200" s="150" t="s">
        <v>90</v>
      </c>
      <c r="AV1200" s="148" t="s">
        <v>90</v>
      </c>
      <c r="AW1200" s="148" t="s">
        <v>33</v>
      </c>
      <c r="AX1200" s="148" t="s">
        <v>80</v>
      </c>
      <c r="AY1200" s="150" t="s">
        <v>337</v>
      </c>
    </row>
    <row r="1201" spans="2:65" s="141" customFormat="1" x14ac:dyDescent="0.2">
      <c r="B1201" s="142"/>
      <c r="D1201" s="143" t="s">
        <v>346</v>
      </c>
      <c r="E1201" s="144"/>
      <c r="F1201" s="145" t="s">
        <v>370</v>
      </c>
      <c r="H1201" s="144"/>
      <c r="L1201" s="142"/>
      <c r="M1201" s="146"/>
      <c r="T1201" s="147"/>
      <c r="AT1201" s="144" t="s">
        <v>346</v>
      </c>
      <c r="AU1201" s="144" t="s">
        <v>90</v>
      </c>
      <c r="AV1201" s="141" t="s">
        <v>87</v>
      </c>
      <c r="AW1201" s="141" t="s">
        <v>33</v>
      </c>
      <c r="AX1201" s="141" t="s">
        <v>80</v>
      </c>
      <c r="AY1201" s="144" t="s">
        <v>337</v>
      </c>
    </row>
    <row r="1202" spans="2:65" s="148" customFormat="1" x14ac:dyDescent="0.2">
      <c r="B1202" s="149"/>
      <c r="D1202" s="143" t="s">
        <v>346</v>
      </c>
      <c r="E1202" s="150"/>
      <c r="F1202" s="151" t="s">
        <v>1276</v>
      </c>
      <c r="H1202" s="152">
        <v>45.75</v>
      </c>
      <c r="L1202" s="149"/>
      <c r="M1202" s="153"/>
      <c r="T1202" s="154"/>
      <c r="AT1202" s="150" t="s">
        <v>346</v>
      </c>
      <c r="AU1202" s="150" t="s">
        <v>90</v>
      </c>
      <c r="AV1202" s="148" t="s">
        <v>90</v>
      </c>
      <c r="AW1202" s="148" t="s">
        <v>33</v>
      </c>
      <c r="AX1202" s="148" t="s">
        <v>80</v>
      </c>
      <c r="AY1202" s="150" t="s">
        <v>337</v>
      </c>
    </row>
    <row r="1203" spans="2:65" s="141" customFormat="1" x14ac:dyDescent="0.2">
      <c r="B1203" s="142"/>
      <c r="D1203" s="143" t="s">
        <v>346</v>
      </c>
      <c r="E1203" s="144"/>
      <c r="F1203" s="145" t="s">
        <v>1233</v>
      </c>
      <c r="H1203" s="144"/>
      <c r="L1203" s="142"/>
      <c r="M1203" s="146"/>
      <c r="T1203" s="147"/>
      <c r="AT1203" s="144" t="s">
        <v>346</v>
      </c>
      <c r="AU1203" s="144" t="s">
        <v>90</v>
      </c>
      <c r="AV1203" s="141" t="s">
        <v>87</v>
      </c>
      <c r="AW1203" s="141" t="s">
        <v>33</v>
      </c>
      <c r="AX1203" s="141" t="s">
        <v>80</v>
      </c>
      <c r="AY1203" s="144" t="s">
        <v>337</v>
      </c>
    </row>
    <row r="1204" spans="2:65" s="148" customFormat="1" x14ac:dyDescent="0.2">
      <c r="B1204" s="149"/>
      <c r="D1204" s="143" t="s">
        <v>346</v>
      </c>
      <c r="E1204" s="150"/>
      <c r="F1204" s="151" t="s">
        <v>1240</v>
      </c>
      <c r="H1204" s="152">
        <v>15.25</v>
      </c>
      <c r="L1204" s="149"/>
      <c r="M1204" s="153"/>
      <c r="T1204" s="154"/>
      <c r="AT1204" s="150" t="s">
        <v>346</v>
      </c>
      <c r="AU1204" s="150" t="s">
        <v>90</v>
      </c>
      <c r="AV1204" s="148" t="s">
        <v>90</v>
      </c>
      <c r="AW1204" s="148" t="s">
        <v>33</v>
      </c>
      <c r="AX1204" s="148" t="s">
        <v>80</v>
      </c>
      <c r="AY1204" s="150" t="s">
        <v>337</v>
      </c>
    </row>
    <row r="1205" spans="2:65" s="141" customFormat="1" x14ac:dyDescent="0.2">
      <c r="B1205" s="142"/>
      <c r="D1205" s="143" t="s">
        <v>346</v>
      </c>
      <c r="E1205" s="144"/>
      <c r="F1205" s="145" t="s">
        <v>434</v>
      </c>
      <c r="H1205" s="144"/>
      <c r="L1205" s="142"/>
      <c r="M1205" s="146"/>
      <c r="T1205" s="147"/>
      <c r="AT1205" s="144" t="s">
        <v>346</v>
      </c>
      <c r="AU1205" s="144" t="s">
        <v>90</v>
      </c>
      <c r="AV1205" s="141" t="s">
        <v>87</v>
      </c>
      <c r="AW1205" s="141" t="s">
        <v>33</v>
      </c>
      <c r="AX1205" s="141" t="s">
        <v>80</v>
      </c>
      <c r="AY1205" s="144" t="s">
        <v>337</v>
      </c>
    </row>
    <row r="1206" spans="2:65" s="148" customFormat="1" x14ac:dyDescent="0.2">
      <c r="B1206" s="149"/>
      <c r="D1206" s="143" t="s">
        <v>346</v>
      </c>
      <c r="E1206" s="150"/>
      <c r="F1206" s="151" t="s">
        <v>1279</v>
      </c>
      <c r="H1206" s="152">
        <v>125.05</v>
      </c>
      <c r="L1206" s="149"/>
      <c r="M1206" s="153"/>
      <c r="T1206" s="154"/>
      <c r="AT1206" s="150" t="s">
        <v>346</v>
      </c>
      <c r="AU1206" s="150" t="s">
        <v>90</v>
      </c>
      <c r="AV1206" s="148" t="s">
        <v>90</v>
      </c>
      <c r="AW1206" s="148" t="s">
        <v>33</v>
      </c>
      <c r="AX1206" s="148" t="s">
        <v>80</v>
      </c>
      <c r="AY1206" s="150" t="s">
        <v>337</v>
      </c>
    </row>
    <row r="1207" spans="2:65" s="155" customFormat="1" x14ac:dyDescent="0.2">
      <c r="B1207" s="156"/>
      <c r="D1207" s="143" t="s">
        <v>346</v>
      </c>
      <c r="E1207" s="157"/>
      <c r="F1207" s="158" t="s">
        <v>351</v>
      </c>
      <c r="H1207" s="159">
        <v>361.31</v>
      </c>
      <c r="L1207" s="156"/>
      <c r="M1207" s="160"/>
      <c r="T1207" s="161"/>
      <c r="AT1207" s="157" t="s">
        <v>346</v>
      </c>
      <c r="AU1207" s="157" t="s">
        <v>90</v>
      </c>
      <c r="AV1207" s="155" t="s">
        <v>344</v>
      </c>
      <c r="AW1207" s="155" t="s">
        <v>33</v>
      </c>
      <c r="AX1207" s="155" t="s">
        <v>87</v>
      </c>
      <c r="AY1207" s="157" t="s">
        <v>337</v>
      </c>
    </row>
    <row r="1208" spans="2:65" s="16" customFormat="1" ht="16.5" customHeight="1" x14ac:dyDescent="0.2">
      <c r="B1208" s="17"/>
      <c r="C1208" s="128">
        <v>114</v>
      </c>
      <c r="D1208" s="128" t="s">
        <v>339</v>
      </c>
      <c r="E1208" s="129" t="s">
        <v>1280</v>
      </c>
      <c r="F1208" s="130" t="s">
        <v>1281</v>
      </c>
      <c r="G1208" s="131" t="s">
        <v>425</v>
      </c>
      <c r="H1208" s="132">
        <v>480.61399999999998</v>
      </c>
      <c r="I1208" s="133"/>
      <c r="J1208" s="134">
        <f>ROUND(I1208*H1208,2)</f>
        <v>0</v>
      </c>
      <c r="K1208" s="130" t="s">
        <v>343</v>
      </c>
      <c r="L1208" s="17"/>
      <c r="M1208" s="135"/>
      <c r="N1208" s="136" t="s">
        <v>45</v>
      </c>
      <c r="P1208" s="137">
        <f>O1208*H1208</f>
        <v>0</v>
      </c>
      <c r="Q1208" s="137">
        <v>4.428E-2</v>
      </c>
      <c r="R1208" s="137">
        <f>Q1208*H1208</f>
        <v>21.28158792</v>
      </c>
      <c r="S1208" s="137">
        <v>0</v>
      </c>
      <c r="T1208" s="138">
        <f>S1208*H1208</f>
        <v>0</v>
      </c>
      <c r="AR1208" s="139" t="s">
        <v>496</v>
      </c>
      <c r="AT1208" s="139" t="s">
        <v>339</v>
      </c>
      <c r="AU1208" s="139" t="s">
        <v>90</v>
      </c>
      <c r="AY1208" s="2" t="s">
        <v>337</v>
      </c>
      <c r="BE1208" s="140">
        <f>IF(N1208="základní",J1208,0)</f>
        <v>0</v>
      </c>
      <c r="BF1208" s="140">
        <f>IF(N1208="snížená",J1208,0)</f>
        <v>0</v>
      </c>
      <c r="BG1208" s="140">
        <f>IF(N1208="zákl. přenesená",J1208,0)</f>
        <v>0</v>
      </c>
      <c r="BH1208" s="140">
        <f>IF(N1208="sníž. přenesená",J1208,0)</f>
        <v>0</v>
      </c>
      <c r="BI1208" s="140">
        <f>IF(N1208="nulová",J1208,0)</f>
        <v>0</v>
      </c>
      <c r="BJ1208" s="2" t="s">
        <v>87</v>
      </c>
      <c r="BK1208" s="140">
        <f>ROUND(I1208*H1208,2)</f>
        <v>0</v>
      </c>
      <c r="BL1208" s="2" t="s">
        <v>496</v>
      </c>
      <c r="BM1208" s="139" t="s">
        <v>1282</v>
      </c>
    </row>
    <row r="1209" spans="2:65" s="141" customFormat="1" x14ac:dyDescent="0.2">
      <c r="B1209" s="142"/>
      <c r="D1209" s="143" t="s">
        <v>346</v>
      </c>
      <c r="E1209" s="144"/>
      <c r="F1209" s="145" t="s">
        <v>1283</v>
      </c>
      <c r="H1209" s="144"/>
      <c r="L1209" s="142"/>
      <c r="M1209" s="146"/>
      <c r="T1209" s="147"/>
      <c r="AT1209" s="144" t="s">
        <v>346</v>
      </c>
      <c r="AU1209" s="144" t="s">
        <v>90</v>
      </c>
      <c r="AV1209" s="141" t="s">
        <v>87</v>
      </c>
      <c r="AW1209" s="141" t="s">
        <v>33</v>
      </c>
      <c r="AX1209" s="141" t="s">
        <v>80</v>
      </c>
      <c r="AY1209" s="144" t="s">
        <v>337</v>
      </c>
    </row>
    <row r="1210" spans="2:65" s="141" customFormat="1" x14ac:dyDescent="0.2">
      <c r="B1210" s="142"/>
      <c r="D1210" s="143" t="s">
        <v>346</v>
      </c>
      <c r="E1210" s="144"/>
      <c r="F1210" s="145" t="s">
        <v>362</v>
      </c>
      <c r="H1210" s="144"/>
      <c r="L1210" s="142"/>
      <c r="M1210" s="146"/>
      <c r="T1210" s="147"/>
      <c r="AT1210" s="144" t="s">
        <v>346</v>
      </c>
      <c r="AU1210" s="144" t="s">
        <v>90</v>
      </c>
      <c r="AV1210" s="141" t="s">
        <v>87</v>
      </c>
      <c r="AW1210" s="141" t="s">
        <v>33</v>
      </c>
      <c r="AX1210" s="141" t="s">
        <v>80</v>
      </c>
      <c r="AY1210" s="144" t="s">
        <v>337</v>
      </c>
    </row>
    <row r="1211" spans="2:65" s="148" customFormat="1" x14ac:dyDescent="0.2">
      <c r="B1211" s="149"/>
      <c r="D1211" s="143" t="s">
        <v>346</v>
      </c>
      <c r="E1211" s="150"/>
      <c r="F1211" s="151" t="s">
        <v>1284</v>
      </c>
      <c r="H1211" s="152">
        <v>32.024999999999999</v>
      </c>
      <c r="L1211" s="149"/>
      <c r="M1211" s="153"/>
      <c r="T1211" s="154"/>
      <c r="AT1211" s="150" t="s">
        <v>346</v>
      </c>
      <c r="AU1211" s="150" t="s">
        <v>90</v>
      </c>
      <c r="AV1211" s="148" t="s">
        <v>90</v>
      </c>
      <c r="AW1211" s="148" t="s">
        <v>33</v>
      </c>
      <c r="AX1211" s="148" t="s">
        <v>80</v>
      </c>
      <c r="AY1211" s="150" t="s">
        <v>337</v>
      </c>
    </row>
    <row r="1212" spans="2:65" s="148" customFormat="1" x14ac:dyDescent="0.2">
      <c r="B1212" s="149"/>
      <c r="D1212" s="143" t="s">
        <v>346</v>
      </c>
      <c r="E1212" s="150"/>
      <c r="F1212" s="151" t="s">
        <v>1285</v>
      </c>
      <c r="H1212" s="152">
        <v>3.05</v>
      </c>
      <c r="L1212" s="149"/>
      <c r="M1212" s="153"/>
      <c r="T1212" s="154"/>
      <c r="AT1212" s="150" t="s">
        <v>346</v>
      </c>
      <c r="AU1212" s="150" t="s">
        <v>90</v>
      </c>
      <c r="AV1212" s="148" t="s">
        <v>90</v>
      </c>
      <c r="AW1212" s="148" t="s">
        <v>33</v>
      </c>
      <c r="AX1212" s="148" t="s">
        <v>80</v>
      </c>
      <c r="AY1212" s="150" t="s">
        <v>337</v>
      </c>
    </row>
    <row r="1213" spans="2:65" s="148" customFormat="1" x14ac:dyDescent="0.2">
      <c r="B1213" s="149"/>
      <c r="D1213" s="143" t="s">
        <v>346</v>
      </c>
      <c r="E1213" s="150"/>
      <c r="F1213" s="151" t="s">
        <v>1286</v>
      </c>
      <c r="H1213" s="152">
        <v>4.0410000000000004</v>
      </c>
      <c r="L1213" s="149"/>
      <c r="M1213" s="153"/>
      <c r="T1213" s="154"/>
      <c r="AT1213" s="150" t="s">
        <v>346</v>
      </c>
      <c r="AU1213" s="150" t="s">
        <v>90</v>
      </c>
      <c r="AV1213" s="148" t="s">
        <v>90</v>
      </c>
      <c r="AW1213" s="148" t="s">
        <v>33</v>
      </c>
      <c r="AX1213" s="148" t="s">
        <v>80</v>
      </c>
      <c r="AY1213" s="150" t="s">
        <v>337</v>
      </c>
    </row>
    <row r="1214" spans="2:65" s="148" customFormat="1" x14ac:dyDescent="0.2">
      <c r="B1214" s="149"/>
      <c r="D1214" s="143" t="s">
        <v>346</v>
      </c>
      <c r="E1214" s="150"/>
      <c r="F1214" s="151" t="s">
        <v>1287</v>
      </c>
      <c r="H1214" s="152">
        <v>10.675000000000001</v>
      </c>
      <c r="L1214" s="149"/>
      <c r="M1214" s="153"/>
      <c r="T1214" s="154"/>
      <c r="AT1214" s="150" t="s">
        <v>346</v>
      </c>
      <c r="AU1214" s="150" t="s">
        <v>90</v>
      </c>
      <c r="AV1214" s="148" t="s">
        <v>90</v>
      </c>
      <c r="AW1214" s="148" t="s">
        <v>33</v>
      </c>
      <c r="AX1214" s="148" t="s">
        <v>80</v>
      </c>
      <c r="AY1214" s="150" t="s">
        <v>337</v>
      </c>
    </row>
    <row r="1215" spans="2:65" s="148" customFormat="1" x14ac:dyDescent="0.2">
      <c r="B1215" s="149"/>
      <c r="D1215" s="143" t="s">
        <v>346</v>
      </c>
      <c r="E1215" s="150"/>
      <c r="F1215" s="151" t="s">
        <v>1288</v>
      </c>
      <c r="H1215" s="152">
        <v>18.605</v>
      </c>
      <c r="L1215" s="149"/>
      <c r="M1215" s="153"/>
      <c r="T1215" s="154"/>
      <c r="AT1215" s="150" t="s">
        <v>346</v>
      </c>
      <c r="AU1215" s="150" t="s">
        <v>90</v>
      </c>
      <c r="AV1215" s="148" t="s">
        <v>90</v>
      </c>
      <c r="AW1215" s="148" t="s">
        <v>33</v>
      </c>
      <c r="AX1215" s="148" t="s">
        <v>80</v>
      </c>
      <c r="AY1215" s="150" t="s">
        <v>337</v>
      </c>
    </row>
    <row r="1216" spans="2:65" s="148" customFormat="1" x14ac:dyDescent="0.2">
      <c r="B1216" s="149"/>
      <c r="D1216" s="143" t="s">
        <v>346</v>
      </c>
      <c r="E1216" s="150"/>
      <c r="F1216" s="151" t="s">
        <v>1289</v>
      </c>
      <c r="H1216" s="152">
        <v>9.4550000000000001</v>
      </c>
      <c r="L1216" s="149"/>
      <c r="M1216" s="153"/>
      <c r="T1216" s="154"/>
      <c r="AT1216" s="150" t="s">
        <v>346</v>
      </c>
      <c r="AU1216" s="150" t="s">
        <v>90</v>
      </c>
      <c r="AV1216" s="148" t="s">
        <v>90</v>
      </c>
      <c r="AW1216" s="148" t="s">
        <v>33</v>
      </c>
      <c r="AX1216" s="148" t="s">
        <v>80</v>
      </c>
      <c r="AY1216" s="150" t="s">
        <v>337</v>
      </c>
    </row>
    <row r="1217" spans="2:51" s="148" customFormat="1" x14ac:dyDescent="0.2">
      <c r="B1217" s="149"/>
      <c r="D1217" s="143" t="s">
        <v>346</v>
      </c>
      <c r="E1217" s="150"/>
      <c r="F1217" s="151" t="s">
        <v>1290</v>
      </c>
      <c r="H1217" s="152">
        <v>9.76</v>
      </c>
      <c r="L1217" s="149"/>
      <c r="M1217" s="153"/>
      <c r="T1217" s="154"/>
      <c r="AT1217" s="150" t="s">
        <v>346</v>
      </c>
      <c r="AU1217" s="150" t="s">
        <v>90</v>
      </c>
      <c r="AV1217" s="148" t="s">
        <v>90</v>
      </c>
      <c r="AW1217" s="148" t="s">
        <v>33</v>
      </c>
      <c r="AX1217" s="148" t="s">
        <v>80</v>
      </c>
      <c r="AY1217" s="150" t="s">
        <v>337</v>
      </c>
    </row>
    <row r="1218" spans="2:51" s="141" customFormat="1" x14ac:dyDescent="0.2">
      <c r="B1218" s="142"/>
      <c r="D1218" s="143" t="s">
        <v>346</v>
      </c>
      <c r="E1218" s="144"/>
      <c r="F1218" s="145" t="s">
        <v>367</v>
      </c>
      <c r="H1218" s="144"/>
      <c r="L1218" s="142"/>
      <c r="M1218" s="146"/>
      <c r="T1218" s="147"/>
      <c r="AT1218" s="144" t="s">
        <v>346</v>
      </c>
      <c r="AU1218" s="144" t="s">
        <v>90</v>
      </c>
      <c r="AV1218" s="141" t="s">
        <v>87</v>
      </c>
      <c r="AW1218" s="141" t="s">
        <v>33</v>
      </c>
      <c r="AX1218" s="141" t="s">
        <v>80</v>
      </c>
      <c r="AY1218" s="144" t="s">
        <v>337</v>
      </c>
    </row>
    <row r="1219" spans="2:51" s="148" customFormat="1" x14ac:dyDescent="0.2">
      <c r="B1219" s="149"/>
      <c r="D1219" s="143" t="s">
        <v>346</v>
      </c>
      <c r="E1219" s="150"/>
      <c r="F1219" s="151" t="s">
        <v>1284</v>
      </c>
      <c r="H1219" s="152">
        <v>32.024999999999999</v>
      </c>
      <c r="L1219" s="149"/>
      <c r="M1219" s="153"/>
      <c r="T1219" s="154"/>
      <c r="AT1219" s="150" t="s">
        <v>346</v>
      </c>
      <c r="AU1219" s="150" t="s">
        <v>90</v>
      </c>
      <c r="AV1219" s="148" t="s">
        <v>90</v>
      </c>
      <c r="AW1219" s="148" t="s">
        <v>33</v>
      </c>
      <c r="AX1219" s="148" t="s">
        <v>80</v>
      </c>
      <c r="AY1219" s="150" t="s">
        <v>337</v>
      </c>
    </row>
    <row r="1220" spans="2:51" s="148" customFormat="1" x14ac:dyDescent="0.2">
      <c r="B1220" s="149"/>
      <c r="D1220" s="143" t="s">
        <v>346</v>
      </c>
      <c r="E1220" s="150"/>
      <c r="F1220" s="151" t="s">
        <v>1285</v>
      </c>
      <c r="H1220" s="152">
        <v>3.05</v>
      </c>
      <c r="L1220" s="149"/>
      <c r="M1220" s="153"/>
      <c r="T1220" s="154"/>
      <c r="AT1220" s="150" t="s">
        <v>346</v>
      </c>
      <c r="AU1220" s="150" t="s">
        <v>90</v>
      </c>
      <c r="AV1220" s="148" t="s">
        <v>90</v>
      </c>
      <c r="AW1220" s="148" t="s">
        <v>33</v>
      </c>
      <c r="AX1220" s="148" t="s">
        <v>80</v>
      </c>
      <c r="AY1220" s="150" t="s">
        <v>337</v>
      </c>
    </row>
    <row r="1221" spans="2:51" s="148" customFormat="1" x14ac:dyDescent="0.2">
      <c r="B1221" s="149"/>
      <c r="D1221" s="143" t="s">
        <v>346</v>
      </c>
      <c r="E1221" s="150"/>
      <c r="F1221" s="151" t="s">
        <v>1286</v>
      </c>
      <c r="H1221" s="152">
        <v>4.0410000000000004</v>
      </c>
      <c r="L1221" s="149"/>
      <c r="M1221" s="153"/>
      <c r="T1221" s="154"/>
      <c r="AT1221" s="150" t="s">
        <v>346</v>
      </c>
      <c r="AU1221" s="150" t="s">
        <v>90</v>
      </c>
      <c r="AV1221" s="148" t="s">
        <v>90</v>
      </c>
      <c r="AW1221" s="148" t="s">
        <v>33</v>
      </c>
      <c r="AX1221" s="148" t="s">
        <v>80</v>
      </c>
      <c r="AY1221" s="150" t="s">
        <v>337</v>
      </c>
    </row>
    <row r="1222" spans="2:51" s="148" customFormat="1" x14ac:dyDescent="0.2">
      <c r="B1222" s="149"/>
      <c r="D1222" s="143" t="s">
        <v>346</v>
      </c>
      <c r="E1222" s="150"/>
      <c r="F1222" s="151" t="s">
        <v>1287</v>
      </c>
      <c r="H1222" s="152">
        <v>10.675000000000001</v>
      </c>
      <c r="L1222" s="149"/>
      <c r="M1222" s="153"/>
      <c r="T1222" s="154"/>
      <c r="AT1222" s="150" t="s">
        <v>346</v>
      </c>
      <c r="AU1222" s="150" t="s">
        <v>90</v>
      </c>
      <c r="AV1222" s="148" t="s">
        <v>90</v>
      </c>
      <c r="AW1222" s="148" t="s">
        <v>33</v>
      </c>
      <c r="AX1222" s="148" t="s">
        <v>80</v>
      </c>
      <c r="AY1222" s="150" t="s">
        <v>337</v>
      </c>
    </row>
    <row r="1223" spans="2:51" s="148" customFormat="1" x14ac:dyDescent="0.2">
      <c r="B1223" s="149"/>
      <c r="D1223" s="143" t="s">
        <v>346</v>
      </c>
      <c r="E1223" s="150"/>
      <c r="F1223" s="151" t="s">
        <v>1288</v>
      </c>
      <c r="H1223" s="152">
        <v>18.605</v>
      </c>
      <c r="L1223" s="149"/>
      <c r="M1223" s="153"/>
      <c r="T1223" s="154"/>
      <c r="AT1223" s="150" t="s">
        <v>346</v>
      </c>
      <c r="AU1223" s="150" t="s">
        <v>90</v>
      </c>
      <c r="AV1223" s="148" t="s">
        <v>90</v>
      </c>
      <c r="AW1223" s="148" t="s">
        <v>33</v>
      </c>
      <c r="AX1223" s="148" t="s">
        <v>80</v>
      </c>
      <c r="AY1223" s="150" t="s">
        <v>337</v>
      </c>
    </row>
    <row r="1224" spans="2:51" s="148" customFormat="1" x14ac:dyDescent="0.2">
      <c r="B1224" s="149"/>
      <c r="D1224" s="143" t="s">
        <v>346</v>
      </c>
      <c r="E1224" s="150"/>
      <c r="F1224" s="151" t="s">
        <v>1289</v>
      </c>
      <c r="H1224" s="152">
        <v>9.4550000000000001</v>
      </c>
      <c r="L1224" s="149"/>
      <c r="M1224" s="153"/>
      <c r="T1224" s="154"/>
      <c r="AT1224" s="150" t="s">
        <v>346</v>
      </c>
      <c r="AU1224" s="150" t="s">
        <v>90</v>
      </c>
      <c r="AV1224" s="148" t="s">
        <v>90</v>
      </c>
      <c r="AW1224" s="148" t="s">
        <v>33</v>
      </c>
      <c r="AX1224" s="148" t="s">
        <v>80</v>
      </c>
      <c r="AY1224" s="150" t="s">
        <v>337</v>
      </c>
    </row>
    <row r="1225" spans="2:51" s="148" customFormat="1" x14ac:dyDescent="0.2">
      <c r="B1225" s="149"/>
      <c r="D1225" s="143" t="s">
        <v>346</v>
      </c>
      <c r="E1225" s="150"/>
      <c r="F1225" s="151" t="s">
        <v>1290</v>
      </c>
      <c r="H1225" s="152">
        <v>9.76</v>
      </c>
      <c r="L1225" s="149"/>
      <c r="M1225" s="153"/>
      <c r="T1225" s="154"/>
      <c r="AT1225" s="150" t="s">
        <v>346</v>
      </c>
      <c r="AU1225" s="150" t="s">
        <v>90</v>
      </c>
      <c r="AV1225" s="148" t="s">
        <v>90</v>
      </c>
      <c r="AW1225" s="148" t="s">
        <v>33</v>
      </c>
      <c r="AX1225" s="148" t="s">
        <v>80</v>
      </c>
      <c r="AY1225" s="150" t="s">
        <v>337</v>
      </c>
    </row>
    <row r="1226" spans="2:51" s="148" customFormat="1" x14ac:dyDescent="0.2">
      <c r="B1226" s="149"/>
      <c r="D1226" s="143" t="s">
        <v>346</v>
      </c>
      <c r="E1226" s="150"/>
      <c r="F1226" s="151" t="s">
        <v>1291</v>
      </c>
      <c r="H1226" s="152">
        <v>10.37</v>
      </c>
      <c r="L1226" s="149"/>
      <c r="M1226" s="153"/>
      <c r="T1226" s="154"/>
      <c r="AT1226" s="150" t="s">
        <v>346</v>
      </c>
      <c r="AU1226" s="150" t="s">
        <v>90</v>
      </c>
      <c r="AV1226" s="148" t="s">
        <v>90</v>
      </c>
      <c r="AW1226" s="148" t="s">
        <v>33</v>
      </c>
      <c r="AX1226" s="148" t="s">
        <v>80</v>
      </c>
      <c r="AY1226" s="150" t="s">
        <v>337</v>
      </c>
    </row>
    <row r="1227" spans="2:51" s="148" customFormat="1" x14ac:dyDescent="0.2">
      <c r="B1227" s="149"/>
      <c r="D1227" s="143" t="s">
        <v>346</v>
      </c>
      <c r="E1227" s="150"/>
      <c r="F1227" s="151" t="s">
        <v>1292</v>
      </c>
      <c r="H1227" s="152">
        <v>8.2349999999999994</v>
      </c>
      <c r="L1227" s="149"/>
      <c r="M1227" s="153"/>
      <c r="T1227" s="154"/>
      <c r="AT1227" s="150" t="s">
        <v>346</v>
      </c>
      <c r="AU1227" s="150" t="s">
        <v>90</v>
      </c>
      <c r="AV1227" s="148" t="s">
        <v>90</v>
      </c>
      <c r="AW1227" s="148" t="s">
        <v>33</v>
      </c>
      <c r="AX1227" s="148" t="s">
        <v>80</v>
      </c>
      <c r="AY1227" s="150" t="s">
        <v>337</v>
      </c>
    </row>
    <row r="1228" spans="2:51" s="141" customFormat="1" x14ac:dyDescent="0.2">
      <c r="B1228" s="142"/>
      <c r="D1228" s="143" t="s">
        <v>346</v>
      </c>
      <c r="E1228" s="144"/>
      <c r="F1228" s="145" t="s">
        <v>368</v>
      </c>
      <c r="H1228" s="144"/>
      <c r="L1228" s="142"/>
      <c r="M1228" s="146"/>
      <c r="T1228" s="147"/>
      <c r="AT1228" s="144" t="s">
        <v>346</v>
      </c>
      <c r="AU1228" s="144" t="s">
        <v>90</v>
      </c>
      <c r="AV1228" s="141" t="s">
        <v>87</v>
      </c>
      <c r="AW1228" s="141" t="s">
        <v>33</v>
      </c>
      <c r="AX1228" s="141" t="s">
        <v>80</v>
      </c>
      <c r="AY1228" s="144" t="s">
        <v>337</v>
      </c>
    </row>
    <row r="1229" spans="2:51" s="148" customFormat="1" x14ac:dyDescent="0.2">
      <c r="B1229" s="149"/>
      <c r="D1229" s="143" t="s">
        <v>346</v>
      </c>
      <c r="E1229" s="150"/>
      <c r="F1229" s="151" t="s">
        <v>1284</v>
      </c>
      <c r="H1229" s="152">
        <v>32.024999999999999</v>
      </c>
      <c r="L1229" s="149"/>
      <c r="M1229" s="153"/>
      <c r="T1229" s="154"/>
      <c r="AT1229" s="150" t="s">
        <v>346</v>
      </c>
      <c r="AU1229" s="150" t="s">
        <v>90</v>
      </c>
      <c r="AV1229" s="148" t="s">
        <v>90</v>
      </c>
      <c r="AW1229" s="148" t="s">
        <v>33</v>
      </c>
      <c r="AX1229" s="148" t="s">
        <v>80</v>
      </c>
      <c r="AY1229" s="150" t="s">
        <v>337</v>
      </c>
    </row>
    <row r="1230" spans="2:51" s="148" customFormat="1" x14ac:dyDescent="0.2">
      <c r="B1230" s="149"/>
      <c r="D1230" s="143" t="s">
        <v>346</v>
      </c>
      <c r="E1230" s="150"/>
      <c r="F1230" s="151" t="s">
        <v>1285</v>
      </c>
      <c r="H1230" s="152">
        <v>3.05</v>
      </c>
      <c r="L1230" s="149"/>
      <c r="M1230" s="153"/>
      <c r="T1230" s="154"/>
      <c r="AT1230" s="150" t="s">
        <v>346</v>
      </c>
      <c r="AU1230" s="150" t="s">
        <v>90</v>
      </c>
      <c r="AV1230" s="148" t="s">
        <v>90</v>
      </c>
      <c r="AW1230" s="148" t="s">
        <v>33</v>
      </c>
      <c r="AX1230" s="148" t="s">
        <v>80</v>
      </c>
      <c r="AY1230" s="150" t="s">
        <v>337</v>
      </c>
    </row>
    <row r="1231" spans="2:51" s="148" customFormat="1" x14ac:dyDescent="0.2">
      <c r="B1231" s="149"/>
      <c r="D1231" s="143" t="s">
        <v>346</v>
      </c>
      <c r="E1231" s="150"/>
      <c r="F1231" s="151" t="s">
        <v>1286</v>
      </c>
      <c r="H1231" s="152">
        <v>4.0410000000000004</v>
      </c>
      <c r="L1231" s="149"/>
      <c r="M1231" s="153"/>
      <c r="T1231" s="154"/>
      <c r="AT1231" s="150" t="s">
        <v>346</v>
      </c>
      <c r="AU1231" s="150" t="s">
        <v>90</v>
      </c>
      <c r="AV1231" s="148" t="s">
        <v>90</v>
      </c>
      <c r="AW1231" s="148" t="s">
        <v>33</v>
      </c>
      <c r="AX1231" s="148" t="s">
        <v>80</v>
      </c>
      <c r="AY1231" s="150" t="s">
        <v>337</v>
      </c>
    </row>
    <row r="1232" spans="2:51" s="148" customFormat="1" x14ac:dyDescent="0.2">
      <c r="B1232" s="149"/>
      <c r="D1232" s="143" t="s">
        <v>346</v>
      </c>
      <c r="E1232" s="150"/>
      <c r="F1232" s="151" t="s">
        <v>1287</v>
      </c>
      <c r="H1232" s="152">
        <v>10.675000000000001</v>
      </c>
      <c r="L1232" s="149"/>
      <c r="M1232" s="153"/>
      <c r="T1232" s="154"/>
      <c r="AT1232" s="150" t="s">
        <v>346</v>
      </c>
      <c r="AU1232" s="150" t="s">
        <v>90</v>
      </c>
      <c r="AV1232" s="148" t="s">
        <v>90</v>
      </c>
      <c r="AW1232" s="148" t="s">
        <v>33</v>
      </c>
      <c r="AX1232" s="148" t="s">
        <v>80</v>
      </c>
      <c r="AY1232" s="150" t="s">
        <v>337</v>
      </c>
    </row>
    <row r="1233" spans="2:51" s="148" customFormat="1" x14ac:dyDescent="0.2">
      <c r="B1233" s="149"/>
      <c r="D1233" s="143" t="s">
        <v>346</v>
      </c>
      <c r="E1233" s="150"/>
      <c r="F1233" s="151" t="s">
        <v>1288</v>
      </c>
      <c r="H1233" s="152">
        <v>18.605</v>
      </c>
      <c r="L1233" s="149"/>
      <c r="M1233" s="153"/>
      <c r="T1233" s="154"/>
      <c r="AT1233" s="150" t="s">
        <v>346</v>
      </c>
      <c r="AU1233" s="150" t="s">
        <v>90</v>
      </c>
      <c r="AV1233" s="148" t="s">
        <v>90</v>
      </c>
      <c r="AW1233" s="148" t="s">
        <v>33</v>
      </c>
      <c r="AX1233" s="148" t="s">
        <v>80</v>
      </c>
      <c r="AY1233" s="150" t="s">
        <v>337</v>
      </c>
    </row>
    <row r="1234" spans="2:51" s="148" customFormat="1" x14ac:dyDescent="0.2">
      <c r="B1234" s="149"/>
      <c r="D1234" s="143" t="s">
        <v>346</v>
      </c>
      <c r="E1234" s="150"/>
      <c r="F1234" s="151" t="s">
        <v>1289</v>
      </c>
      <c r="H1234" s="152">
        <v>9.4550000000000001</v>
      </c>
      <c r="L1234" s="149"/>
      <c r="M1234" s="153"/>
      <c r="T1234" s="154"/>
      <c r="AT1234" s="150" t="s">
        <v>346</v>
      </c>
      <c r="AU1234" s="150" t="s">
        <v>90</v>
      </c>
      <c r="AV1234" s="148" t="s">
        <v>90</v>
      </c>
      <c r="AW1234" s="148" t="s">
        <v>33</v>
      </c>
      <c r="AX1234" s="148" t="s">
        <v>80</v>
      </c>
      <c r="AY1234" s="150" t="s">
        <v>337</v>
      </c>
    </row>
    <row r="1235" spans="2:51" s="148" customFormat="1" x14ac:dyDescent="0.2">
      <c r="B1235" s="149"/>
      <c r="D1235" s="143" t="s">
        <v>346</v>
      </c>
      <c r="E1235" s="150"/>
      <c r="F1235" s="151" t="s">
        <v>1290</v>
      </c>
      <c r="H1235" s="152">
        <v>9.76</v>
      </c>
      <c r="L1235" s="149"/>
      <c r="M1235" s="153"/>
      <c r="T1235" s="154"/>
      <c r="AT1235" s="150" t="s">
        <v>346</v>
      </c>
      <c r="AU1235" s="150" t="s">
        <v>90</v>
      </c>
      <c r="AV1235" s="148" t="s">
        <v>90</v>
      </c>
      <c r="AW1235" s="148" t="s">
        <v>33</v>
      </c>
      <c r="AX1235" s="148" t="s">
        <v>80</v>
      </c>
      <c r="AY1235" s="150" t="s">
        <v>337</v>
      </c>
    </row>
    <row r="1236" spans="2:51" s="148" customFormat="1" x14ac:dyDescent="0.2">
      <c r="B1236" s="149"/>
      <c r="D1236" s="143" t="s">
        <v>346</v>
      </c>
      <c r="E1236" s="150"/>
      <c r="F1236" s="151" t="s">
        <v>1291</v>
      </c>
      <c r="H1236" s="152">
        <v>10.37</v>
      </c>
      <c r="L1236" s="149"/>
      <c r="M1236" s="153"/>
      <c r="T1236" s="154"/>
      <c r="AT1236" s="150" t="s">
        <v>346</v>
      </c>
      <c r="AU1236" s="150" t="s">
        <v>90</v>
      </c>
      <c r="AV1236" s="148" t="s">
        <v>90</v>
      </c>
      <c r="AW1236" s="148" t="s">
        <v>33</v>
      </c>
      <c r="AX1236" s="148" t="s">
        <v>80</v>
      </c>
      <c r="AY1236" s="150" t="s">
        <v>337</v>
      </c>
    </row>
    <row r="1237" spans="2:51" s="148" customFormat="1" x14ac:dyDescent="0.2">
      <c r="B1237" s="149"/>
      <c r="D1237" s="143" t="s">
        <v>346</v>
      </c>
      <c r="E1237" s="150"/>
      <c r="F1237" s="151" t="s">
        <v>1292</v>
      </c>
      <c r="H1237" s="152">
        <v>8.2349999999999994</v>
      </c>
      <c r="L1237" s="149"/>
      <c r="M1237" s="153"/>
      <c r="T1237" s="154"/>
      <c r="AT1237" s="150" t="s">
        <v>346</v>
      </c>
      <c r="AU1237" s="150" t="s">
        <v>90</v>
      </c>
      <c r="AV1237" s="148" t="s">
        <v>90</v>
      </c>
      <c r="AW1237" s="148" t="s">
        <v>33</v>
      </c>
      <c r="AX1237" s="148" t="s">
        <v>80</v>
      </c>
      <c r="AY1237" s="150" t="s">
        <v>337</v>
      </c>
    </row>
    <row r="1238" spans="2:51" s="141" customFormat="1" x14ac:dyDescent="0.2">
      <c r="B1238" s="142"/>
      <c r="D1238" s="143" t="s">
        <v>346</v>
      </c>
      <c r="E1238" s="144"/>
      <c r="F1238" s="145" t="s">
        <v>370</v>
      </c>
      <c r="H1238" s="144"/>
      <c r="L1238" s="142"/>
      <c r="M1238" s="146"/>
      <c r="T1238" s="147"/>
      <c r="AT1238" s="144" t="s">
        <v>346</v>
      </c>
      <c r="AU1238" s="144" t="s">
        <v>90</v>
      </c>
      <c r="AV1238" s="141" t="s">
        <v>87</v>
      </c>
      <c r="AW1238" s="141" t="s">
        <v>33</v>
      </c>
      <c r="AX1238" s="141" t="s">
        <v>80</v>
      </c>
      <c r="AY1238" s="144" t="s">
        <v>337</v>
      </c>
    </row>
    <row r="1239" spans="2:51" s="148" customFormat="1" x14ac:dyDescent="0.2">
      <c r="B1239" s="149"/>
      <c r="D1239" s="143" t="s">
        <v>346</v>
      </c>
      <c r="E1239" s="150"/>
      <c r="F1239" s="151" t="s">
        <v>1284</v>
      </c>
      <c r="H1239" s="152">
        <v>32.024999999999999</v>
      </c>
      <c r="L1239" s="149"/>
      <c r="M1239" s="153"/>
      <c r="T1239" s="154"/>
      <c r="AT1239" s="150" t="s">
        <v>346</v>
      </c>
      <c r="AU1239" s="150" t="s">
        <v>90</v>
      </c>
      <c r="AV1239" s="148" t="s">
        <v>90</v>
      </c>
      <c r="AW1239" s="148" t="s">
        <v>33</v>
      </c>
      <c r="AX1239" s="148" t="s">
        <v>80</v>
      </c>
      <c r="AY1239" s="150" t="s">
        <v>337</v>
      </c>
    </row>
    <row r="1240" spans="2:51" s="148" customFormat="1" x14ac:dyDescent="0.2">
      <c r="B1240" s="149"/>
      <c r="D1240" s="143" t="s">
        <v>346</v>
      </c>
      <c r="E1240" s="150"/>
      <c r="F1240" s="151" t="s">
        <v>1285</v>
      </c>
      <c r="H1240" s="152">
        <v>3.05</v>
      </c>
      <c r="L1240" s="149"/>
      <c r="M1240" s="153"/>
      <c r="T1240" s="154"/>
      <c r="AT1240" s="150" t="s">
        <v>346</v>
      </c>
      <c r="AU1240" s="150" t="s">
        <v>90</v>
      </c>
      <c r="AV1240" s="148" t="s">
        <v>90</v>
      </c>
      <c r="AW1240" s="148" t="s">
        <v>33</v>
      </c>
      <c r="AX1240" s="148" t="s">
        <v>80</v>
      </c>
      <c r="AY1240" s="150" t="s">
        <v>337</v>
      </c>
    </row>
    <row r="1241" spans="2:51" s="148" customFormat="1" x14ac:dyDescent="0.2">
      <c r="B1241" s="149"/>
      <c r="D1241" s="143" t="s">
        <v>346</v>
      </c>
      <c r="E1241" s="150"/>
      <c r="F1241" s="151" t="s">
        <v>1286</v>
      </c>
      <c r="H1241" s="152">
        <v>4.0410000000000004</v>
      </c>
      <c r="L1241" s="149"/>
      <c r="M1241" s="153"/>
      <c r="T1241" s="154"/>
      <c r="AT1241" s="150" t="s">
        <v>346</v>
      </c>
      <c r="AU1241" s="150" t="s">
        <v>90</v>
      </c>
      <c r="AV1241" s="148" t="s">
        <v>90</v>
      </c>
      <c r="AW1241" s="148" t="s">
        <v>33</v>
      </c>
      <c r="AX1241" s="148" t="s">
        <v>80</v>
      </c>
      <c r="AY1241" s="150" t="s">
        <v>337</v>
      </c>
    </row>
    <row r="1242" spans="2:51" s="148" customFormat="1" x14ac:dyDescent="0.2">
      <c r="B1242" s="149"/>
      <c r="D1242" s="143" t="s">
        <v>346</v>
      </c>
      <c r="E1242" s="150"/>
      <c r="F1242" s="151" t="s">
        <v>1287</v>
      </c>
      <c r="H1242" s="152">
        <v>10.675000000000001</v>
      </c>
      <c r="L1242" s="149"/>
      <c r="M1242" s="153"/>
      <c r="T1242" s="154"/>
      <c r="AT1242" s="150" t="s">
        <v>346</v>
      </c>
      <c r="AU1242" s="150" t="s">
        <v>90</v>
      </c>
      <c r="AV1242" s="148" t="s">
        <v>90</v>
      </c>
      <c r="AW1242" s="148" t="s">
        <v>33</v>
      </c>
      <c r="AX1242" s="148" t="s">
        <v>80</v>
      </c>
      <c r="AY1242" s="150" t="s">
        <v>337</v>
      </c>
    </row>
    <row r="1243" spans="2:51" s="148" customFormat="1" x14ac:dyDescent="0.2">
      <c r="B1243" s="149"/>
      <c r="D1243" s="143" t="s">
        <v>346</v>
      </c>
      <c r="E1243" s="150"/>
      <c r="F1243" s="151" t="s">
        <v>1288</v>
      </c>
      <c r="H1243" s="152">
        <v>18.605</v>
      </c>
      <c r="L1243" s="149"/>
      <c r="M1243" s="153"/>
      <c r="T1243" s="154"/>
      <c r="AT1243" s="150" t="s">
        <v>346</v>
      </c>
      <c r="AU1243" s="150" t="s">
        <v>90</v>
      </c>
      <c r="AV1243" s="148" t="s">
        <v>90</v>
      </c>
      <c r="AW1243" s="148" t="s">
        <v>33</v>
      </c>
      <c r="AX1243" s="148" t="s">
        <v>80</v>
      </c>
      <c r="AY1243" s="150" t="s">
        <v>337</v>
      </c>
    </row>
    <row r="1244" spans="2:51" s="148" customFormat="1" x14ac:dyDescent="0.2">
      <c r="B1244" s="149"/>
      <c r="D1244" s="143" t="s">
        <v>346</v>
      </c>
      <c r="E1244" s="150"/>
      <c r="F1244" s="151" t="s">
        <v>1289</v>
      </c>
      <c r="H1244" s="152">
        <v>9.4550000000000001</v>
      </c>
      <c r="L1244" s="149"/>
      <c r="M1244" s="153"/>
      <c r="T1244" s="154"/>
      <c r="AT1244" s="150" t="s">
        <v>346</v>
      </c>
      <c r="AU1244" s="150" t="s">
        <v>90</v>
      </c>
      <c r="AV1244" s="148" t="s">
        <v>90</v>
      </c>
      <c r="AW1244" s="148" t="s">
        <v>33</v>
      </c>
      <c r="AX1244" s="148" t="s">
        <v>80</v>
      </c>
      <c r="AY1244" s="150" t="s">
        <v>337</v>
      </c>
    </row>
    <row r="1245" spans="2:51" s="148" customFormat="1" x14ac:dyDescent="0.2">
      <c r="B1245" s="149"/>
      <c r="D1245" s="143" t="s">
        <v>346</v>
      </c>
      <c r="E1245" s="150"/>
      <c r="F1245" s="151" t="s">
        <v>1290</v>
      </c>
      <c r="H1245" s="152">
        <v>9.76</v>
      </c>
      <c r="L1245" s="149"/>
      <c r="M1245" s="153"/>
      <c r="T1245" s="154"/>
      <c r="AT1245" s="150" t="s">
        <v>346</v>
      </c>
      <c r="AU1245" s="150" t="s">
        <v>90</v>
      </c>
      <c r="AV1245" s="148" t="s">
        <v>90</v>
      </c>
      <c r="AW1245" s="148" t="s">
        <v>33</v>
      </c>
      <c r="AX1245" s="148" t="s">
        <v>80</v>
      </c>
      <c r="AY1245" s="150" t="s">
        <v>337</v>
      </c>
    </row>
    <row r="1246" spans="2:51" s="148" customFormat="1" x14ac:dyDescent="0.2">
      <c r="B1246" s="149"/>
      <c r="D1246" s="143" t="s">
        <v>346</v>
      </c>
      <c r="E1246" s="150"/>
      <c r="F1246" s="151" t="s">
        <v>1291</v>
      </c>
      <c r="H1246" s="152">
        <v>10.37</v>
      </c>
      <c r="L1246" s="149"/>
      <c r="M1246" s="153"/>
      <c r="T1246" s="154"/>
      <c r="AT1246" s="150" t="s">
        <v>346</v>
      </c>
      <c r="AU1246" s="150" t="s">
        <v>90</v>
      </c>
      <c r="AV1246" s="148" t="s">
        <v>90</v>
      </c>
      <c r="AW1246" s="148" t="s">
        <v>33</v>
      </c>
      <c r="AX1246" s="148" t="s">
        <v>80</v>
      </c>
      <c r="AY1246" s="150" t="s">
        <v>337</v>
      </c>
    </row>
    <row r="1247" spans="2:51" s="148" customFormat="1" x14ac:dyDescent="0.2">
      <c r="B1247" s="149"/>
      <c r="D1247" s="143" t="s">
        <v>346</v>
      </c>
      <c r="E1247" s="150"/>
      <c r="F1247" s="151" t="s">
        <v>1292</v>
      </c>
      <c r="H1247" s="152">
        <v>8.2349999999999994</v>
      </c>
      <c r="L1247" s="149"/>
      <c r="M1247" s="153"/>
      <c r="T1247" s="154"/>
      <c r="AT1247" s="150" t="s">
        <v>346</v>
      </c>
      <c r="AU1247" s="150" t="s">
        <v>90</v>
      </c>
      <c r="AV1247" s="148" t="s">
        <v>90</v>
      </c>
      <c r="AW1247" s="148" t="s">
        <v>33</v>
      </c>
      <c r="AX1247" s="148" t="s">
        <v>80</v>
      </c>
      <c r="AY1247" s="150" t="s">
        <v>337</v>
      </c>
    </row>
    <row r="1248" spans="2:51" s="141" customFormat="1" x14ac:dyDescent="0.2">
      <c r="B1248" s="142"/>
      <c r="D1248" s="143" t="s">
        <v>346</v>
      </c>
      <c r="E1248" s="144"/>
      <c r="F1248" s="145" t="s">
        <v>434</v>
      </c>
      <c r="H1248" s="144"/>
      <c r="L1248" s="142"/>
      <c r="M1248" s="146"/>
      <c r="T1248" s="147"/>
      <c r="AT1248" s="144" t="s">
        <v>346</v>
      </c>
      <c r="AU1248" s="144" t="s">
        <v>90</v>
      </c>
      <c r="AV1248" s="141" t="s">
        <v>87</v>
      </c>
      <c r="AW1248" s="141" t="s">
        <v>33</v>
      </c>
      <c r="AX1248" s="141" t="s">
        <v>80</v>
      </c>
      <c r="AY1248" s="144" t="s">
        <v>337</v>
      </c>
    </row>
    <row r="1249" spans="2:65" s="141" customFormat="1" x14ac:dyDescent="0.2">
      <c r="B1249" s="142"/>
      <c r="D1249" s="143" t="s">
        <v>346</v>
      </c>
      <c r="E1249" s="144"/>
      <c r="F1249" s="145" t="s">
        <v>1293</v>
      </c>
      <c r="H1249" s="144"/>
      <c r="L1249" s="142"/>
      <c r="M1249" s="146"/>
      <c r="T1249" s="147"/>
      <c r="AT1249" s="144" t="s">
        <v>346</v>
      </c>
      <c r="AU1249" s="144" t="s">
        <v>90</v>
      </c>
      <c r="AV1249" s="141" t="s">
        <v>87</v>
      </c>
      <c r="AW1249" s="141" t="s">
        <v>33</v>
      </c>
      <c r="AX1249" s="141" t="s">
        <v>80</v>
      </c>
      <c r="AY1249" s="144" t="s">
        <v>337</v>
      </c>
    </row>
    <row r="1250" spans="2:65" s="148" customFormat="1" x14ac:dyDescent="0.2">
      <c r="B1250" s="149"/>
      <c r="D1250" s="143" t="s">
        <v>346</v>
      </c>
      <c r="E1250" s="150"/>
      <c r="F1250" s="151" t="s">
        <v>1294</v>
      </c>
      <c r="H1250" s="152">
        <v>9.3000000000000007</v>
      </c>
      <c r="L1250" s="149"/>
      <c r="M1250" s="153"/>
      <c r="T1250" s="154"/>
      <c r="AT1250" s="150" t="s">
        <v>346</v>
      </c>
      <c r="AU1250" s="150" t="s">
        <v>90</v>
      </c>
      <c r="AV1250" s="148" t="s">
        <v>90</v>
      </c>
      <c r="AW1250" s="148" t="s">
        <v>33</v>
      </c>
      <c r="AX1250" s="148" t="s">
        <v>80</v>
      </c>
      <c r="AY1250" s="150" t="s">
        <v>337</v>
      </c>
    </row>
    <row r="1251" spans="2:65" s="148" customFormat="1" x14ac:dyDescent="0.2">
      <c r="B1251" s="149"/>
      <c r="D1251" s="143" t="s">
        <v>346</v>
      </c>
      <c r="E1251" s="150"/>
      <c r="F1251" s="151" t="s">
        <v>1295</v>
      </c>
      <c r="H1251" s="152">
        <v>9.7650000000000006</v>
      </c>
      <c r="L1251" s="149"/>
      <c r="M1251" s="153"/>
      <c r="T1251" s="154"/>
      <c r="AT1251" s="150" t="s">
        <v>346</v>
      </c>
      <c r="AU1251" s="150" t="s">
        <v>90</v>
      </c>
      <c r="AV1251" s="148" t="s">
        <v>90</v>
      </c>
      <c r="AW1251" s="148" t="s">
        <v>33</v>
      </c>
      <c r="AX1251" s="148" t="s">
        <v>80</v>
      </c>
      <c r="AY1251" s="150" t="s">
        <v>337</v>
      </c>
    </row>
    <row r="1252" spans="2:65" s="148" customFormat="1" x14ac:dyDescent="0.2">
      <c r="B1252" s="149"/>
      <c r="D1252" s="143" t="s">
        <v>346</v>
      </c>
      <c r="E1252" s="150"/>
      <c r="F1252" s="151" t="s">
        <v>1296</v>
      </c>
      <c r="H1252" s="152">
        <v>18.239999999999998</v>
      </c>
      <c r="L1252" s="149"/>
      <c r="M1252" s="153"/>
      <c r="T1252" s="154"/>
      <c r="AT1252" s="150" t="s">
        <v>346</v>
      </c>
      <c r="AU1252" s="150" t="s">
        <v>90</v>
      </c>
      <c r="AV1252" s="148" t="s">
        <v>90</v>
      </c>
      <c r="AW1252" s="148" t="s">
        <v>33</v>
      </c>
      <c r="AX1252" s="148" t="s">
        <v>80</v>
      </c>
      <c r="AY1252" s="150" t="s">
        <v>337</v>
      </c>
    </row>
    <row r="1253" spans="2:65" s="148" customFormat="1" x14ac:dyDescent="0.2">
      <c r="B1253" s="149"/>
      <c r="D1253" s="143" t="s">
        <v>346</v>
      </c>
      <c r="E1253" s="150"/>
      <c r="F1253" s="151" t="s">
        <v>1297</v>
      </c>
      <c r="H1253" s="152">
        <v>17.399999999999999</v>
      </c>
      <c r="L1253" s="149"/>
      <c r="M1253" s="153"/>
      <c r="T1253" s="154"/>
      <c r="AT1253" s="150" t="s">
        <v>346</v>
      </c>
      <c r="AU1253" s="150" t="s">
        <v>90</v>
      </c>
      <c r="AV1253" s="148" t="s">
        <v>90</v>
      </c>
      <c r="AW1253" s="148" t="s">
        <v>33</v>
      </c>
      <c r="AX1253" s="148" t="s">
        <v>80</v>
      </c>
      <c r="AY1253" s="150" t="s">
        <v>337</v>
      </c>
    </row>
    <row r="1254" spans="2:65" s="148" customFormat="1" x14ac:dyDescent="0.2">
      <c r="B1254" s="149"/>
      <c r="D1254" s="143" t="s">
        <v>346</v>
      </c>
      <c r="E1254" s="150"/>
      <c r="F1254" s="151" t="s">
        <v>1298</v>
      </c>
      <c r="H1254" s="152">
        <v>9.6</v>
      </c>
      <c r="L1254" s="149"/>
      <c r="M1254" s="153"/>
      <c r="T1254" s="154"/>
      <c r="AT1254" s="150" t="s">
        <v>346</v>
      </c>
      <c r="AU1254" s="150" t="s">
        <v>90</v>
      </c>
      <c r="AV1254" s="148" t="s">
        <v>90</v>
      </c>
      <c r="AW1254" s="148" t="s">
        <v>33</v>
      </c>
      <c r="AX1254" s="148" t="s">
        <v>80</v>
      </c>
      <c r="AY1254" s="150" t="s">
        <v>337</v>
      </c>
    </row>
    <row r="1255" spans="2:65" s="148" customFormat="1" x14ac:dyDescent="0.2">
      <c r="B1255" s="149"/>
      <c r="D1255" s="143" t="s">
        <v>346</v>
      </c>
      <c r="E1255" s="150"/>
      <c r="F1255" s="151" t="s">
        <v>1299</v>
      </c>
      <c r="H1255" s="152">
        <v>10.050000000000001</v>
      </c>
      <c r="L1255" s="149"/>
      <c r="M1255" s="153"/>
      <c r="T1255" s="154"/>
      <c r="AT1255" s="150" t="s">
        <v>346</v>
      </c>
      <c r="AU1255" s="150" t="s">
        <v>90</v>
      </c>
      <c r="AV1255" s="148" t="s">
        <v>90</v>
      </c>
      <c r="AW1255" s="148" t="s">
        <v>33</v>
      </c>
      <c r="AX1255" s="148" t="s">
        <v>80</v>
      </c>
      <c r="AY1255" s="150" t="s">
        <v>337</v>
      </c>
    </row>
    <row r="1256" spans="2:65" s="155" customFormat="1" x14ac:dyDescent="0.2">
      <c r="B1256" s="156"/>
      <c r="D1256" s="143" t="s">
        <v>346</v>
      </c>
      <c r="E1256" s="157"/>
      <c r="F1256" s="158" t="s">
        <v>351</v>
      </c>
      <c r="H1256" s="159">
        <v>480.61399999999998</v>
      </c>
      <c r="L1256" s="156"/>
      <c r="M1256" s="160"/>
      <c r="T1256" s="161"/>
      <c r="AT1256" s="157" t="s">
        <v>346</v>
      </c>
      <c r="AU1256" s="157" t="s">
        <v>90</v>
      </c>
      <c r="AV1256" s="155" t="s">
        <v>344</v>
      </c>
      <c r="AW1256" s="155" t="s">
        <v>33</v>
      </c>
      <c r="AX1256" s="155" t="s">
        <v>87</v>
      </c>
      <c r="AY1256" s="157" t="s">
        <v>337</v>
      </c>
    </row>
    <row r="1257" spans="2:65" s="16" customFormat="1" ht="16.5" customHeight="1" x14ac:dyDescent="0.2">
      <c r="B1257" s="17"/>
      <c r="C1257" s="128">
        <v>115</v>
      </c>
      <c r="D1257" s="128" t="s">
        <v>339</v>
      </c>
      <c r="E1257" s="129" t="s">
        <v>1301</v>
      </c>
      <c r="F1257" s="130" t="s">
        <v>1302</v>
      </c>
      <c r="G1257" s="131" t="s">
        <v>425</v>
      </c>
      <c r="H1257" s="132">
        <v>3.355</v>
      </c>
      <c r="I1257" s="133"/>
      <c r="J1257" s="134">
        <f>ROUND(I1257*H1257,2)</f>
        <v>0</v>
      </c>
      <c r="K1257" s="130" t="s">
        <v>343</v>
      </c>
      <c r="L1257" s="17"/>
      <c r="M1257" s="135"/>
      <c r="N1257" s="136" t="s">
        <v>45</v>
      </c>
      <c r="P1257" s="137">
        <f>O1257*H1257</f>
        <v>0</v>
      </c>
      <c r="Q1257" s="137">
        <v>4.5699999999999998E-2</v>
      </c>
      <c r="R1257" s="137">
        <f>Q1257*H1257</f>
        <v>0.1533235</v>
      </c>
      <c r="S1257" s="137">
        <v>0</v>
      </c>
      <c r="T1257" s="138">
        <f>S1257*H1257</f>
        <v>0</v>
      </c>
      <c r="AR1257" s="139" t="s">
        <v>496</v>
      </c>
      <c r="AT1257" s="139" t="s">
        <v>339</v>
      </c>
      <c r="AU1257" s="139" t="s">
        <v>90</v>
      </c>
      <c r="AY1257" s="2" t="s">
        <v>337</v>
      </c>
      <c r="BE1257" s="140">
        <f>IF(N1257="základní",J1257,0)</f>
        <v>0</v>
      </c>
      <c r="BF1257" s="140">
        <f>IF(N1257="snížená",J1257,0)</f>
        <v>0</v>
      </c>
      <c r="BG1257" s="140">
        <f>IF(N1257="zákl. přenesená",J1257,0)</f>
        <v>0</v>
      </c>
      <c r="BH1257" s="140">
        <f>IF(N1257="sníž. přenesená",J1257,0)</f>
        <v>0</v>
      </c>
      <c r="BI1257" s="140">
        <f>IF(N1257="nulová",J1257,0)</f>
        <v>0</v>
      </c>
      <c r="BJ1257" s="2" t="s">
        <v>87</v>
      </c>
      <c r="BK1257" s="140">
        <f>ROUND(I1257*H1257,2)</f>
        <v>0</v>
      </c>
      <c r="BL1257" s="2" t="s">
        <v>496</v>
      </c>
      <c r="BM1257" s="139" t="s">
        <v>1303</v>
      </c>
    </row>
    <row r="1258" spans="2:65" s="141" customFormat="1" x14ac:dyDescent="0.2">
      <c r="B1258" s="142"/>
      <c r="D1258" s="143" t="s">
        <v>346</v>
      </c>
      <c r="E1258" s="144"/>
      <c r="F1258" s="145" t="s">
        <v>1283</v>
      </c>
      <c r="H1258" s="144"/>
      <c r="L1258" s="142"/>
      <c r="M1258" s="146"/>
      <c r="T1258" s="147"/>
      <c r="AT1258" s="144" t="s">
        <v>346</v>
      </c>
      <c r="AU1258" s="144" t="s">
        <v>90</v>
      </c>
      <c r="AV1258" s="141" t="s">
        <v>87</v>
      </c>
      <c r="AW1258" s="141" t="s">
        <v>33</v>
      </c>
      <c r="AX1258" s="141" t="s">
        <v>80</v>
      </c>
      <c r="AY1258" s="144" t="s">
        <v>337</v>
      </c>
    </row>
    <row r="1259" spans="2:65" s="141" customFormat="1" x14ac:dyDescent="0.2">
      <c r="B1259" s="142"/>
      <c r="D1259" s="143" t="s">
        <v>346</v>
      </c>
      <c r="E1259" s="144"/>
      <c r="F1259" s="145" t="s">
        <v>362</v>
      </c>
      <c r="H1259" s="144"/>
      <c r="L1259" s="142"/>
      <c r="M1259" s="146"/>
      <c r="T1259" s="147"/>
      <c r="AT1259" s="144" t="s">
        <v>346</v>
      </c>
      <c r="AU1259" s="144" t="s">
        <v>90</v>
      </c>
      <c r="AV1259" s="141" t="s">
        <v>87</v>
      </c>
      <c r="AW1259" s="141" t="s">
        <v>33</v>
      </c>
      <c r="AX1259" s="141" t="s">
        <v>80</v>
      </c>
      <c r="AY1259" s="144" t="s">
        <v>337</v>
      </c>
    </row>
    <row r="1260" spans="2:65" s="148" customFormat="1" x14ac:dyDescent="0.2">
      <c r="B1260" s="149"/>
      <c r="D1260" s="143" t="s">
        <v>346</v>
      </c>
      <c r="E1260" s="150"/>
      <c r="F1260" s="151" t="s">
        <v>1304</v>
      </c>
      <c r="H1260" s="152">
        <v>3.355</v>
      </c>
      <c r="L1260" s="149"/>
      <c r="M1260" s="153"/>
      <c r="T1260" s="154"/>
      <c r="AT1260" s="150" t="s">
        <v>346</v>
      </c>
      <c r="AU1260" s="150" t="s">
        <v>90</v>
      </c>
      <c r="AV1260" s="148" t="s">
        <v>90</v>
      </c>
      <c r="AW1260" s="148" t="s">
        <v>33</v>
      </c>
      <c r="AX1260" s="148" t="s">
        <v>80</v>
      </c>
      <c r="AY1260" s="150" t="s">
        <v>337</v>
      </c>
    </row>
    <row r="1261" spans="2:65" s="155" customFormat="1" x14ac:dyDescent="0.2">
      <c r="B1261" s="156"/>
      <c r="D1261" s="143" t="s">
        <v>346</v>
      </c>
      <c r="E1261" s="157"/>
      <c r="F1261" s="158" t="s">
        <v>351</v>
      </c>
      <c r="H1261" s="159">
        <v>3.355</v>
      </c>
      <c r="L1261" s="156"/>
      <c r="M1261" s="160"/>
      <c r="T1261" s="161"/>
      <c r="AT1261" s="157" t="s">
        <v>346</v>
      </c>
      <c r="AU1261" s="157" t="s">
        <v>90</v>
      </c>
      <c r="AV1261" s="155" t="s">
        <v>344</v>
      </c>
      <c r="AW1261" s="155" t="s">
        <v>33</v>
      </c>
      <c r="AX1261" s="155" t="s">
        <v>87</v>
      </c>
      <c r="AY1261" s="157" t="s">
        <v>337</v>
      </c>
    </row>
    <row r="1262" spans="2:65" s="16" customFormat="1" ht="16.5" customHeight="1" x14ac:dyDescent="0.2">
      <c r="B1262" s="17"/>
      <c r="C1262" s="128">
        <v>116</v>
      </c>
      <c r="D1262" s="128" t="s">
        <v>339</v>
      </c>
      <c r="E1262" s="129" t="s">
        <v>1305</v>
      </c>
      <c r="F1262" s="130" t="s">
        <v>1306</v>
      </c>
      <c r="G1262" s="131" t="s">
        <v>425</v>
      </c>
      <c r="H1262" s="132">
        <v>177.273</v>
      </c>
      <c r="I1262" s="133"/>
      <c r="J1262" s="134">
        <f>ROUND(I1262*H1262,2)</f>
        <v>0</v>
      </c>
      <c r="K1262" s="130" t="s">
        <v>343</v>
      </c>
      <c r="L1262" s="17"/>
      <c r="M1262" s="135"/>
      <c r="N1262" s="136" t="s">
        <v>45</v>
      </c>
      <c r="P1262" s="137">
        <f>O1262*H1262</f>
        <v>0</v>
      </c>
      <c r="Q1262" s="137">
        <v>5.0259999999999999E-2</v>
      </c>
      <c r="R1262" s="137">
        <f>Q1262*H1262</f>
        <v>8.9097409800000005</v>
      </c>
      <c r="S1262" s="137">
        <v>0</v>
      </c>
      <c r="T1262" s="138">
        <f>S1262*H1262</f>
        <v>0</v>
      </c>
      <c r="AR1262" s="139" t="s">
        <v>496</v>
      </c>
      <c r="AT1262" s="139" t="s">
        <v>339</v>
      </c>
      <c r="AU1262" s="139" t="s">
        <v>90</v>
      </c>
      <c r="AY1262" s="2" t="s">
        <v>337</v>
      </c>
      <c r="BE1262" s="140">
        <f>IF(N1262="základní",J1262,0)</f>
        <v>0</v>
      </c>
      <c r="BF1262" s="140">
        <f>IF(N1262="snížená",J1262,0)</f>
        <v>0</v>
      </c>
      <c r="BG1262" s="140">
        <f>IF(N1262="zákl. přenesená",J1262,0)</f>
        <v>0</v>
      </c>
      <c r="BH1262" s="140">
        <f>IF(N1262="sníž. přenesená",J1262,0)</f>
        <v>0</v>
      </c>
      <c r="BI1262" s="140">
        <f>IF(N1262="nulová",J1262,0)</f>
        <v>0</v>
      </c>
      <c r="BJ1262" s="2" t="s">
        <v>87</v>
      </c>
      <c r="BK1262" s="140">
        <f>ROUND(I1262*H1262,2)</f>
        <v>0</v>
      </c>
      <c r="BL1262" s="2" t="s">
        <v>496</v>
      </c>
      <c r="BM1262" s="139" t="s">
        <v>1307</v>
      </c>
    </row>
    <row r="1263" spans="2:65" s="141" customFormat="1" x14ac:dyDescent="0.2">
      <c r="B1263" s="142"/>
      <c r="D1263" s="143" t="s">
        <v>346</v>
      </c>
      <c r="E1263" s="144"/>
      <c r="F1263" s="145" t="s">
        <v>1308</v>
      </c>
      <c r="H1263" s="144"/>
      <c r="L1263" s="142"/>
      <c r="M1263" s="146"/>
      <c r="T1263" s="147"/>
      <c r="AT1263" s="144" t="s">
        <v>346</v>
      </c>
      <c r="AU1263" s="144" t="s">
        <v>90</v>
      </c>
      <c r="AV1263" s="141" t="s">
        <v>87</v>
      </c>
      <c r="AW1263" s="141" t="s">
        <v>33</v>
      </c>
      <c r="AX1263" s="141" t="s">
        <v>80</v>
      </c>
      <c r="AY1263" s="144" t="s">
        <v>337</v>
      </c>
    </row>
    <row r="1264" spans="2:65" s="141" customFormat="1" x14ac:dyDescent="0.2">
      <c r="B1264" s="142"/>
      <c r="D1264" s="143" t="s">
        <v>346</v>
      </c>
      <c r="E1264" s="144"/>
      <c r="F1264" s="145" t="s">
        <v>1283</v>
      </c>
      <c r="H1264" s="144"/>
      <c r="L1264" s="142"/>
      <c r="M1264" s="146"/>
      <c r="T1264" s="147"/>
      <c r="AT1264" s="144" t="s">
        <v>346</v>
      </c>
      <c r="AU1264" s="144" t="s">
        <v>90</v>
      </c>
      <c r="AV1264" s="141" t="s">
        <v>87</v>
      </c>
      <c r="AW1264" s="141" t="s">
        <v>33</v>
      </c>
      <c r="AX1264" s="141" t="s">
        <v>80</v>
      </c>
      <c r="AY1264" s="144" t="s">
        <v>337</v>
      </c>
    </row>
    <row r="1265" spans="2:51" s="141" customFormat="1" x14ac:dyDescent="0.2">
      <c r="B1265" s="142"/>
      <c r="D1265" s="143" t="s">
        <v>346</v>
      </c>
      <c r="E1265" s="144"/>
      <c r="F1265" s="145" t="s">
        <v>362</v>
      </c>
      <c r="H1265" s="144"/>
      <c r="L1265" s="142"/>
      <c r="M1265" s="146"/>
      <c r="T1265" s="147"/>
      <c r="AT1265" s="144" t="s">
        <v>346</v>
      </c>
      <c r="AU1265" s="144" t="s">
        <v>90</v>
      </c>
      <c r="AV1265" s="141" t="s">
        <v>87</v>
      </c>
      <c r="AW1265" s="141" t="s">
        <v>33</v>
      </c>
      <c r="AX1265" s="141" t="s">
        <v>80</v>
      </c>
      <c r="AY1265" s="144" t="s">
        <v>337</v>
      </c>
    </row>
    <row r="1266" spans="2:51" s="148" customFormat="1" x14ac:dyDescent="0.2">
      <c r="B1266" s="149"/>
      <c r="D1266" s="143" t="s">
        <v>346</v>
      </c>
      <c r="E1266" s="150"/>
      <c r="F1266" s="151" t="s">
        <v>1304</v>
      </c>
      <c r="H1266" s="152">
        <v>3.355</v>
      </c>
      <c r="L1266" s="149"/>
      <c r="M1266" s="153"/>
      <c r="T1266" s="154"/>
      <c r="AT1266" s="150" t="s">
        <v>346</v>
      </c>
      <c r="AU1266" s="150" t="s">
        <v>90</v>
      </c>
      <c r="AV1266" s="148" t="s">
        <v>90</v>
      </c>
      <c r="AW1266" s="148" t="s">
        <v>33</v>
      </c>
      <c r="AX1266" s="148" t="s">
        <v>80</v>
      </c>
      <c r="AY1266" s="150" t="s">
        <v>337</v>
      </c>
    </row>
    <row r="1267" spans="2:51" s="148" customFormat="1" x14ac:dyDescent="0.2">
      <c r="B1267" s="149"/>
      <c r="D1267" s="143" t="s">
        <v>346</v>
      </c>
      <c r="E1267" s="150"/>
      <c r="F1267" s="151" t="s">
        <v>1309</v>
      </c>
      <c r="H1267" s="152">
        <v>7.625</v>
      </c>
      <c r="L1267" s="149"/>
      <c r="M1267" s="153"/>
      <c r="T1267" s="154"/>
      <c r="AT1267" s="150" t="s">
        <v>346</v>
      </c>
      <c r="AU1267" s="150" t="s">
        <v>90</v>
      </c>
      <c r="AV1267" s="148" t="s">
        <v>90</v>
      </c>
      <c r="AW1267" s="148" t="s">
        <v>33</v>
      </c>
      <c r="AX1267" s="148" t="s">
        <v>80</v>
      </c>
      <c r="AY1267" s="150" t="s">
        <v>337</v>
      </c>
    </row>
    <row r="1268" spans="2:51" s="148" customFormat="1" x14ac:dyDescent="0.2">
      <c r="B1268" s="149"/>
      <c r="D1268" s="143" t="s">
        <v>346</v>
      </c>
      <c r="E1268" s="150"/>
      <c r="F1268" s="151" t="s">
        <v>1310</v>
      </c>
      <c r="H1268" s="152">
        <v>5.49</v>
      </c>
      <c r="L1268" s="149"/>
      <c r="M1268" s="153"/>
      <c r="T1268" s="154"/>
      <c r="AT1268" s="150" t="s">
        <v>346</v>
      </c>
      <c r="AU1268" s="150" t="s">
        <v>90</v>
      </c>
      <c r="AV1268" s="148" t="s">
        <v>90</v>
      </c>
      <c r="AW1268" s="148" t="s">
        <v>33</v>
      </c>
      <c r="AX1268" s="148" t="s">
        <v>80</v>
      </c>
      <c r="AY1268" s="150" t="s">
        <v>337</v>
      </c>
    </row>
    <row r="1269" spans="2:51" s="148" customFormat="1" x14ac:dyDescent="0.2">
      <c r="B1269" s="149"/>
      <c r="D1269" s="143" t="s">
        <v>346</v>
      </c>
      <c r="E1269" s="150"/>
      <c r="F1269" s="151" t="s">
        <v>1311</v>
      </c>
      <c r="H1269" s="152">
        <v>0.83899999999999997</v>
      </c>
      <c r="L1269" s="149"/>
      <c r="M1269" s="153"/>
      <c r="T1269" s="154"/>
      <c r="AT1269" s="150" t="s">
        <v>346</v>
      </c>
      <c r="AU1269" s="150" t="s">
        <v>90</v>
      </c>
      <c r="AV1269" s="148" t="s">
        <v>90</v>
      </c>
      <c r="AW1269" s="148" t="s">
        <v>33</v>
      </c>
      <c r="AX1269" s="148" t="s">
        <v>80</v>
      </c>
      <c r="AY1269" s="150" t="s">
        <v>337</v>
      </c>
    </row>
    <row r="1270" spans="2:51" s="148" customFormat="1" x14ac:dyDescent="0.2">
      <c r="B1270" s="149"/>
      <c r="D1270" s="143" t="s">
        <v>346</v>
      </c>
      <c r="E1270" s="150"/>
      <c r="F1270" s="151" t="s">
        <v>1312</v>
      </c>
      <c r="H1270" s="152">
        <v>11.743</v>
      </c>
      <c r="L1270" s="149"/>
      <c r="M1270" s="153"/>
      <c r="T1270" s="154"/>
      <c r="AT1270" s="150" t="s">
        <v>346</v>
      </c>
      <c r="AU1270" s="150" t="s">
        <v>90</v>
      </c>
      <c r="AV1270" s="148" t="s">
        <v>90</v>
      </c>
      <c r="AW1270" s="148" t="s">
        <v>33</v>
      </c>
      <c r="AX1270" s="148" t="s">
        <v>80</v>
      </c>
      <c r="AY1270" s="150" t="s">
        <v>337</v>
      </c>
    </row>
    <row r="1271" spans="2:51" s="141" customFormat="1" x14ac:dyDescent="0.2">
      <c r="B1271" s="142"/>
      <c r="D1271" s="143" t="s">
        <v>346</v>
      </c>
      <c r="E1271" s="144"/>
      <c r="F1271" s="145" t="s">
        <v>1233</v>
      </c>
      <c r="H1271" s="144"/>
      <c r="L1271" s="142"/>
      <c r="M1271" s="146"/>
      <c r="T1271" s="147"/>
      <c r="AT1271" s="144" t="s">
        <v>346</v>
      </c>
      <c r="AU1271" s="144" t="s">
        <v>90</v>
      </c>
      <c r="AV1271" s="141" t="s">
        <v>87</v>
      </c>
      <c r="AW1271" s="141" t="s">
        <v>33</v>
      </c>
      <c r="AX1271" s="141" t="s">
        <v>80</v>
      </c>
      <c r="AY1271" s="144" t="s">
        <v>337</v>
      </c>
    </row>
    <row r="1272" spans="2:51" s="148" customFormat="1" x14ac:dyDescent="0.2">
      <c r="B1272" s="149"/>
      <c r="D1272" s="143" t="s">
        <v>346</v>
      </c>
      <c r="E1272" s="150"/>
      <c r="F1272" s="151" t="s">
        <v>1313</v>
      </c>
      <c r="H1272" s="152">
        <v>5.5659999999999998</v>
      </c>
      <c r="L1272" s="149"/>
      <c r="M1272" s="153"/>
      <c r="T1272" s="154"/>
      <c r="AT1272" s="150" t="s">
        <v>346</v>
      </c>
      <c r="AU1272" s="150" t="s">
        <v>90</v>
      </c>
      <c r="AV1272" s="148" t="s">
        <v>90</v>
      </c>
      <c r="AW1272" s="148" t="s">
        <v>33</v>
      </c>
      <c r="AX1272" s="148" t="s">
        <v>80</v>
      </c>
      <c r="AY1272" s="150" t="s">
        <v>337</v>
      </c>
    </row>
    <row r="1273" spans="2:51" s="141" customFormat="1" x14ac:dyDescent="0.2">
      <c r="B1273" s="142"/>
      <c r="D1273" s="143" t="s">
        <v>346</v>
      </c>
      <c r="E1273" s="144"/>
      <c r="F1273" s="145" t="s">
        <v>367</v>
      </c>
      <c r="H1273" s="144"/>
      <c r="L1273" s="142"/>
      <c r="M1273" s="146"/>
      <c r="T1273" s="147"/>
      <c r="AT1273" s="144" t="s">
        <v>346</v>
      </c>
      <c r="AU1273" s="144" t="s">
        <v>90</v>
      </c>
      <c r="AV1273" s="141" t="s">
        <v>87</v>
      </c>
      <c r="AW1273" s="141" t="s">
        <v>33</v>
      </c>
      <c r="AX1273" s="141" t="s">
        <v>80</v>
      </c>
      <c r="AY1273" s="144" t="s">
        <v>337</v>
      </c>
    </row>
    <row r="1274" spans="2:51" s="148" customFormat="1" x14ac:dyDescent="0.2">
      <c r="B1274" s="149"/>
      <c r="D1274" s="143" t="s">
        <v>346</v>
      </c>
      <c r="E1274" s="150"/>
      <c r="F1274" s="151" t="s">
        <v>1314</v>
      </c>
      <c r="H1274" s="152">
        <v>15.098000000000001</v>
      </c>
      <c r="L1274" s="149"/>
      <c r="M1274" s="153"/>
      <c r="T1274" s="154"/>
      <c r="AT1274" s="150" t="s">
        <v>346</v>
      </c>
      <c r="AU1274" s="150" t="s">
        <v>90</v>
      </c>
      <c r="AV1274" s="148" t="s">
        <v>90</v>
      </c>
      <c r="AW1274" s="148" t="s">
        <v>33</v>
      </c>
      <c r="AX1274" s="148" t="s">
        <v>80</v>
      </c>
      <c r="AY1274" s="150" t="s">
        <v>337</v>
      </c>
    </row>
    <row r="1275" spans="2:51" s="148" customFormat="1" x14ac:dyDescent="0.2">
      <c r="B1275" s="149"/>
      <c r="D1275" s="143" t="s">
        <v>346</v>
      </c>
      <c r="E1275" s="150"/>
      <c r="F1275" s="151" t="s">
        <v>1304</v>
      </c>
      <c r="H1275" s="152">
        <v>3.355</v>
      </c>
      <c r="L1275" s="149"/>
      <c r="M1275" s="153"/>
      <c r="T1275" s="154"/>
      <c r="AT1275" s="150" t="s">
        <v>346</v>
      </c>
      <c r="AU1275" s="150" t="s">
        <v>90</v>
      </c>
      <c r="AV1275" s="148" t="s">
        <v>90</v>
      </c>
      <c r="AW1275" s="148" t="s">
        <v>33</v>
      </c>
      <c r="AX1275" s="148" t="s">
        <v>80</v>
      </c>
      <c r="AY1275" s="150" t="s">
        <v>337</v>
      </c>
    </row>
    <row r="1276" spans="2:51" s="141" customFormat="1" x14ac:dyDescent="0.2">
      <c r="B1276" s="142"/>
      <c r="D1276" s="143" t="s">
        <v>346</v>
      </c>
      <c r="E1276" s="144"/>
      <c r="F1276" s="145" t="s">
        <v>1233</v>
      </c>
      <c r="H1276" s="144"/>
      <c r="L1276" s="142"/>
      <c r="M1276" s="146"/>
      <c r="T1276" s="147"/>
      <c r="AT1276" s="144" t="s">
        <v>346</v>
      </c>
      <c r="AU1276" s="144" t="s">
        <v>90</v>
      </c>
      <c r="AV1276" s="141" t="s">
        <v>87</v>
      </c>
      <c r="AW1276" s="141" t="s">
        <v>33</v>
      </c>
      <c r="AX1276" s="141" t="s">
        <v>80</v>
      </c>
      <c r="AY1276" s="144" t="s">
        <v>337</v>
      </c>
    </row>
    <row r="1277" spans="2:51" s="148" customFormat="1" x14ac:dyDescent="0.2">
      <c r="B1277" s="149"/>
      <c r="D1277" s="143" t="s">
        <v>346</v>
      </c>
      <c r="E1277" s="150"/>
      <c r="F1277" s="151" t="s">
        <v>1315</v>
      </c>
      <c r="H1277" s="152">
        <v>6.1139999999999999</v>
      </c>
      <c r="L1277" s="149"/>
      <c r="M1277" s="153"/>
      <c r="T1277" s="154"/>
      <c r="AT1277" s="150" t="s">
        <v>346</v>
      </c>
      <c r="AU1277" s="150" t="s">
        <v>90</v>
      </c>
      <c r="AV1277" s="148" t="s">
        <v>90</v>
      </c>
      <c r="AW1277" s="148" t="s">
        <v>33</v>
      </c>
      <c r="AX1277" s="148" t="s">
        <v>80</v>
      </c>
      <c r="AY1277" s="150" t="s">
        <v>337</v>
      </c>
    </row>
    <row r="1278" spans="2:51" s="141" customFormat="1" x14ac:dyDescent="0.2">
      <c r="B1278" s="142"/>
      <c r="D1278" s="143" t="s">
        <v>346</v>
      </c>
      <c r="E1278" s="144"/>
      <c r="F1278" s="145" t="s">
        <v>368</v>
      </c>
      <c r="H1278" s="144"/>
      <c r="L1278" s="142"/>
      <c r="M1278" s="146"/>
      <c r="T1278" s="147"/>
      <c r="AT1278" s="144" t="s">
        <v>346</v>
      </c>
      <c r="AU1278" s="144" t="s">
        <v>90</v>
      </c>
      <c r="AV1278" s="141" t="s">
        <v>87</v>
      </c>
      <c r="AW1278" s="141" t="s">
        <v>33</v>
      </c>
      <c r="AX1278" s="141" t="s">
        <v>80</v>
      </c>
      <c r="AY1278" s="144" t="s">
        <v>337</v>
      </c>
    </row>
    <row r="1279" spans="2:51" s="148" customFormat="1" x14ac:dyDescent="0.2">
      <c r="B1279" s="149"/>
      <c r="D1279" s="143" t="s">
        <v>346</v>
      </c>
      <c r="E1279" s="150"/>
      <c r="F1279" s="151" t="s">
        <v>1314</v>
      </c>
      <c r="H1279" s="152">
        <v>15.098000000000001</v>
      </c>
      <c r="L1279" s="149"/>
      <c r="M1279" s="153"/>
      <c r="T1279" s="154"/>
      <c r="AT1279" s="150" t="s">
        <v>346</v>
      </c>
      <c r="AU1279" s="150" t="s">
        <v>90</v>
      </c>
      <c r="AV1279" s="148" t="s">
        <v>90</v>
      </c>
      <c r="AW1279" s="148" t="s">
        <v>33</v>
      </c>
      <c r="AX1279" s="148" t="s">
        <v>80</v>
      </c>
      <c r="AY1279" s="150" t="s">
        <v>337</v>
      </c>
    </row>
    <row r="1280" spans="2:51" s="148" customFormat="1" x14ac:dyDescent="0.2">
      <c r="B1280" s="149"/>
      <c r="D1280" s="143" t="s">
        <v>346</v>
      </c>
      <c r="E1280" s="150"/>
      <c r="F1280" s="151" t="s">
        <v>1304</v>
      </c>
      <c r="H1280" s="152">
        <v>3.355</v>
      </c>
      <c r="L1280" s="149"/>
      <c r="M1280" s="153"/>
      <c r="T1280" s="154"/>
      <c r="AT1280" s="150" t="s">
        <v>346</v>
      </c>
      <c r="AU1280" s="150" t="s">
        <v>90</v>
      </c>
      <c r="AV1280" s="148" t="s">
        <v>90</v>
      </c>
      <c r="AW1280" s="148" t="s">
        <v>33</v>
      </c>
      <c r="AX1280" s="148" t="s">
        <v>80</v>
      </c>
      <c r="AY1280" s="150" t="s">
        <v>337</v>
      </c>
    </row>
    <row r="1281" spans="2:51" s="141" customFormat="1" x14ac:dyDescent="0.2">
      <c r="B1281" s="142"/>
      <c r="D1281" s="143" t="s">
        <v>346</v>
      </c>
      <c r="E1281" s="144"/>
      <c r="F1281" s="145" t="s">
        <v>1233</v>
      </c>
      <c r="H1281" s="144"/>
      <c r="L1281" s="142"/>
      <c r="M1281" s="146"/>
      <c r="T1281" s="147"/>
      <c r="AT1281" s="144" t="s">
        <v>346</v>
      </c>
      <c r="AU1281" s="144" t="s">
        <v>90</v>
      </c>
      <c r="AV1281" s="141" t="s">
        <v>87</v>
      </c>
      <c r="AW1281" s="141" t="s">
        <v>33</v>
      </c>
      <c r="AX1281" s="141" t="s">
        <v>80</v>
      </c>
      <c r="AY1281" s="144" t="s">
        <v>337</v>
      </c>
    </row>
    <row r="1282" spans="2:51" s="148" customFormat="1" x14ac:dyDescent="0.2">
      <c r="B1282" s="149"/>
      <c r="D1282" s="143" t="s">
        <v>346</v>
      </c>
      <c r="E1282" s="150"/>
      <c r="F1282" s="151" t="s">
        <v>1313</v>
      </c>
      <c r="H1282" s="152">
        <v>5.5659999999999998</v>
      </c>
      <c r="L1282" s="149"/>
      <c r="M1282" s="153"/>
      <c r="T1282" s="154"/>
      <c r="AT1282" s="150" t="s">
        <v>346</v>
      </c>
      <c r="AU1282" s="150" t="s">
        <v>90</v>
      </c>
      <c r="AV1282" s="148" t="s">
        <v>90</v>
      </c>
      <c r="AW1282" s="148" t="s">
        <v>33</v>
      </c>
      <c r="AX1282" s="148" t="s">
        <v>80</v>
      </c>
      <c r="AY1282" s="150" t="s">
        <v>337</v>
      </c>
    </row>
    <row r="1283" spans="2:51" s="141" customFormat="1" x14ac:dyDescent="0.2">
      <c r="B1283" s="142"/>
      <c r="D1283" s="143" t="s">
        <v>346</v>
      </c>
      <c r="E1283" s="144"/>
      <c r="F1283" s="145" t="s">
        <v>370</v>
      </c>
      <c r="H1283" s="144"/>
      <c r="L1283" s="142"/>
      <c r="M1283" s="146"/>
      <c r="T1283" s="147"/>
      <c r="AT1283" s="144" t="s">
        <v>346</v>
      </c>
      <c r="AU1283" s="144" t="s">
        <v>90</v>
      </c>
      <c r="AV1283" s="141" t="s">
        <v>87</v>
      </c>
      <c r="AW1283" s="141" t="s">
        <v>33</v>
      </c>
      <c r="AX1283" s="141" t="s">
        <v>80</v>
      </c>
      <c r="AY1283" s="144" t="s">
        <v>337</v>
      </c>
    </row>
    <row r="1284" spans="2:51" s="148" customFormat="1" x14ac:dyDescent="0.2">
      <c r="B1284" s="149"/>
      <c r="D1284" s="143" t="s">
        <v>346</v>
      </c>
      <c r="E1284" s="150"/>
      <c r="F1284" s="151" t="s">
        <v>1314</v>
      </c>
      <c r="H1284" s="152">
        <v>15.098000000000001</v>
      </c>
      <c r="L1284" s="149"/>
      <c r="M1284" s="153"/>
      <c r="T1284" s="154"/>
      <c r="AT1284" s="150" t="s">
        <v>346</v>
      </c>
      <c r="AU1284" s="150" t="s">
        <v>90</v>
      </c>
      <c r="AV1284" s="148" t="s">
        <v>90</v>
      </c>
      <c r="AW1284" s="148" t="s">
        <v>33</v>
      </c>
      <c r="AX1284" s="148" t="s">
        <v>80</v>
      </c>
      <c r="AY1284" s="150" t="s">
        <v>337</v>
      </c>
    </row>
    <row r="1285" spans="2:51" s="148" customFormat="1" x14ac:dyDescent="0.2">
      <c r="B1285" s="149"/>
      <c r="D1285" s="143" t="s">
        <v>346</v>
      </c>
      <c r="E1285" s="150"/>
      <c r="F1285" s="151" t="s">
        <v>1304</v>
      </c>
      <c r="H1285" s="152">
        <v>3.355</v>
      </c>
      <c r="L1285" s="149"/>
      <c r="M1285" s="153"/>
      <c r="T1285" s="154"/>
      <c r="AT1285" s="150" t="s">
        <v>346</v>
      </c>
      <c r="AU1285" s="150" t="s">
        <v>90</v>
      </c>
      <c r="AV1285" s="148" t="s">
        <v>90</v>
      </c>
      <c r="AW1285" s="148" t="s">
        <v>33</v>
      </c>
      <c r="AX1285" s="148" t="s">
        <v>80</v>
      </c>
      <c r="AY1285" s="150" t="s">
        <v>337</v>
      </c>
    </row>
    <row r="1286" spans="2:51" s="141" customFormat="1" x14ac:dyDescent="0.2">
      <c r="B1286" s="142"/>
      <c r="D1286" s="143" t="s">
        <v>346</v>
      </c>
      <c r="E1286" s="144"/>
      <c r="F1286" s="145" t="s">
        <v>1233</v>
      </c>
      <c r="H1286" s="144"/>
      <c r="L1286" s="142"/>
      <c r="M1286" s="146"/>
      <c r="T1286" s="147"/>
      <c r="AT1286" s="144" t="s">
        <v>346</v>
      </c>
      <c r="AU1286" s="144" t="s">
        <v>90</v>
      </c>
      <c r="AV1286" s="141" t="s">
        <v>87</v>
      </c>
      <c r="AW1286" s="141" t="s">
        <v>33</v>
      </c>
      <c r="AX1286" s="141" t="s">
        <v>80</v>
      </c>
      <c r="AY1286" s="144" t="s">
        <v>337</v>
      </c>
    </row>
    <row r="1287" spans="2:51" s="148" customFormat="1" x14ac:dyDescent="0.2">
      <c r="B1287" s="149"/>
      <c r="D1287" s="143" t="s">
        <v>346</v>
      </c>
      <c r="E1287" s="150"/>
      <c r="F1287" s="151" t="s">
        <v>1313</v>
      </c>
      <c r="H1287" s="152">
        <v>5.5659999999999998</v>
      </c>
      <c r="L1287" s="149"/>
      <c r="M1287" s="153"/>
      <c r="T1287" s="154"/>
      <c r="AT1287" s="150" t="s">
        <v>346</v>
      </c>
      <c r="AU1287" s="150" t="s">
        <v>90</v>
      </c>
      <c r="AV1287" s="148" t="s">
        <v>90</v>
      </c>
      <c r="AW1287" s="148" t="s">
        <v>33</v>
      </c>
      <c r="AX1287" s="148" t="s">
        <v>80</v>
      </c>
      <c r="AY1287" s="150" t="s">
        <v>337</v>
      </c>
    </row>
    <row r="1288" spans="2:51" s="141" customFormat="1" x14ac:dyDescent="0.2">
      <c r="B1288" s="142"/>
      <c r="D1288" s="143" t="s">
        <v>346</v>
      </c>
      <c r="E1288" s="144"/>
      <c r="F1288" s="145" t="s">
        <v>434</v>
      </c>
      <c r="H1288" s="144"/>
      <c r="L1288" s="142"/>
      <c r="M1288" s="146"/>
      <c r="T1288" s="147"/>
      <c r="AT1288" s="144" t="s">
        <v>346</v>
      </c>
      <c r="AU1288" s="144" t="s">
        <v>90</v>
      </c>
      <c r="AV1288" s="141" t="s">
        <v>87</v>
      </c>
      <c r="AW1288" s="141" t="s">
        <v>33</v>
      </c>
      <c r="AX1288" s="141" t="s">
        <v>80</v>
      </c>
      <c r="AY1288" s="144" t="s">
        <v>337</v>
      </c>
    </row>
    <row r="1289" spans="2:51" s="141" customFormat="1" x14ac:dyDescent="0.2">
      <c r="B1289" s="142"/>
      <c r="D1289" s="143" t="s">
        <v>346</v>
      </c>
      <c r="E1289" s="144"/>
      <c r="F1289" s="145" t="s">
        <v>1316</v>
      </c>
      <c r="H1289" s="144"/>
      <c r="L1289" s="142"/>
      <c r="M1289" s="146"/>
      <c r="T1289" s="147"/>
      <c r="AT1289" s="144" t="s">
        <v>346</v>
      </c>
      <c r="AU1289" s="144" t="s">
        <v>90</v>
      </c>
      <c r="AV1289" s="141" t="s">
        <v>87</v>
      </c>
      <c r="AW1289" s="141" t="s">
        <v>33</v>
      </c>
      <c r="AX1289" s="141" t="s">
        <v>80</v>
      </c>
      <c r="AY1289" s="144" t="s">
        <v>337</v>
      </c>
    </row>
    <row r="1290" spans="2:51" s="148" customFormat="1" x14ac:dyDescent="0.2">
      <c r="B1290" s="149"/>
      <c r="D1290" s="143" t="s">
        <v>346</v>
      </c>
      <c r="E1290" s="150"/>
      <c r="F1290" s="151" t="s">
        <v>1317</v>
      </c>
      <c r="H1290" s="152">
        <v>3.15</v>
      </c>
      <c r="L1290" s="149"/>
      <c r="M1290" s="153"/>
      <c r="T1290" s="154"/>
      <c r="AT1290" s="150" t="s">
        <v>346</v>
      </c>
      <c r="AU1290" s="150" t="s">
        <v>90</v>
      </c>
      <c r="AV1290" s="148" t="s">
        <v>90</v>
      </c>
      <c r="AW1290" s="148" t="s">
        <v>33</v>
      </c>
      <c r="AX1290" s="148" t="s">
        <v>80</v>
      </c>
      <c r="AY1290" s="150" t="s">
        <v>337</v>
      </c>
    </row>
    <row r="1291" spans="2:51" s="148" customFormat="1" x14ac:dyDescent="0.2">
      <c r="B1291" s="149"/>
      <c r="D1291" s="143" t="s">
        <v>346</v>
      </c>
      <c r="E1291" s="150"/>
      <c r="F1291" s="151" t="s">
        <v>1318</v>
      </c>
      <c r="H1291" s="152">
        <v>8.6999999999999993</v>
      </c>
      <c r="L1291" s="149"/>
      <c r="M1291" s="153"/>
      <c r="T1291" s="154"/>
      <c r="AT1291" s="150" t="s">
        <v>346</v>
      </c>
      <c r="AU1291" s="150" t="s">
        <v>90</v>
      </c>
      <c r="AV1291" s="148" t="s">
        <v>90</v>
      </c>
      <c r="AW1291" s="148" t="s">
        <v>33</v>
      </c>
      <c r="AX1291" s="148" t="s">
        <v>80</v>
      </c>
      <c r="AY1291" s="150" t="s">
        <v>337</v>
      </c>
    </row>
    <row r="1292" spans="2:51" s="148" customFormat="1" x14ac:dyDescent="0.2">
      <c r="B1292" s="149"/>
      <c r="D1292" s="143" t="s">
        <v>346</v>
      </c>
      <c r="E1292" s="150"/>
      <c r="F1292" s="151" t="s">
        <v>1319</v>
      </c>
      <c r="H1292" s="152">
        <v>11.4</v>
      </c>
      <c r="L1292" s="149"/>
      <c r="M1292" s="153"/>
      <c r="T1292" s="154"/>
      <c r="AT1292" s="150" t="s">
        <v>346</v>
      </c>
      <c r="AU1292" s="150" t="s">
        <v>90</v>
      </c>
      <c r="AV1292" s="148" t="s">
        <v>90</v>
      </c>
      <c r="AW1292" s="148" t="s">
        <v>33</v>
      </c>
      <c r="AX1292" s="148" t="s">
        <v>80</v>
      </c>
      <c r="AY1292" s="150" t="s">
        <v>337</v>
      </c>
    </row>
    <row r="1293" spans="2:51" s="148" customFormat="1" x14ac:dyDescent="0.2">
      <c r="B1293" s="149"/>
      <c r="D1293" s="143" t="s">
        <v>346</v>
      </c>
      <c r="E1293" s="150"/>
      <c r="F1293" s="151" t="s">
        <v>1320</v>
      </c>
      <c r="H1293" s="152">
        <v>18</v>
      </c>
      <c r="L1293" s="149"/>
      <c r="M1293" s="153"/>
      <c r="T1293" s="154"/>
      <c r="AT1293" s="150" t="s">
        <v>346</v>
      </c>
      <c r="AU1293" s="150" t="s">
        <v>90</v>
      </c>
      <c r="AV1293" s="148" t="s">
        <v>90</v>
      </c>
      <c r="AW1293" s="148" t="s">
        <v>33</v>
      </c>
      <c r="AX1293" s="148" t="s">
        <v>80</v>
      </c>
      <c r="AY1293" s="150" t="s">
        <v>337</v>
      </c>
    </row>
    <row r="1294" spans="2:51" s="148" customFormat="1" x14ac:dyDescent="0.2">
      <c r="B1294" s="149"/>
      <c r="D1294" s="143" t="s">
        <v>346</v>
      </c>
      <c r="E1294" s="150"/>
      <c r="F1294" s="151" t="s">
        <v>1321</v>
      </c>
      <c r="H1294" s="152">
        <v>16.2</v>
      </c>
      <c r="L1294" s="149"/>
      <c r="M1294" s="153"/>
      <c r="T1294" s="154"/>
      <c r="AT1294" s="150" t="s">
        <v>346</v>
      </c>
      <c r="AU1294" s="150" t="s">
        <v>90</v>
      </c>
      <c r="AV1294" s="148" t="s">
        <v>90</v>
      </c>
      <c r="AW1294" s="148" t="s">
        <v>33</v>
      </c>
      <c r="AX1294" s="148" t="s">
        <v>80</v>
      </c>
      <c r="AY1294" s="150" t="s">
        <v>337</v>
      </c>
    </row>
    <row r="1295" spans="2:51" s="148" customFormat="1" x14ac:dyDescent="0.2">
      <c r="B1295" s="149"/>
      <c r="D1295" s="143" t="s">
        <v>346</v>
      </c>
      <c r="E1295" s="150"/>
      <c r="F1295" s="151" t="s">
        <v>1322</v>
      </c>
      <c r="H1295" s="152">
        <v>4.2</v>
      </c>
      <c r="L1295" s="149"/>
      <c r="M1295" s="153"/>
      <c r="T1295" s="154"/>
      <c r="AT1295" s="150" t="s">
        <v>346</v>
      </c>
      <c r="AU1295" s="150" t="s">
        <v>90</v>
      </c>
      <c r="AV1295" s="148" t="s">
        <v>90</v>
      </c>
      <c r="AW1295" s="148" t="s">
        <v>33</v>
      </c>
      <c r="AX1295" s="148" t="s">
        <v>80</v>
      </c>
      <c r="AY1295" s="150" t="s">
        <v>337</v>
      </c>
    </row>
    <row r="1296" spans="2:51" s="141" customFormat="1" x14ac:dyDescent="0.2">
      <c r="B1296" s="142"/>
      <c r="D1296" s="143" t="s">
        <v>346</v>
      </c>
      <c r="E1296" s="144"/>
      <c r="F1296" s="145" t="s">
        <v>1293</v>
      </c>
      <c r="H1296" s="144"/>
      <c r="L1296" s="142"/>
      <c r="M1296" s="146"/>
      <c r="T1296" s="147"/>
      <c r="AT1296" s="144" t="s">
        <v>346</v>
      </c>
      <c r="AU1296" s="144" t="s">
        <v>90</v>
      </c>
      <c r="AV1296" s="141" t="s">
        <v>87</v>
      </c>
      <c r="AW1296" s="141" t="s">
        <v>33</v>
      </c>
      <c r="AX1296" s="141" t="s">
        <v>80</v>
      </c>
      <c r="AY1296" s="144" t="s">
        <v>337</v>
      </c>
    </row>
    <row r="1297" spans="2:65" s="148" customFormat="1" x14ac:dyDescent="0.2">
      <c r="B1297" s="149"/>
      <c r="D1297" s="143" t="s">
        <v>346</v>
      </c>
      <c r="E1297" s="150"/>
      <c r="F1297" s="151" t="s">
        <v>1323</v>
      </c>
      <c r="H1297" s="152">
        <v>8.4</v>
      </c>
      <c r="L1297" s="149"/>
      <c r="M1297" s="153"/>
      <c r="T1297" s="154"/>
      <c r="AT1297" s="150" t="s">
        <v>346</v>
      </c>
      <c r="AU1297" s="150" t="s">
        <v>90</v>
      </c>
      <c r="AV1297" s="148" t="s">
        <v>90</v>
      </c>
      <c r="AW1297" s="148" t="s">
        <v>33</v>
      </c>
      <c r="AX1297" s="148" t="s">
        <v>80</v>
      </c>
      <c r="AY1297" s="150" t="s">
        <v>337</v>
      </c>
    </row>
    <row r="1298" spans="2:65" s="155" customFormat="1" x14ac:dyDescent="0.2">
      <c r="B1298" s="156"/>
      <c r="D1298" s="143" t="s">
        <v>346</v>
      </c>
      <c r="E1298" s="157"/>
      <c r="F1298" s="158" t="s">
        <v>351</v>
      </c>
      <c r="H1298" s="159">
        <v>177.273</v>
      </c>
      <c r="L1298" s="156"/>
      <c r="M1298" s="160"/>
      <c r="T1298" s="161"/>
      <c r="AT1298" s="157" t="s">
        <v>346</v>
      </c>
      <c r="AU1298" s="157" t="s">
        <v>90</v>
      </c>
      <c r="AV1298" s="155" t="s">
        <v>344</v>
      </c>
      <c r="AW1298" s="155" t="s">
        <v>33</v>
      </c>
      <c r="AX1298" s="155" t="s">
        <v>87</v>
      </c>
      <c r="AY1298" s="157" t="s">
        <v>337</v>
      </c>
    </row>
    <row r="1299" spans="2:65" s="16" customFormat="1" ht="16.5" customHeight="1" x14ac:dyDescent="0.2">
      <c r="B1299" s="17"/>
      <c r="C1299" s="128">
        <v>117</v>
      </c>
      <c r="D1299" s="128" t="s">
        <v>339</v>
      </c>
      <c r="E1299" s="129" t="s">
        <v>1325</v>
      </c>
      <c r="F1299" s="130" t="s">
        <v>1326</v>
      </c>
      <c r="G1299" s="131" t="s">
        <v>425</v>
      </c>
      <c r="H1299" s="132">
        <v>491.51299999999998</v>
      </c>
      <c r="I1299" s="133"/>
      <c r="J1299" s="134">
        <f>ROUND(I1299*H1299,2)</f>
        <v>0</v>
      </c>
      <c r="K1299" s="130" t="s">
        <v>343</v>
      </c>
      <c r="L1299" s="17"/>
      <c r="M1299" s="135"/>
      <c r="N1299" s="136" t="s">
        <v>45</v>
      </c>
      <c r="P1299" s="137">
        <f>O1299*H1299</f>
        <v>0</v>
      </c>
      <c r="Q1299" s="137">
        <v>5.3409999999999999E-2</v>
      </c>
      <c r="R1299" s="137">
        <f>Q1299*H1299</f>
        <v>26.251709329999997</v>
      </c>
      <c r="S1299" s="137">
        <v>0</v>
      </c>
      <c r="T1299" s="138">
        <f>S1299*H1299</f>
        <v>0</v>
      </c>
      <c r="AR1299" s="139" t="s">
        <v>496</v>
      </c>
      <c r="AT1299" s="139" t="s">
        <v>339</v>
      </c>
      <c r="AU1299" s="139" t="s">
        <v>90</v>
      </c>
      <c r="AY1299" s="2" t="s">
        <v>337</v>
      </c>
      <c r="BE1299" s="140">
        <f>IF(N1299="základní",J1299,0)</f>
        <v>0</v>
      </c>
      <c r="BF1299" s="140">
        <f>IF(N1299="snížená",J1299,0)</f>
        <v>0</v>
      </c>
      <c r="BG1299" s="140">
        <f>IF(N1299="zákl. přenesená",J1299,0)</f>
        <v>0</v>
      </c>
      <c r="BH1299" s="140">
        <f>IF(N1299="sníž. přenesená",J1299,0)</f>
        <v>0</v>
      </c>
      <c r="BI1299" s="140">
        <f>IF(N1299="nulová",J1299,0)</f>
        <v>0</v>
      </c>
      <c r="BJ1299" s="2" t="s">
        <v>87</v>
      </c>
      <c r="BK1299" s="140">
        <f>ROUND(I1299*H1299,2)</f>
        <v>0</v>
      </c>
      <c r="BL1299" s="2" t="s">
        <v>496</v>
      </c>
      <c r="BM1299" s="139" t="s">
        <v>1327</v>
      </c>
    </row>
    <row r="1300" spans="2:65" s="141" customFormat="1" x14ac:dyDescent="0.2">
      <c r="B1300" s="142"/>
      <c r="D1300" s="143" t="s">
        <v>346</v>
      </c>
      <c r="E1300" s="144"/>
      <c r="F1300" s="145" t="s">
        <v>1308</v>
      </c>
      <c r="H1300" s="144"/>
      <c r="L1300" s="142"/>
      <c r="M1300" s="146"/>
      <c r="T1300" s="147"/>
      <c r="AT1300" s="144" t="s">
        <v>346</v>
      </c>
      <c r="AU1300" s="144" t="s">
        <v>90</v>
      </c>
      <c r="AV1300" s="141" t="s">
        <v>87</v>
      </c>
      <c r="AW1300" s="141" t="s">
        <v>33</v>
      </c>
      <c r="AX1300" s="141" t="s">
        <v>80</v>
      </c>
      <c r="AY1300" s="144" t="s">
        <v>337</v>
      </c>
    </row>
    <row r="1301" spans="2:65" s="141" customFormat="1" x14ac:dyDescent="0.2">
      <c r="B1301" s="142"/>
      <c r="D1301" s="143" t="s">
        <v>346</v>
      </c>
      <c r="E1301" s="144"/>
      <c r="F1301" s="145" t="s">
        <v>1283</v>
      </c>
      <c r="H1301" s="144"/>
      <c r="L1301" s="142"/>
      <c r="M1301" s="146"/>
      <c r="T1301" s="147"/>
      <c r="AT1301" s="144" t="s">
        <v>346</v>
      </c>
      <c r="AU1301" s="144" t="s">
        <v>90</v>
      </c>
      <c r="AV1301" s="141" t="s">
        <v>87</v>
      </c>
      <c r="AW1301" s="141" t="s">
        <v>33</v>
      </c>
      <c r="AX1301" s="141" t="s">
        <v>80</v>
      </c>
      <c r="AY1301" s="144" t="s">
        <v>337</v>
      </c>
    </row>
    <row r="1302" spans="2:65" s="141" customFormat="1" x14ac:dyDescent="0.2">
      <c r="B1302" s="142"/>
      <c r="D1302" s="143" t="s">
        <v>346</v>
      </c>
      <c r="E1302" s="144"/>
      <c r="F1302" s="145" t="s">
        <v>362</v>
      </c>
      <c r="H1302" s="144"/>
      <c r="L1302" s="142"/>
      <c r="M1302" s="146"/>
      <c r="T1302" s="147"/>
      <c r="AT1302" s="144" t="s">
        <v>346</v>
      </c>
      <c r="AU1302" s="144" t="s">
        <v>90</v>
      </c>
      <c r="AV1302" s="141" t="s">
        <v>87</v>
      </c>
      <c r="AW1302" s="141" t="s">
        <v>33</v>
      </c>
      <c r="AX1302" s="141" t="s">
        <v>80</v>
      </c>
      <c r="AY1302" s="144" t="s">
        <v>337</v>
      </c>
    </row>
    <row r="1303" spans="2:65" s="148" customFormat="1" x14ac:dyDescent="0.2">
      <c r="B1303" s="149"/>
      <c r="D1303" s="143" t="s">
        <v>346</v>
      </c>
      <c r="E1303" s="150"/>
      <c r="F1303" s="151" t="s">
        <v>1328</v>
      </c>
      <c r="H1303" s="152">
        <v>20.893000000000001</v>
      </c>
      <c r="L1303" s="149"/>
      <c r="M1303" s="153"/>
      <c r="T1303" s="154"/>
      <c r="AT1303" s="150" t="s">
        <v>346</v>
      </c>
      <c r="AU1303" s="150" t="s">
        <v>90</v>
      </c>
      <c r="AV1303" s="148" t="s">
        <v>90</v>
      </c>
      <c r="AW1303" s="148" t="s">
        <v>33</v>
      </c>
      <c r="AX1303" s="148" t="s">
        <v>80</v>
      </c>
      <c r="AY1303" s="150" t="s">
        <v>337</v>
      </c>
    </row>
    <row r="1304" spans="2:65" s="148" customFormat="1" x14ac:dyDescent="0.2">
      <c r="B1304" s="149"/>
      <c r="D1304" s="143" t="s">
        <v>346</v>
      </c>
      <c r="E1304" s="150"/>
      <c r="F1304" s="151" t="s">
        <v>1329</v>
      </c>
      <c r="H1304" s="152">
        <v>13.42</v>
      </c>
      <c r="L1304" s="149"/>
      <c r="M1304" s="153"/>
      <c r="T1304" s="154"/>
      <c r="AT1304" s="150" t="s">
        <v>346</v>
      </c>
      <c r="AU1304" s="150" t="s">
        <v>90</v>
      </c>
      <c r="AV1304" s="148" t="s">
        <v>90</v>
      </c>
      <c r="AW1304" s="148" t="s">
        <v>33</v>
      </c>
      <c r="AX1304" s="148" t="s">
        <v>80</v>
      </c>
      <c r="AY1304" s="150" t="s">
        <v>337</v>
      </c>
    </row>
    <row r="1305" spans="2:65" s="148" customFormat="1" x14ac:dyDescent="0.2">
      <c r="B1305" s="149"/>
      <c r="D1305" s="143" t="s">
        <v>346</v>
      </c>
      <c r="E1305" s="150"/>
      <c r="F1305" s="151" t="s">
        <v>1330</v>
      </c>
      <c r="H1305" s="152">
        <v>11.7</v>
      </c>
      <c r="L1305" s="149"/>
      <c r="M1305" s="153"/>
      <c r="T1305" s="154"/>
      <c r="AT1305" s="150" t="s">
        <v>346</v>
      </c>
      <c r="AU1305" s="150" t="s">
        <v>90</v>
      </c>
      <c r="AV1305" s="148" t="s">
        <v>90</v>
      </c>
      <c r="AW1305" s="148" t="s">
        <v>33</v>
      </c>
      <c r="AX1305" s="148" t="s">
        <v>80</v>
      </c>
      <c r="AY1305" s="150" t="s">
        <v>337</v>
      </c>
    </row>
    <row r="1306" spans="2:65" s="141" customFormat="1" x14ac:dyDescent="0.2">
      <c r="B1306" s="142"/>
      <c r="D1306" s="143" t="s">
        <v>346</v>
      </c>
      <c r="E1306" s="144"/>
      <c r="F1306" s="145" t="s">
        <v>367</v>
      </c>
      <c r="H1306" s="144"/>
      <c r="L1306" s="142"/>
      <c r="M1306" s="146"/>
      <c r="T1306" s="147"/>
      <c r="AT1306" s="144" t="s">
        <v>346</v>
      </c>
      <c r="AU1306" s="144" t="s">
        <v>90</v>
      </c>
      <c r="AV1306" s="141" t="s">
        <v>87</v>
      </c>
      <c r="AW1306" s="141" t="s">
        <v>33</v>
      </c>
      <c r="AX1306" s="141" t="s">
        <v>80</v>
      </c>
      <c r="AY1306" s="144" t="s">
        <v>337</v>
      </c>
    </row>
    <row r="1307" spans="2:65" s="148" customFormat="1" x14ac:dyDescent="0.2">
      <c r="B1307" s="149"/>
      <c r="D1307" s="143" t="s">
        <v>346</v>
      </c>
      <c r="E1307" s="150"/>
      <c r="F1307" s="151" t="s">
        <v>1331</v>
      </c>
      <c r="H1307" s="152">
        <v>20.893000000000001</v>
      </c>
      <c r="L1307" s="149"/>
      <c r="M1307" s="153"/>
      <c r="T1307" s="154"/>
      <c r="AT1307" s="150" t="s">
        <v>346</v>
      </c>
      <c r="AU1307" s="150" t="s">
        <v>90</v>
      </c>
      <c r="AV1307" s="148" t="s">
        <v>90</v>
      </c>
      <c r="AW1307" s="148" t="s">
        <v>33</v>
      </c>
      <c r="AX1307" s="148" t="s">
        <v>80</v>
      </c>
      <c r="AY1307" s="150" t="s">
        <v>337</v>
      </c>
    </row>
    <row r="1308" spans="2:65" s="148" customFormat="1" x14ac:dyDescent="0.2">
      <c r="B1308" s="149"/>
      <c r="D1308" s="143" t="s">
        <v>346</v>
      </c>
      <c r="E1308" s="150"/>
      <c r="F1308" s="151" t="s">
        <v>1329</v>
      </c>
      <c r="H1308" s="152">
        <v>13.42</v>
      </c>
      <c r="L1308" s="149"/>
      <c r="M1308" s="153"/>
      <c r="T1308" s="154"/>
      <c r="AT1308" s="150" t="s">
        <v>346</v>
      </c>
      <c r="AU1308" s="150" t="s">
        <v>90</v>
      </c>
      <c r="AV1308" s="148" t="s">
        <v>90</v>
      </c>
      <c r="AW1308" s="148" t="s">
        <v>33</v>
      </c>
      <c r="AX1308" s="148" t="s">
        <v>80</v>
      </c>
      <c r="AY1308" s="150" t="s">
        <v>337</v>
      </c>
    </row>
    <row r="1309" spans="2:65" s="148" customFormat="1" x14ac:dyDescent="0.2">
      <c r="B1309" s="149"/>
      <c r="D1309" s="143" t="s">
        <v>346</v>
      </c>
      <c r="E1309" s="150"/>
      <c r="F1309" s="151" t="s">
        <v>1332</v>
      </c>
      <c r="H1309" s="152">
        <v>14.6</v>
      </c>
      <c r="L1309" s="149"/>
      <c r="M1309" s="153"/>
      <c r="T1309" s="154"/>
      <c r="AT1309" s="150" t="s">
        <v>346</v>
      </c>
      <c r="AU1309" s="150" t="s">
        <v>90</v>
      </c>
      <c r="AV1309" s="148" t="s">
        <v>90</v>
      </c>
      <c r="AW1309" s="148" t="s">
        <v>33</v>
      </c>
      <c r="AX1309" s="148" t="s">
        <v>80</v>
      </c>
      <c r="AY1309" s="150" t="s">
        <v>337</v>
      </c>
    </row>
    <row r="1310" spans="2:65" s="141" customFormat="1" x14ac:dyDescent="0.2">
      <c r="B1310" s="142"/>
      <c r="D1310" s="143" t="s">
        <v>346</v>
      </c>
      <c r="E1310" s="144"/>
      <c r="F1310" s="145" t="s">
        <v>368</v>
      </c>
      <c r="H1310" s="144"/>
      <c r="L1310" s="142"/>
      <c r="M1310" s="146"/>
      <c r="T1310" s="147"/>
      <c r="AT1310" s="144" t="s">
        <v>346</v>
      </c>
      <c r="AU1310" s="144" t="s">
        <v>90</v>
      </c>
      <c r="AV1310" s="141" t="s">
        <v>87</v>
      </c>
      <c r="AW1310" s="141" t="s">
        <v>33</v>
      </c>
      <c r="AX1310" s="141" t="s">
        <v>80</v>
      </c>
      <c r="AY1310" s="144" t="s">
        <v>337</v>
      </c>
    </row>
    <row r="1311" spans="2:65" s="148" customFormat="1" x14ac:dyDescent="0.2">
      <c r="B1311" s="149"/>
      <c r="D1311" s="143" t="s">
        <v>346</v>
      </c>
      <c r="E1311" s="150"/>
      <c r="F1311" s="151" t="s">
        <v>1333</v>
      </c>
      <c r="H1311" s="152">
        <v>20.893000000000001</v>
      </c>
      <c r="L1311" s="149"/>
      <c r="M1311" s="153"/>
      <c r="T1311" s="154"/>
      <c r="AT1311" s="150" t="s">
        <v>346</v>
      </c>
      <c r="AU1311" s="150" t="s">
        <v>90</v>
      </c>
      <c r="AV1311" s="148" t="s">
        <v>90</v>
      </c>
      <c r="AW1311" s="148" t="s">
        <v>33</v>
      </c>
      <c r="AX1311" s="148" t="s">
        <v>80</v>
      </c>
      <c r="AY1311" s="150" t="s">
        <v>337</v>
      </c>
    </row>
    <row r="1312" spans="2:65" s="148" customFormat="1" x14ac:dyDescent="0.2">
      <c r="B1312" s="149"/>
      <c r="D1312" s="143" t="s">
        <v>346</v>
      </c>
      <c r="E1312" s="150"/>
      <c r="F1312" s="151" t="s">
        <v>1329</v>
      </c>
      <c r="H1312" s="152">
        <v>13.42</v>
      </c>
      <c r="L1312" s="149"/>
      <c r="M1312" s="153"/>
      <c r="T1312" s="154"/>
      <c r="AT1312" s="150" t="s">
        <v>346</v>
      </c>
      <c r="AU1312" s="150" t="s">
        <v>90</v>
      </c>
      <c r="AV1312" s="148" t="s">
        <v>90</v>
      </c>
      <c r="AW1312" s="148" t="s">
        <v>33</v>
      </c>
      <c r="AX1312" s="148" t="s">
        <v>80</v>
      </c>
      <c r="AY1312" s="150" t="s">
        <v>337</v>
      </c>
    </row>
    <row r="1313" spans="2:51" s="148" customFormat="1" x14ac:dyDescent="0.2">
      <c r="B1313" s="149"/>
      <c r="D1313" s="143" t="s">
        <v>346</v>
      </c>
      <c r="E1313" s="150"/>
      <c r="F1313" s="151" t="s">
        <v>1332</v>
      </c>
      <c r="H1313" s="152">
        <v>14.6</v>
      </c>
      <c r="L1313" s="149"/>
      <c r="M1313" s="153"/>
      <c r="T1313" s="154"/>
      <c r="AT1313" s="150" t="s">
        <v>346</v>
      </c>
      <c r="AU1313" s="150" t="s">
        <v>90</v>
      </c>
      <c r="AV1313" s="148" t="s">
        <v>90</v>
      </c>
      <c r="AW1313" s="148" t="s">
        <v>33</v>
      </c>
      <c r="AX1313" s="148" t="s">
        <v>80</v>
      </c>
      <c r="AY1313" s="150" t="s">
        <v>337</v>
      </c>
    </row>
    <row r="1314" spans="2:51" s="141" customFormat="1" x14ac:dyDescent="0.2">
      <c r="B1314" s="142"/>
      <c r="D1314" s="143" t="s">
        <v>346</v>
      </c>
      <c r="E1314" s="144"/>
      <c r="F1314" s="145" t="s">
        <v>1233</v>
      </c>
      <c r="H1314" s="144"/>
      <c r="L1314" s="142"/>
      <c r="M1314" s="146"/>
      <c r="T1314" s="147"/>
      <c r="AT1314" s="144" t="s">
        <v>346</v>
      </c>
      <c r="AU1314" s="144" t="s">
        <v>90</v>
      </c>
      <c r="AV1314" s="141" t="s">
        <v>87</v>
      </c>
      <c r="AW1314" s="141" t="s">
        <v>33</v>
      </c>
      <c r="AX1314" s="141" t="s">
        <v>80</v>
      </c>
      <c r="AY1314" s="144" t="s">
        <v>337</v>
      </c>
    </row>
    <row r="1315" spans="2:51" s="148" customFormat="1" x14ac:dyDescent="0.2">
      <c r="B1315" s="149"/>
      <c r="D1315" s="143" t="s">
        <v>346</v>
      </c>
      <c r="E1315" s="150"/>
      <c r="F1315" s="151" t="s">
        <v>1334</v>
      </c>
      <c r="H1315" s="152">
        <v>51.24</v>
      </c>
      <c r="L1315" s="149"/>
      <c r="M1315" s="153"/>
      <c r="T1315" s="154"/>
      <c r="AT1315" s="150" t="s">
        <v>346</v>
      </c>
      <c r="AU1315" s="150" t="s">
        <v>90</v>
      </c>
      <c r="AV1315" s="148" t="s">
        <v>90</v>
      </c>
      <c r="AW1315" s="148" t="s">
        <v>33</v>
      </c>
      <c r="AX1315" s="148" t="s">
        <v>80</v>
      </c>
      <c r="AY1315" s="150" t="s">
        <v>337</v>
      </c>
    </row>
    <row r="1316" spans="2:51" s="148" customFormat="1" x14ac:dyDescent="0.2">
      <c r="B1316" s="149"/>
      <c r="D1316" s="143" t="s">
        <v>346</v>
      </c>
      <c r="E1316" s="150"/>
      <c r="F1316" s="151" t="s">
        <v>1335</v>
      </c>
      <c r="H1316" s="152">
        <v>6.1</v>
      </c>
      <c r="L1316" s="149"/>
      <c r="M1316" s="153"/>
      <c r="T1316" s="154"/>
      <c r="AT1316" s="150" t="s">
        <v>346</v>
      </c>
      <c r="AU1316" s="150" t="s">
        <v>90</v>
      </c>
      <c r="AV1316" s="148" t="s">
        <v>90</v>
      </c>
      <c r="AW1316" s="148" t="s">
        <v>33</v>
      </c>
      <c r="AX1316" s="148" t="s">
        <v>80</v>
      </c>
      <c r="AY1316" s="150" t="s">
        <v>337</v>
      </c>
    </row>
    <row r="1317" spans="2:51" s="148" customFormat="1" x14ac:dyDescent="0.2">
      <c r="B1317" s="149"/>
      <c r="D1317" s="143" t="s">
        <v>346</v>
      </c>
      <c r="E1317" s="150"/>
      <c r="F1317" s="151" t="s">
        <v>1336</v>
      </c>
      <c r="H1317" s="152">
        <v>61.762999999999998</v>
      </c>
      <c r="L1317" s="149"/>
      <c r="M1317" s="153"/>
      <c r="T1317" s="154"/>
      <c r="AT1317" s="150" t="s">
        <v>346</v>
      </c>
      <c r="AU1317" s="150" t="s">
        <v>90</v>
      </c>
      <c r="AV1317" s="148" t="s">
        <v>90</v>
      </c>
      <c r="AW1317" s="148" t="s">
        <v>33</v>
      </c>
      <c r="AX1317" s="148" t="s">
        <v>80</v>
      </c>
      <c r="AY1317" s="150" t="s">
        <v>337</v>
      </c>
    </row>
    <row r="1318" spans="2:51" s="141" customFormat="1" x14ac:dyDescent="0.2">
      <c r="B1318" s="142"/>
      <c r="D1318" s="143" t="s">
        <v>346</v>
      </c>
      <c r="E1318" s="144"/>
      <c r="F1318" s="145" t="s">
        <v>370</v>
      </c>
      <c r="H1318" s="144"/>
      <c r="L1318" s="142"/>
      <c r="M1318" s="146"/>
      <c r="T1318" s="147"/>
      <c r="AT1318" s="144" t="s">
        <v>346</v>
      </c>
      <c r="AU1318" s="144" t="s">
        <v>90</v>
      </c>
      <c r="AV1318" s="141" t="s">
        <v>87</v>
      </c>
      <c r="AW1318" s="141" t="s">
        <v>33</v>
      </c>
      <c r="AX1318" s="141" t="s">
        <v>80</v>
      </c>
      <c r="AY1318" s="144" t="s">
        <v>337</v>
      </c>
    </row>
    <row r="1319" spans="2:51" s="148" customFormat="1" x14ac:dyDescent="0.2">
      <c r="B1319" s="149"/>
      <c r="D1319" s="143" t="s">
        <v>346</v>
      </c>
      <c r="E1319" s="150"/>
      <c r="F1319" s="151" t="s">
        <v>1331</v>
      </c>
      <c r="H1319" s="152">
        <v>20.893000000000001</v>
      </c>
      <c r="L1319" s="149"/>
      <c r="M1319" s="153"/>
      <c r="T1319" s="154"/>
      <c r="AT1319" s="150" t="s">
        <v>346</v>
      </c>
      <c r="AU1319" s="150" t="s">
        <v>90</v>
      </c>
      <c r="AV1319" s="148" t="s">
        <v>90</v>
      </c>
      <c r="AW1319" s="148" t="s">
        <v>33</v>
      </c>
      <c r="AX1319" s="148" t="s">
        <v>80</v>
      </c>
      <c r="AY1319" s="150" t="s">
        <v>337</v>
      </c>
    </row>
    <row r="1320" spans="2:51" s="148" customFormat="1" x14ac:dyDescent="0.2">
      <c r="B1320" s="149"/>
      <c r="D1320" s="143" t="s">
        <v>346</v>
      </c>
      <c r="E1320" s="150"/>
      <c r="F1320" s="151" t="s">
        <v>1329</v>
      </c>
      <c r="H1320" s="152">
        <v>13.42</v>
      </c>
      <c r="L1320" s="149"/>
      <c r="M1320" s="153"/>
      <c r="T1320" s="154"/>
      <c r="AT1320" s="150" t="s">
        <v>346</v>
      </c>
      <c r="AU1320" s="150" t="s">
        <v>90</v>
      </c>
      <c r="AV1320" s="148" t="s">
        <v>90</v>
      </c>
      <c r="AW1320" s="148" t="s">
        <v>33</v>
      </c>
      <c r="AX1320" s="148" t="s">
        <v>80</v>
      </c>
      <c r="AY1320" s="150" t="s">
        <v>337</v>
      </c>
    </row>
    <row r="1321" spans="2:51" s="148" customFormat="1" x14ac:dyDescent="0.2">
      <c r="B1321" s="149"/>
      <c r="D1321" s="143" t="s">
        <v>346</v>
      </c>
      <c r="E1321" s="150"/>
      <c r="F1321" s="151" t="s">
        <v>1332</v>
      </c>
      <c r="H1321" s="152">
        <v>14.6</v>
      </c>
      <c r="L1321" s="149"/>
      <c r="M1321" s="153"/>
      <c r="T1321" s="154"/>
      <c r="AT1321" s="150" t="s">
        <v>346</v>
      </c>
      <c r="AU1321" s="150" t="s">
        <v>90</v>
      </c>
      <c r="AV1321" s="148" t="s">
        <v>90</v>
      </c>
      <c r="AW1321" s="148" t="s">
        <v>33</v>
      </c>
      <c r="AX1321" s="148" t="s">
        <v>80</v>
      </c>
      <c r="AY1321" s="150" t="s">
        <v>337</v>
      </c>
    </row>
    <row r="1322" spans="2:51" s="141" customFormat="1" x14ac:dyDescent="0.2">
      <c r="B1322" s="142"/>
      <c r="D1322" s="143" t="s">
        <v>346</v>
      </c>
      <c r="E1322" s="144"/>
      <c r="F1322" s="145" t="s">
        <v>1233</v>
      </c>
      <c r="H1322" s="144"/>
      <c r="L1322" s="142"/>
      <c r="M1322" s="146"/>
      <c r="T1322" s="147"/>
      <c r="AT1322" s="144" t="s">
        <v>346</v>
      </c>
      <c r="AU1322" s="144" t="s">
        <v>90</v>
      </c>
      <c r="AV1322" s="141" t="s">
        <v>87</v>
      </c>
      <c r="AW1322" s="141" t="s">
        <v>33</v>
      </c>
      <c r="AX1322" s="141" t="s">
        <v>80</v>
      </c>
      <c r="AY1322" s="144" t="s">
        <v>337</v>
      </c>
    </row>
    <row r="1323" spans="2:51" s="148" customFormat="1" x14ac:dyDescent="0.2">
      <c r="B1323" s="149"/>
      <c r="D1323" s="143" t="s">
        <v>346</v>
      </c>
      <c r="E1323" s="150"/>
      <c r="F1323" s="151" t="s">
        <v>1337</v>
      </c>
      <c r="H1323" s="152">
        <v>53.832999999999998</v>
      </c>
      <c r="L1323" s="149"/>
      <c r="M1323" s="153"/>
      <c r="T1323" s="154"/>
      <c r="AT1323" s="150" t="s">
        <v>346</v>
      </c>
      <c r="AU1323" s="150" t="s">
        <v>90</v>
      </c>
      <c r="AV1323" s="148" t="s">
        <v>90</v>
      </c>
      <c r="AW1323" s="148" t="s">
        <v>33</v>
      </c>
      <c r="AX1323" s="148" t="s">
        <v>80</v>
      </c>
      <c r="AY1323" s="150" t="s">
        <v>337</v>
      </c>
    </row>
    <row r="1324" spans="2:51" s="148" customFormat="1" x14ac:dyDescent="0.2">
      <c r="B1324" s="149"/>
      <c r="D1324" s="143" t="s">
        <v>346</v>
      </c>
      <c r="E1324" s="150"/>
      <c r="F1324" s="151" t="s">
        <v>1338</v>
      </c>
      <c r="H1324" s="152">
        <v>49.715000000000003</v>
      </c>
      <c r="L1324" s="149"/>
      <c r="M1324" s="153"/>
      <c r="T1324" s="154"/>
      <c r="AT1324" s="150" t="s">
        <v>346</v>
      </c>
      <c r="AU1324" s="150" t="s">
        <v>90</v>
      </c>
      <c r="AV1324" s="148" t="s">
        <v>90</v>
      </c>
      <c r="AW1324" s="148" t="s">
        <v>33</v>
      </c>
      <c r="AX1324" s="148" t="s">
        <v>80</v>
      </c>
      <c r="AY1324" s="150" t="s">
        <v>337</v>
      </c>
    </row>
    <row r="1325" spans="2:51" s="141" customFormat="1" x14ac:dyDescent="0.2">
      <c r="B1325" s="142"/>
      <c r="D1325" s="143" t="s">
        <v>346</v>
      </c>
      <c r="E1325" s="144"/>
      <c r="F1325" s="145" t="s">
        <v>434</v>
      </c>
      <c r="H1325" s="144"/>
      <c r="L1325" s="142"/>
      <c r="M1325" s="146"/>
      <c r="T1325" s="147"/>
      <c r="AT1325" s="144" t="s">
        <v>346</v>
      </c>
      <c r="AU1325" s="144" t="s">
        <v>90</v>
      </c>
      <c r="AV1325" s="141" t="s">
        <v>87</v>
      </c>
      <c r="AW1325" s="141" t="s">
        <v>33</v>
      </c>
      <c r="AX1325" s="141" t="s">
        <v>80</v>
      </c>
      <c r="AY1325" s="144" t="s">
        <v>337</v>
      </c>
    </row>
    <row r="1326" spans="2:51" s="141" customFormat="1" x14ac:dyDescent="0.2">
      <c r="B1326" s="142"/>
      <c r="D1326" s="143" t="s">
        <v>346</v>
      </c>
      <c r="E1326" s="144"/>
      <c r="F1326" s="145" t="s">
        <v>1316</v>
      </c>
      <c r="H1326" s="144"/>
      <c r="L1326" s="142"/>
      <c r="M1326" s="146"/>
      <c r="T1326" s="147"/>
      <c r="AT1326" s="144" t="s">
        <v>346</v>
      </c>
      <c r="AU1326" s="144" t="s">
        <v>90</v>
      </c>
      <c r="AV1326" s="141" t="s">
        <v>87</v>
      </c>
      <c r="AW1326" s="141" t="s">
        <v>33</v>
      </c>
      <c r="AX1326" s="141" t="s">
        <v>80</v>
      </c>
      <c r="AY1326" s="144" t="s">
        <v>337</v>
      </c>
    </row>
    <row r="1327" spans="2:51" s="148" customFormat="1" x14ac:dyDescent="0.2">
      <c r="B1327" s="149"/>
      <c r="D1327" s="143" t="s">
        <v>346</v>
      </c>
      <c r="E1327" s="150"/>
      <c r="F1327" s="151" t="s">
        <v>1339</v>
      </c>
      <c r="H1327" s="152">
        <v>146.23500000000001</v>
      </c>
      <c r="L1327" s="149"/>
      <c r="M1327" s="153"/>
      <c r="T1327" s="154"/>
      <c r="AT1327" s="150" t="s">
        <v>346</v>
      </c>
      <c r="AU1327" s="150" t="s">
        <v>90</v>
      </c>
      <c r="AV1327" s="148" t="s">
        <v>90</v>
      </c>
      <c r="AW1327" s="148" t="s">
        <v>33</v>
      </c>
      <c r="AX1327" s="148" t="s">
        <v>80</v>
      </c>
      <c r="AY1327" s="150" t="s">
        <v>337</v>
      </c>
    </row>
    <row r="1328" spans="2:51" s="148" customFormat="1" x14ac:dyDescent="0.2">
      <c r="B1328" s="149"/>
      <c r="D1328" s="143" t="s">
        <v>346</v>
      </c>
      <c r="E1328" s="150"/>
      <c r="F1328" s="151" t="s">
        <v>1340</v>
      </c>
      <c r="H1328" s="152">
        <v>-70.125</v>
      </c>
      <c r="L1328" s="149"/>
      <c r="M1328" s="153"/>
      <c r="T1328" s="154"/>
      <c r="AT1328" s="150" t="s">
        <v>346</v>
      </c>
      <c r="AU1328" s="150" t="s">
        <v>90</v>
      </c>
      <c r="AV1328" s="148" t="s">
        <v>90</v>
      </c>
      <c r="AW1328" s="148" t="s">
        <v>33</v>
      </c>
      <c r="AX1328" s="148" t="s">
        <v>80</v>
      </c>
      <c r="AY1328" s="150" t="s">
        <v>337</v>
      </c>
    </row>
    <row r="1329" spans="2:65" s="155" customFormat="1" x14ac:dyDescent="0.2">
      <c r="B1329" s="156"/>
      <c r="D1329" s="143" t="s">
        <v>346</v>
      </c>
      <c r="E1329" s="157"/>
      <c r="F1329" s="158" t="s">
        <v>351</v>
      </c>
      <c r="H1329" s="159">
        <v>491.51299999999998</v>
      </c>
      <c r="L1329" s="156"/>
      <c r="M1329" s="160"/>
      <c r="T1329" s="161"/>
      <c r="AT1329" s="157" t="s">
        <v>346</v>
      </c>
      <c r="AU1329" s="157" t="s">
        <v>90</v>
      </c>
      <c r="AV1329" s="155" t="s">
        <v>344</v>
      </c>
      <c r="AW1329" s="155" t="s">
        <v>33</v>
      </c>
      <c r="AX1329" s="155" t="s">
        <v>87</v>
      </c>
      <c r="AY1329" s="157" t="s">
        <v>337</v>
      </c>
    </row>
    <row r="1330" spans="2:65" s="16" customFormat="1" ht="16.5" customHeight="1" x14ac:dyDescent="0.2">
      <c r="B1330" s="17"/>
      <c r="C1330" s="128">
        <v>118</v>
      </c>
      <c r="D1330" s="128" t="s">
        <v>339</v>
      </c>
      <c r="E1330" s="129" t="s">
        <v>1341</v>
      </c>
      <c r="F1330" s="130" t="s">
        <v>1342</v>
      </c>
      <c r="G1330" s="131" t="s">
        <v>425</v>
      </c>
      <c r="H1330" s="132">
        <v>60</v>
      </c>
      <c r="I1330" s="133"/>
      <c r="J1330" s="134">
        <f>ROUND(I1330*H1330,2)</f>
        <v>0</v>
      </c>
      <c r="K1330" s="130" t="s">
        <v>343</v>
      </c>
      <c r="L1330" s="17"/>
      <c r="M1330" s="135"/>
      <c r="N1330" s="136" t="s">
        <v>45</v>
      </c>
      <c r="P1330" s="137">
        <f>O1330*H1330</f>
        <v>0</v>
      </c>
      <c r="Q1330" s="137">
        <v>5.2760000000000001E-2</v>
      </c>
      <c r="R1330" s="137">
        <f>Q1330*H1330</f>
        <v>3.1656</v>
      </c>
      <c r="S1330" s="137">
        <v>0</v>
      </c>
      <c r="T1330" s="138">
        <f>S1330*H1330</f>
        <v>0</v>
      </c>
      <c r="AR1330" s="139" t="s">
        <v>496</v>
      </c>
      <c r="AT1330" s="139" t="s">
        <v>339</v>
      </c>
      <c r="AU1330" s="139" t="s">
        <v>90</v>
      </c>
      <c r="AY1330" s="2" t="s">
        <v>337</v>
      </c>
      <c r="BE1330" s="140">
        <f>IF(N1330="základní",J1330,0)</f>
        <v>0</v>
      </c>
      <c r="BF1330" s="140">
        <f>IF(N1330="snížená",J1330,0)</f>
        <v>0</v>
      </c>
      <c r="BG1330" s="140">
        <f>IF(N1330="zákl. přenesená",J1330,0)</f>
        <v>0</v>
      </c>
      <c r="BH1330" s="140">
        <f>IF(N1330="sníž. přenesená",J1330,0)</f>
        <v>0</v>
      </c>
      <c r="BI1330" s="140">
        <f>IF(N1330="nulová",J1330,0)</f>
        <v>0</v>
      </c>
      <c r="BJ1330" s="2" t="s">
        <v>87</v>
      </c>
      <c r="BK1330" s="140">
        <f>ROUND(I1330*H1330,2)</f>
        <v>0</v>
      </c>
      <c r="BL1330" s="2" t="s">
        <v>496</v>
      </c>
      <c r="BM1330" s="139" t="s">
        <v>1343</v>
      </c>
    </row>
    <row r="1331" spans="2:65" s="141" customFormat="1" x14ac:dyDescent="0.2">
      <c r="B1331" s="142"/>
      <c r="D1331" s="143" t="s">
        <v>346</v>
      </c>
      <c r="E1331" s="144"/>
      <c r="F1331" s="145" t="s">
        <v>1308</v>
      </c>
      <c r="H1331" s="144"/>
      <c r="L1331" s="142"/>
      <c r="M1331" s="146"/>
      <c r="T1331" s="147"/>
      <c r="AT1331" s="144" t="s">
        <v>346</v>
      </c>
      <c r="AU1331" s="144" t="s">
        <v>90</v>
      </c>
      <c r="AV1331" s="141" t="s">
        <v>87</v>
      </c>
      <c r="AW1331" s="141" t="s">
        <v>33</v>
      </c>
      <c r="AX1331" s="141" t="s">
        <v>80</v>
      </c>
      <c r="AY1331" s="144" t="s">
        <v>337</v>
      </c>
    </row>
    <row r="1332" spans="2:65" s="141" customFormat="1" x14ac:dyDescent="0.2">
      <c r="B1332" s="142"/>
      <c r="D1332" s="143" t="s">
        <v>346</v>
      </c>
      <c r="E1332" s="144"/>
      <c r="F1332" s="145" t="s">
        <v>1283</v>
      </c>
      <c r="H1332" s="144"/>
      <c r="L1332" s="142"/>
      <c r="M1332" s="146"/>
      <c r="T1332" s="147"/>
      <c r="AT1332" s="144" t="s">
        <v>346</v>
      </c>
      <c r="AU1332" s="144" t="s">
        <v>90</v>
      </c>
      <c r="AV1332" s="141" t="s">
        <v>87</v>
      </c>
      <c r="AW1332" s="141" t="s">
        <v>33</v>
      </c>
      <c r="AX1332" s="141" t="s">
        <v>80</v>
      </c>
      <c r="AY1332" s="144" t="s">
        <v>337</v>
      </c>
    </row>
    <row r="1333" spans="2:65" s="141" customFormat="1" x14ac:dyDescent="0.2">
      <c r="B1333" s="142"/>
      <c r="D1333" s="143" t="s">
        <v>346</v>
      </c>
      <c r="E1333" s="144"/>
      <c r="F1333" s="145" t="s">
        <v>434</v>
      </c>
      <c r="H1333" s="144"/>
      <c r="L1333" s="142"/>
      <c r="M1333" s="146"/>
      <c r="T1333" s="147"/>
      <c r="AT1333" s="144" t="s">
        <v>346</v>
      </c>
      <c r="AU1333" s="144" t="s">
        <v>90</v>
      </c>
      <c r="AV1333" s="141" t="s">
        <v>87</v>
      </c>
      <c r="AW1333" s="141" t="s">
        <v>33</v>
      </c>
      <c r="AX1333" s="141" t="s">
        <v>80</v>
      </c>
      <c r="AY1333" s="144" t="s">
        <v>337</v>
      </c>
    </row>
    <row r="1334" spans="2:65" s="148" customFormat="1" x14ac:dyDescent="0.2">
      <c r="B1334" s="149"/>
      <c r="D1334" s="143" t="s">
        <v>346</v>
      </c>
      <c r="E1334" s="150"/>
      <c r="F1334" s="151" t="s">
        <v>1344</v>
      </c>
      <c r="H1334" s="152">
        <v>60</v>
      </c>
      <c r="L1334" s="149"/>
      <c r="M1334" s="153"/>
      <c r="T1334" s="154"/>
      <c r="AT1334" s="150" t="s">
        <v>346</v>
      </c>
      <c r="AU1334" s="150" t="s">
        <v>90</v>
      </c>
      <c r="AV1334" s="148" t="s">
        <v>90</v>
      </c>
      <c r="AW1334" s="148" t="s">
        <v>33</v>
      </c>
      <c r="AX1334" s="148" t="s">
        <v>87</v>
      </c>
      <c r="AY1334" s="150" t="s">
        <v>337</v>
      </c>
    </row>
    <row r="1335" spans="2:65" s="16" customFormat="1" ht="16.5" customHeight="1" x14ac:dyDescent="0.2">
      <c r="B1335" s="17"/>
      <c r="C1335" s="128">
        <v>119</v>
      </c>
      <c r="D1335" s="128" t="s">
        <v>339</v>
      </c>
      <c r="E1335" s="129" t="s">
        <v>1346</v>
      </c>
      <c r="F1335" s="130" t="s">
        <v>1347</v>
      </c>
      <c r="G1335" s="131" t="s">
        <v>425</v>
      </c>
      <c r="H1335" s="132">
        <v>12</v>
      </c>
      <c r="I1335" s="133"/>
      <c r="J1335" s="134">
        <f>ROUND(I1335*H1335,2)</f>
        <v>0</v>
      </c>
      <c r="K1335" s="130"/>
      <c r="L1335" s="17"/>
      <c r="M1335" s="135"/>
      <c r="N1335" s="136" t="s">
        <v>45</v>
      </c>
      <c r="P1335" s="137">
        <f>O1335*H1335</f>
        <v>0</v>
      </c>
      <c r="Q1335" s="137">
        <v>5.2760000000000001E-2</v>
      </c>
      <c r="R1335" s="137">
        <f>Q1335*H1335</f>
        <v>0.63312000000000002</v>
      </c>
      <c r="S1335" s="137">
        <v>0</v>
      </c>
      <c r="T1335" s="138">
        <f>S1335*H1335</f>
        <v>0</v>
      </c>
      <c r="AR1335" s="139" t="s">
        <v>496</v>
      </c>
      <c r="AT1335" s="139" t="s">
        <v>339</v>
      </c>
      <c r="AU1335" s="139" t="s">
        <v>90</v>
      </c>
      <c r="AY1335" s="2" t="s">
        <v>337</v>
      </c>
      <c r="BE1335" s="140">
        <f>IF(N1335="základní",J1335,0)</f>
        <v>0</v>
      </c>
      <c r="BF1335" s="140">
        <f>IF(N1335="snížená",J1335,0)</f>
        <v>0</v>
      </c>
      <c r="BG1335" s="140">
        <f>IF(N1335="zákl. přenesená",J1335,0)</f>
        <v>0</v>
      </c>
      <c r="BH1335" s="140">
        <f>IF(N1335="sníž. přenesená",J1335,0)</f>
        <v>0</v>
      </c>
      <c r="BI1335" s="140">
        <f>IF(N1335="nulová",J1335,0)</f>
        <v>0</v>
      </c>
      <c r="BJ1335" s="2" t="s">
        <v>87</v>
      </c>
      <c r="BK1335" s="140">
        <f>ROUND(I1335*H1335,2)</f>
        <v>0</v>
      </c>
      <c r="BL1335" s="2" t="s">
        <v>496</v>
      </c>
      <c r="BM1335" s="139" t="s">
        <v>1348</v>
      </c>
    </row>
    <row r="1336" spans="2:65" s="141" customFormat="1" x14ac:dyDescent="0.2">
      <c r="B1336" s="142"/>
      <c r="D1336" s="143" t="s">
        <v>346</v>
      </c>
      <c r="E1336" s="144"/>
      <c r="F1336" s="145" t="s">
        <v>1283</v>
      </c>
      <c r="H1336" s="144"/>
      <c r="L1336" s="142"/>
      <c r="M1336" s="146"/>
      <c r="T1336" s="147"/>
      <c r="AT1336" s="144" t="s">
        <v>346</v>
      </c>
      <c r="AU1336" s="144" t="s">
        <v>90</v>
      </c>
      <c r="AV1336" s="141" t="s">
        <v>87</v>
      </c>
      <c r="AW1336" s="141" t="s">
        <v>33</v>
      </c>
      <c r="AX1336" s="141" t="s">
        <v>80</v>
      </c>
      <c r="AY1336" s="144" t="s">
        <v>337</v>
      </c>
    </row>
    <row r="1337" spans="2:65" s="141" customFormat="1" x14ac:dyDescent="0.2">
      <c r="B1337" s="142"/>
      <c r="D1337" s="143" t="s">
        <v>346</v>
      </c>
      <c r="E1337" s="144"/>
      <c r="F1337" s="145" t="s">
        <v>434</v>
      </c>
      <c r="H1337" s="144"/>
      <c r="L1337" s="142"/>
      <c r="M1337" s="146"/>
      <c r="T1337" s="147"/>
      <c r="AT1337" s="144" t="s">
        <v>346</v>
      </c>
      <c r="AU1337" s="144" t="s">
        <v>90</v>
      </c>
      <c r="AV1337" s="141" t="s">
        <v>87</v>
      </c>
      <c r="AW1337" s="141" t="s">
        <v>33</v>
      </c>
      <c r="AX1337" s="141" t="s">
        <v>80</v>
      </c>
      <c r="AY1337" s="144" t="s">
        <v>337</v>
      </c>
    </row>
    <row r="1338" spans="2:65" s="148" customFormat="1" x14ac:dyDescent="0.2">
      <c r="B1338" s="149"/>
      <c r="D1338" s="143" t="s">
        <v>346</v>
      </c>
      <c r="E1338" s="150"/>
      <c r="F1338" s="151" t="s">
        <v>1349</v>
      </c>
      <c r="H1338" s="152">
        <v>12</v>
      </c>
      <c r="L1338" s="149"/>
      <c r="M1338" s="153"/>
      <c r="T1338" s="154"/>
      <c r="AT1338" s="150" t="s">
        <v>346</v>
      </c>
      <c r="AU1338" s="150" t="s">
        <v>90</v>
      </c>
      <c r="AV1338" s="148" t="s">
        <v>90</v>
      </c>
      <c r="AW1338" s="148" t="s">
        <v>33</v>
      </c>
      <c r="AX1338" s="148" t="s">
        <v>87</v>
      </c>
      <c r="AY1338" s="150" t="s">
        <v>337</v>
      </c>
    </row>
    <row r="1339" spans="2:65" s="16" customFormat="1" ht="16.5" customHeight="1" x14ac:dyDescent="0.2">
      <c r="B1339" s="17"/>
      <c r="C1339" s="128">
        <v>120</v>
      </c>
      <c r="D1339" s="128" t="s">
        <v>339</v>
      </c>
      <c r="E1339" s="129" t="s">
        <v>1350</v>
      </c>
      <c r="F1339" s="130" t="s">
        <v>1351</v>
      </c>
      <c r="G1339" s="131" t="s">
        <v>425</v>
      </c>
      <c r="H1339" s="132">
        <v>473.95699999999999</v>
      </c>
      <c r="I1339" s="133"/>
      <c r="J1339" s="134">
        <f>ROUND(I1339*H1339,2)</f>
        <v>0</v>
      </c>
      <c r="K1339" s="130" t="s">
        <v>343</v>
      </c>
      <c r="L1339" s="17"/>
      <c r="M1339" s="135"/>
      <c r="N1339" s="136" t="s">
        <v>45</v>
      </c>
      <c r="P1339" s="137">
        <f>O1339*H1339</f>
        <v>0</v>
      </c>
      <c r="Q1339" s="137">
        <v>4.5539999999999997E-2</v>
      </c>
      <c r="R1339" s="137">
        <f>Q1339*H1339</f>
        <v>21.584001779999998</v>
      </c>
      <c r="S1339" s="137">
        <v>0</v>
      </c>
      <c r="T1339" s="138">
        <f>S1339*H1339</f>
        <v>0</v>
      </c>
      <c r="AR1339" s="139" t="s">
        <v>496</v>
      </c>
      <c r="AT1339" s="139" t="s">
        <v>339</v>
      </c>
      <c r="AU1339" s="139" t="s">
        <v>90</v>
      </c>
      <c r="AY1339" s="2" t="s">
        <v>337</v>
      </c>
      <c r="BE1339" s="140">
        <f>IF(N1339="základní",J1339,0)</f>
        <v>0</v>
      </c>
      <c r="BF1339" s="140">
        <f>IF(N1339="snížená",J1339,0)</f>
        <v>0</v>
      </c>
      <c r="BG1339" s="140">
        <f>IF(N1339="zákl. přenesená",J1339,0)</f>
        <v>0</v>
      </c>
      <c r="BH1339" s="140">
        <f>IF(N1339="sníž. přenesená",J1339,0)</f>
        <v>0</v>
      </c>
      <c r="BI1339" s="140">
        <f>IF(N1339="nulová",J1339,0)</f>
        <v>0</v>
      </c>
      <c r="BJ1339" s="2" t="s">
        <v>87</v>
      </c>
      <c r="BK1339" s="140">
        <f>ROUND(I1339*H1339,2)</f>
        <v>0</v>
      </c>
      <c r="BL1339" s="2" t="s">
        <v>496</v>
      </c>
      <c r="BM1339" s="139" t="s">
        <v>1352</v>
      </c>
    </row>
    <row r="1340" spans="2:65" s="141" customFormat="1" x14ac:dyDescent="0.2">
      <c r="B1340" s="142"/>
      <c r="D1340" s="143" t="s">
        <v>346</v>
      </c>
      <c r="E1340" s="144"/>
      <c r="F1340" s="145" t="s">
        <v>1353</v>
      </c>
      <c r="H1340" s="144"/>
      <c r="L1340" s="142"/>
      <c r="M1340" s="146"/>
      <c r="T1340" s="147"/>
      <c r="AT1340" s="144" t="s">
        <v>346</v>
      </c>
      <c r="AU1340" s="144" t="s">
        <v>90</v>
      </c>
      <c r="AV1340" s="141" t="s">
        <v>87</v>
      </c>
      <c r="AW1340" s="141" t="s">
        <v>33</v>
      </c>
      <c r="AX1340" s="141" t="s">
        <v>80</v>
      </c>
      <c r="AY1340" s="144" t="s">
        <v>337</v>
      </c>
    </row>
    <row r="1341" spans="2:65" s="141" customFormat="1" x14ac:dyDescent="0.2">
      <c r="B1341" s="142"/>
      <c r="D1341" s="143" t="s">
        <v>346</v>
      </c>
      <c r="E1341" s="144"/>
      <c r="F1341" s="145" t="s">
        <v>1283</v>
      </c>
      <c r="H1341" s="144"/>
      <c r="L1341" s="142"/>
      <c r="M1341" s="146"/>
      <c r="T1341" s="147"/>
      <c r="AT1341" s="144" t="s">
        <v>346</v>
      </c>
      <c r="AU1341" s="144" t="s">
        <v>90</v>
      </c>
      <c r="AV1341" s="141" t="s">
        <v>87</v>
      </c>
      <c r="AW1341" s="141" t="s">
        <v>33</v>
      </c>
      <c r="AX1341" s="141" t="s">
        <v>80</v>
      </c>
      <c r="AY1341" s="144" t="s">
        <v>337</v>
      </c>
    </row>
    <row r="1342" spans="2:65" s="141" customFormat="1" x14ac:dyDescent="0.2">
      <c r="B1342" s="142"/>
      <c r="D1342" s="143" t="s">
        <v>346</v>
      </c>
      <c r="E1342" s="144"/>
      <c r="F1342" s="145" t="s">
        <v>362</v>
      </c>
      <c r="H1342" s="144"/>
      <c r="L1342" s="142"/>
      <c r="M1342" s="146"/>
      <c r="T1342" s="147"/>
      <c r="AT1342" s="144" t="s">
        <v>346</v>
      </c>
      <c r="AU1342" s="144" t="s">
        <v>90</v>
      </c>
      <c r="AV1342" s="141" t="s">
        <v>87</v>
      </c>
      <c r="AW1342" s="141" t="s">
        <v>33</v>
      </c>
      <c r="AX1342" s="141" t="s">
        <v>80</v>
      </c>
      <c r="AY1342" s="144" t="s">
        <v>337</v>
      </c>
    </row>
    <row r="1343" spans="2:65" s="148" customFormat="1" x14ac:dyDescent="0.2">
      <c r="B1343" s="149"/>
      <c r="D1343" s="143" t="s">
        <v>346</v>
      </c>
      <c r="E1343" s="150"/>
      <c r="F1343" s="151" t="s">
        <v>1354</v>
      </c>
      <c r="H1343" s="152">
        <v>8.8450000000000006</v>
      </c>
      <c r="L1343" s="149"/>
      <c r="M1343" s="153"/>
      <c r="T1343" s="154"/>
      <c r="AT1343" s="150" t="s">
        <v>346</v>
      </c>
      <c r="AU1343" s="150" t="s">
        <v>90</v>
      </c>
      <c r="AV1343" s="148" t="s">
        <v>90</v>
      </c>
      <c r="AW1343" s="148" t="s">
        <v>33</v>
      </c>
      <c r="AX1343" s="148" t="s">
        <v>80</v>
      </c>
      <c r="AY1343" s="150" t="s">
        <v>337</v>
      </c>
    </row>
    <row r="1344" spans="2:65" s="148" customFormat="1" x14ac:dyDescent="0.2">
      <c r="B1344" s="149"/>
      <c r="D1344" s="143" t="s">
        <v>346</v>
      </c>
      <c r="E1344" s="150"/>
      <c r="F1344" s="151" t="s">
        <v>1355</v>
      </c>
      <c r="H1344" s="152">
        <v>42.548000000000002</v>
      </c>
      <c r="L1344" s="149"/>
      <c r="M1344" s="153"/>
      <c r="T1344" s="154"/>
      <c r="AT1344" s="150" t="s">
        <v>346</v>
      </c>
      <c r="AU1344" s="150" t="s">
        <v>90</v>
      </c>
      <c r="AV1344" s="148" t="s">
        <v>90</v>
      </c>
      <c r="AW1344" s="148" t="s">
        <v>33</v>
      </c>
      <c r="AX1344" s="148" t="s">
        <v>80</v>
      </c>
      <c r="AY1344" s="150" t="s">
        <v>337</v>
      </c>
    </row>
    <row r="1345" spans="2:51" s="141" customFormat="1" x14ac:dyDescent="0.2">
      <c r="B1345" s="142"/>
      <c r="D1345" s="143" t="s">
        <v>346</v>
      </c>
      <c r="E1345" s="144"/>
      <c r="F1345" s="145" t="s">
        <v>367</v>
      </c>
      <c r="H1345" s="144"/>
      <c r="L1345" s="142"/>
      <c r="M1345" s="146"/>
      <c r="T1345" s="147"/>
      <c r="AT1345" s="144" t="s">
        <v>346</v>
      </c>
      <c r="AU1345" s="144" t="s">
        <v>90</v>
      </c>
      <c r="AV1345" s="141" t="s">
        <v>87</v>
      </c>
      <c r="AW1345" s="141" t="s">
        <v>33</v>
      </c>
      <c r="AX1345" s="141" t="s">
        <v>80</v>
      </c>
      <c r="AY1345" s="144" t="s">
        <v>337</v>
      </c>
    </row>
    <row r="1346" spans="2:51" s="148" customFormat="1" x14ac:dyDescent="0.2">
      <c r="B1346" s="149"/>
      <c r="D1346" s="143" t="s">
        <v>346</v>
      </c>
      <c r="E1346" s="150"/>
      <c r="F1346" s="151" t="s">
        <v>1354</v>
      </c>
      <c r="H1346" s="152">
        <v>8.8450000000000006</v>
      </c>
      <c r="L1346" s="149"/>
      <c r="M1346" s="153"/>
      <c r="T1346" s="154"/>
      <c r="AT1346" s="150" t="s">
        <v>346</v>
      </c>
      <c r="AU1346" s="150" t="s">
        <v>90</v>
      </c>
      <c r="AV1346" s="148" t="s">
        <v>90</v>
      </c>
      <c r="AW1346" s="148" t="s">
        <v>33</v>
      </c>
      <c r="AX1346" s="148" t="s">
        <v>80</v>
      </c>
      <c r="AY1346" s="150" t="s">
        <v>337</v>
      </c>
    </row>
    <row r="1347" spans="2:51" s="148" customFormat="1" x14ac:dyDescent="0.2">
      <c r="B1347" s="149"/>
      <c r="D1347" s="143" t="s">
        <v>346</v>
      </c>
      <c r="E1347" s="150"/>
      <c r="F1347" s="151" t="s">
        <v>1356</v>
      </c>
      <c r="H1347" s="152">
        <v>52.003</v>
      </c>
      <c r="L1347" s="149"/>
      <c r="M1347" s="153"/>
      <c r="T1347" s="154"/>
      <c r="AT1347" s="150" t="s">
        <v>346</v>
      </c>
      <c r="AU1347" s="150" t="s">
        <v>90</v>
      </c>
      <c r="AV1347" s="148" t="s">
        <v>90</v>
      </c>
      <c r="AW1347" s="148" t="s">
        <v>33</v>
      </c>
      <c r="AX1347" s="148" t="s">
        <v>80</v>
      </c>
      <c r="AY1347" s="150" t="s">
        <v>337</v>
      </c>
    </row>
    <row r="1348" spans="2:51" s="148" customFormat="1" x14ac:dyDescent="0.2">
      <c r="B1348" s="149"/>
      <c r="D1348" s="143" t="s">
        <v>346</v>
      </c>
      <c r="E1348" s="150"/>
      <c r="F1348" s="151" t="s">
        <v>1357</v>
      </c>
      <c r="H1348" s="152">
        <v>11.132999999999999</v>
      </c>
      <c r="L1348" s="149"/>
      <c r="M1348" s="153"/>
      <c r="T1348" s="154"/>
      <c r="AT1348" s="150" t="s">
        <v>346</v>
      </c>
      <c r="AU1348" s="150" t="s">
        <v>90</v>
      </c>
      <c r="AV1348" s="148" t="s">
        <v>90</v>
      </c>
      <c r="AW1348" s="148" t="s">
        <v>33</v>
      </c>
      <c r="AX1348" s="148" t="s">
        <v>80</v>
      </c>
      <c r="AY1348" s="150" t="s">
        <v>337</v>
      </c>
    </row>
    <row r="1349" spans="2:51" s="148" customFormat="1" x14ac:dyDescent="0.2">
      <c r="B1349" s="149"/>
      <c r="D1349" s="143" t="s">
        <v>346</v>
      </c>
      <c r="E1349" s="150"/>
      <c r="F1349" s="151" t="s">
        <v>1354</v>
      </c>
      <c r="H1349" s="152">
        <v>8.8450000000000006</v>
      </c>
      <c r="L1349" s="149"/>
      <c r="M1349" s="153"/>
      <c r="T1349" s="154"/>
      <c r="AT1349" s="150" t="s">
        <v>346</v>
      </c>
      <c r="AU1349" s="150" t="s">
        <v>90</v>
      </c>
      <c r="AV1349" s="148" t="s">
        <v>90</v>
      </c>
      <c r="AW1349" s="148" t="s">
        <v>33</v>
      </c>
      <c r="AX1349" s="148" t="s">
        <v>80</v>
      </c>
      <c r="AY1349" s="150" t="s">
        <v>337</v>
      </c>
    </row>
    <row r="1350" spans="2:51" s="148" customFormat="1" x14ac:dyDescent="0.2">
      <c r="B1350" s="149"/>
      <c r="D1350" s="143" t="s">
        <v>346</v>
      </c>
      <c r="E1350" s="150"/>
      <c r="F1350" s="151" t="s">
        <v>1356</v>
      </c>
      <c r="H1350" s="152">
        <v>52.003</v>
      </c>
      <c r="L1350" s="149"/>
      <c r="M1350" s="153"/>
      <c r="T1350" s="154"/>
      <c r="AT1350" s="150" t="s">
        <v>346</v>
      </c>
      <c r="AU1350" s="150" t="s">
        <v>90</v>
      </c>
      <c r="AV1350" s="148" t="s">
        <v>90</v>
      </c>
      <c r="AW1350" s="148" t="s">
        <v>33</v>
      </c>
      <c r="AX1350" s="148" t="s">
        <v>80</v>
      </c>
      <c r="AY1350" s="150" t="s">
        <v>337</v>
      </c>
    </row>
    <row r="1351" spans="2:51" s="148" customFormat="1" x14ac:dyDescent="0.2">
      <c r="B1351" s="149"/>
      <c r="D1351" s="143" t="s">
        <v>346</v>
      </c>
      <c r="E1351" s="150"/>
      <c r="F1351" s="151" t="s">
        <v>1357</v>
      </c>
      <c r="H1351" s="152">
        <v>11.132999999999999</v>
      </c>
      <c r="L1351" s="149"/>
      <c r="M1351" s="153"/>
      <c r="T1351" s="154"/>
      <c r="AT1351" s="150" t="s">
        <v>346</v>
      </c>
      <c r="AU1351" s="150" t="s">
        <v>90</v>
      </c>
      <c r="AV1351" s="148" t="s">
        <v>90</v>
      </c>
      <c r="AW1351" s="148" t="s">
        <v>33</v>
      </c>
      <c r="AX1351" s="148" t="s">
        <v>80</v>
      </c>
      <c r="AY1351" s="150" t="s">
        <v>337</v>
      </c>
    </row>
    <row r="1352" spans="2:51" s="141" customFormat="1" x14ac:dyDescent="0.2">
      <c r="B1352" s="142"/>
      <c r="D1352" s="143" t="s">
        <v>346</v>
      </c>
      <c r="E1352" s="144"/>
      <c r="F1352" s="145" t="s">
        <v>1233</v>
      </c>
      <c r="H1352" s="144"/>
      <c r="L1352" s="142"/>
      <c r="M1352" s="146"/>
      <c r="T1352" s="147"/>
      <c r="AT1352" s="144" t="s">
        <v>346</v>
      </c>
      <c r="AU1352" s="144" t="s">
        <v>90</v>
      </c>
      <c r="AV1352" s="141" t="s">
        <v>87</v>
      </c>
      <c r="AW1352" s="141" t="s">
        <v>33</v>
      </c>
      <c r="AX1352" s="141" t="s">
        <v>80</v>
      </c>
      <c r="AY1352" s="144" t="s">
        <v>337</v>
      </c>
    </row>
    <row r="1353" spans="2:51" s="148" customFormat="1" x14ac:dyDescent="0.2">
      <c r="B1353" s="149"/>
      <c r="D1353" s="143" t="s">
        <v>346</v>
      </c>
      <c r="E1353" s="150"/>
      <c r="F1353" s="151" t="s">
        <v>1358</v>
      </c>
      <c r="H1353" s="152">
        <v>18.91</v>
      </c>
      <c r="L1353" s="149"/>
      <c r="M1353" s="153"/>
      <c r="T1353" s="154"/>
      <c r="AT1353" s="150" t="s">
        <v>346</v>
      </c>
      <c r="AU1353" s="150" t="s">
        <v>90</v>
      </c>
      <c r="AV1353" s="148" t="s">
        <v>90</v>
      </c>
      <c r="AW1353" s="148" t="s">
        <v>33</v>
      </c>
      <c r="AX1353" s="148" t="s">
        <v>80</v>
      </c>
      <c r="AY1353" s="150" t="s">
        <v>337</v>
      </c>
    </row>
    <row r="1354" spans="2:51" s="141" customFormat="1" x14ac:dyDescent="0.2">
      <c r="B1354" s="142"/>
      <c r="D1354" s="143" t="s">
        <v>346</v>
      </c>
      <c r="E1354" s="144"/>
      <c r="F1354" s="145" t="s">
        <v>368</v>
      </c>
      <c r="H1354" s="144"/>
      <c r="L1354" s="142"/>
      <c r="M1354" s="146"/>
      <c r="T1354" s="147"/>
      <c r="AT1354" s="144" t="s">
        <v>346</v>
      </c>
      <c r="AU1354" s="144" t="s">
        <v>90</v>
      </c>
      <c r="AV1354" s="141" t="s">
        <v>87</v>
      </c>
      <c r="AW1354" s="141" t="s">
        <v>33</v>
      </c>
      <c r="AX1354" s="141" t="s">
        <v>80</v>
      </c>
      <c r="AY1354" s="144" t="s">
        <v>337</v>
      </c>
    </row>
    <row r="1355" spans="2:51" s="148" customFormat="1" x14ac:dyDescent="0.2">
      <c r="B1355" s="149"/>
      <c r="D1355" s="143" t="s">
        <v>346</v>
      </c>
      <c r="E1355" s="150"/>
      <c r="F1355" s="151" t="s">
        <v>1354</v>
      </c>
      <c r="H1355" s="152">
        <v>8.8450000000000006</v>
      </c>
      <c r="L1355" s="149"/>
      <c r="M1355" s="153"/>
      <c r="T1355" s="154"/>
      <c r="AT1355" s="150" t="s">
        <v>346</v>
      </c>
      <c r="AU1355" s="150" t="s">
        <v>90</v>
      </c>
      <c r="AV1355" s="148" t="s">
        <v>90</v>
      </c>
      <c r="AW1355" s="148" t="s">
        <v>33</v>
      </c>
      <c r="AX1355" s="148" t="s">
        <v>80</v>
      </c>
      <c r="AY1355" s="150" t="s">
        <v>337</v>
      </c>
    </row>
    <row r="1356" spans="2:51" s="148" customFormat="1" x14ac:dyDescent="0.2">
      <c r="B1356" s="149"/>
      <c r="D1356" s="143" t="s">
        <v>346</v>
      </c>
      <c r="E1356" s="150"/>
      <c r="F1356" s="151" t="s">
        <v>1356</v>
      </c>
      <c r="H1356" s="152">
        <v>52.003</v>
      </c>
      <c r="L1356" s="149"/>
      <c r="M1356" s="153"/>
      <c r="T1356" s="154"/>
      <c r="AT1356" s="150" t="s">
        <v>346</v>
      </c>
      <c r="AU1356" s="150" t="s">
        <v>90</v>
      </c>
      <c r="AV1356" s="148" t="s">
        <v>90</v>
      </c>
      <c r="AW1356" s="148" t="s">
        <v>33</v>
      </c>
      <c r="AX1356" s="148" t="s">
        <v>80</v>
      </c>
      <c r="AY1356" s="150" t="s">
        <v>337</v>
      </c>
    </row>
    <row r="1357" spans="2:51" s="148" customFormat="1" x14ac:dyDescent="0.2">
      <c r="B1357" s="149"/>
      <c r="D1357" s="143" t="s">
        <v>346</v>
      </c>
      <c r="E1357" s="150"/>
      <c r="F1357" s="151" t="s">
        <v>1357</v>
      </c>
      <c r="H1357" s="152">
        <v>11.132999999999999</v>
      </c>
      <c r="L1357" s="149"/>
      <c r="M1357" s="153"/>
      <c r="T1357" s="154"/>
      <c r="AT1357" s="150" t="s">
        <v>346</v>
      </c>
      <c r="AU1357" s="150" t="s">
        <v>90</v>
      </c>
      <c r="AV1357" s="148" t="s">
        <v>90</v>
      </c>
      <c r="AW1357" s="148" t="s">
        <v>33</v>
      </c>
      <c r="AX1357" s="148" t="s">
        <v>80</v>
      </c>
      <c r="AY1357" s="150" t="s">
        <v>337</v>
      </c>
    </row>
    <row r="1358" spans="2:51" s="141" customFormat="1" x14ac:dyDescent="0.2">
      <c r="B1358" s="142"/>
      <c r="D1358" s="143" t="s">
        <v>346</v>
      </c>
      <c r="E1358" s="144"/>
      <c r="F1358" s="145" t="s">
        <v>1233</v>
      </c>
      <c r="H1358" s="144"/>
      <c r="L1358" s="142"/>
      <c r="M1358" s="146"/>
      <c r="T1358" s="147"/>
      <c r="AT1358" s="144" t="s">
        <v>346</v>
      </c>
      <c r="AU1358" s="144" t="s">
        <v>90</v>
      </c>
      <c r="AV1358" s="141" t="s">
        <v>87</v>
      </c>
      <c r="AW1358" s="141" t="s">
        <v>33</v>
      </c>
      <c r="AX1358" s="141" t="s">
        <v>80</v>
      </c>
      <c r="AY1358" s="144" t="s">
        <v>337</v>
      </c>
    </row>
    <row r="1359" spans="2:51" s="148" customFormat="1" x14ac:dyDescent="0.2">
      <c r="B1359" s="149"/>
      <c r="D1359" s="143" t="s">
        <v>346</v>
      </c>
      <c r="E1359" s="150"/>
      <c r="F1359" s="151" t="s">
        <v>1358</v>
      </c>
      <c r="H1359" s="152">
        <v>18.91</v>
      </c>
      <c r="L1359" s="149"/>
      <c r="M1359" s="153"/>
      <c r="T1359" s="154"/>
      <c r="AT1359" s="150" t="s">
        <v>346</v>
      </c>
      <c r="AU1359" s="150" t="s">
        <v>90</v>
      </c>
      <c r="AV1359" s="148" t="s">
        <v>90</v>
      </c>
      <c r="AW1359" s="148" t="s">
        <v>33</v>
      </c>
      <c r="AX1359" s="148" t="s">
        <v>80</v>
      </c>
      <c r="AY1359" s="150" t="s">
        <v>337</v>
      </c>
    </row>
    <row r="1360" spans="2:51" s="141" customFormat="1" x14ac:dyDescent="0.2">
      <c r="B1360" s="142"/>
      <c r="D1360" s="143" t="s">
        <v>346</v>
      </c>
      <c r="E1360" s="144"/>
      <c r="F1360" s="145" t="s">
        <v>370</v>
      </c>
      <c r="H1360" s="144"/>
      <c r="L1360" s="142"/>
      <c r="M1360" s="146"/>
      <c r="T1360" s="147"/>
      <c r="AT1360" s="144" t="s">
        <v>346</v>
      </c>
      <c r="AU1360" s="144" t="s">
        <v>90</v>
      </c>
      <c r="AV1360" s="141" t="s">
        <v>87</v>
      </c>
      <c r="AW1360" s="141" t="s">
        <v>33</v>
      </c>
      <c r="AX1360" s="141" t="s">
        <v>80</v>
      </c>
      <c r="AY1360" s="144" t="s">
        <v>337</v>
      </c>
    </row>
    <row r="1361" spans="2:65" s="148" customFormat="1" x14ac:dyDescent="0.2">
      <c r="B1361" s="149"/>
      <c r="D1361" s="143" t="s">
        <v>346</v>
      </c>
      <c r="E1361" s="150"/>
      <c r="F1361" s="151" t="s">
        <v>1354</v>
      </c>
      <c r="H1361" s="152">
        <v>8.8450000000000006</v>
      </c>
      <c r="L1361" s="149"/>
      <c r="M1361" s="153"/>
      <c r="T1361" s="154"/>
      <c r="AT1361" s="150" t="s">
        <v>346</v>
      </c>
      <c r="AU1361" s="150" t="s">
        <v>90</v>
      </c>
      <c r="AV1361" s="148" t="s">
        <v>90</v>
      </c>
      <c r="AW1361" s="148" t="s">
        <v>33</v>
      </c>
      <c r="AX1361" s="148" t="s">
        <v>80</v>
      </c>
      <c r="AY1361" s="150" t="s">
        <v>337</v>
      </c>
    </row>
    <row r="1362" spans="2:65" s="148" customFormat="1" x14ac:dyDescent="0.2">
      <c r="B1362" s="149"/>
      <c r="D1362" s="143" t="s">
        <v>346</v>
      </c>
      <c r="E1362" s="150"/>
      <c r="F1362" s="151" t="s">
        <v>1356</v>
      </c>
      <c r="H1362" s="152">
        <v>52.003</v>
      </c>
      <c r="L1362" s="149"/>
      <c r="M1362" s="153"/>
      <c r="T1362" s="154"/>
      <c r="AT1362" s="150" t="s">
        <v>346</v>
      </c>
      <c r="AU1362" s="150" t="s">
        <v>90</v>
      </c>
      <c r="AV1362" s="148" t="s">
        <v>90</v>
      </c>
      <c r="AW1362" s="148" t="s">
        <v>33</v>
      </c>
      <c r="AX1362" s="148" t="s">
        <v>80</v>
      </c>
      <c r="AY1362" s="150" t="s">
        <v>337</v>
      </c>
    </row>
    <row r="1363" spans="2:65" s="148" customFormat="1" x14ac:dyDescent="0.2">
      <c r="B1363" s="149"/>
      <c r="D1363" s="143" t="s">
        <v>346</v>
      </c>
      <c r="E1363" s="150"/>
      <c r="F1363" s="151" t="s">
        <v>1357</v>
      </c>
      <c r="H1363" s="152">
        <v>11.132999999999999</v>
      </c>
      <c r="L1363" s="149"/>
      <c r="M1363" s="153"/>
      <c r="T1363" s="154"/>
      <c r="AT1363" s="150" t="s">
        <v>346</v>
      </c>
      <c r="AU1363" s="150" t="s">
        <v>90</v>
      </c>
      <c r="AV1363" s="148" t="s">
        <v>90</v>
      </c>
      <c r="AW1363" s="148" t="s">
        <v>33</v>
      </c>
      <c r="AX1363" s="148" t="s">
        <v>80</v>
      </c>
      <c r="AY1363" s="150" t="s">
        <v>337</v>
      </c>
    </row>
    <row r="1364" spans="2:65" s="141" customFormat="1" x14ac:dyDescent="0.2">
      <c r="B1364" s="142"/>
      <c r="D1364" s="143" t="s">
        <v>346</v>
      </c>
      <c r="E1364" s="144"/>
      <c r="F1364" s="145" t="s">
        <v>1233</v>
      </c>
      <c r="H1364" s="144"/>
      <c r="L1364" s="142"/>
      <c r="M1364" s="146"/>
      <c r="T1364" s="147"/>
      <c r="AT1364" s="144" t="s">
        <v>346</v>
      </c>
      <c r="AU1364" s="144" t="s">
        <v>90</v>
      </c>
      <c r="AV1364" s="141" t="s">
        <v>87</v>
      </c>
      <c r="AW1364" s="141" t="s">
        <v>33</v>
      </c>
      <c r="AX1364" s="141" t="s">
        <v>80</v>
      </c>
      <c r="AY1364" s="144" t="s">
        <v>337</v>
      </c>
    </row>
    <row r="1365" spans="2:65" s="148" customFormat="1" x14ac:dyDescent="0.2">
      <c r="B1365" s="149"/>
      <c r="D1365" s="143" t="s">
        <v>346</v>
      </c>
      <c r="E1365" s="150"/>
      <c r="F1365" s="151" t="s">
        <v>1359</v>
      </c>
      <c r="H1365" s="152">
        <v>22.57</v>
      </c>
      <c r="L1365" s="149"/>
      <c r="M1365" s="153"/>
      <c r="T1365" s="154"/>
      <c r="AT1365" s="150" t="s">
        <v>346</v>
      </c>
      <c r="AU1365" s="150" t="s">
        <v>90</v>
      </c>
      <c r="AV1365" s="148" t="s">
        <v>90</v>
      </c>
      <c r="AW1365" s="148" t="s">
        <v>33</v>
      </c>
      <c r="AX1365" s="148" t="s">
        <v>80</v>
      </c>
      <c r="AY1365" s="150" t="s">
        <v>337</v>
      </c>
    </row>
    <row r="1366" spans="2:65" s="141" customFormat="1" x14ac:dyDescent="0.2">
      <c r="B1366" s="142"/>
      <c r="D1366" s="143" t="s">
        <v>346</v>
      </c>
      <c r="E1366" s="144"/>
      <c r="F1366" s="145" t="s">
        <v>434</v>
      </c>
      <c r="H1366" s="144"/>
      <c r="L1366" s="142"/>
      <c r="M1366" s="146"/>
      <c r="T1366" s="147"/>
      <c r="AT1366" s="144" t="s">
        <v>346</v>
      </c>
      <c r="AU1366" s="144" t="s">
        <v>90</v>
      </c>
      <c r="AV1366" s="141" t="s">
        <v>87</v>
      </c>
      <c r="AW1366" s="141" t="s">
        <v>33</v>
      </c>
      <c r="AX1366" s="141" t="s">
        <v>80</v>
      </c>
      <c r="AY1366" s="144" t="s">
        <v>337</v>
      </c>
    </row>
    <row r="1367" spans="2:65" s="141" customFormat="1" x14ac:dyDescent="0.2">
      <c r="B1367" s="142"/>
      <c r="D1367" s="143" t="s">
        <v>346</v>
      </c>
      <c r="E1367" s="144"/>
      <c r="F1367" s="145" t="s">
        <v>1293</v>
      </c>
      <c r="H1367" s="144"/>
      <c r="L1367" s="142"/>
      <c r="M1367" s="146"/>
      <c r="T1367" s="147"/>
      <c r="AT1367" s="144" t="s">
        <v>346</v>
      </c>
      <c r="AU1367" s="144" t="s">
        <v>90</v>
      </c>
      <c r="AV1367" s="141" t="s">
        <v>87</v>
      </c>
      <c r="AW1367" s="141" t="s">
        <v>33</v>
      </c>
      <c r="AX1367" s="141" t="s">
        <v>80</v>
      </c>
      <c r="AY1367" s="144" t="s">
        <v>337</v>
      </c>
    </row>
    <row r="1368" spans="2:65" s="148" customFormat="1" x14ac:dyDescent="0.2">
      <c r="B1368" s="149"/>
      <c r="D1368" s="143" t="s">
        <v>346</v>
      </c>
      <c r="E1368" s="150"/>
      <c r="F1368" s="151" t="s">
        <v>1360</v>
      </c>
      <c r="H1368" s="152">
        <v>65.099999999999994</v>
      </c>
      <c r="L1368" s="149"/>
      <c r="M1368" s="153"/>
      <c r="T1368" s="154"/>
      <c r="AT1368" s="150" t="s">
        <v>346</v>
      </c>
      <c r="AU1368" s="150" t="s">
        <v>90</v>
      </c>
      <c r="AV1368" s="148" t="s">
        <v>90</v>
      </c>
      <c r="AW1368" s="148" t="s">
        <v>33</v>
      </c>
      <c r="AX1368" s="148" t="s">
        <v>80</v>
      </c>
      <c r="AY1368" s="150" t="s">
        <v>337</v>
      </c>
    </row>
    <row r="1369" spans="2:65" s="148" customFormat="1" x14ac:dyDescent="0.2">
      <c r="B1369" s="149"/>
      <c r="D1369" s="143" t="s">
        <v>346</v>
      </c>
      <c r="E1369" s="150"/>
      <c r="F1369" s="151" t="s">
        <v>1361</v>
      </c>
      <c r="H1369" s="152">
        <v>9.15</v>
      </c>
      <c r="L1369" s="149"/>
      <c r="M1369" s="153"/>
      <c r="T1369" s="154"/>
      <c r="AT1369" s="150" t="s">
        <v>346</v>
      </c>
      <c r="AU1369" s="150" t="s">
        <v>90</v>
      </c>
      <c r="AV1369" s="148" t="s">
        <v>90</v>
      </c>
      <c r="AW1369" s="148" t="s">
        <v>33</v>
      </c>
      <c r="AX1369" s="148" t="s">
        <v>80</v>
      </c>
      <c r="AY1369" s="150" t="s">
        <v>337</v>
      </c>
    </row>
    <row r="1370" spans="2:65" s="155" customFormat="1" x14ac:dyDescent="0.2">
      <c r="B1370" s="156"/>
      <c r="D1370" s="143" t="s">
        <v>346</v>
      </c>
      <c r="E1370" s="157"/>
      <c r="F1370" s="158" t="s">
        <v>351</v>
      </c>
      <c r="H1370" s="159">
        <v>473.95699999999999</v>
      </c>
      <c r="L1370" s="156"/>
      <c r="M1370" s="160"/>
      <c r="T1370" s="161"/>
      <c r="AT1370" s="157" t="s">
        <v>346</v>
      </c>
      <c r="AU1370" s="157" t="s">
        <v>90</v>
      </c>
      <c r="AV1370" s="155" t="s">
        <v>344</v>
      </c>
      <c r="AW1370" s="155" t="s">
        <v>33</v>
      </c>
      <c r="AX1370" s="155" t="s">
        <v>87</v>
      </c>
      <c r="AY1370" s="157" t="s">
        <v>337</v>
      </c>
    </row>
    <row r="1371" spans="2:65" s="16" customFormat="1" ht="16.5" customHeight="1" x14ac:dyDescent="0.2">
      <c r="B1371" s="17"/>
      <c r="C1371" s="128">
        <v>121</v>
      </c>
      <c r="D1371" s="128" t="s">
        <v>339</v>
      </c>
      <c r="E1371" s="129" t="s">
        <v>1363</v>
      </c>
      <c r="F1371" s="130" t="s">
        <v>1364</v>
      </c>
      <c r="G1371" s="131" t="s">
        <v>425</v>
      </c>
      <c r="H1371" s="132">
        <v>30.5</v>
      </c>
      <c r="I1371" s="133"/>
      <c r="J1371" s="134">
        <f>ROUND(I1371*H1371,2)</f>
        <v>0</v>
      </c>
      <c r="K1371" s="130" t="s">
        <v>343</v>
      </c>
      <c r="L1371" s="17"/>
      <c r="M1371" s="135"/>
      <c r="N1371" s="136" t="s">
        <v>45</v>
      </c>
      <c r="P1371" s="137">
        <f>O1371*H1371</f>
        <v>0</v>
      </c>
      <c r="Q1371" s="137">
        <v>4.6960000000000002E-2</v>
      </c>
      <c r="R1371" s="137">
        <f>Q1371*H1371</f>
        <v>1.43228</v>
      </c>
      <c r="S1371" s="137">
        <v>0</v>
      </c>
      <c r="T1371" s="138">
        <f>S1371*H1371</f>
        <v>0</v>
      </c>
      <c r="AR1371" s="139" t="s">
        <v>496</v>
      </c>
      <c r="AT1371" s="139" t="s">
        <v>339</v>
      </c>
      <c r="AU1371" s="139" t="s">
        <v>90</v>
      </c>
      <c r="AY1371" s="2" t="s">
        <v>337</v>
      </c>
      <c r="BE1371" s="140">
        <f>IF(N1371="základní",J1371,0)</f>
        <v>0</v>
      </c>
      <c r="BF1371" s="140">
        <f>IF(N1371="snížená",J1371,0)</f>
        <v>0</v>
      </c>
      <c r="BG1371" s="140">
        <f>IF(N1371="zákl. přenesená",J1371,0)</f>
        <v>0</v>
      </c>
      <c r="BH1371" s="140">
        <f>IF(N1371="sníž. přenesená",J1371,0)</f>
        <v>0</v>
      </c>
      <c r="BI1371" s="140">
        <f>IF(N1371="nulová",J1371,0)</f>
        <v>0</v>
      </c>
      <c r="BJ1371" s="2" t="s">
        <v>87</v>
      </c>
      <c r="BK1371" s="140">
        <f>ROUND(I1371*H1371,2)</f>
        <v>0</v>
      </c>
      <c r="BL1371" s="2" t="s">
        <v>496</v>
      </c>
      <c r="BM1371" s="139" t="s">
        <v>1365</v>
      </c>
    </row>
    <row r="1372" spans="2:65" s="141" customFormat="1" x14ac:dyDescent="0.2">
      <c r="B1372" s="142"/>
      <c r="D1372" s="143" t="s">
        <v>346</v>
      </c>
      <c r="E1372" s="144"/>
      <c r="F1372" s="145" t="s">
        <v>1353</v>
      </c>
      <c r="H1372" s="144"/>
      <c r="L1372" s="142"/>
      <c r="M1372" s="146"/>
      <c r="T1372" s="147"/>
      <c r="AT1372" s="144" t="s">
        <v>346</v>
      </c>
      <c r="AU1372" s="144" t="s">
        <v>90</v>
      </c>
      <c r="AV1372" s="141" t="s">
        <v>87</v>
      </c>
      <c r="AW1372" s="141" t="s">
        <v>33</v>
      </c>
      <c r="AX1372" s="141" t="s">
        <v>80</v>
      </c>
      <c r="AY1372" s="144" t="s">
        <v>337</v>
      </c>
    </row>
    <row r="1373" spans="2:65" s="141" customFormat="1" x14ac:dyDescent="0.2">
      <c r="B1373" s="142"/>
      <c r="D1373" s="143" t="s">
        <v>346</v>
      </c>
      <c r="E1373" s="144"/>
      <c r="F1373" s="145" t="s">
        <v>1283</v>
      </c>
      <c r="H1373" s="144"/>
      <c r="L1373" s="142"/>
      <c r="M1373" s="146"/>
      <c r="T1373" s="147"/>
      <c r="AT1373" s="144" t="s">
        <v>346</v>
      </c>
      <c r="AU1373" s="144" t="s">
        <v>90</v>
      </c>
      <c r="AV1373" s="141" t="s">
        <v>87</v>
      </c>
      <c r="AW1373" s="141" t="s">
        <v>33</v>
      </c>
      <c r="AX1373" s="141" t="s">
        <v>80</v>
      </c>
      <c r="AY1373" s="144" t="s">
        <v>337</v>
      </c>
    </row>
    <row r="1374" spans="2:65" s="141" customFormat="1" x14ac:dyDescent="0.2">
      <c r="B1374" s="142"/>
      <c r="D1374" s="143" t="s">
        <v>346</v>
      </c>
      <c r="E1374" s="144"/>
      <c r="F1374" s="145" t="s">
        <v>362</v>
      </c>
      <c r="H1374" s="144"/>
      <c r="L1374" s="142"/>
      <c r="M1374" s="146"/>
      <c r="T1374" s="147"/>
      <c r="AT1374" s="144" t="s">
        <v>346</v>
      </c>
      <c r="AU1374" s="144" t="s">
        <v>90</v>
      </c>
      <c r="AV1374" s="141" t="s">
        <v>87</v>
      </c>
      <c r="AW1374" s="141" t="s">
        <v>33</v>
      </c>
      <c r="AX1374" s="141" t="s">
        <v>80</v>
      </c>
      <c r="AY1374" s="144" t="s">
        <v>337</v>
      </c>
    </row>
    <row r="1375" spans="2:65" s="148" customFormat="1" x14ac:dyDescent="0.2">
      <c r="B1375" s="149"/>
      <c r="D1375" s="143" t="s">
        <v>346</v>
      </c>
      <c r="E1375" s="150"/>
      <c r="F1375" s="151" t="s">
        <v>1366</v>
      </c>
      <c r="H1375" s="152">
        <v>4.2699999999999996</v>
      </c>
      <c r="L1375" s="149"/>
      <c r="M1375" s="153"/>
      <c r="T1375" s="154"/>
      <c r="AT1375" s="150" t="s">
        <v>346</v>
      </c>
      <c r="AU1375" s="150" t="s">
        <v>90</v>
      </c>
      <c r="AV1375" s="148" t="s">
        <v>90</v>
      </c>
      <c r="AW1375" s="148" t="s">
        <v>33</v>
      </c>
      <c r="AX1375" s="148" t="s">
        <v>80</v>
      </c>
      <c r="AY1375" s="150" t="s">
        <v>337</v>
      </c>
    </row>
    <row r="1376" spans="2:65" s="141" customFormat="1" x14ac:dyDescent="0.2">
      <c r="B1376" s="142"/>
      <c r="D1376" s="143" t="s">
        <v>346</v>
      </c>
      <c r="E1376" s="144"/>
      <c r="F1376" s="145" t="s">
        <v>367</v>
      </c>
      <c r="H1376" s="144"/>
      <c r="L1376" s="142"/>
      <c r="M1376" s="146"/>
      <c r="T1376" s="147"/>
      <c r="AT1376" s="144" t="s">
        <v>346</v>
      </c>
      <c r="AU1376" s="144" t="s">
        <v>90</v>
      </c>
      <c r="AV1376" s="141" t="s">
        <v>87</v>
      </c>
      <c r="AW1376" s="141" t="s">
        <v>33</v>
      </c>
      <c r="AX1376" s="141" t="s">
        <v>80</v>
      </c>
      <c r="AY1376" s="144" t="s">
        <v>337</v>
      </c>
    </row>
    <row r="1377" spans="2:65" s="148" customFormat="1" x14ac:dyDescent="0.2">
      <c r="B1377" s="149"/>
      <c r="D1377" s="143" t="s">
        <v>346</v>
      </c>
      <c r="E1377" s="150"/>
      <c r="F1377" s="151" t="s">
        <v>1366</v>
      </c>
      <c r="H1377" s="152">
        <v>4.2699999999999996</v>
      </c>
      <c r="L1377" s="149"/>
      <c r="M1377" s="153"/>
      <c r="T1377" s="154"/>
      <c r="AT1377" s="150" t="s">
        <v>346</v>
      </c>
      <c r="AU1377" s="150" t="s">
        <v>90</v>
      </c>
      <c r="AV1377" s="148" t="s">
        <v>90</v>
      </c>
      <c r="AW1377" s="148" t="s">
        <v>33</v>
      </c>
      <c r="AX1377" s="148" t="s">
        <v>80</v>
      </c>
      <c r="AY1377" s="150" t="s">
        <v>337</v>
      </c>
    </row>
    <row r="1378" spans="2:65" s="141" customFormat="1" x14ac:dyDescent="0.2">
      <c r="B1378" s="142"/>
      <c r="D1378" s="143" t="s">
        <v>346</v>
      </c>
      <c r="E1378" s="144"/>
      <c r="F1378" s="145" t="s">
        <v>368</v>
      </c>
      <c r="H1378" s="144"/>
      <c r="L1378" s="142"/>
      <c r="M1378" s="146"/>
      <c r="T1378" s="147"/>
      <c r="AT1378" s="144" t="s">
        <v>346</v>
      </c>
      <c r="AU1378" s="144" t="s">
        <v>90</v>
      </c>
      <c r="AV1378" s="141" t="s">
        <v>87</v>
      </c>
      <c r="AW1378" s="141" t="s">
        <v>33</v>
      </c>
      <c r="AX1378" s="141" t="s">
        <v>80</v>
      </c>
      <c r="AY1378" s="144" t="s">
        <v>337</v>
      </c>
    </row>
    <row r="1379" spans="2:65" s="148" customFormat="1" x14ac:dyDescent="0.2">
      <c r="B1379" s="149"/>
      <c r="D1379" s="143" t="s">
        <v>346</v>
      </c>
      <c r="E1379" s="150"/>
      <c r="F1379" s="151" t="s">
        <v>1366</v>
      </c>
      <c r="H1379" s="152">
        <v>4.2699999999999996</v>
      </c>
      <c r="L1379" s="149"/>
      <c r="M1379" s="153"/>
      <c r="T1379" s="154"/>
      <c r="AT1379" s="150" t="s">
        <v>346</v>
      </c>
      <c r="AU1379" s="150" t="s">
        <v>90</v>
      </c>
      <c r="AV1379" s="148" t="s">
        <v>90</v>
      </c>
      <c r="AW1379" s="148" t="s">
        <v>33</v>
      </c>
      <c r="AX1379" s="148" t="s">
        <v>80</v>
      </c>
      <c r="AY1379" s="150" t="s">
        <v>337</v>
      </c>
    </row>
    <row r="1380" spans="2:65" s="141" customFormat="1" x14ac:dyDescent="0.2">
      <c r="B1380" s="142"/>
      <c r="D1380" s="143" t="s">
        <v>346</v>
      </c>
      <c r="E1380" s="144"/>
      <c r="F1380" s="145" t="s">
        <v>1233</v>
      </c>
      <c r="H1380" s="144"/>
      <c r="L1380" s="142"/>
      <c r="M1380" s="146"/>
      <c r="T1380" s="147"/>
      <c r="AT1380" s="144" t="s">
        <v>346</v>
      </c>
      <c r="AU1380" s="144" t="s">
        <v>90</v>
      </c>
      <c r="AV1380" s="141" t="s">
        <v>87</v>
      </c>
      <c r="AW1380" s="141" t="s">
        <v>33</v>
      </c>
      <c r="AX1380" s="141" t="s">
        <v>80</v>
      </c>
      <c r="AY1380" s="144" t="s">
        <v>337</v>
      </c>
    </row>
    <row r="1381" spans="2:65" s="148" customFormat="1" x14ac:dyDescent="0.2">
      <c r="B1381" s="149"/>
      <c r="D1381" s="143" t="s">
        <v>346</v>
      </c>
      <c r="E1381" s="150"/>
      <c r="F1381" s="151" t="s">
        <v>1367</v>
      </c>
      <c r="H1381" s="152">
        <v>13.42</v>
      </c>
      <c r="L1381" s="149"/>
      <c r="M1381" s="153"/>
      <c r="T1381" s="154"/>
      <c r="AT1381" s="150" t="s">
        <v>346</v>
      </c>
      <c r="AU1381" s="150" t="s">
        <v>90</v>
      </c>
      <c r="AV1381" s="148" t="s">
        <v>90</v>
      </c>
      <c r="AW1381" s="148" t="s">
        <v>33</v>
      </c>
      <c r="AX1381" s="148" t="s">
        <v>80</v>
      </c>
      <c r="AY1381" s="150" t="s">
        <v>337</v>
      </c>
    </row>
    <row r="1382" spans="2:65" s="141" customFormat="1" x14ac:dyDescent="0.2">
      <c r="B1382" s="142"/>
      <c r="D1382" s="143" t="s">
        <v>346</v>
      </c>
      <c r="E1382" s="144"/>
      <c r="F1382" s="145" t="s">
        <v>370</v>
      </c>
      <c r="H1382" s="144"/>
      <c r="L1382" s="142"/>
      <c r="M1382" s="146"/>
      <c r="T1382" s="147"/>
      <c r="AT1382" s="144" t="s">
        <v>346</v>
      </c>
      <c r="AU1382" s="144" t="s">
        <v>90</v>
      </c>
      <c r="AV1382" s="141" t="s">
        <v>87</v>
      </c>
      <c r="AW1382" s="141" t="s">
        <v>33</v>
      </c>
      <c r="AX1382" s="141" t="s">
        <v>80</v>
      </c>
      <c r="AY1382" s="144" t="s">
        <v>337</v>
      </c>
    </row>
    <row r="1383" spans="2:65" s="148" customFormat="1" x14ac:dyDescent="0.2">
      <c r="B1383" s="149"/>
      <c r="D1383" s="143" t="s">
        <v>346</v>
      </c>
      <c r="E1383" s="150"/>
      <c r="F1383" s="151" t="s">
        <v>1366</v>
      </c>
      <c r="H1383" s="152">
        <v>4.2699999999999996</v>
      </c>
      <c r="L1383" s="149"/>
      <c r="M1383" s="153"/>
      <c r="T1383" s="154"/>
      <c r="AT1383" s="150" t="s">
        <v>346</v>
      </c>
      <c r="AU1383" s="150" t="s">
        <v>90</v>
      </c>
      <c r="AV1383" s="148" t="s">
        <v>90</v>
      </c>
      <c r="AW1383" s="148" t="s">
        <v>33</v>
      </c>
      <c r="AX1383" s="148" t="s">
        <v>80</v>
      </c>
      <c r="AY1383" s="150" t="s">
        <v>337</v>
      </c>
    </row>
    <row r="1384" spans="2:65" s="155" customFormat="1" x14ac:dyDescent="0.2">
      <c r="B1384" s="156"/>
      <c r="D1384" s="143" t="s">
        <v>346</v>
      </c>
      <c r="E1384" s="157"/>
      <c r="F1384" s="158" t="s">
        <v>351</v>
      </c>
      <c r="H1384" s="159">
        <v>30.5</v>
      </c>
      <c r="L1384" s="156"/>
      <c r="M1384" s="160"/>
      <c r="T1384" s="161"/>
      <c r="AT1384" s="157" t="s">
        <v>346</v>
      </c>
      <c r="AU1384" s="157" t="s">
        <v>90</v>
      </c>
      <c r="AV1384" s="155" t="s">
        <v>344</v>
      </c>
      <c r="AW1384" s="155" t="s">
        <v>33</v>
      </c>
      <c r="AX1384" s="155" t="s">
        <v>87</v>
      </c>
      <c r="AY1384" s="157" t="s">
        <v>337</v>
      </c>
    </row>
    <row r="1385" spans="2:65" s="16" customFormat="1" ht="16.5" customHeight="1" x14ac:dyDescent="0.2">
      <c r="B1385" s="17"/>
      <c r="C1385" s="128">
        <v>122</v>
      </c>
      <c r="D1385" s="128" t="s">
        <v>339</v>
      </c>
      <c r="E1385" s="129" t="s">
        <v>1368</v>
      </c>
      <c r="F1385" s="130" t="s">
        <v>1369</v>
      </c>
      <c r="G1385" s="131" t="s">
        <v>425</v>
      </c>
      <c r="H1385" s="132">
        <v>100.8</v>
      </c>
      <c r="I1385" s="133"/>
      <c r="J1385" s="134">
        <f>ROUND(I1385*H1385,2)</f>
        <v>0</v>
      </c>
      <c r="K1385" s="130"/>
      <c r="L1385" s="17"/>
      <c r="M1385" s="135"/>
      <c r="N1385" s="136" t="s">
        <v>45</v>
      </c>
      <c r="P1385" s="137">
        <f>O1385*H1385</f>
        <v>0</v>
      </c>
      <c r="Q1385" s="137">
        <v>4.6960000000000002E-2</v>
      </c>
      <c r="R1385" s="137">
        <f>Q1385*H1385</f>
        <v>4.733568</v>
      </c>
      <c r="S1385" s="137">
        <v>0</v>
      </c>
      <c r="T1385" s="138">
        <f>S1385*H1385</f>
        <v>0</v>
      </c>
      <c r="AR1385" s="139" t="s">
        <v>496</v>
      </c>
      <c r="AT1385" s="139" t="s">
        <v>339</v>
      </c>
      <c r="AU1385" s="139" t="s">
        <v>90</v>
      </c>
      <c r="AY1385" s="2" t="s">
        <v>337</v>
      </c>
      <c r="BE1385" s="140">
        <f>IF(N1385="základní",J1385,0)</f>
        <v>0</v>
      </c>
      <c r="BF1385" s="140">
        <f>IF(N1385="snížená",J1385,0)</f>
        <v>0</v>
      </c>
      <c r="BG1385" s="140">
        <f>IF(N1385="zákl. přenesená",J1385,0)</f>
        <v>0</v>
      </c>
      <c r="BH1385" s="140">
        <f>IF(N1385="sníž. přenesená",J1385,0)</f>
        <v>0</v>
      </c>
      <c r="BI1385" s="140">
        <f>IF(N1385="nulová",J1385,0)</f>
        <v>0</v>
      </c>
      <c r="BJ1385" s="2" t="s">
        <v>87</v>
      </c>
      <c r="BK1385" s="140">
        <f>ROUND(I1385*H1385,2)</f>
        <v>0</v>
      </c>
      <c r="BL1385" s="2" t="s">
        <v>496</v>
      </c>
      <c r="BM1385" s="139" t="s">
        <v>1370</v>
      </c>
    </row>
    <row r="1386" spans="2:65" s="141" customFormat="1" x14ac:dyDescent="0.2">
      <c r="B1386" s="142"/>
      <c r="D1386" s="143" t="s">
        <v>346</v>
      </c>
      <c r="E1386" s="144"/>
      <c r="F1386" s="145" t="s">
        <v>1371</v>
      </c>
      <c r="H1386" s="144"/>
      <c r="L1386" s="142"/>
      <c r="M1386" s="146"/>
      <c r="T1386" s="147"/>
      <c r="AT1386" s="144" t="s">
        <v>346</v>
      </c>
      <c r="AU1386" s="144" t="s">
        <v>90</v>
      </c>
      <c r="AV1386" s="141" t="s">
        <v>87</v>
      </c>
      <c r="AW1386" s="141" t="s">
        <v>33</v>
      </c>
      <c r="AX1386" s="141" t="s">
        <v>80</v>
      </c>
      <c r="AY1386" s="144" t="s">
        <v>337</v>
      </c>
    </row>
    <row r="1387" spans="2:65" s="141" customFormat="1" x14ac:dyDescent="0.2">
      <c r="B1387" s="142"/>
      <c r="D1387" s="143" t="s">
        <v>346</v>
      </c>
      <c r="E1387" s="144"/>
      <c r="F1387" s="145" t="s">
        <v>434</v>
      </c>
      <c r="H1387" s="144"/>
      <c r="L1387" s="142"/>
      <c r="M1387" s="146"/>
      <c r="T1387" s="147"/>
      <c r="AT1387" s="144" t="s">
        <v>346</v>
      </c>
      <c r="AU1387" s="144" t="s">
        <v>90</v>
      </c>
      <c r="AV1387" s="141" t="s">
        <v>87</v>
      </c>
      <c r="AW1387" s="141" t="s">
        <v>33</v>
      </c>
      <c r="AX1387" s="141" t="s">
        <v>80</v>
      </c>
      <c r="AY1387" s="144" t="s">
        <v>337</v>
      </c>
    </row>
    <row r="1388" spans="2:65" s="148" customFormat="1" x14ac:dyDescent="0.2">
      <c r="B1388" s="149"/>
      <c r="D1388" s="143" t="s">
        <v>346</v>
      </c>
      <c r="E1388" s="150"/>
      <c r="F1388" s="151" t="s">
        <v>1372</v>
      </c>
      <c r="H1388" s="152">
        <v>100.8</v>
      </c>
      <c r="L1388" s="149"/>
      <c r="M1388" s="153"/>
      <c r="T1388" s="154"/>
      <c r="AT1388" s="150" t="s">
        <v>346</v>
      </c>
      <c r="AU1388" s="150" t="s">
        <v>90</v>
      </c>
      <c r="AV1388" s="148" t="s">
        <v>90</v>
      </c>
      <c r="AW1388" s="148" t="s">
        <v>33</v>
      </c>
      <c r="AX1388" s="148" t="s">
        <v>87</v>
      </c>
      <c r="AY1388" s="150" t="s">
        <v>337</v>
      </c>
    </row>
    <row r="1389" spans="2:65" s="16" customFormat="1" ht="16.5" customHeight="1" x14ac:dyDescent="0.2">
      <c r="B1389" s="17"/>
      <c r="C1389" s="128">
        <v>123</v>
      </c>
      <c r="D1389" s="128" t="s">
        <v>339</v>
      </c>
      <c r="E1389" s="129" t="s">
        <v>1374</v>
      </c>
      <c r="F1389" s="130" t="s">
        <v>1375</v>
      </c>
      <c r="G1389" s="131" t="s">
        <v>425</v>
      </c>
      <c r="H1389" s="132">
        <v>19.5</v>
      </c>
      <c r="I1389" s="133"/>
      <c r="J1389" s="134">
        <f>ROUND(I1389*H1389,2)</f>
        <v>0</v>
      </c>
      <c r="K1389" s="130"/>
      <c r="L1389" s="17"/>
      <c r="M1389" s="135"/>
      <c r="N1389" s="136" t="s">
        <v>45</v>
      </c>
      <c r="P1389" s="137">
        <f>O1389*H1389</f>
        <v>0</v>
      </c>
      <c r="Q1389" s="137">
        <v>4.6960000000000002E-2</v>
      </c>
      <c r="R1389" s="137">
        <f>Q1389*H1389</f>
        <v>0.91572000000000009</v>
      </c>
      <c r="S1389" s="137">
        <v>0</v>
      </c>
      <c r="T1389" s="138">
        <f>S1389*H1389</f>
        <v>0</v>
      </c>
      <c r="AR1389" s="139" t="s">
        <v>496</v>
      </c>
      <c r="AT1389" s="139" t="s">
        <v>339</v>
      </c>
      <c r="AU1389" s="139" t="s">
        <v>90</v>
      </c>
      <c r="AY1389" s="2" t="s">
        <v>337</v>
      </c>
      <c r="BE1389" s="140">
        <f>IF(N1389="základní",J1389,0)</f>
        <v>0</v>
      </c>
      <c r="BF1389" s="140">
        <f>IF(N1389="snížená",J1389,0)</f>
        <v>0</v>
      </c>
      <c r="BG1389" s="140">
        <f>IF(N1389="zákl. přenesená",J1389,0)</f>
        <v>0</v>
      </c>
      <c r="BH1389" s="140">
        <f>IF(N1389="sníž. přenesená",J1389,0)</f>
        <v>0</v>
      </c>
      <c r="BI1389" s="140">
        <f>IF(N1389="nulová",J1389,0)</f>
        <v>0</v>
      </c>
      <c r="BJ1389" s="2" t="s">
        <v>87</v>
      </c>
      <c r="BK1389" s="140">
        <f>ROUND(I1389*H1389,2)</f>
        <v>0</v>
      </c>
      <c r="BL1389" s="2" t="s">
        <v>496</v>
      </c>
      <c r="BM1389" s="139" t="s">
        <v>1376</v>
      </c>
    </row>
    <row r="1390" spans="2:65" s="141" customFormat="1" x14ac:dyDescent="0.2">
      <c r="B1390" s="142"/>
      <c r="D1390" s="143" t="s">
        <v>346</v>
      </c>
      <c r="E1390" s="144"/>
      <c r="F1390" s="145" t="s">
        <v>1308</v>
      </c>
      <c r="H1390" s="144"/>
      <c r="L1390" s="142"/>
      <c r="M1390" s="146"/>
      <c r="T1390" s="147"/>
      <c r="AT1390" s="144" t="s">
        <v>346</v>
      </c>
      <c r="AU1390" s="144" t="s">
        <v>90</v>
      </c>
      <c r="AV1390" s="141" t="s">
        <v>87</v>
      </c>
      <c r="AW1390" s="141" t="s">
        <v>33</v>
      </c>
      <c r="AX1390" s="141" t="s">
        <v>80</v>
      </c>
      <c r="AY1390" s="144" t="s">
        <v>337</v>
      </c>
    </row>
    <row r="1391" spans="2:65" s="141" customFormat="1" x14ac:dyDescent="0.2">
      <c r="B1391" s="142"/>
      <c r="D1391" s="143" t="s">
        <v>346</v>
      </c>
      <c r="E1391" s="144"/>
      <c r="F1391" s="145" t="s">
        <v>1371</v>
      </c>
      <c r="H1391" s="144"/>
      <c r="L1391" s="142"/>
      <c r="M1391" s="146"/>
      <c r="T1391" s="147"/>
      <c r="AT1391" s="144" t="s">
        <v>346</v>
      </c>
      <c r="AU1391" s="144" t="s">
        <v>90</v>
      </c>
      <c r="AV1391" s="141" t="s">
        <v>87</v>
      </c>
      <c r="AW1391" s="141" t="s">
        <v>33</v>
      </c>
      <c r="AX1391" s="141" t="s">
        <v>80</v>
      </c>
      <c r="AY1391" s="144" t="s">
        <v>337</v>
      </c>
    </row>
    <row r="1392" spans="2:65" s="141" customFormat="1" x14ac:dyDescent="0.2">
      <c r="B1392" s="142"/>
      <c r="D1392" s="143" t="s">
        <v>346</v>
      </c>
      <c r="E1392" s="144"/>
      <c r="F1392" s="145" t="s">
        <v>434</v>
      </c>
      <c r="H1392" s="144"/>
      <c r="L1392" s="142"/>
      <c r="M1392" s="146"/>
      <c r="T1392" s="147"/>
      <c r="AT1392" s="144" t="s">
        <v>346</v>
      </c>
      <c r="AU1392" s="144" t="s">
        <v>90</v>
      </c>
      <c r="AV1392" s="141" t="s">
        <v>87</v>
      </c>
      <c r="AW1392" s="141" t="s">
        <v>33</v>
      </c>
      <c r="AX1392" s="141" t="s">
        <v>80</v>
      </c>
      <c r="AY1392" s="144" t="s">
        <v>337</v>
      </c>
    </row>
    <row r="1393" spans="2:65" s="148" customFormat="1" x14ac:dyDescent="0.2">
      <c r="B1393" s="149"/>
      <c r="D1393" s="143" t="s">
        <v>346</v>
      </c>
      <c r="E1393" s="150"/>
      <c r="F1393" s="151" t="s">
        <v>1377</v>
      </c>
      <c r="H1393" s="152">
        <v>19.5</v>
      </c>
      <c r="L1393" s="149"/>
      <c r="M1393" s="153"/>
      <c r="T1393" s="154"/>
      <c r="AT1393" s="150" t="s">
        <v>346</v>
      </c>
      <c r="AU1393" s="150" t="s">
        <v>90</v>
      </c>
      <c r="AV1393" s="148" t="s">
        <v>90</v>
      </c>
      <c r="AW1393" s="148" t="s">
        <v>33</v>
      </c>
      <c r="AX1393" s="148" t="s">
        <v>87</v>
      </c>
      <c r="AY1393" s="150" t="s">
        <v>337</v>
      </c>
    </row>
    <row r="1394" spans="2:65" s="16" customFormat="1" ht="16.5" customHeight="1" x14ac:dyDescent="0.2">
      <c r="B1394" s="17"/>
      <c r="C1394" s="128">
        <v>124</v>
      </c>
      <c r="D1394" s="128" t="s">
        <v>339</v>
      </c>
      <c r="E1394" s="129" t="s">
        <v>1378</v>
      </c>
      <c r="F1394" s="130" t="s">
        <v>1379</v>
      </c>
      <c r="G1394" s="131" t="s">
        <v>425</v>
      </c>
      <c r="H1394" s="132">
        <v>53.994</v>
      </c>
      <c r="I1394" s="133"/>
      <c r="J1394" s="134">
        <f>ROUND(I1394*H1394,2)</f>
        <v>0</v>
      </c>
      <c r="K1394" s="130" t="s">
        <v>343</v>
      </c>
      <c r="L1394" s="17"/>
      <c r="M1394" s="135"/>
      <c r="N1394" s="136" t="s">
        <v>45</v>
      </c>
      <c r="P1394" s="137">
        <f>O1394*H1394</f>
        <v>0</v>
      </c>
      <c r="Q1394" s="137">
        <v>5.0259999999999999E-2</v>
      </c>
      <c r="R1394" s="137">
        <f>Q1394*H1394</f>
        <v>2.7137384399999998</v>
      </c>
      <c r="S1394" s="137">
        <v>0</v>
      </c>
      <c r="T1394" s="138">
        <f>S1394*H1394</f>
        <v>0</v>
      </c>
      <c r="AR1394" s="139" t="s">
        <v>496</v>
      </c>
      <c r="AT1394" s="139" t="s">
        <v>339</v>
      </c>
      <c r="AU1394" s="139" t="s">
        <v>90</v>
      </c>
      <c r="AY1394" s="2" t="s">
        <v>337</v>
      </c>
      <c r="BE1394" s="140">
        <f>IF(N1394="základní",J1394,0)</f>
        <v>0</v>
      </c>
      <c r="BF1394" s="140">
        <f>IF(N1394="snížená",J1394,0)</f>
        <v>0</v>
      </c>
      <c r="BG1394" s="140">
        <f>IF(N1394="zákl. přenesená",J1394,0)</f>
        <v>0</v>
      </c>
      <c r="BH1394" s="140">
        <f>IF(N1394="sníž. přenesená",J1394,0)</f>
        <v>0</v>
      </c>
      <c r="BI1394" s="140">
        <f>IF(N1394="nulová",J1394,0)</f>
        <v>0</v>
      </c>
      <c r="BJ1394" s="2" t="s">
        <v>87</v>
      </c>
      <c r="BK1394" s="140">
        <f>ROUND(I1394*H1394,2)</f>
        <v>0</v>
      </c>
      <c r="BL1394" s="2" t="s">
        <v>496</v>
      </c>
      <c r="BM1394" s="139" t="s">
        <v>1380</v>
      </c>
    </row>
    <row r="1395" spans="2:65" s="141" customFormat="1" x14ac:dyDescent="0.2">
      <c r="B1395" s="142"/>
      <c r="D1395" s="143" t="s">
        <v>346</v>
      </c>
      <c r="E1395" s="144"/>
      <c r="F1395" s="145" t="s">
        <v>1381</v>
      </c>
      <c r="H1395" s="144"/>
      <c r="L1395" s="142"/>
      <c r="M1395" s="146"/>
      <c r="T1395" s="147"/>
      <c r="AT1395" s="144" t="s">
        <v>346</v>
      </c>
      <c r="AU1395" s="144" t="s">
        <v>90</v>
      </c>
      <c r="AV1395" s="141" t="s">
        <v>87</v>
      </c>
      <c r="AW1395" s="141" t="s">
        <v>33</v>
      </c>
      <c r="AX1395" s="141" t="s">
        <v>80</v>
      </c>
      <c r="AY1395" s="144" t="s">
        <v>337</v>
      </c>
    </row>
    <row r="1396" spans="2:65" s="141" customFormat="1" x14ac:dyDescent="0.2">
      <c r="B1396" s="142"/>
      <c r="D1396" s="143" t="s">
        <v>346</v>
      </c>
      <c r="E1396" s="144"/>
      <c r="F1396" s="145" t="s">
        <v>1283</v>
      </c>
      <c r="H1396" s="144"/>
      <c r="L1396" s="142"/>
      <c r="M1396" s="146"/>
      <c r="T1396" s="147"/>
      <c r="AT1396" s="144" t="s">
        <v>346</v>
      </c>
      <c r="AU1396" s="144" t="s">
        <v>90</v>
      </c>
      <c r="AV1396" s="141" t="s">
        <v>87</v>
      </c>
      <c r="AW1396" s="141" t="s">
        <v>33</v>
      </c>
      <c r="AX1396" s="141" t="s">
        <v>80</v>
      </c>
      <c r="AY1396" s="144" t="s">
        <v>337</v>
      </c>
    </row>
    <row r="1397" spans="2:65" s="141" customFormat="1" x14ac:dyDescent="0.2">
      <c r="B1397" s="142"/>
      <c r="D1397" s="143" t="s">
        <v>346</v>
      </c>
      <c r="E1397" s="144"/>
      <c r="F1397" s="145" t="s">
        <v>362</v>
      </c>
      <c r="H1397" s="144"/>
      <c r="L1397" s="142"/>
      <c r="M1397" s="146"/>
      <c r="T1397" s="147"/>
      <c r="AT1397" s="144" t="s">
        <v>346</v>
      </c>
      <c r="AU1397" s="144" t="s">
        <v>90</v>
      </c>
      <c r="AV1397" s="141" t="s">
        <v>87</v>
      </c>
      <c r="AW1397" s="141" t="s">
        <v>33</v>
      </c>
      <c r="AX1397" s="141" t="s">
        <v>80</v>
      </c>
      <c r="AY1397" s="144" t="s">
        <v>337</v>
      </c>
    </row>
    <row r="1398" spans="2:65" s="148" customFormat="1" x14ac:dyDescent="0.2">
      <c r="B1398" s="149"/>
      <c r="D1398" s="143" t="s">
        <v>346</v>
      </c>
      <c r="E1398" s="150"/>
      <c r="F1398" s="151" t="s">
        <v>1382</v>
      </c>
      <c r="H1398" s="152">
        <v>4.2699999999999996</v>
      </c>
      <c r="L1398" s="149"/>
      <c r="M1398" s="153"/>
      <c r="T1398" s="154"/>
      <c r="AT1398" s="150" t="s">
        <v>346</v>
      </c>
      <c r="AU1398" s="150" t="s">
        <v>90</v>
      </c>
      <c r="AV1398" s="148" t="s">
        <v>90</v>
      </c>
      <c r="AW1398" s="148" t="s">
        <v>33</v>
      </c>
      <c r="AX1398" s="148" t="s">
        <v>80</v>
      </c>
      <c r="AY1398" s="150" t="s">
        <v>337</v>
      </c>
    </row>
    <row r="1399" spans="2:65" s="148" customFormat="1" x14ac:dyDescent="0.2">
      <c r="B1399" s="149"/>
      <c r="D1399" s="143" t="s">
        <v>346</v>
      </c>
      <c r="E1399" s="150"/>
      <c r="F1399" s="151" t="s">
        <v>1383</v>
      </c>
      <c r="H1399" s="152">
        <v>2.8370000000000002</v>
      </c>
      <c r="L1399" s="149"/>
      <c r="M1399" s="153"/>
      <c r="T1399" s="154"/>
      <c r="AT1399" s="150" t="s">
        <v>346</v>
      </c>
      <c r="AU1399" s="150" t="s">
        <v>90</v>
      </c>
      <c r="AV1399" s="148" t="s">
        <v>90</v>
      </c>
      <c r="AW1399" s="148" t="s">
        <v>33</v>
      </c>
      <c r="AX1399" s="148" t="s">
        <v>80</v>
      </c>
      <c r="AY1399" s="150" t="s">
        <v>337</v>
      </c>
    </row>
    <row r="1400" spans="2:65" s="141" customFormat="1" x14ac:dyDescent="0.2">
      <c r="B1400" s="142"/>
      <c r="D1400" s="143" t="s">
        <v>346</v>
      </c>
      <c r="E1400" s="144"/>
      <c r="F1400" s="145" t="s">
        <v>1233</v>
      </c>
      <c r="H1400" s="144"/>
      <c r="L1400" s="142"/>
      <c r="M1400" s="146"/>
      <c r="T1400" s="147"/>
      <c r="AT1400" s="144" t="s">
        <v>346</v>
      </c>
      <c r="AU1400" s="144" t="s">
        <v>90</v>
      </c>
      <c r="AV1400" s="141" t="s">
        <v>87</v>
      </c>
      <c r="AW1400" s="141" t="s">
        <v>33</v>
      </c>
      <c r="AX1400" s="141" t="s">
        <v>80</v>
      </c>
      <c r="AY1400" s="144" t="s">
        <v>337</v>
      </c>
    </row>
    <row r="1401" spans="2:65" s="148" customFormat="1" x14ac:dyDescent="0.2">
      <c r="B1401" s="149"/>
      <c r="D1401" s="143" t="s">
        <v>346</v>
      </c>
      <c r="E1401" s="150"/>
      <c r="F1401" s="151" t="s">
        <v>1384</v>
      </c>
      <c r="H1401" s="152">
        <v>5.8259999999999996</v>
      </c>
      <c r="L1401" s="149"/>
      <c r="M1401" s="153"/>
      <c r="T1401" s="154"/>
      <c r="AT1401" s="150" t="s">
        <v>346</v>
      </c>
      <c r="AU1401" s="150" t="s">
        <v>90</v>
      </c>
      <c r="AV1401" s="148" t="s">
        <v>90</v>
      </c>
      <c r="AW1401" s="148" t="s">
        <v>33</v>
      </c>
      <c r="AX1401" s="148" t="s">
        <v>80</v>
      </c>
      <c r="AY1401" s="150" t="s">
        <v>337</v>
      </c>
    </row>
    <row r="1402" spans="2:65" s="141" customFormat="1" x14ac:dyDescent="0.2">
      <c r="B1402" s="142"/>
      <c r="D1402" s="143" t="s">
        <v>346</v>
      </c>
      <c r="E1402" s="144"/>
      <c r="F1402" s="145" t="s">
        <v>367</v>
      </c>
      <c r="H1402" s="144"/>
      <c r="L1402" s="142"/>
      <c r="M1402" s="146"/>
      <c r="T1402" s="147"/>
      <c r="AT1402" s="144" t="s">
        <v>346</v>
      </c>
      <c r="AU1402" s="144" t="s">
        <v>90</v>
      </c>
      <c r="AV1402" s="141" t="s">
        <v>87</v>
      </c>
      <c r="AW1402" s="141" t="s">
        <v>33</v>
      </c>
      <c r="AX1402" s="141" t="s">
        <v>80</v>
      </c>
      <c r="AY1402" s="144" t="s">
        <v>337</v>
      </c>
    </row>
    <row r="1403" spans="2:65" s="148" customFormat="1" x14ac:dyDescent="0.2">
      <c r="B1403" s="149"/>
      <c r="D1403" s="143" t="s">
        <v>346</v>
      </c>
      <c r="E1403" s="150"/>
      <c r="F1403" s="151" t="s">
        <v>1382</v>
      </c>
      <c r="H1403" s="152">
        <v>4.2699999999999996</v>
      </c>
      <c r="L1403" s="149"/>
      <c r="M1403" s="153"/>
      <c r="T1403" s="154"/>
      <c r="AT1403" s="150" t="s">
        <v>346</v>
      </c>
      <c r="AU1403" s="150" t="s">
        <v>90</v>
      </c>
      <c r="AV1403" s="148" t="s">
        <v>90</v>
      </c>
      <c r="AW1403" s="148" t="s">
        <v>33</v>
      </c>
      <c r="AX1403" s="148" t="s">
        <v>80</v>
      </c>
      <c r="AY1403" s="150" t="s">
        <v>337</v>
      </c>
    </row>
    <row r="1404" spans="2:65" s="148" customFormat="1" x14ac:dyDescent="0.2">
      <c r="B1404" s="149"/>
      <c r="D1404" s="143" t="s">
        <v>346</v>
      </c>
      <c r="E1404" s="150"/>
      <c r="F1404" s="151" t="s">
        <v>1383</v>
      </c>
      <c r="H1404" s="152">
        <v>2.8370000000000002</v>
      </c>
      <c r="L1404" s="149"/>
      <c r="M1404" s="153"/>
      <c r="T1404" s="154"/>
      <c r="AT1404" s="150" t="s">
        <v>346</v>
      </c>
      <c r="AU1404" s="150" t="s">
        <v>90</v>
      </c>
      <c r="AV1404" s="148" t="s">
        <v>90</v>
      </c>
      <c r="AW1404" s="148" t="s">
        <v>33</v>
      </c>
      <c r="AX1404" s="148" t="s">
        <v>80</v>
      </c>
      <c r="AY1404" s="150" t="s">
        <v>337</v>
      </c>
    </row>
    <row r="1405" spans="2:65" s="148" customFormat="1" x14ac:dyDescent="0.2">
      <c r="B1405" s="149"/>
      <c r="D1405" s="143" t="s">
        <v>346</v>
      </c>
      <c r="E1405" s="150"/>
      <c r="F1405" s="151" t="s">
        <v>1385</v>
      </c>
      <c r="H1405" s="152">
        <v>1.83</v>
      </c>
      <c r="L1405" s="149"/>
      <c r="M1405" s="153"/>
      <c r="T1405" s="154"/>
      <c r="AT1405" s="150" t="s">
        <v>346</v>
      </c>
      <c r="AU1405" s="150" t="s">
        <v>90</v>
      </c>
      <c r="AV1405" s="148" t="s">
        <v>90</v>
      </c>
      <c r="AW1405" s="148" t="s">
        <v>33</v>
      </c>
      <c r="AX1405" s="148" t="s">
        <v>80</v>
      </c>
      <c r="AY1405" s="150" t="s">
        <v>337</v>
      </c>
    </row>
    <row r="1406" spans="2:65" s="141" customFormat="1" x14ac:dyDescent="0.2">
      <c r="B1406" s="142"/>
      <c r="D1406" s="143" t="s">
        <v>346</v>
      </c>
      <c r="E1406" s="144"/>
      <c r="F1406" s="145" t="s">
        <v>368</v>
      </c>
      <c r="H1406" s="144"/>
      <c r="L1406" s="142"/>
      <c r="M1406" s="146"/>
      <c r="T1406" s="147"/>
      <c r="AT1406" s="144" t="s">
        <v>346</v>
      </c>
      <c r="AU1406" s="144" t="s">
        <v>90</v>
      </c>
      <c r="AV1406" s="141" t="s">
        <v>87</v>
      </c>
      <c r="AW1406" s="141" t="s">
        <v>33</v>
      </c>
      <c r="AX1406" s="141" t="s">
        <v>80</v>
      </c>
      <c r="AY1406" s="144" t="s">
        <v>337</v>
      </c>
    </row>
    <row r="1407" spans="2:65" s="148" customFormat="1" x14ac:dyDescent="0.2">
      <c r="B1407" s="149"/>
      <c r="D1407" s="143" t="s">
        <v>346</v>
      </c>
      <c r="E1407" s="150"/>
      <c r="F1407" s="151" t="s">
        <v>1382</v>
      </c>
      <c r="H1407" s="152">
        <v>4.2699999999999996</v>
      </c>
      <c r="L1407" s="149"/>
      <c r="M1407" s="153"/>
      <c r="T1407" s="154"/>
      <c r="AT1407" s="150" t="s">
        <v>346</v>
      </c>
      <c r="AU1407" s="150" t="s">
        <v>90</v>
      </c>
      <c r="AV1407" s="148" t="s">
        <v>90</v>
      </c>
      <c r="AW1407" s="148" t="s">
        <v>33</v>
      </c>
      <c r="AX1407" s="148" t="s">
        <v>80</v>
      </c>
      <c r="AY1407" s="150" t="s">
        <v>337</v>
      </c>
    </row>
    <row r="1408" spans="2:65" s="148" customFormat="1" x14ac:dyDescent="0.2">
      <c r="B1408" s="149"/>
      <c r="D1408" s="143" t="s">
        <v>346</v>
      </c>
      <c r="E1408" s="150"/>
      <c r="F1408" s="151" t="s">
        <v>1383</v>
      </c>
      <c r="H1408" s="152">
        <v>2.8370000000000002</v>
      </c>
      <c r="L1408" s="149"/>
      <c r="M1408" s="153"/>
      <c r="T1408" s="154"/>
      <c r="AT1408" s="150" t="s">
        <v>346</v>
      </c>
      <c r="AU1408" s="150" t="s">
        <v>90</v>
      </c>
      <c r="AV1408" s="148" t="s">
        <v>90</v>
      </c>
      <c r="AW1408" s="148" t="s">
        <v>33</v>
      </c>
      <c r="AX1408" s="148" t="s">
        <v>80</v>
      </c>
      <c r="AY1408" s="150" t="s">
        <v>337</v>
      </c>
    </row>
    <row r="1409" spans="2:65" s="148" customFormat="1" x14ac:dyDescent="0.2">
      <c r="B1409" s="149"/>
      <c r="D1409" s="143" t="s">
        <v>346</v>
      </c>
      <c r="E1409" s="150"/>
      <c r="F1409" s="151" t="s">
        <v>1385</v>
      </c>
      <c r="H1409" s="152">
        <v>1.83</v>
      </c>
      <c r="L1409" s="149"/>
      <c r="M1409" s="153"/>
      <c r="T1409" s="154"/>
      <c r="AT1409" s="150" t="s">
        <v>346</v>
      </c>
      <c r="AU1409" s="150" t="s">
        <v>90</v>
      </c>
      <c r="AV1409" s="148" t="s">
        <v>90</v>
      </c>
      <c r="AW1409" s="148" t="s">
        <v>33</v>
      </c>
      <c r="AX1409" s="148" t="s">
        <v>80</v>
      </c>
      <c r="AY1409" s="150" t="s">
        <v>337</v>
      </c>
    </row>
    <row r="1410" spans="2:65" s="141" customFormat="1" x14ac:dyDescent="0.2">
      <c r="B1410" s="142"/>
      <c r="D1410" s="143" t="s">
        <v>346</v>
      </c>
      <c r="E1410" s="144"/>
      <c r="F1410" s="145" t="s">
        <v>1233</v>
      </c>
      <c r="H1410" s="144"/>
      <c r="L1410" s="142"/>
      <c r="M1410" s="146"/>
      <c r="T1410" s="147"/>
      <c r="AT1410" s="144" t="s">
        <v>346</v>
      </c>
      <c r="AU1410" s="144" t="s">
        <v>90</v>
      </c>
      <c r="AV1410" s="141" t="s">
        <v>87</v>
      </c>
      <c r="AW1410" s="141" t="s">
        <v>33</v>
      </c>
      <c r="AX1410" s="141" t="s">
        <v>80</v>
      </c>
      <c r="AY1410" s="144" t="s">
        <v>337</v>
      </c>
    </row>
    <row r="1411" spans="2:65" s="148" customFormat="1" x14ac:dyDescent="0.2">
      <c r="B1411" s="149"/>
      <c r="D1411" s="143" t="s">
        <v>346</v>
      </c>
      <c r="E1411" s="150"/>
      <c r="F1411" s="151" t="s">
        <v>1386</v>
      </c>
      <c r="H1411" s="152">
        <v>9.15</v>
      </c>
      <c r="L1411" s="149"/>
      <c r="M1411" s="153"/>
      <c r="T1411" s="154"/>
      <c r="AT1411" s="150" t="s">
        <v>346</v>
      </c>
      <c r="AU1411" s="150" t="s">
        <v>90</v>
      </c>
      <c r="AV1411" s="148" t="s">
        <v>90</v>
      </c>
      <c r="AW1411" s="148" t="s">
        <v>33</v>
      </c>
      <c r="AX1411" s="148" t="s">
        <v>80</v>
      </c>
      <c r="AY1411" s="150" t="s">
        <v>337</v>
      </c>
    </row>
    <row r="1412" spans="2:65" s="141" customFormat="1" x14ac:dyDescent="0.2">
      <c r="B1412" s="142"/>
      <c r="D1412" s="143" t="s">
        <v>346</v>
      </c>
      <c r="E1412" s="144"/>
      <c r="F1412" s="145" t="s">
        <v>370</v>
      </c>
      <c r="H1412" s="144"/>
      <c r="L1412" s="142"/>
      <c r="M1412" s="146"/>
      <c r="T1412" s="147"/>
      <c r="AT1412" s="144" t="s">
        <v>346</v>
      </c>
      <c r="AU1412" s="144" t="s">
        <v>90</v>
      </c>
      <c r="AV1412" s="141" t="s">
        <v>87</v>
      </c>
      <c r="AW1412" s="141" t="s">
        <v>33</v>
      </c>
      <c r="AX1412" s="141" t="s">
        <v>80</v>
      </c>
      <c r="AY1412" s="144" t="s">
        <v>337</v>
      </c>
    </row>
    <row r="1413" spans="2:65" s="148" customFormat="1" x14ac:dyDescent="0.2">
      <c r="B1413" s="149"/>
      <c r="D1413" s="143" t="s">
        <v>346</v>
      </c>
      <c r="E1413" s="150"/>
      <c r="F1413" s="151" t="s">
        <v>1382</v>
      </c>
      <c r="H1413" s="152">
        <v>4.2699999999999996</v>
      </c>
      <c r="L1413" s="149"/>
      <c r="M1413" s="153"/>
      <c r="T1413" s="154"/>
      <c r="AT1413" s="150" t="s">
        <v>346</v>
      </c>
      <c r="AU1413" s="150" t="s">
        <v>90</v>
      </c>
      <c r="AV1413" s="148" t="s">
        <v>90</v>
      </c>
      <c r="AW1413" s="148" t="s">
        <v>33</v>
      </c>
      <c r="AX1413" s="148" t="s">
        <v>80</v>
      </c>
      <c r="AY1413" s="150" t="s">
        <v>337</v>
      </c>
    </row>
    <row r="1414" spans="2:65" s="148" customFormat="1" x14ac:dyDescent="0.2">
      <c r="B1414" s="149"/>
      <c r="D1414" s="143" t="s">
        <v>346</v>
      </c>
      <c r="E1414" s="150"/>
      <c r="F1414" s="151" t="s">
        <v>1383</v>
      </c>
      <c r="H1414" s="152">
        <v>2.8370000000000002</v>
      </c>
      <c r="L1414" s="149"/>
      <c r="M1414" s="153"/>
      <c r="T1414" s="154"/>
      <c r="AT1414" s="150" t="s">
        <v>346</v>
      </c>
      <c r="AU1414" s="150" t="s">
        <v>90</v>
      </c>
      <c r="AV1414" s="148" t="s">
        <v>90</v>
      </c>
      <c r="AW1414" s="148" t="s">
        <v>33</v>
      </c>
      <c r="AX1414" s="148" t="s">
        <v>80</v>
      </c>
      <c r="AY1414" s="150" t="s">
        <v>337</v>
      </c>
    </row>
    <row r="1415" spans="2:65" s="148" customFormat="1" x14ac:dyDescent="0.2">
      <c r="B1415" s="149"/>
      <c r="D1415" s="143" t="s">
        <v>346</v>
      </c>
      <c r="E1415" s="150"/>
      <c r="F1415" s="151" t="s">
        <v>1385</v>
      </c>
      <c r="H1415" s="152">
        <v>1.83</v>
      </c>
      <c r="L1415" s="149"/>
      <c r="M1415" s="153"/>
      <c r="T1415" s="154"/>
      <c r="AT1415" s="150" t="s">
        <v>346</v>
      </c>
      <c r="AU1415" s="150" t="s">
        <v>90</v>
      </c>
      <c r="AV1415" s="148" t="s">
        <v>90</v>
      </c>
      <c r="AW1415" s="148" t="s">
        <v>33</v>
      </c>
      <c r="AX1415" s="148" t="s">
        <v>80</v>
      </c>
      <c r="AY1415" s="150" t="s">
        <v>337</v>
      </c>
    </row>
    <row r="1416" spans="2:65" s="141" customFormat="1" x14ac:dyDescent="0.2">
      <c r="B1416" s="142"/>
      <c r="D1416" s="143" t="s">
        <v>346</v>
      </c>
      <c r="E1416" s="144"/>
      <c r="F1416" s="145" t="s">
        <v>434</v>
      </c>
      <c r="H1416" s="144"/>
      <c r="L1416" s="142"/>
      <c r="M1416" s="146"/>
      <c r="T1416" s="147"/>
      <c r="AT1416" s="144" t="s">
        <v>346</v>
      </c>
      <c r="AU1416" s="144" t="s">
        <v>90</v>
      </c>
      <c r="AV1416" s="141" t="s">
        <v>87</v>
      </c>
      <c r="AW1416" s="141" t="s">
        <v>33</v>
      </c>
      <c r="AX1416" s="141" t="s">
        <v>80</v>
      </c>
      <c r="AY1416" s="144" t="s">
        <v>337</v>
      </c>
    </row>
    <row r="1417" spans="2:65" s="141" customFormat="1" x14ac:dyDescent="0.2">
      <c r="B1417" s="142"/>
      <c r="D1417" s="143" t="s">
        <v>346</v>
      </c>
      <c r="E1417" s="144"/>
      <c r="F1417" s="145" t="s">
        <v>1293</v>
      </c>
      <c r="H1417" s="144"/>
      <c r="L1417" s="142"/>
      <c r="M1417" s="146"/>
      <c r="T1417" s="147"/>
      <c r="AT1417" s="144" t="s">
        <v>346</v>
      </c>
      <c r="AU1417" s="144" t="s">
        <v>90</v>
      </c>
      <c r="AV1417" s="141" t="s">
        <v>87</v>
      </c>
      <c r="AW1417" s="141" t="s">
        <v>33</v>
      </c>
      <c r="AX1417" s="141" t="s">
        <v>80</v>
      </c>
      <c r="AY1417" s="144" t="s">
        <v>337</v>
      </c>
    </row>
    <row r="1418" spans="2:65" s="148" customFormat="1" x14ac:dyDescent="0.2">
      <c r="B1418" s="149"/>
      <c r="D1418" s="143" t="s">
        <v>346</v>
      </c>
      <c r="E1418" s="150"/>
      <c r="F1418" s="151" t="s">
        <v>1387</v>
      </c>
      <c r="H1418" s="152">
        <v>2.7</v>
      </c>
      <c r="L1418" s="149"/>
      <c r="M1418" s="153"/>
      <c r="T1418" s="154"/>
      <c r="AT1418" s="150" t="s">
        <v>346</v>
      </c>
      <c r="AU1418" s="150" t="s">
        <v>90</v>
      </c>
      <c r="AV1418" s="148" t="s">
        <v>90</v>
      </c>
      <c r="AW1418" s="148" t="s">
        <v>33</v>
      </c>
      <c r="AX1418" s="148" t="s">
        <v>80</v>
      </c>
      <c r="AY1418" s="150" t="s">
        <v>337</v>
      </c>
    </row>
    <row r="1419" spans="2:65" s="148" customFormat="1" x14ac:dyDescent="0.2">
      <c r="B1419" s="149"/>
      <c r="D1419" s="143" t="s">
        <v>346</v>
      </c>
      <c r="E1419" s="150"/>
      <c r="F1419" s="151" t="s">
        <v>1388</v>
      </c>
      <c r="H1419" s="152">
        <v>2.4</v>
      </c>
      <c r="L1419" s="149"/>
      <c r="M1419" s="153"/>
      <c r="T1419" s="154"/>
      <c r="AT1419" s="150" t="s">
        <v>346</v>
      </c>
      <c r="AU1419" s="150" t="s">
        <v>90</v>
      </c>
      <c r="AV1419" s="148" t="s">
        <v>90</v>
      </c>
      <c r="AW1419" s="148" t="s">
        <v>33</v>
      </c>
      <c r="AX1419" s="148" t="s">
        <v>80</v>
      </c>
      <c r="AY1419" s="150" t="s">
        <v>337</v>
      </c>
    </row>
    <row r="1420" spans="2:65" s="155" customFormat="1" x14ac:dyDescent="0.2">
      <c r="B1420" s="156"/>
      <c r="D1420" s="143" t="s">
        <v>346</v>
      </c>
      <c r="E1420" s="157"/>
      <c r="F1420" s="158" t="s">
        <v>351</v>
      </c>
      <c r="H1420" s="159">
        <v>53.994</v>
      </c>
      <c r="L1420" s="156"/>
      <c r="M1420" s="160"/>
      <c r="T1420" s="161"/>
      <c r="AT1420" s="157" t="s">
        <v>346</v>
      </c>
      <c r="AU1420" s="157" t="s">
        <v>90</v>
      </c>
      <c r="AV1420" s="155" t="s">
        <v>344</v>
      </c>
      <c r="AW1420" s="155" t="s">
        <v>33</v>
      </c>
      <c r="AX1420" s="155" t="s">
        <v>87</v>
      </c>
      <c r="AY1420" s="157" t="s">
        <v>337</v>
      </c>
    </row>
    <row r="1421" spans="2:65" s="16" customFormat="1" ht="16.5" customHeight="1" x14ac:dyDescent="0.2">
      <c r="B1421" s="17"/>
      <c r="C1421" s="128">
        <v>125</v>
      </c>
      <c r="D1421" s="128" t="s">
        <v>339</v>
      </c>
      <c r="E1421" s="129" t="s">
        <v>1390</v>
      </c>
      <c r="F1421" s="130" t="s">
        <v>1391</v>
      </c>
      <c r="G1421" s="131" t="s">
        <v>425</v>
      </c>
      <c r="H1421" s="132">
        <v>429.57100000000003</v>
      </c>
      <c r="I1421" s="133"/>
      <c r="J1421" s="134">
        <f>ROUND(I1421*H1421,2)</f>
        <v>0</v>
      </c>
      <c r="K1421" s="130" t="s">
        <v>343</v>
      </c>
      <c r="L1421" s="17"/>
      <c r="M1421" s="135"/>
      <c r="N1421" s="136" t="s">
        <v>45</v>
      </c>
      <c r="P1421" s="137">
        <f>O1421*H1421</f>
        <v>0</v>
      </c>
      <c r="Q1421" s="137">
        <v>5.3530000000000001E-2</v>
      </c>
      <c r="R1421" s="137">
        <f>Q1421*H1421</f>
        <v>22.994935630000001</v>
      </c>
      <c r="S1421" s="137">
        <v>0</v>
      </c>
      <c r="T1421" s="138">
        <f>S1421*H1421</f>
        <v>0</v>
      </c>
      <c r="AR1421" s="139" t="s">
        <v>496</v>
      </c>
      <c r="AT1421" s="139" t="s">
        <v>339</v>
      </c>
      <c r="AU1421" s="139" t="s">
        <v>90</v>
      </c>
      <c r="AY1421" s="2" t="s">
        <v>337</v>
      </c>
      <c r="BE1421" s="140">
        <f>IF(N1421="základní",J1421,0)</f>
        <v>0</v>
      </c>
      <c r="BF1421" s="140">
        <f>IF(N1421="snížená",J1421,0)</f>
        <v>0</v>
      </c>
      <c r="BG1421" s="140">
        <f>IF(N1421="zákl. přenesená",J1421,0)</f>
        <v>0</v>
      </c>
      <c r="BH1421" s="140">
        <f>IF(N1421="sníž. přenesená",J1421,0)</f>
        <v>0</v>
      </c>
      <c r="BI1421" s="140">
        <f>IF(N1421="nulová",J1421,0)</f>
        <v>0</v>
      </c>
      <c r="BJ1421" s="2" t="s">
        <v>87</v>
      </c>
      <c r="BK1421" s="140">
        <f>ROUND(I1421*H1421,2)</f>
        <v>0</v>
      </c>
      <c r="BL1421" s="2" t="s">
        <v>496</v>
      </c>
      <c r="BM1421" s="139" t="s">
        <v>1392</v>
      </c>
    </row>
    <row r="1422" spans="2:65" s="141" customFormat="1" x14ac:dyDescent="0.2">
      <c r="B1422" s="142"/>
      <c r="D1422" s="143" t="s">
        <v>346</v>
      </c>
      <c r="E1422" s="144"/>
      <c r="F1422" s="145" t="s">
        <v>1381</v>
      </c>
      <c r="H1422" s="144"/>
      <c r="L1422" s="142"/>
      <c r="M1422" s="146"/>
      <c r="T1422" s="147"/>
      <c r="AT1422" s="144" t="s">
        <v>346</v>
      </c>
      <c r="AU1422" s="144" t="s">
        <v>90</v>
      </c>
      <c r="AV1422" s="141" t="s">
        <v>87</v>
      </c>
      <c r="AW1422" s="141" t="s">
        <v>33</v>
      </c>
      <c r="AX1422" s="141" t="s">
        <v>80</v>
      </c>
      <c r="AY1422" s="144" t="s">
        <v>337</v>
      </c>
    </row>
    <row r="1423" spans="2:65" s="141" customFormat="1" x14ac:dyDescent="0.2">
      <c r="B1423" s="142"/>
      <c r="D1423" s="143" t="s">
        <v>346</v>
      </c>
      <c r="E1423" s="144"/>
      <c r="F1423" s="145" t="s">
        <v>1283</v>
      </c>
      <c r="H1423" s="144"/>
      <c r="L1423" s="142"/>
      <c r="M1423" s="146"/>
      <c r="T1423" s="147"/>
      <c r="AT1423" s="144" t="s">
        <v>346</v>
      </c>
      <c r="AU1423" s="144" t="s">
        <v>90</v>
      </c>
      <c r="AV1423" s="141" t="s">
        <v>87</v>
      </c>
      <c r="AW1423" s="141" t="s">
        <v>33</v>
      </c>
      <c r="AX1423" s="141" t="s">
        <v>80</v>
      </c>
      <c r="AY1423" s="144" t="s">
        <v>337</v>
      </c>
    </row>
    <row r="1424" spans="2:65" s="141" customFormat="1" x14ac:dyDescent="0.2">
      <c r="B1424" s="142"/>
      <c r="D1424" s="143" t="s">
        <v>346</v>
      </c>
      <c r="E1424" s="144"/>
      <c r="F1424" s="145" t="s">
        <v>362</v>
      </c>
      <c r="H1424" s="144"/>
      <c r="L1424" s="142"/>
      <c r="M1424" s="146"/>
      <c r="T1424" s="147"/>
      <c r="AT1424" s="144" t="s">
        <v>346</v>
      </c>
      <c r="AU1424" s="144" t="s">
        <v>90</v>
      </c>
      <c r="AV1424" s="141" t="s">
        <v>87</v>
      </c>
      <c r="AW1424" s="141" t="s">
        <v>33</v>
      </c>
      <c r="AX1424" s="141" t="s">
        <v>80</v>
      </c>
      <c r="AY1424" s="144" t="s">
        <v>337</v>
      </c>
    </row>
    <row r="1425" spans="2:51" s="148" customFormat="1" x14ac:dyDescent="0.2">
      <c r="B1425" s="149"/>
      <c r="D1425" s="143" t="s">
        <v>346</v>
      </c>
      <c r="E1425" s="150"/>
      <c r="F1425" s="151" t="s">
        <v>1393</v>
      </c>
      <c r="H1425" s="152">
        <v>29.89</v>
      </c>
      <c r="L1425" s="149"/>
      <c r="M1425" s="153"/>
      <c r="T1425" s="154"/>
      <c r="AT1425" s="150" t="s">
        <v>346</v>
      </c>
      <c r="AU1425" s="150" t="s">
        <v>90</v>
      </c>
      <c r="AV1425" s="148" t="s">
        <v>90</v>
      </c>
      <c r="AW1425" s="148" t="s">
        <v>33</v>
      </c>
      <c r="AX1425" s="148" t="s">
        <v>80</v>
      </c>
      <c r="AY1425" s="150" t="s">
        <v>337</v>
      </c>
    </row>
    <row r="1426" spans="2:51" s="148" customFormat="1" x14ac:dyDescent="0.2">
      <c r="B1426" s="149"/>
      <c r="D1426" s="143" t="s">
        <v>346</v>
      </c>
      <c r="E1426" s="150"/>
      <c r="F1426" s="151" t="s">
        <v>1394</v>
      </c>
      <c r="H1426" s="152">
        <v>7.4729999999999999</v>
      </c>
      <c r="L1426" s="149"/>
      <c r="M1426" s="153"/>
      <c r="T1426" s="154"/>
      <c r="AT1426" s="150" t="s">
        <v>346</v>
      </c>
      <c r="AU1426" s="150" t="s">
        <v>90</v>
      </c>
      <c r="AV1426" s="148" t="s">
        <v>90</v>
      </c>
      <c r="AW1426" s="148" t="s">
        <v>33</v>
      </c>
      <c r="AX1426" s="148" t="s">
        <v>80</v>
      </c>
      <c r="AY1426" s="150" t="s">
        <v>337</v>
      </c>
    </row>
    <row r="1427" spans="2:51" s="148" customFormat="1" x14ac:dyDescent="0.2">
      <c r="B1427" s="149"/>
      <c r="D1427" s="143" t="s">
        <v>346</v>
      </c>
      <c r="E1427" s="150"/>
      <c r="F1427" s="151" t="s">
        <v>1395</v>
      </c>
      <c r="H1427" s="152">
        <v>5.1849999999999996</v>
      </c>
      <c r="L1427" s="149"/>
      <c r="M1427" s="153"/>
      <c r="T1427" s="154"/>
      <c r="AT1427" s="150" t="s">
        <v>346</v>
      </c>
      <c r="AU1427" s="150" t="s">
        <v>90</v>
      </c>
      <c r="AV1427" s="148" t="s">
        <v>90</v>
      </c>
      <c r="AW1427" s="148" t="s">
        <v>33</v>
      </c>
      <c r="AX1427" s="148" t="s">
        <v>80</v>
      </c>
      <c r="AY1427" s="150" t="s">
        <v>337</v>
      </c>
    </row>
    <row r="1428" spans="2:51" s="148" customFormat="1" x14ac:dyDescent="0.2">
      <c r="B1428" s="149"/>
      <c r="D1428" s="143" t="s">
        <v>346</v>
      </c>
      <c r="E1428" s="150"/>
      <c r="F1428" s="151" t="s">
        <v>1396</v>
      </c>
      <c r="H1428" s="152">
        <v>28.975000000000001</v>
      </c>
      <c r="L1428" s="149"/>
      <c r="M1428" s="153"/>
      <c r="T1428" s="154"/>
      <c r="AT1428" s="150" t="s">
        <v>346</v>
      </c>
      <c r="AU1428" s="150" t="s">
        <v>90</v>
      </c>
      <c r="AV1428" s="148" t="s">
        <v>90</v>
      </c>
      <c r="AW1428" s="148" t="s">
        <v>33</v>
      </c>
      <c r="AX1428" s="148" t="s">
        <v>80</v>
      </c>
      <c r="AY1428" s="150" t="s">
        <v>337</v>
      </c>
    </row>
    <row r="1429" spans="2:51" s="148" customFormat="1" x14ac:dyDescent="0.2">
      <c r="B1429" s="149"/>
      <c r="D1429" s="143" t="s">
        <v>346</v>
      </c>
      <c r="E1429" s="150"/>
      <c r="F1429" s="151" t="s">
        <v>1395</v>
      </c>
      <c r="H1429" s="152">
        <v>5.1849999999999996</v>
      </c>
      <c r="L1429" s="149"/>
      <c r="M1429" s="153"/>
      <c r="T1429" s="154"/>
      <c r="AT1429" s="150" t="s">
        <v>346</v>
      </c>
      <c r="AU1429" s="150" t="s">
        <v>90</v>
      </c>
      <c r="AV1429" s="148" t="s">
        <v>90</v>
      </c>
      <c r="AW1429" s="148" t="s">
        <v>33</v>
      </c>
      <c r="AX1429" s="148" t="s">
        <v>80</v>
      </c>
      <c r="AY1429" s="150" t="s">
        <v>337</v>
      </c>
    </row>
    <row r="1430" spans="2:51" s="141" customFormat="1" x14ac:dyDescent="0.2">
      <c r="B1430" s="142"/>
      <c r="D1430" s="143" t="s">
        <v>346</v>
      </c>
      <c r="E1430" s="144"/>
      <c r="F1430" s="145" t="s">
        <v>367</v>
      </c>
      <c r="H1430" s="144"/>
      <c r="L1430" s="142"/>
      <c r="M1430" s="146"/>
      <c r="T1430" s="147"/>
      <c r="AT1430" s="144" t="s">
        <v>346</v>
      </c>
      <c r="AU1430" s="144" t="s">
        <v>90</v>
      </c>
      <c r="AV1430" s="141" t="s">
        <v>87</v>
      </c>
      <c r="AW1430" s="141" t="s">
        <v>33</v>
      </c>
      <c r="AX1430" s="141" t="s">
        <v>80</v>
      </c>
      <c r="AY1430" s="144" t="s">
        <v>337</v>
      </c>
    </row>
    <row r="1431" spans="2:51" s="148" customFormat="1" x14ac:dyDescent="0.2">
      <c r="B1431" s="149"/>
      <c r="D1431" s="143" t="s">
        <v>346</v>
      </c>
      <c r="E1431" s="150"/>
      <c r="F1431" s="151" t="s">
        <v>1393</v>
      </c>
      <c r="H1431" s="152">
        <v>29.89</v>
      </c>
      <c r="L1431" s="149"/>
      <c r="M1431" s="153"/>
      <c r="T1431" s="154"/>
      <c r="AT1431" s="150" t="s">
        <v>346</v>
      </c>
      <c r="AU1431" s="150" t="s">
        <v>90</v>
      </c>
      <c r="AV1431" s="148" t="s">
        <v>90</v>
      </c>
      <c r="AW1431" s="148" t="s">
        <v>33</v>
      </c>
      <c r="AX1431" s="148" t="s">
        <v>80</v>
      </c>
      <c r="AY1431" s="150" t="s">
        <v>337</v>
      </c>
    </row>
    <row r="1432" spans="2:51" s="148" customFormat="1" x14ac:dyDescent="0.2">
      <c r="B1432" s="149"/>
      <c r="D1432" s="143" t="s">
        <v>346</v>
      </c>
      <c r="E1432" s="150"/>
      <c r="F1432" s="151" t="s">
        <v>1394</v>
      </c>
      <c r="H1432" s="152">
        <v>7.4729999999999999</v>
      </c>
      <c r="L1432" s="149"/>
      <c r="M1432" s="153"/>
      <c r="T1432" s="154"/>
      <c r="AT1432" s="150" t="s">
        <v>346</v>
      </c>
      <c r="AU1432" s="150" t="s">
        <v>90</v>
      </c>
      <c r="AV1432" s="148" t="s">
        <v>90</v>
      </c>
      <c r="AW1432" s="148" t="s">
        <v>33</v>
      </c>
      <c r="AX1432" s="148" t="s">
        <v>80</v>
      </c>
      <c r="AY1432" s="150" t="s">
        <v>337</v>
      </c>
    </row>
    <row r="1433" spans="2:51" s="148" customFormat="1" x14ac:dyDescent="0.2">
      <c r="B1433" s="149"/>
      <c r="D1433" s="143" t="s">
        <v>346</v>
      </c>
      <c r="E1433" s="150"/>
      <c r="F1433" s="151" t="s">
        <v>1395</v>
      </c>
      <c r="H1433" s="152">
        <v>5.1849999999999996</v>
      </c>
      <c r="L1433" s="149"/>
      <c r="M1433" s="153"/>
      <c r="T1433" s="154"/>
      <c r="AT1433" s="150" t="s">
        <v>346</v>
      </c>
      <c r="AU1433" s="150" t="s">
        <v>90</v>
      </c>
      <c r="AV1433" s="148" t="s">
        <v>90</v>
      </c>
      <c r="AW1433" s="148" t="s">
        <v>33</v>
      </c>
      <c r="AX1433" s="148" t="s">
        <v>80</v>
      </c>
      <c r="AY1433" s="150" t="s">
        <v>337</v>
      </c>
    </row>
    <row r="1434" spans="2:51" s="148" customFormat="1" x14ac:dyDescent="0.2">
      <c r="B1434" s="149"/>
      <c r="D1434" s="143" t="s">
        <v>346</v>
      </c>
      <c r="E1434" s="150"/>
      <c r="F1434" s="151" t="s">
        <v>1397</v>
      </c>
      <c r="H1434" s="152">
        <v>38.887999999999998</v>
      </c>
      <c r="L1434" s="149"/>
      <c r="M1434" s="153"/>
      <c r="T1434" s="154"/>
      <c r="AT1434" s="150" t="s">
        <v>346</v>
      </c>
      <c r="AU1434" s="150" t="s">
        <v>90</v>
      </c>
      <c r="AV1434" s="148" t="s">
        <v>90</v>
      </c>
      <c r="AW1434" s="148" t="s">
        <v>33</v>
      </c>
      <c r="AX1434" s="148" t="s">
        <v>80</v>
      </c>
      <c r="AY1434" s="150" t="s">
        <v>337</v>
      </c>
    </row>
    <row r="1435" spans="2:51" s="148" customFormat="1" x14ac:dyDescent="0.2">
      <c r="B1435" s="149"/>
      <c r="D1435" s="143" t="s">
        <v>346</v>
      </c>
      <c r="E1435" s="150"/>
      <c r="F1435" s="151" t="s">
        <v>1395</v>
      </c>
      <c r="H1435" s="152">
        <v>5.1849999999999996</v>
      </c>
      <c r="L1435" s="149"/>
      <c r="M1435" s="153"/>
      <c r="T1435" s="154"/>
      <c r="AT1435" s="150" t="s">
        <v>346</v>
      </c>
      <c r="AU1435" s="150" t="s">
        <v>90</v>
      </c>
      <c r="AV1435" s="148" t="s">
        <v>90</v>
      </c>
      <c r="AW1435" s="148" t="s">
        <v>33</v>
      </c>
      <c r="AX1435" s="148" t="s">
        <v>80</v>
      </c>
      <c r="AY1435" s="150" t="s">
        <v>337</v>
      </c>
    </row>
    <row r="1436" spans="2:51" s="141" customFormat="1" x14ac:dyDescent="0.2">
      <c r="B1436" s="142"/>
      <c r="D1436" s="143" t="s">
        <v>346</v>
      </c>
      <c r="E1436" s="144"/>
      <c r="F1436" s="145" t="s">
        <v>368</v>
      </c>
      <c r="H1436" s="144"/>
      <c r="L1436" s="142"/>
      <c r="M1436" s="146"/>
      <c r="T1436" s="147"/>
      <c r="AT1436" s="144" t="s">
        <v>346</v>
      </c>
      <c r="AU1436" s="144" t="s">
        <v>90</v>
      </c>
      <c r="AV1436" s="141" t="s">
        <v>87</v>
      </c>
      <c r="AW1436" s="141" t="s">
        <v>33</v>
      </c>
      <c r="AX1436" s="141" t="s">
        <v>80</v>
      </c>
      <c r="AY1436" s="144" t="s">
        <v>337</v>
      </c>
    </row>
    <row r="1437" spans="2:51" s="148" customFormat="1" x14ac:dyDescent="0.2">
      <c r="B1437" s="149"/>
      <c r="D1437" s="143" t="s">
        <v>346</v>
      </c>
      <c r="E1437" s="150"/>
      <c r="F1437" s="151" t="s">
        <v>1393</v>
      </c>
      <c r="H1437" s="152">
        <v>29.89</v>
      </c>
      <c r="L1437" s="149"/>
      <c r="M1437" s="153"/>
      <c r="T1437" s="154"/>
      <c r="AT1437" s="150" t="s">
        <v>346</v>
      </c>
      <c r="AU1437" s="150" t="s">
        <v>90</v>
      </c>
      <c r="AV1437" s="148" t="s">
        <v>90</v>
      </c>
      <c r="AW1437" s="148" t="s">
        <v>33</v>
      </c>
      <c r="AX1437" s="148" t="s">
        <v>80</v>
      </c>
      <c r="AY1437" s="150" t="s">
        <v>337</v>
      </c>
    </row>
    <row r="1438" spans="2:51" s="148" customFormat="1" x14ac:dyDescent="0.2">
      <c r="B1438" s="149"/>
      <c r="D1438" s="143" t="s">
        <v>346</v>
      </c>
      <c r="E1438" s="150"/>
      <c r="F1438" s="151" t="s">
        <v>1394</v>
      </c>
      <c r="H1438" s="152">
        <v>7.4729999999999999</v>
      </c>
      <c r="L1438" s="149"/>
      <c r="M1438" s="153"/>
      <c r="T1438" s="154"/>
      <c r="AT1438" s="150" t="s">
        <v>346</v>
      </c>
      <c r="AU1438" s="150" t="s">
        <v>90</v>
      </c>
      <c r="AV1438" s="148" t="s">
        <v>90</v>
      </c>
      <c r="AW1438" s="148" t="s">
        <v>33</v>
      </c>
      <c r="AX1438" s="148" t="s">
        <v>80</v>
      </c>
      <c r="AY1438" s="150" t="s">
        <v>337</v>
      </c>
    </row>
    <row r="1439" spans="2:51" s="148" customFormat="1" x14ac:dyDescent="0.2">
      <c r="B1439" s="149"/>
      <c r="D1439" s="143" t="s">
        <v>346</v>
      </c>
      <c r="E1439" s="150"/>
      <c r="F1439" s="151" t="s">
        <v>1395</v>
      </c>
      <c r="H1439" s="152">
        <v>5.1849999999999996</v>
      </c>
      <c r="L1439" s="149"/>
      <c r="M1439" s="153"/>
      <c r="T1439" s="154"/>
      <c r="AT1439" s="150" t="s">
        <v>346</v>
      </c>
      <c r="AU1439" s="150" t="s">
        <v>90</v>
      </c>
      <c r="AV1439" s="148" t="s">
        <v>90</v>
      </c>
      <c r="AW1439" s="148" t="s">
        <v>33</v>
      </c>
      <c r="AX1439" s="148" t="s">
        <v>80</v>
      </c>
      <c r="AY1439" s="150" t="s">
        <v>337</v>
      </c>
    </row>
    <row r="1440" spans="2:51" s="148" customFormat="1" x14ac:dyDescent="0.2">
      <c r="B1440" s="149"/>
      <c r="D1440" s="143" t="s">
        <v>346</v>
      </c>
      <c r="E1440" s="150"/>
      <c r="F1440" s="151" t="s">
        <v>1397</v>
      </c>
      <c r="H1440" s="152">
        <v>38.887999999999998</v>
      </c>
      <c r="L1440" s="149"/>
      <c r="M1440" s="153"/>
      <c r="T1440" s="154"/>
      <c r="AT1440" s="150" t="s">
        <v>346</v>
      </c>
      <c r="AU1440" s="150" t="s">
        <v>90</v>
      </c>
      <c r="AV1440" s="148" t="s">
        <v>90</v>
      </c>
      <c r="AW1440" s="148" t="s">
        <v>33</v>
      </c>
      <c r="AX1440" s="148" t="s">
        <v>80</v>
      </c>
      <c r="AY1440" s="150" t="s">
        <v>337</v>
      </c>
    </row>
    <row r="1441" spans="2:51" s="148" customFormat="1" x14ac:dyDescent="0.2">
      <c r="B1441" s="149"/>
      <c r="D1441" s="143" t="s">
        <v>346</v>
      </c>
      <c r="E1441" s="150"/>
      <c r="F1441" s="151" t="s">
        <v>1395</v>
      </c>
      <c r="H1441" s="152">
        <v>5.1849999999999996</v>
      </c>
      <c r="L1441" s="149"/>
      <c r="M1441" s="153"/>
      <c r="T1441" s="154"/>
      <c r="AT1441" s="150" t="s">
        <v>346</v>
      </c>
      <c r="AU1441" s="150" t="s">
        <v>90</v>
      </c>
      <c r="AV1441" s="148" t="s">
        <v>90</v>
      </c>
      <c r="AW1441" s="148" t="s">
        <v>33</v>
      </c>
      <c r="AX1441" s="148" t="s">
        <v>80</v>
      </c>
      <c r="AY1441" s="150" t="s">
        <v>337</v>
      </c>
    </row>
    <row r="1442" spans="2:51" s="141" customFormat="1" x14ac:dyDescent="0.2">
      <c r="B1442" s="142"/>
      <c r="D1442" s="143" t="s">
        <v>346</v>
      </c>
      <c r="E1442" s="144"/>
      <c r="F1442" s="145" t="s">
        <v>1233</v>
      </c>
      <c r="H1442" s="144"/>
      <c r="L1442" s="142"/>
      <c r="M1442" s="146"/>
      <c r="T1442" s="147"/>
      <c r="AT1442" s="144" t="s">
        <v>346</v>
      </c>
      <c r="AU1442" s="144" t="s">
        <v>90</v>
      </c>
      <c r="AV1442" s="141" t="s">
        <v>87</v>
      </c>
      <c r="AW1442" s="141" t="s">
        <v>33</v>
      </c>
      <c r="AX1442" s="141" t="s">
        <v>80</v>
      </c>
      <c r="AY1442" s="144" t="s">
        <v>337</v>
      </c>
    </row>
    <row r="1443" spans="2:51" s="148" customFormat="1" x14ac:dyDescent="0.2">
      <c r="B1443" s="149"/>
      <c r="D1443" s="143" t="s">
        <v>346</v>
      </c>
      <c r="E1443" s="150"/>
      <c r="F1443" s="151" t="s">
        <v>1398</v>
      </c>
      <c r="H1443" s="152">
        <v>6.4050000000000002</v>
      </c>
      <c r="L1443" s="149"/>
      <c r="M1443" s="153"/>
      <c r="T1443" s="154"/>
      <c r="AT1443" s="150" t="s">
        <v>346</v>
      </c>
      <c r="AU1443" s="150" t="s">
        <v>90</v>
      </c>
      <c r="AV1443" s="148" t="s">
        <v>90</v>
      </c>
      <c r="AW1443" s="148" t="s">
        <v>33</v>
      </c>
      <c r="AX1443" s="148" t="s">
        <v>80</v>
      </c>
      <c r="AY1443" s="150" t="s">
        <v>337</v>
      </c>
    </row>
    <row r="1444" spans="2:51" s="141" customFormat="1" x14ac:dyDescent="0.2">
      <c r="B1444" s="142"/>
      <c r="D1444" s="143" t="s">
        <v>346</v>
      </c>
      <c r="E1444" s="144"/>
      <c r="F1444" s="145" t="s">
        <v>370</v>
      </c>
      <c r="H1444" s="144"/>
      <c r="L1444" s="142"/>
      <c r="M1444" s="146"/>
      <c r="T1444" s="147"/>
      <c r="AT1444" s="144" t="s">
        <v>346</v>
      </c>
      <c r="AU1444" s="144" t="s">
        <v>90</v>
      </c>
      <c r="AV1444" s="141" t="s">
        <v>87</v>
      </c>
      <c r="AW1444" s="141" t="s">
        <v>33</v>
      </c>
      <c r="AX1444" s="141" t="s">
        <v>80</v>
      </c>
      <c r="AY1444" s="144" t="s">
        <v>337</v>
      </c>
    </row>
    <row r="1445" spans="2:51" s="148" customFormat="1" x14ac:dyDescent="0.2">
      <c r="B1445" s="149"/>
      <c r="D1445" s="143" t="s">
        <v>346</v>
      </c>
      <c r="E1445" s="150"/>
      <c r="F1445" s="151" t="s">
        <v>1393</v>
      </c>
      <c r="H1445" s="152">
        <v>29.89</v>
      </c>
      <c r="L1445" s="149"/>
      <c r="M1445" s="153"/>
      <c r="T1445" s="154"/>
      <c r="AT1445" s="150" t="s">
        <v>346</v>
      </c>
      <c r="AU1445" s="150" t="s">
        <v>90</v>
      </c>
      <c r="AV1445" s="148" t="s">
        <v>90</v>
      </c>
      <c r="AW1445" s="148" t="s">
        <v>33</v>
      </c>
      <c r="AX1445" s="148" t="s">
        <v>80</v>
      </c>
      <c r="AY1445" s="150" t="s">
        <v>337</v>
      </c>
    </row>
    <row r="1446" spans="2:51" s="148" customFormat="1" x14ac:dyDescent="0.2">
      <c r="B1446" s="149"/>
      <c r="D1446" s="143" t="s">
        <v>346</v>
      </c>
      <c r="E1446" s="150"/>
      <c r="F1446" s="151" t="s">
        <v>1394</v>
      </c>
      <c r="H1446" s="152">
        <v>7.4729999999999999</v>
      </c>
      <c r="L1446" s="149"/>
      <c r="M1446" s="153"/>
      <c r="T1446" s="154"/>
      <c r="AT1446" s="150" t="s">
        <v>346</v>
      </c>
      <c r="AU1446" s="150" t="s">
        <v>90</v>
      </c>
      <c r="AV1446" s="148" t="s">
        <v>90</v>
      </c>
      <c r="AW1446" s="148" t="s">
        <v>33</v>
      </c>
      <c r="AX1446" s="148" t="s">
        <v>80</v>
      </c>
      <c r="AY1446" s="150" t="s">
        <v>337</v>
      </c>
    </row>
    <row r="1447" spans="2:51" s="148" customFormat="1" x14ac:dyDescent="0.2">
      <c r="B1447" s="149"/>
      <c r="D1447" s="143" t="s">
        <v>346</v>
      </c>
      <c r="E1447" s="150"/>
      <c r="F1447" s="151" t="s">
        <v>1395</v>
      </c>
      <c r="H1447" s="152">
        <v>5.1849999999999996</v>
      </c>
      <c r="L1447" s="149"/>
      <c r="M1447" s="153"/>
      <c r="T1447" s="154"/>
      <c r="AT1447" s="150" t="s">
        <v>346</v>
      </c>
      <c r="AU1447" s="150" t="s">
        <v>90</v>
      </c>
      <c r="AV1447" s="148" t="s">
        <v>90</v>
      </c>
      <c r="AW1447" s="148" t="s">
        <v>33</v>
      </c>
      <c r="AX1447" s="148" t="s">
        <v>80</v>
      </c>
      <c r="AY1447" s="150" t="s">
        <v>337</v>
      </c>
    </row>
    <row r="1448" spans="2:51" s="148" customFormat="1" x14ac:dyDescent="0.2">
      <c r="B1448" s="149"/>
      <c r="D1448" s="143" t="s">
        <v>346</v>
      </c>
      <c r="E1448" s="150"/>
      <c r="F1448" s="151" t="s">
        <v>1397</v>
      </c>
      <c r="H1448" s="152">
        <v>38.887999999999998</v>
      </c>
      <c r="L1448" s="149"/>
      <c r="M1448" s="153"/>
      <c r="T1448" s="154"/>
      <c r="AT1448" s="150" t="s">
        <v>346</v>
      </c>
      <c r="AU1448" s="150" t="s">
        <v>90</v>
      </c>
      <c r="AV1448" s="148" t="s">
        <v>90</v>
      </c>
      <c r="AW1448" s="148" t="s">
        <v>33</v>
      </c>
      <c r="AX1448" s="148" t="s">
        <v>80</v>
      </c>
      <c r="AY1448" s="150" t="s">
        <v>337</v>
      </c>
    </row>
    <row r="1449" spans="2:51" s="148" customFormat="1" x14ac:dyDescent="0.2">
      <c r="B1449" s="149"/>
      <c r="D1449" s="143" t="s">
        <v>346</v>
      </c>
      <c r="E1449" s="150"/>
      <c r="F1449" s="151" t="s">
        <v>1395</v>
      </c>
      <c r="H1449" s="152">
        <v>5.1849999999999996</v>
      </c>
      <c r="L1449" s="149"/>
      <c r="M1449" s="153"/>
      <c r="T1449" s="154"/>
      <c r="AT1449" s="150" t="s">
        <v>346</v>
      </c>
      <c r="AU1449" s="150" t="s">
        <v>90</v>
      </c>
      <c r="AV1449" s="148" t="s">
        <v>90</v>
      </c>
      <c r="AW1449" s="148" t="s">
        <v>33</v>
      </c>
      <c r="AX1449" s="148" t="s">
        <v>80</v>
      </c>
      <c r="AY1449" s="150" t="s">
        <v>337</v>
      </c>
    </row>
    <row r="1450" spans="2:51" s="141" customFormat="1" x14ac:dyDescent="0.2">
      <c r="B1450" s="142"/>
      <c r="D1450" s="143" t="s">
        <v>346</v>
      </c>
      <c r="E1450" s="144"/>
      <c r="F1450" s="145" t="s">
        <v>1233</v>
      </c>
      <c r="H1450" s="144"/>
      <c r="L1450" s="142"/>
      <c r="M1450" s="146"/>
      <c r="T1450" s="147"/>
      <c r="AT1450" s="144" t="s">
        <v>346</v>
      </c>
      <c r="AU1450" s="144" t="s">
        <v>90</v>
      </c>
      <c r="AV1450" s="141" t="s">
        <v>87</v>
      </c>
      <c r="AW1450" s="141" t="s">
        <v>33</v>
      </c>
      <c r="AX1450" s="141" t="s">
        <v>80</v>
      </c>
      <c r="AY1450" s="144" t="s">
        <v>337</v>
      </c>
    </row>
    <row r="1451" spans="2:51" s="148" customFormat="1" x14ac:dyDescent="0.2">
      <c r="B1451" s="149"/>
      <c r="D1451" s="143" t="s">
        <v>346</v>
      </c>
      <c r="E1451" s="150"/>
      <c r="F1451" s="151" t="s">
        <v>1399</v>
      </c>
      <c r="H1451" s="152">
        <v>8.8450000000000006</v>
      </c>
      <c r="L1451" s="149"/>
      <c r="M1451" s="153"/>
      <c r="T1451" s="154"/>
      <c r="AT1451" s="150" t="s">
        <v>346</v>
      </c>
      <c r="AU1451" s="150" t="s">
        <v>90</v>
      </c>
      <c r="AV1451" s="148" t="s">
        <v>90</v>
      </c>
      <c r="AW1451" s="148" t="s">
        <v>33</v>
      </c>
      <c r="AX1451" s="148" t="s">
        <v>80</v>
      </c>
      <c r="AY1451" s="150" t="s">
        <v>337</v>
      </c>
    </row>
    <row r="1452" spans="2:51" s="148" customFormat="1" x14ac:dyDescent="0.2">
      <c r="B1452" s="149"/>
      <c r="D1452" s="143" t="s">
        <v>346</v>
      </c>
      <c r="E1452" s="150"/>
      <c r="F1452" s="151" t="s">
        <v>1400</v>
      </c>
      <c r="H1452" s="152">
        <v>7.625</v>
      </c>
      <c r="L1452" s="149"/>
      <c r="M1452" s="153"/>
      <c r="T1452" s="154"/>
      <c r="AT1452" s="150" t="s">
        <v>346</v>
      </c>
      <c r="AU1452" s="150" t="s">
        <v>90</v>
      </c>
      <c r="AV1452" s="148" t="s">
        <v>90</v>
      </c>
      <c r="AW1452" s="148" t="s">
        <v>33</v>
      </c>
      <c r="AX1452" s="148" t="s">
        <v>80</v>
      </c>
      <c r="AY1452" s="150" t="s">
        <v>337</v>
      </c>
    </row>
    <row r="1453" spans="2:51" s="141" customFormat="1" x14ac:dyDescent="0.2">
      <c r="B1453" s="142"/>
      <c r="D1453" s="143" t="s">
        <v>346</v>
      </c>
      <c r="E1453" s="144"/>
      <c r="F1453" s="145" t="s">
        <v>434</v>
      </c>
      <c r="H1453" s="144"/>
      <c r="L1453" s="142"/>
      <c r="M1453" s="146"/>
      <c r="T1453" s="147"/>
      <c r="AT1453" s="144" t="s">
        <v>346</v>
      </c>
      <c r="AU1453" s="144" t="s">
        <v>90</v>
      </c>
      <c r="AV1453" s="141" t="s">
        <v>87</v>
      </c>
      <c r="AW1453" s="141" t="s">
        <v>33</v>
      </c>
      <c r="AX1453" s="141" t="s">
        <v>80</v>
      </c>
      <c r="AY1453" s="144" t="s">
        <v>337</v>
      </c>
    </row>
    <row r="1454" spans="2:51" s="141" customFormat="1" x14ac:dyDescent="0.2">
      <c r="B1454" s="142"/>
      <c r="D1454" s="143" t="s">
        <v>346</v>
      </c>
      <c r="E1454" s="144"/>
      <c r="F1454" s="145" t="s">
        <v>1316</v>
      </c>
      <c r="H1454" s="144"/>
      <c r="L1454" s="142"/>
      <c r="M1454" s="146"/>
      <c r="T1454" s="147"/>
      <c r="AT1454" s="144" t="s">
        <v>346</v>
      </c>
      <c r="AU1454" s="144" t="s">
        <v>90</v>
      </c>
      <c r="AV1454" s="141" t="s">
        <v>87</v>
      </c>
      <c r="AW1454" s="141" t="s">
        <v>33</v>
      </c>
      <c r="AX1454" s="141" t="s">
        <v>80</v>
      </c>
      <c r="AY1454" s="144" t="s">
        <v>337</v>
      </c>
    </row>
    <row r="1455" spans="2:51" s="148" customFormat="1" x14ac:dyDescent="0.2">
      <c r="B1455" s="149"/>
      <c r="D1455" s="143" t="s">
        <v>346</v>
      </c>
      <c r="E1455" s="150"/>
      <c r="F1455" s="151" t="s">
        <v>1401</v>
      </c>
      <c r="H1455" s="152">
        <v>70.125</v>
      </c>
      <c r="L1455" s="149"/>
      <c r="M1455" s="153"/>
      <c r="T1455" s="154"/>
      <c r="AT1455" s="150" t="s">
        <v>346</v>
      </c>
      <c r="AU1455" s="150" t="s">
        <v>90</v>
      </c>
      <c r="AV1455" s="148" t="s">
        <v>90</v>
      </c>
      <c r="AW1455" s="148" t="s">
        <v>33</v>
      </c>
      <c r="AX1455" s="148" t="s">
        <v>80</v>
      </c>
      <c r="AY1455" s="150" t="s">
        <v>337</v>
      </c>
    </row>
    <row r="1456" spans="2:51" s="155" customFormat="1" x14ac:dyDescent="0.2">
      <c r="B1456" s="156"/>
      <c r="D1456" s="143" t="s">
        <v>346</v>
      </c>
      <c r="E1456" s="157"/>
      <c r="F1456" s="158" t="s">
        <v>351</v>
      </c>
      <c r="H1456" s="159">
        <v>429.57100000000003</v>
      </c>
      <c r="L1456" s="156"/>
      <c r="M1456" s="160"/>
      <c r="T1456" s="161"/>
      <c r="AT1456" s="157" t="s">
        <v>346</v>
      </c>
      <c r="AU1456" s="157" t="s">
        <v>90</v>
      </c>
      <c r="AV1456" s="155" t="s">
        <v>344</v>
      </c>
      <c r="AW1456" s="155" t="s">
        <v>33</v>
      </c>
      <c r="AX1456" s="155" t="s">
        <v>87</v>
      </c>
      <c r="AY1456" s="157" t="s">
        <v>337</v>
      </c>
    </row>
    <row r="1457" spans="2:65" s="16" customFormat="1" ht="21.75" customHeight="1" x14ac:dyDescent="0.2">
      <c r="B1457" s="17"/>
      <c r="C1457" s="128">
        <v>126</v>
      </c>
      <c r="D1457" s="128" t="s">
        <v>339</v>
      </c>
      <c r="E1457" s="129" t="s">
        <v>1402</v>
      </c>
      <c r="F1457" s="130" t="s">
        <v>1403</v>
      </c>
      <c r="G1457" s="131" t="s">
        <v>425</v>
      </c>
      <c r="H1457" s="132">
        <v>51.241</v>
      </c>
      <c r="I1457" s="133"/>
      <c r="J1457" s="134">
        <f>ROUND(I1457*H1457,2)</f>
        <v>0</v>
      </c>
      <c r="K1457" s="130" t="s">
        <v>343</v>
      </c>
      <c r="L1457" s="17"/>
      <c r="M1457" s="135"/>
      <c r="N1457" s="136" t="s">
        <v>45</v>
      </c>
      <c r="P1457" s="137">
        <f>O1457*H1457</f>
        <v>0</v>
      </c>
      <c r="Q1457" s="137">
        <v>5.219E-2</v>
      </c>
      <c r="R1457" s="137">
        <f>Q1457*H1457</f>
        <v>2.67426779</v>
      </c>
      <c r="S1457" s="137">
        <v>0</v>
      </c>
      <c r="T1457" s="138">
        <f>S1457*H1457</f>
        <v>0</v>
      </c>
      <c r="AR1457" s="139" t="s">
        <v>496</v>
      </c>
      <c r="AT1457" s="139" t="s">
        <v>339</v>
      </c>
      <c r="AU1457" s="139" t="s">
        <v>90</v>
      </c>
      <c r="AY1457" s="2" t="s">
        <v>337</v>
      </c>
      <c r="BE1457" s="140">
        <f>IF(N1457="základní",J1457,0)</f>
        <v>0</v>
      </c>
      <c r="BF1457" s="140">
        <f>IF(N1457="snížená",J1457,0)</f>
        <v>0</v>
      </c>
      <c r="BG1457" s="140">
        <f>IF(N1457="zákl. přenesená",J1457,0)</f>
        <v>0</v>
      </c>
      <c r="BH1457" s="140">
        <f>IF(N1457="sníž. přenesená",J1457,0)</f>
        <v>0</v>
      </c>
      <c r="BI1457" s="140">
        <f>IF(N1457="nulová",J1457,0)</f>
        <v>0</v>
      </c>
      <c r="BJ1457" s="2" t="s">
        <v>87</v>
      </c>
      <c r="BK1457" s="140">
        <f>ROUND(I1457*H1457,2)</f>
        <v>0</v>
      </c>
      <c r="BL1457" s="2" t="s">
        <v>496</v>
      </c>
      <c r="BM1457" s="139" t="s">
        <v>1404</v>
      </c>
    </row>
    <row r="1458" spans="2:65" s="141" customFormat="1" x14ac:dyDescent="0.2">
      <c r="B1458" s="142"/>
      <c r="D1458" s="143" t="s">
        <v>346</v>
      </c>
      <c r="E1458" s="144"/>
      <c r="F1458" s="145" t="s">
        <v>1381</v>
      </c>
      <c r="H1458" s="144"/>
      <c r="L1458" s="142"/>
      <c r="M1458" s="146"/>
      <c r="T1458" s="147"/>
      <c r="AT1458" s="144" t="s">
        <v>346</v>
      </c>
      <c r="AU1458" s="144" t="s">
        <v>90</v>
      </c>
      <c r="AV1458" s="141" t="s">
        <v>87</v>
      </c>
      <c r="AW1458" s="141" t="s">
        <v>33</v>
      </c>
      <c r="AX1458" s="141" t="s">
        <v>80</v>
      </c>
      <c r="AY1458" s="144" t="s">
        <v>337</v>
      </c>
    </row>
    <row r="1459" spans="2:65" s="141" customFormat="1" x14ac:dyDescent="0.2">
      <c r="B1459" s="142"/>
      <c r="D1459" s="143" t="s">
        <v>346</v>
      </c>
      <c r="E1459" s="144"/>
      <c r="F1459" s="145" t="s">
        <v>1283</v>
      </c>
      <c r="H1459" s="144"/>
      <c r="L1459" s="142"/>
      <c r="M1459" s="146"/>
      <c r="T1459" s="147"/>
      <c r="AT1459" s="144" t="s">
        <v>346</v>
      </c>
      <c r="AU1459" s="144" t="s">
        <v>90</v>
      </c>
      <c r="AV1459" s="141" t="s">
        <v>87</v>
      </c>
      <c r="AW1459" s="141" t="s">
        <v>33</v>
      </c>
      <c r="AX1459" s="141" t="s">
        <v>80</v>
      </c>
      <c r="AY1459" s="144" t="s">
        <v>337</v>
      </c>
    </row>
    <row r="1460" spans="2:65" s="141" customFormat="1" x14ac:dyDescent="0.2">
      <c r="B1460" s="142"/>
      <c r="D1460" s="143" t="s">
        <v>346</v>
      </c>
      <c r="E1460" s="144"/>
      <c r="F1460" s="145" t="s">
        <v>362</v>
      </c>
      <c r="H1460" s="144"/>
      <c r="L1460" s="142"/>
      <c r="M1460" s="146"/>
      <c r="T1460" s="147"/>
      <c r="AT1460" s="144" t="s">
        <v>346</v>
      </c>
      <c r="AU1460" s="144" t="s">
        <v>90</v>
      </c>
      <c r="AV1460" s="141" t="s">
        <v>87</v>
      </c>
      <c r="AW1460" s="141" t="s">
        <v>33</v>
      </c>
      <c r="AX1460" s="141" t="s">
        <v>80</v>
      </c>
      <c r="AY1460" s="144" t="s">
        <v>337</v>
      </c>
    </row>
    <row r="1461" spans="2:65" s="148" customFormat="1" x14ac:dyDescent="0.2">
      <c r="B1461" s="149"/>
      <c r="D1461" s="143" t="s">
        <v>346</v>
      </c>
      <c r="E1461" s="150"/>
      <c r="F1461" s="151" t="s">
        <v>1405</v>
      </c>
      <c r="H1461" s="152">
        <v>5.109</v>
      </c>
      <c r="L1461" s="149"/>
      <c r="M1461" s="153"/>
      <c r="T1461" s="154"/>
      <c r="AT1461" s="150" t="s">
        <v>346</v>
      </c>
      <c r="AU1461" s="150" t="s">
        <v>90</v>
      </c>
      <c r="AV1461" s="148" t="s">
        <v>90</v>
      </c>
      <c r="AW1461" s="148" t="s">
        <v>33</v>
      </c>
      <c r="AX1461" s="148" t="s">
        <v>80</v>
      </c>
      <c r="AY1461" s="150" t="s">
        <v>337</v>
      </c>
    </row>
    <row r="1462" spans="2:65" s="141" customFormat="1" x14ac:dyDescent="0.2">
      <c r="B1462" s="142"/>
      <c r="D1462" s="143" t="s">
        <v>346</v>
      </c>
      <c r="E1462" s="144"/>
      <c r="F1462" s="145" t="s">
        <v>1233</v>
      </c>
      <c r="H1462" s="144"/>
      <c r="L1462" s="142"/>
      <c r="M1462" s="146"/>
      <c r="T1462" s="147"/>
      <c r="AT1462" s="144" t="s">
        <v>346</v>
      </c>
      <c r="AU1462" s="144" t="s">
        <v>90</v>
      </c>
      <c r="AV1462" s="141" t="s">
        <v>87</v>
      </c>
      <c r="AW1462" s="141" t="s">
        <v>33</v>
      </c>
      <c r="AX1462" s="141" t="s">
        <v>80</v>
      </c>
      <c r="AY1462" s="144" t="s">
        <v>337</v>
      </c>
    </row>
    <row r="1463" spans="2:65" s="148" customFormat="1" x14ac:dyDescent="0.2">
      <c r="B1463" s="149"/>
      <c r="D1463" s="143" t="s">
        <v>346</v>
      </c>
      <c r="E1463" s="150"/>
      <c r="F1463" s="151" t="s">
        <v>1304</v>
      </c>
      <c r="H1463" s="152">
        <v>3.355</v>
      </c>
      <c r="L1463" s="149"/>
      <c r="M1463" s="153"/>
      <c r="T1463" s="154"/>
      <c r="AT1463" s="150" t="s">
        <v>346</v>
      </c>
      <c r="AU1463" s="150" t="s">
        <v>90</v>
      </c>
      <c r="AV1463" s="148" t="s">
        <v>90</v>
      </c>
      <c r="AW1463" s="148" t="s">
        <v>33</v>
      </c>
      <c r="AX1463" s="148" t="s">
        <v>80</v>
      </c>
      <c r="AY1463" s="150" t="s">
        <v>337</v>
      </c>
    </row>
    <row r="1464" spans="2:65" s="141" customFormat="1" x14ac:dyDescent="0.2">
      <c r="B1464" s="142"/>
      <c r="D1464" s="143" t="s">
        <v>346</v>
      </c>
      <c r="E1464" s="144"/>
      <c r="F1464" s="145" t="s">
        <v>367</v>
      </c>
      <c r="H1464" s="144"/>
      <c r="L1464" s="142"/>
      <c r="M1464" s="146"/>
      <c r="T1464" s="147"/>
      <c r="AT1464" s="144" t="s">
        <v>346</v>
      </c>
      <c r="AU1464" s="144" t="s">
        <v>90</v>
      </c>
      <c r="AV1464" s="141" t="s">
        <v>87</v>
      </c>
      <c r="AW1464" s="141" t="s">
        <v>33</v>
      </c>
      <c r="AX1464" s="141" t="s">
        <v>80</v>
      </c>
      <c r="AY1464" s="144" t="s">
        <v>337</v>
      </c>
    </row>
    <row r="1465" spans="2:65" s="148" customFormat="1" x14ac:dyDescent="0.2">
      <c r="B1465" s="149"/>
      <c r="D1465" s="143" t="s">
        <v>346</v>
      </c>
      <c r="E1465" s="150"/>
      <c r="F1465" s="151" t="s">
        <v>1405</v>
      </c>
      <c r="H1465" s="152">
        <v>5.109</v>
      </c>
      <c r="L1465" s="149"/>
      <c r="M1465" s="153"/>
      <c r="T1465" s="154"/>
      <c r="AT1465" s="150" t="s">
        <v>346</v>
      </c>
      <c r="AU1465" s="150" t="s">
        <v>90</v>
      </c>
      <c r="AV1465" s="148" t="s">
        <v>90</v>
      </c>
      <c r="AW1465" s="148" t="s">
        <v>33</v>
      </c>
      <c r="AX1465" s="148" t="s">
        <v>80</v>
      </c>
      <c r="AY1465" s="150" t="s">
        <v>337</v>
      </c>
    </row>
    <row r="1466" spans="2:65" s="148" customFormat="1" x14ac:dyDescent="0.2">
      <c r="B1466" s="149"/>
      <c r="D1466" s="143" t="s">
        <v>346</v>
      </c>
      <c r="E1466" s="150"/>
      <c r="F1466" s="151" t="s">
        <v>1406</v>
      </c>
      <c r="H1466" s="152">
        <v>4.5750000000000002</v>
      </c>
      <c r="L1466" s="149"/>
      <c r="M1466" s="153"/>
      <c r="T1466" s="154"/>
      <c r="AT1466" s="150" t="s">
        <v>346</v>
      </c>
      <c r="AU1466" s="150" t="s">
        <v>90</v>
      </c>
      <c r="AV1466" s="148" t="s">
        <v>90</v>
      </c>
      <c r="AW1466" s="148" t="s">
        <v>33</v>
      </c>
      <c r="AX1466" s="148" t="s">
        <v>80</v>
      </c>
      <c r="AY1466" s="150" t="s">
        <v>337</v>
      </c>
    </row>
    <row r="1467" spans="2:65" s="148" customFormat="1" x14ac:dyDescent="0.2">
      <c r="B1467" s="149"/>
      <c r="D1467" s="143" t="s">
        <v>346</v>
      </c>
      <c r="E1467" s="150"/>
      <c r="F1467" s="151" t="s">
        <v>1407</v>
      </c>
      <c r="H1467" s="152">
        <v>2.1349999999999998</v>
      </c>
      <c r="L1467" s="149"/>
      <c r="M1467" s="153"/>
      <c r="T1467" s="154"/>
      <c r="AT1467" s="150" t="s">
        <v>346</v>
      </c>
      <c r="AU1467" s="150" t="s">
        <v>90</v>
      </c>
      <c r="AV1467" s="148" t="s">
        <v>90</v>
      </c>
      <c r="AW1467" s="148" t="s">
        <v>33</v>
      </c>
      <c r="AX1467" s="148" t="s">
        <v>80</v>
      </c>
      <c r="AY1467" s="150" t="s">
        <v>337</v>
      </c>
    </row>
    <row r="1468" spans="2:65" s="141" customFormat="1" x14ac:dyDescent="0.2">
      <c r="B1468" s="142"/>
      <c r="D1468" s="143" t="s">
        <v>346</v>
      </c>
      <c r="E1468" s="144"/>
      <c r="F1468" s="145" t="s">
        <v>368</v>
      </c>
      <c r="H1468" s="144"/>
      <c r="L1468" s="142"/>
      <c r="M1468" s="146"/>
      <c r="T1468" s="147"/>
      <c r="AT1468" s="144" t="s">
        <v>346</v>
      </c>
      <c r="AU1468" s="144" t="s">
        <v>90</v>
      </c>
      <c r="AV1468" s="141" t="s">
        <v>87</v>
      </c>
      <c r="AW1468" s="141" t="s">
        <v>33</v>
      </c>
      <c r="AX1468" s="141" t="s">
        <v>80</v>
      </c>
      <c r="AY1468" s="144" t="s">
        <v>337</v>
      </c>
    </row>
    <row r="1469" spans="2:65" s="148" customFormat="1" x14ac:dyDescent="0.2">
      <c r="B1469" s="149"/>
      <c r="D1469" s="143" t="s">
        <v>346</v>
      </c>
      <c r="E1469" s="150"/>
      <c r="F1469" s="151" t="s">
        <v>1405</v>
      </c>
      <c r="H1469" s="152">
        <v>5.109</v>
      </c>
      <c r="L1469" s="149"/>
      <c r="M1469" s="153"/>
      <c r="T1469" s="154"/>
      <c r="AT1469" s="150" t="s">
        <v>346</v>
      </c>
      <c r="AU1469" s="150" t="s">
        <v>90</v>
      </c>
      <c r="AV1469" s="148" t="s">
        <v>90</v>
      </c>
      <c r="AW1469" s="148" t="s">
        <v>33</v>
      </c>
      <c r="AX1469" s="148" t="s">
        <v>80</v>
      </c>
      <c r="AY1469" s="150" t="s">
        <v>337</v>
      </c>
    </row>
    <row r="1470" spans="2:65" s="148" customFormat="1" x14ac:dyDescent="0.2">
      <c r="B1470" s="149"/>
      <c r="D1470" s="143" t="s">
        <v>346</v>
      </c>
      <c r="E1470" s="150"/>
      <c r="F1470" s="151" t="s">
        <v>1406</v>
      </c>
      <c r="H1470" s="152">
        <v>4.5750000000000002</v>
      </c>
      <c r="L1470" s="149"/>
      <c r="M1470" s="153"/>
      <c r="T1470" s="154"/>
      <c r="AT1470" s="150" t="s">
        <v>346</v>
      </c>
      <c r="AU1470" s="150" t="s">
        <v>90</v>
      </c>
      <c r="AV1470" s="148" t="s">
        <v>90</v>
      </c>
      <c r="AW1470" s="148" t="s">
        <v>33</v>
      </c>
      <c r="AX1470" s="148" t="s">
        <v>80</v>
      </c>
      <c r="AY1470" s="150" t="s">
        <v>337</v>
      </c>
    </row>
    <row r="1471" spans="2:65" s="148" customFormat="1" x14ac:dyDescent="0.2">
      <c r="B1471" s="149"/>
      <c r="D1471" s="143" t="s">
        <v>346</v>
      </c>
      <c r="E1471" s="150"/>
      <c r="F1471" s="151" t="s">
        <v>1407</v>
      </c>
      <c r="H1471" s="152">
        <v>2.1349999999999998</v>
      </c>
      <c r="L1471" s="149"/>
      <c r="M1471" s="153"/>
      <c r="T1471" s="154"/>
      <c r="AT1471" s="150" t="s">
        <v>346</v>
      </c>
      <c r="AU1471" s="150" t="s">
        <v>90</v>
      </c>
      <c r="AV1471" s="148" t="s">
        <v>90</v>
      </c>
      <c r="AW1471" s="148" t="s">
        <v>33</v>
      </c>
      <c r="AX1471" s="148" t="s">
        <v>80</v>
      </c>
      <c r="AY1471" s="150" t="s">
        <v>337</v>
      </c>
    </row>
    <row r="1472" spans="2:65" s="141" customFormat="1" x14ac:dyDescent="0.2">
      <c r="B1472" s="142"/>
      <c r="D1472" s="143" t="s">
        <v>346</v>
      </c>
      <c r="E1472" s="144"/>
      <c r="F1472" s="145" t="s">
        <v>370</v>
      </c>
      <c r="H1472" s="144"/>
      <c r="L1472" s="142"/>
      <c r="M1472" s="146"/>
      <c r="T1472" s="147"/>
      <c r="AT1472" s="144" t="s">
        <v>346</v>
      </c>
      <c r="AU1472" s="144" t="s">
        <v>90</v>
      </c>
      <c r="AV1472" s="141" t="s">
        <v>87</v>
      </c>
      <c r="AW1472" s="141" t="s">
        <v>33</v>
      </c>
      <c r="AX1472" s="141" t="s">
        <v>80</v>
      </c>
      <c r="AY1472" s="144" t="s">
        <v>337</v>
      </c>
    </row>
    <row r="1473" spans="2:65" s="148" customFormat="1" x14ac:dyDescent="0.2">
      <c r="B1473" s="149"/>
      <c r="D1473" s="143" t="s">
        <v>346</v>
      </c>
      <c r="E1473" s="150"/>
      <c r="F1473" s="151" t="s">
        <v>1405</v>
      </c>
      <c r="H1473" s="152">
        <v>5.109</v>
      </c>
      <c r="L1473" s="149"/>
      <c r="M1473" s="153"/>
      <c r="T1473" s="154"/>
      <c r="AT1473" s="150" t="s">
        <v>346</v>
      </c>
      <c r="AU1473" s="150" t="s">
        <v>90</v>
      </c>
      <c r="AV1473" s="148" t="s">
        <v>90</v>
      </c>
      <c r="AW1473" s="148" t="s">
        <v>33</v>
      </c>
      <c r="AX1473" s="148" t="s">
        <v>80</v>
      </c>
      <c r="AY1473" s="150" t="s">
        <v>337</v>
      </c>
    </row>
    <row r="1474" spans="2:65" s="148" customFormat="1" x14ac:dyDescent="0.2">
      <c r="B1474" s="149"/>
      <c r="D1474" s="143" t="s">
        <v>346</v>
      </c>
      <c r="E1474" s="150"/>
      <c r="F1474" s="151" t="s">
        <v>1406</v>
      </c>
      <c r="H1474" s="152">
        <v>4.5750000000000002</v>
      </c>
      <c r="L1474" s="149"/>
      <c r="M1474" s="153"/>
      <c r="T1474" s="154"/>
      <c r="AT1474" s="150" t="s">
        <v>346</v>
      </c>
      <c r="AU1474" s="150" t="s">
        <v>90</v>
      </c>
      <c r="AV1474" s="148" t="s">
        <v>90</v>
      </c>
      <c r="AW1474" s="148" t="s">
        <v>33</v>
      </c>
      <c r="AX1474" s="148" t="s">
        <v>80</v>
      </c>
      <c r="AY1474" s="150" t="s">
        <v>337</v>
      </c>
    </row>
    <row r="1475" spans="2:65" s="148" customFormat="1" x14ac:dyDescent="0.2">
      <c r="B1475" s="149"/>
      <c r="D1475" s="143" t="s">
        <v>346</v>
      </c>
      <c r="E1475" s="150"/>
      <c r="F1475" s="151" t="s">
        <v>1407</v>
      </c>
      <c r="H1475" s="152">
        <v>2.1349999999999998</v>
      </c>
      <c r="L1475" s="149"/>
      <c r="M1475" s="153"/>
      <c r="T1475" s="154"/>
      <c r="AT1475" s="150" t="s">
        <v>346</v>
      </c>
      <c r="AU1475" s="150" t="s">
        <v>90</v>
      </c>
      <c r="AV1475" s="148" t="s">
        <v>90</v>
      </c>
      <c r="AW1475" s="148" t="s">
        <v>33</v>
      </c>
      <c r="AX1475" s="148" t="s">
        <v>80</v>
      </c>
      <c r="AY1475" s="150" t="s">
        <v>337</v>
      </c>
    </row>
    <row r="1476" spans="2:65" s="141" customFormat="1" x14ac:dyDescent="0.2">
      <c r="B1476" s="142"/>
      <c r="D1476" s="143" t="s">
        <v>346</v>
      </c>
      <c r="E1476" s="144"/>
      <c r="F1476" s="145" t="s">
        <v>1233</v>
      </c>
      <c r="H1476" s="144"/>
      <c r="L1476" s="142"/>
      <c r="M1476" s="146"/>
      <c r="T1476" s="147"/>
      <c r="AT1476" s="144" t="s">
        <v>346</v>
      </c>
      <c r="AU1476" s="144" t="s">
        <v>90</v>
      </c>
      <c r="AV1476" s="141" t="s">
        <v>87</v>
      </c>
      <c r="AW1476" s="141" t="s">
        <v>33</v>
      </c>
      <c r="AX1476" s="141" t="s">
        <v>80</v>
      </c>
      <c r="AY1476" s="144" t="s">
        <v>337</v>
      </c>
    </row>
    <row r="1477" spans="2:65" s="148" customFormat="1" x14ac:dyDescent="0.2">
      <c r="B1477" s="149"/>
      <c r="D1477" s="143" t="s">
        <v>346</v>
      </c>
      <c r="E1477" s="150"/>
      <c r="F1477" s="151" t="s">
        <v>1408</v>
      </c>
      <c r="H1477" s="152">
        <v>7.32</v>
      </c>
      <c r="L1477" s="149"/>
      <c r="M1477" s="153"/>
      <c r="T1477" s="154"/>
      <c r="AT1477" s="150" t="s">
        <v>346</v>
      </c>
      <c r="AU1477" s="150" t="s">
        <v>90</v>
      </c>
      <c r="AV1477" s="148" t="s">
        <v>90</v>
      </c>
      <c r="AW1477" s="148" t="s">
        <v>33</v>
      </c>
      <c r="AX1477" s="148" t="s">
        <v>80</v>
      </c>
      <c r="AY1477" s="150" t="s">
        <v>337</v>
      </c>
    </row>
    <row r="1478" spans="2:65" s="155" customFormat="1" x14ac:dyDescent="0.2">
      <c r="B1478" s="156"/>
      <c r="D1478" s="143" t="s">
        <v>346</v>
      </c>
      <c r="E1478" s="157"/>
      <c r="F1478" s="158" t="s">
        <v>351</v>
      </c>
      <c r="H1478" s="159">
        <v>51.241</v>
      </c>
      <c r="L1478" s="156"/>
      <c r="M1478" s="160"/>
      <c r="T1478" s="161"/>
      <c r="AT1478" s="157" t="s">
        <v>346</v>
      </c>
      <c r="AU1478" s="157" t="s">
        <v>90</v>
      </c>
      <c r="AV1478" s="155" t="s">
        <v>344</v>
      </c>
      <c r="AW1478" s="155" t="s">
        <v>33</v>
      </c>
      <c r="AX1478" s="155" t="s">
        <v>87</v>
      </c>
      <c r="AY1478" s="157" t="s">
        <v>337</v>
      </c>
    </row>
    <row r="1479" spans="2:65" s="16" customFormat="1" ht="21.75" customHeight="1" x14ac:dyDescent="0.2">
      <c r="B1479" s="17"/>
      <c r="C1479" s="128">
        <v>127</v>
      </c>
      <c r="D1479" s="128" t="s">
        <v>339</v>
      </c>
      <c r="E1479" s="129" t="s">
        <v>1410</v>
      </c>
      <c r="F1479" s="130" t="s">
        <v>1411</v>
      </c>
      <c r="G1479" s="131" t="s">
        <v>425</v>
      </c>
      <c r="H1479" s="132">
        <v>407.30900000000003</v>
      </c>
      <c r="I1479" s="133"/>
      <c r="J1479" s="134">
        <f>ROUND(I1479*H1479,2)</f>
        <v>0</v>
      </c>
      <c r="K1479" s="130" t="s">
        <v>343</v>
      </c>
      <c r="L1479" s="17"/>
      <c r="M1479" s="135"/>
      <c r="N1479" s="136" t="s">
        <v>45</v>
      </c>
      <c r="P1479" s="137">
        <f>O1479*H1479</f>
        <v>0</v>
      </c>
      <c r="Q1479" s="137">
        <v>5.9069999999999998E-2</v>
      </c>
      <c r="R1479" s="137">
        <f>Q1479*H1479</f>
        <v>24.059742629999999</v>
      </c>
      <c r="S1479" s="137">
        <v>0</v>
      </c>
      <c r="T1479" s="138">
        <f>S1479*H1479</f>
        <v>0</v>
      </c>
      <c r="AR1479" s="139" t="s">
        <v>496</v>
      </c>
      <c r="AT1479" s="139" t="s">
        <v>339</v>
      </c>
      <c r="AU1479" s="139" t="s">
        <v>90</v>
      </c>
      <c r="AY1479" s="2" t="s">
        <v>337</v>
      </c>
      <c r="BE1479" s="140">
        <f>IF(N1479="základní",J1479,0)</f>
        <v>0</v>
      </c>
      <c r="BF1479" s="140">
        <f>IF(N1479="snížená",J1479,0)</f>
        <v>0</v>
      </c>
      <c r="BG1479" s="140">
        <f>IF(N1479="zákl. přenesená",J1479,0)</f>
        <v>0</v>
      </c>
      <c r="BH1479" s="140">
        <f>IF(N1479="sníž. přenesená",J1479,0)</f>
        <v>0</v>
      </c>
      <c r="BI1479" s="140">
        <f>IF(N1479="nulová",J1479,0)</f>
        <v>0</v>
      </c>
      <c r="BJ1479" s="2" t="s">
        <v>87</v>
      </c>
      <c r="BK1479" s="140">
        <f>ROUND(I1479*H1479,2)</f>
        <v>0</v>
      </c>
      <c r="BL1479" s="2" t="s">
        <v>496</v>
      </c>
      <c r="BM1479" s="139" t="s">
        <v>1412</v>
      </c>
    </row>
    <row r="1480" spans="2:65" s="141" customFormat="1" x14ac:dyDescent="0.2">
      <c r="B1480" s="142"/>
      <c r="D1480" s="143" t="s">
        <v>346</v>
      </c>
      <c r="E1480" s="144"/>
      <c r="F1480" s="145" t="s">
        <v>1353</v>
      </c>
      <c r="H1480" s="144"/>
      <c r="L1480" s="142"/>
      <c r="M1480" s="146"/>
      <c r="T1480" s="147"/>
      <c r="AT1480" s="144" t="s">
        <v>346</v>
      </c>
      <c r="AU1480" s="144" t="s">
        <v>90</v>
      </c>
      <c r="AV1480" s="141" t="s">
        <v>87</v>
      </c>
      <c r="AW1480" s="141" t="s">
        <v>33</v>
      </c>
      <c r="AX1480" s="141" t="s">
        <v>80</v>
      </c>
      <c r="AY1480" s="144" t="s">
        <v>337</v>
      </c>
    </row>
    <row r="1481" spans="2:65" s="141" customFormat="1" x14ac:dyDescent="0.2">
      <c r="B1481" s="142"/>
      <c r="D1481" s="143" t="s">
        <v>346</v>
      </c>
      <c r="E1481" s="144"/>
      <c r="F1481" s="145" t="s">
        <v>1283</v>
      </c>
      <c r="H1481" s="144"/>
      <c r="L1481" s="142"/>
      <c r="M1481" s="146"/>
      <c r="T1481" s="147"/>
      <c r="AT1481" s="144" t="s">
        <v>346</v>
      </c>
      <c r="AU1481" s="144" t="s">
        <v>90</v>
      </c>
      <c r="AV1481" s="141" t="s">
        <v>87</v>
      </c>
      <c r="AW1481" s="141" t="s">
        <v>33</v>
      </c>
      <c r="AX1481" s="141" t="s">
        <v>80</v>
      </c>
      <c r="AY1481" s="144" t="s">
        <v>337</v>
      </c>
    </row>
    <row r="1482" spans="2:65" s="141" customFormat="1" x14ac:dyDescent="0.2">
      <c r="B1482" s="142"/>
      <c r="D1482" s="143" t="s">
        <v>346</v>
      </c>
      <c r="E1482" s="144"/>
      <c r="F1482" s="145" t="s">
        <v>362</v>
      </c>
      <c r="H1482" s="144"/>
      <c r="L1482" s="142"/>
      <c r="M1482" s="146"/>
      <c r="T1482" s="147"/>
      <c r="AT1482" s="144" t="s">
        <v>346</v>
      </c>
      <c r="AU1482" s="144" t="s">
        <v>90</v>
      </c>
      <c r="AV1482" s="141" t="s">
        <v>87</v>
      </c>
      <c r="AW1482" s="141" t="s">
        <v>33</v>
      </c>
      <c r="AX1482" s="141" t="s">
        <v>80</v>
      </c>
      <c r="AY1482" s="144" t="s">
        <v>337</v>
      </c>
    </row>
    <row r="1483" spans="2:65" s="148" customFormat="1" x14ac:dyDescent="0.2">
      <c r="B1483" s="149"/>
      <c r="D1483" s="143" t="s">
        <v>346</v>
      </c>
      <c r="E1483" s="150"/>
      <c r="F1483" s="151" t="s">
        <v>1413</v>
      </c>
      <c r="H1483" s="152">
        <v>6.2530000000000001</v>
      </c>
      <c r="L1483" s="149"/>
      <c r="M1483" s="153"/>
      <c r="T1483" s="154"/>
      <c r="AT1483" s="150" t="s">
        <v>346</v>
      </c>
      <c r="AU1483" s="150" t="s">
        <v>90</v>
      </c>
      <c r="AV1483" s="148" t="s">
        <v>90</v>
      </c>
      <c r="AW1483" s="148" t="s">
        <v>33</v>
      </c>
      <c r="AX1483" s="148" t="s">
        <v>80</v>
      </c>
      <c r="AY1483" s="150" t="s">
        <v>337</v>
      </c>
    </row>
    <row r="1484" spans="2:65" s="148" customFormat="1" x14ac:dyDescent="0.2">
      <c r="B1484" s="149"/>
      <c r="D1484" s="143" t="s">
        <v>346</v>
      </c>
      <c r="E1484" s="150"/>
      <c r="F1484" s="151" t="s">
        <v>1414</v>
      </c>
      <c r="H1484" s="152">
        <v>7.1829999999999998</v>
      </c>
      <c r="L1484" s="149"/>
      <c r="M1484" s="153"/>
      <c r="T1484" s="154"/>
      <c r="AT1484" s="150" t="s">
        <v>346</v>
      </c>
      <c r="AU1484" s="150" t="s">
        <v>90</v>
      </c>
      <c r="AV1484" s="148" t="s">
        <v>90</v>
      </c>
      <c r="AW1484" s="148" t="s">
        <v>33</v>
      </c>
      <c r="AX1484" s="148" t="s">
        <v>80</v>
      </c>
      <c r="AY1484" s="150" t="s">
        <v>337</v>
      </c>
    </row>
    <row r="1485" spans="2:65" s="148" customFormat="1" x14ac:dyDescent="0.2">
      <c r="B1485" s="149"/>
      <c r="D1485" s="143" t="s">
        <v>346</v>
      </c>
      <c r="E1485" s="150"/>
      <c r="F1485" s="151" t="s">
        <v>1310</v>
      </c>
      <c r="H1485" s="152">
        <v>5.49</v>
      </c>
      <c r="L1485" s="149"/>
      <c r="M1485" s="153"/>
      <c r="T1485" s="154"/>
      <c r="AT1485" s="150" t="s">
        <v>346</v>
      </c>
      <c r="AU1485" s="150" t="s">
        <v>90</v>
      </c>
      <c r="AV1485" s="148" t="s">
        <v>90</v>
      </c>
      <c r="AW1485" s="148" t="s">
        <v>33</v>
      </c>
      <c r="AX1485" s="148" t="s">
        <v>80</v>
      </c>
      <c r="AY1485" s="150" t="s">
        <v>337</v>
      </c>
    </row>
    <row r="1486" spans="2:65" s="148" customFormat="1" x14ac:dyDescent="0.2">
      <c r="B1486" s="149"/>
      <c r="D1486" s="143" t="s">
        <v>346</v>
      </c>
      <c r="E1486" s="150"/>
      <c r="F1486" s="151" t="s">
        <v>1415</v>
      </c>
      <c r="H1486" s="152">
        <v>8.0830000000000002</v>
      </c>
      <c r="L1486" s="149"/>
      <c r="M1486" s="153"/>
      <c r="T1486" s="154"/>
      <c r="AT1486" s="150" t="s">
        <v>346</v>
      </c>
      <c r="AU1486" s="150" t="s">
        <v>90</v>
      </c>
      <c r="AV1486" s="148" t="s">
        <v>90</v>
      </c>
      <c r="AW1486" s="148" t="s">
        <v>33</v>
      </c>
      <c r="AX1486" s="148" t="s">
        <v>80</v>
      </c>
      <c r="AY1486" s="150" t="s">
        <v>337</v>
      </c>
    </row>
    <row r="1487" spans="2:65" s="148" customFormat="1" x14ac:dyDescent="0.2">
      <c r="B1487" s="149"/>
      <c r="D1487" s="143" t="s">
        <v>346</v>
      </c>
      <c r="E1487" s="150"/>
      <c r="F1487" s="151" t="s">
        <v>1310</v>
      </c>
      <c r="H1487" s="152">
        <v>5.49</v>
      </c>
      <c r="L1487" s="149"/>
      <c r="M1487" s="153"/>
      <c r="T1487" s="154"/>
      <c r="AT1487" s="150" t="s">
        <v>346</v>
      </c>
      <c r="AU1487" s="150" t="s">
        <v>90</v>
      </c>
      <c r="AV1487" s="148" t="s">
        <v>90</v>
      </c>
      <c r="AW1487" s="148" t="s">
        <v>33</v>
      </c>
      <c r="AX1487" s="148" t="s">
        <v>80</v>
      </c>
      <c r="AY1487" s="150" t="s">
        <v>337</v>
      </c>
    </row>
    <row r="1488" spans="2:65" s="148" customFormat="1" x14ac:dyDescent="0.2">
      <c r="B1488" s="149"/>
      <c r="D1488" s="143" t="s">
        <v>346</v>
      </c>
      <c r="E1488" s="150"/>
      <c r="F1488" s="151" t="s">
        <v>1416</v>
      </c>
      <c r="H1488" s="152">
        <v>24.248000000000001</v>
      </c>
      <c r="L1488" s="149"/>
      <c r="M1488" s="153"/>
      <c r="T1488" s="154"/>
      <c r="AT1488" s="150" t="s">
        <v>346</v>
      </c>
      <c r="AU1488" s="150" t="s">
        <v>90</v>
      </c>
      <c r="AV1488" s="148" t="s">
        <v>90</v>
      </c>
      <c r="AW1488" s="148" t="s">
        <v>33</v>
      </c>
      <c r="AX1488" s="148" t="s">
        <v>80</v>
      </c>
      <c r="AY1488" s="150" t="s">
        <v>337</v>
      </c>
    </row>
    <row r="1489" spans="2:51" s="148" customFormat="1" x14ac:dyDescent="0.2">
      <c r="B1489" s="149"/>
      <c r="D1489" s="143" t="s">
        <v>346</v>
      </c>
      <c r="E1489" s="150"/>
      <c r="F1489" s="151" t="s">
        <v>1417</v>
      </c>
      <c r="H1489" s="152">
        <v>10.98</v>
      </c>
      <c r="L1489" s="149"/>
      <c r="M1489" s="153"/>
      <c r="T1489" s="154"/>
      <c r="AT1489" s="150" t="s">
        <v>346</v>
      </c>
      <c r="AU1489" s="150" t="s">
        <v>90</v>
      </c>
      <c r="AV1489" s="148" t="s">
        <v>90</v>
      </c>
      <c r="AW1489" s="148" t="s">
        <v>33</v>
      </c>
      <c r="AX1489" s="148" t="s">
        <v>80</v>
      </c>
      <c r="AY1489" s="150" t="s">
        <v>337</v>
      </c>
    </row>
    <row r="1490" spans="2:51" s="141" customFormat="1" x14ac:dyDescent="0.2">
      <c r="B1490" s="142"/>
      <c r="D1490" s="143" t="s">
        <v>346</v>
      </c>
      <c r="E1490" s="144"/>
      <c r="F1490" s="145" t="s">
        <v>367</v>
      </c>
      <c r="H1490" s="144"/>
      <c r="L1490" s="142"/>
      <c r="M1490" s="146"/>
      <c r="T1490" s="147"/>
      <c r="AT1490" s="144" t="s">
        <v>346</v>
      </c>
      <c r="AU1490" s="144" t="s">
        <v>90</v>
      </c>
      <c r="AV1490" s="141" t="s">
        <v>87</v>
      </c>
      <c r="AW1490" s="141" t="s">
        <v>33</v>
      </c>
      <c r="AX1490" s="141" t="s">
        <v>80</v>
      </c>
      <c r="AY1490" s="144" t="s">
        <v>337</v>
      </c>
    </row>
    <row r="1491" spans="2:51" s="148" customFormat="1" x14ac:dyDescent="0.2">
      <c r="B1491" s="149"/>
      <c r="D1491" s="143" t="s">
        <v>346</v>
      </c>
      <c r="E1491" s="150"/>
      <c r="F1491" s="151" t="s">
        <v>1413</v>
      </c>
      <c r="H1491" s="152">
        <v>6.2530000000000001</v>
      </c>
      <c r="L1491" s="149"/>
      <c r="M1491" s="153"/>
      <c r="T1491" s="154"/>
      <c r="AT1491" s="150" t="s">
        <v>346</v>
      </c>
      <c r="AU1491" s="150" t="s">
        <v>90</v>
      </c>
      <c r="AV1491" s="148" t="s">
        <v>90</v>
      </c>
      <c r="AW1491" s="148" t="s">
        <v>33</v>
      </c>
      <c r="AX1491" s="148" t="s">
        <v>80</v>
      </c>
      <c r="AY1491" s="150" t="s">
        <v>337</v>
      </c>
    </row>
    <row r="1492" spans="2:51" s="148" customFormat="1" x14ac:dyDescent="0.2">
      <c r="B1492" s="149"/>
      <c r="D1492" s="143" t="s">
        <v>346</v>
      </c>
      <c r="E1492" s="150"/>
      <c r="F1492" s="151" t="s">
        <v>1414</v>
      </c>
      <c r="H1492" s="152">
        <v>7.1829999999999998</v>
      </c>
      <c r="L1492" s="149"/>
      <c r="M1492" s="153"/>
      <c r="T1492" s="154"/>
      <c r="AT1492" s="150" t="s">
        <v>346</v>
      </c>
      <c r="AU1492" s="150" t="s">
        <v>90</v>
      </c>
      <c r="AV1492" s="148" t="s">
        <v>90</v>
      </c>
      <c r="AW1492" s="148" t="s">
        <v>33</v>
      </c>
      <c r="AX1492" s="148" t="s">
        <v>80</v>
      </c>
      <c r="AY1492" s="150" t="s">
        <v>337</v>
      </c>
    </row>
    <row r="1493" spans="2:51" s="148" customFormat="1" x14ac:dyDescent="0.2">
      <c r="B1493" s="149"/>
      <c r="D1493" s="143" t="s">
        <v>346</v>
      </c>
      <c r="E1493" s="150"/>
      <c r="F1493" s="151" t="s">
        <v>1310</v>
      </c>
      <c r="H1493" s="152">
        <v>5.49</v>
      </c>
      <c r="L1493" s="149"/>
      <c r="M1493" s="153"/>
      <c r="T1493" s="154"/>
      <c r="AT1493" s="150" t="s">
        <v>346</v>
      </c>
      <c r="AU1493" s="150" t="s">
        <v>90</v>
      </c>
      <c r="AV1493" s="148" t="s">
        <v>90</v>
      </c>
      <c r="AW1493" s="148" t="s">
        <v>33</v>
      </c>
      <c r="AX1493" s="148" t="s">
        <v>80</v>
      </c>
      <c r="AY1493" s="150" t="s">
        <v>337</v>
      </c>
    </row>
    <row r="1494" spans="2:51" s="148" customFormat="1" x14ac:dyDescent="0.2">
      <c r="B1494" s="149"/>
      <c r="D1494" s="143" t="s">
        <v>346</v>
      </c>
      <c r="E1494" s="150"/>
      <c r="F1494" s="151" t="s">
        <v>1415</v>
      </c>
      <c r="H1494" s="152">
        <v>8.0830000000000002</v>
      </c>
      <c r="L1494" s="149"/>
      <c r="M1494" s="153"/>
      <c r="T1494" s="154"/>
      <c r="AT1494" s="150" t="s">
        <v>346</v>
      </c>
      <c r="AU1494" s="150" t="s">
        <v>90</v>
      </c>
      <c r="AV1494" s="148" t="s">
        <v>90</v>
      </c>
      <c r="AW1494" s="148" t="s">
        <v>33</v>
      </c>
      <c r="AX1494" s="148" t="s">
        <v>80</v>
      </c>
      <c r="AY1494" s="150" t="s">
        <v>337</v>
      </c>
    </row>
    <row r="1495" spans="2:51" s="148" customFormat="1" x14ac:dyDescent="0.2">
      <c r="B1495" s="149"/>
      <c r="D1495" s="143" t="s">
        <v>346</v>
      </c>
      <c r="E1495" s="150"/>
      <c r="F1495" s="151" t="s">
        <v>1310</v>
      </c>
      <c r="H1495" s="152">
        <v>5.49</v>
      </c>
      <c r="L1495" s="149"/>
      <c r="M1495" s="153"/>
      <c r="T1495" s="154"/>
      <c r="AT1495" s="150" t="s">
        <v>346</v>
      </c>
      <c r="AU1495" s="150" t="s">
        <v>90</v>
      </c>
      <c r="AV1495" s="148" t="s">
        <v>90</v>
      </c>
      <c r="AW1495" s="148" t="s">
        <v>33</v>
      </c>
      <c r="AX1495" s="148" t="s">
        <v>80</v>
      </c>
      <c r="AY1495" s="150" t="s">
        <v>337</v>
      </c>
    </row>
    <row r="1496" spans="2:51" s="148" customFormat="1" x14ac:dyDescent="0.2">
      <c r="B1496" s="149"/>
      <c r="D1496" s="143" t="s">
        <v>346</v>
      </c>
      <c r="E1496" s="150"/>
      <c r="F1496" s="151" t="s">
        <v>1416</v>
      </c>
      <c r="H1496" s="152">
        <v>24.248000000000001</v>
      </c>
      <c r="L1496" s="149"/>
      <c r="M1496" s="153"/>
      <c r="T1496" s="154"/>
      <c r="AT1496" s="150" t="s">
        <v>346</v>
      </c>
      <c r="AU1496" s="150" t="s">
        <v>90</v>
      </c>
      <c r="AV1496" s="148" t="s">
        <v>90</v>
      </c>
      <c r="AW1496" s="148" t="s">
        <v>33</v>
      </c>
      <c r="AX1496" s="148" t="s">
        <v>80</v>
      </c>
      <c r="AY1496" s="150" t="s">
        <v>337</v>
      </c>
    </row>
    <row r="1497" spans="2:51" s="148" customFormat="1" x14ac:dyDescent="0.2">
      <c r="B1497" s="149"/>
      <c r="D1497" s="143" t="s">
        <v>346</v>
      </c>
      <c r="E1497" s="150"/>
      <c r="F1497" s="151" t="s">
        <v>1418</v>
      </c>
      <c r="H1497" s="152">
        <v>16.47</v>
      </c>
      <c r="L1497" s="149"/>
      <c r="M1497" s="153"/>
      <c r="T1497" s="154"/>
      <c r="AT1497" s="150" t="s">
        <v>346</v>
      </c>
      <c r="AU1497" s="150" t="s">
        <v>90</v>
      </c>
      <c r="AV1497" s="148" t="s">
        <v>90</v>
      </c>
      <c r="AW1497" s="148" t="s">
        <v>33</v>
      </c>
      <c r="AX1497" s="148" t="s">
        <v>80</v>
      </c>
      <c r="AY1497" s="150" t="s">
        <v>337</v>
      </c>
    </row>
    <row r="1498" spans="2:51" s="148" customFormat="1" x14ac:dyDescent="0.2">
      <c r="B1498" s="149"/>
      <c r="D1498" s="143" t="s">
        <v>346</v>
      </c>
      <c r="E1498" s="150"/>
      <c r="F1498" s="151" t="s">
        <v>1419</v>
      </c>
      <c r="H1498" s="152">
        <v>3.2029999999999998</v>
      </c>
      <c r="L1498" s="149"/>
      <c r="M1498" s="153"/>
      <c r="T1498" s="154"/>
      <c r="AT1498" s="150" t="s">
        <v>346</v>
      </c>
      <c r="AU1498" s="150" t="s">
        <v>90</v>
      </c>
      <c r="AV1498" s="148" t="s">
        <v>90</v>
      </c>
      <c r="AW1498" s="148" t="s">
        <v>33</v>
      </c>
      <c r="AX1498" s="148" t="s">
        <v>80</v>
      </c>
      <c r="AY1498" s="150" t="s">
        <v>337</v>
      </c>
    </row>
    <row r="1499" spans="2:51" s="148" customFormat="1" x14ac:dyDescent="0.2">
      <c r="B1499" s="149"/>
      <c r="D1499" s="143" t="s">
        <v>346</v>
      </c>
      <c r="E1499" s="150"/>
      <c r="F1499" s="151" t="s">
        <v>1420</v>
      </c>
      <c r="H1499" s="152">
        <v>8.1590000000000007</v>
      </c>
      <c r="L1499" s="149"/>
      <c r="M1499" s="153"/>
      <c r="T1499" s="154"/>
      <c r="AT1499" s="150" t="s">
        <v>346</v>
      </c>
      <c r="AU1499" s="150" t="s">
        <v>90</v>
      </c>
      <c r="AV1499" s="148" t="s">
        <v>90</v>
      </c>
      <c r="AW1499" s="148" t="s">
        <v>33</v>
      </c>
      <c r="AX1499" s="148" t="s">
        <v>80</v>
      </c>
      <c r="AY1499" s="150" t="s">
        <v>337</v>
      </c>
    </row>
    <row r="1500" spans="2:51" s="141" customFormat="1" x14ac:dyDescent="0.2">
      <c r="B1500" s="142"/>
      <c r="D1500" s="143" t="s">
        <v>346</v>
      </c>
      <c r="E1500" s="144"/>
      <c r="F1500" s="145" t="s">
        <v>368</v>
      </c>
      <c r="H1500" s="144"/>
      <c r="L1500" s="142"/>
      <c r="M1500" s="146"/>
      <c r="T1500" s="147"/>
      <c r="AT1500" s="144" t="s">
        <v>346</v>
      </c>
      <c r="AU1500" s="144" t="s">
        <v>90</v>
      </c>
      <c r="AV1500" s="141" t="s">
        <v>87</v>
      </c>
      <c r="AW1500" s="141" t="s">
        <v>33</v>
      </c>
      <c r="AX1500" s="141" t="s">
        <v>80</v>
      </c>
      <c r="AY1500" s="144" t="s">
        <v>337</v>
      </c>
    </row>
    <row r="1501" spans="2:51" s="148" customFormat="1" x14ac:dyDescent="0.2">
      <c r="B1501" s="149"/>
      <c r="D1501" s="143" t="s">
        <v>346</v>
      </c>
      <c r="E1501" s="150"/>
      <c r="F1501" s="151" t="s">
        <v>1413</v>
      </c>
      <c r="H1501" s="152">
        <v>6.2530000000000001</v>
      </c>
      <c r="L1501" s="149"/>
      <c r="M1501" s="153"/>
      <c r="T1501" s="154"/>
      <c r="AT1501" s="150" t="s">
        <v>346</v>
      </c>
      <c r="AU1501" s="150" t="s">
        <v>90</v>
      </c>
      <c r="AV1501" s="148" t="s">
        <v>90</v>
      </c>
      <c r="AW1501" s="148" t="s">
        <v>33</v>
      </c>
      <c r="AX1501" s="148" t="s">
        <v>80</v>
      </c>
      <c r="AY1501" s="150" t="s">
        <v>337</v>
      </c>
    </row>
    <row r="1502" spans="2:51" s="148" customFormat="1" x14ac:dyDescent="0.2">
      <c r="B1502" s="149"/>
      <c r="D1502" s="143" t="s">
        <v>346</v>
      </c>
      <c r="E1502" s="150"/>
      <c r="F1502" s="151" t="s">
        <v>1414</v>
      </c>
      <c r="H1502" s="152">
        <v>7.1829999999999998</v>
      </c>
      <c r="L1502" s="149"/>
      <c r="M1502" s="153"/>
      <c r="T1502" s="154"/>
      <c r="AT1502" s="150" t="s">
        <v>346</v>
      </c>
      <c r="AU1502" s="150" t="s">
        <v>90</v>
      </c>
      <c r="AV1502" s="148" t="s">
        <v>90</v>
      </c>
      <c r="AW1502" s="148" t="s">
        <v>33</v>
      </c>
      <c r="AX1502" s="148" t="s">
        <v>80</v>
      </c>
      <c r="AY1502" s="150" t="s">
        <v>337</v>
      </c>
    </row>
    <row r="1503" spans="2:51" s="148" customFormat="1" x14ac:dyDescent="0.2">
      <c r="B1503" s="149"/>
      <c r="D1503" s="143" t="s">
        <v>346</v>
      </c>
      <c r="E1503" s="150"/>
      <c r="F1503" s="151" t="s">
        <v>1310</v>
      </c>
      <c r="H1503" s="152">
        <v>5.49</v>
      </c>
      <c r="L1503" s="149"/>
      <c r="M1503" s="153"/>
      <c r="T1503" s="154"/>
      <c r="AT1503" s="150" t="s">
        <v>346</v>
      </c>
      <c r="AU1503" s="150" t="s">
        <v>90</v>
      </c>
      <c r="AV1503" s="148" t="s">
        <v>90</v>
      </c>
      <c r="AW1503" s="148" t="s">
        <v>33</v>
      </c>
      <c r="AX1503" s="148" t="s">
        <v>80</v>
      </c>
      <c r="AY1503" s="150" t="s">
        <v>337</v>
      </c>
    </row>
    <row r="1504" spans="2:51" s="148" customFormat="1" x14ac:dyDescent="0.2">
      <c r="B1504" s="149"/>
      <c r="D1504" s="143" t="s">
        <v>346</v>
      </c>
      <c r="E1504" s="150"/>
      <c r="F1504" s="151" t="s">
        <v>1415</v>
      </c>
      <c r="H1504" s="152">
        <v>8.0830000000000002</v>
      </c>
      <c r="L1504" s="149"/>
      <c r="M1504" s="153"/>
      <c r="T1504" s="154"/>
      <c r="AT1504" s="150" t="s">
        <v>346</v>
      </c>
      <c r="AU1504" s="150" t="s">
        <v>90</v>
      </c>
      <c r="AV1504" s="148" t="s">
        <v>90</v>
      </c>
      <c r="AW1504" s="148" t="s">
        <v>33</v>
      </c>
      <c r="AX1504" s="148" t="s">
        <v>80</v>
      </c>
      <c r="AY1504" s="150" t="s">
        <v>337</v>
      </c>
    </row>
    <row r="1505" spans="2:51" s="148" customFormat="1" x14ac:dyDescent="0.2">
      <c r="B1505" s="149"/>
      <c r="D1505" s="143" t="s">
        <v>346</v>
      </c>
      <c r="E1505" s="150"/>
      <c r="F1505" s="151" t="s">
        <v>1310</v>
      </c>
      <c r="H1505" s="152">
        <v>5.49</v>
      </c>
      <c r="L1505" s="149"/>
      <c r="M1505" s="153"/>
      <c r="T1505" s="154"/>
      <c r="AT1505" s="150" t="s">
        <v>346</v>
      </c>
      <c r="AU1505" s="150" t="s">
        <v>90</v>
      </c>
      <c r="AV1505" s="148" t="s">
        <v>90</v>
      </c>
      <c r="AW1505" s="148" t="s">
        <v>33</v>
      </c>
      <c r="AX1505" s="148" t="s">
        <v>80</v>
      </c>
      <c r="AY1505" s="150" t="s">
        <v>337</v>
      </c>
    </row>
    <row r="1506" spans="2:51" s="148" customFormat="1" x14ac:dyDescent="0.2">
      <c r="B1506" s="149"/>
      <c r="D1506" s="143" t="s">
        <v>346</v>
      </c>
      <c r="E1506" s="150"/>
      <c r="F1506" s="151" t="s">
        <v>1416</v>
      </c>
      <c r="H1506" s="152">
        <v>24.248000000000001</v>
      </c>
      <c r="L1506" s="149"/>
      <c r="M1506" s="153"/>
      <c r="T1506" s="154"/>
      <c r="AT1506" s="150" t="s">
        <v>346</v>
      </c>
      <c r="AU1506" s="150" t="s">
        <v>90</v>
      </c>
      <c r="AV1506" s="148" t="s">
        <v>90</v>
      </c>
      <c r="AW1506" s="148" t="s">
        <v>33</v>
      </c>
      <c r="AX1506" s="148" t="s">
        <v>80</v>
      </c>
      <c r="AY1506" s="150" t="s">
        <v>337</v>
      </c>
    </row>
    <row r="1507" spans="2:51" s="148" customFormat="1" x14ac:dyDescent="0.2">
      <c r="B1507" s="149"/>
      <c r="D1507" s="143" t="s">
        <v>346</v>
      </c>
      <c r="E1507" s="150"/>
      <c r="F1507" s="151" t="s">
        <v>1418</v>
      </c>
      <c r="H1507" s="152">
        <v>16.47</v>
      </c>
      <c r="L1507" s="149"/>
      <c r="M1507" s="153"/>
      <c r="T1507" s="154"/>
      <c r="AT1507" s="150" t="s">
        <v>346</v>
      </c>
      <c r="AU1507" s="150" t="s">
        <v>90</v>
      </c>
      <c r="AV1507" s="148" t="s">
        <v>90</v>
      </c>
      <c r="AW1507" s="148" t="s">
        <v>33</v>
      </c>
      <c r="AX1507" s="148" t="s">
        <v>80</v>
      </c>
      <c r="AY1507" s="150" t="s">
        <v>337</v>
      </c>
    </row>
    <row r="1508" spans="2:51" s="148" customFormat="1" x14ac:dyDescent="0.2">
      <c r="B1508" s="149"/>
      <c r="D1508" s="143" t="s">
        <v>346</v>
      </c>
      <c r="E1508" s="150"/>
      <c r="F1508" s="151" t="s">
        <v>1419</v>
      </c>
      <c r="H1508" s="152">
        <v>3.2029999999999998</v>
      </c>
      <c r="L1508" s="149"/>
      <c r="M1508" s="153"/>
      <c r="T1508" s="154"/>
      <c r="AT1508" s="150" t="s">
        <v>346</v>
      </c>
      <c r="AU1508" s="150" t="s">
        <v>90</v>
      </c>
      <c r="AV1508" s="148" t="s">
        <v>90</v>
      </c>
      <c r="AW1508" s="148" t="s">
        <v>33</v>
      </c>
      <c r="AX1508" s="148" t="s">
        <v>80</v>
      </c>
      <c r="AY1508" s="150" t="s">
        <v>337</v>
      </c>
    </row>
    <row r="1509" spans="2:51" s="148" customFormat="1" x14ac:dyDescent="0.2">
      <c r="B1509" s="149"/>
      <c r="D1509" s="143" t="s">
        <v>346</v>
      </c>
      <c r="E1509" s="150"/>
      <c r="F1509" s="151" t="s">
        <v>1420</v>
      </c>
      <c r="H1509" s="152">
        <v>8.1590000000000007</v>
      </c>
      <c r="L1509" s="149"/>
      <c r="M1509" s="153"/>
      <c r="T1509" s="154"/>
      <c r="AT1509" s="150" t="s">
        <v>346</v>
      </c>
      <c r="AU1509" s="150" t="s">
        <v>90</v>
      </c>
      <c r="AV1509" s="148" t="s">
        <v>90</v>
      </c>
      <c r="AW1509" s="148" t="s">
        <v>33</v>
      </c>
      <c r="AX1509" s="148" t="s">
        <v>80</v>
      </c>
      <c r="AY1509" s="150" t="s">
        <v>337</v>
      </c>
    </row>
    <row r="1510" spans="2:51" s="141" customFormat="1" x14ac:dyDescent="0.2">
      <c r="B1510" s="142"/>
      <c r="D1510" s="143" t="s">
        <v>346</v>
      </c>
      <c r="E1510" s="144"/>
      <c r="F1510" s="145" t="s">
        <v>370</v>
      </c>
      <c r="H1510" s="144"/>
      <c r="L1510" s="142"/>
      <c r="M1510" s="146"/>
      <c r="T1510" s="147"/>
      <c r="AT1510" s="144" t="s">
        <v>346</v>
      </c>
      <c r="AU1510" s="144" t="s">
        <v>90</v>
      </c>
      <c r="AV1510" s="141" t="s">
        <v>87</v>
      </c>
      <c r="AW1510" s="141" t="s">
        <v>33</v>
      </c>
      <c r="AX1510" s="141" t="s">
        <v>80</v>
      </c>
      <c r="AY1510" s="144" t="s">
        <v>337</v>
      </c>
    </row>
    <row r="1511" spans="2:51" s="148" customFormat="1" x14ac:dyDescent="0.2">
      <c r="B1511" s="149"/>
      <c r="D1511" s="143" t="s">
        <v>346</v>
      </c>
      <c r="E1511" s="150"/>
      <c r="F1511" s="151" t="s">
        <v>1413</v>
      </c>
      <c r="H1511" s="152">
        <v>6.2530000000000001</v>
      </c>
      <c r="L1511" s="149"/>
      <c r="M1511" s="153"/>
      <c r="T1511" s="154"/>
      <c r="AT1511" s="150" t="s">
        <v>346</v>
      </c>
      <c r="AU1511" s="150" t="s">
        <v>90</v>
      </c>
      <c r="AV1511" s="148" t="s">
        <v>90</v>
      </c>
      <c r="AW1511" s="148" t="s">
        <v>33</v>
      </c>
      <c r="AX1511" s="148" t="s">
        <v>80</v>
      </c>
      <c r="AY1511" s="150" t="s">
        <v>337</v>
      </c>
    </row>
    <row r="1512" spans="2:51" s="148" customFormat="1" x14ac:dyDescent="0.2">
      <c r="B1512" s="149"/>
      <c r="D1512" s="143" t="s">
        <v>346</v>
      </c>
      <c r="E1512" s="150"/>
      <c r="F1512" s="151" t="s">
        <v>1414</v>
      </c>
      <c r="H1512" s="152">
        <v>7.1829999999999998</v>
      </c>
      <c r="L1512" s="149"/>
      <c r="M1512" s="153"/>
      <c r="T1512" s="154"/>
      <c r="AT1512" s="150" t="s">
        <v>346</v>
      </c>
      <c r="AU1512" s="150" t="s">
        <v>90</v>
      </c>
      <c r="AV1512" s="148" t="s">
        <v>90</v>
      </c>
      <c r="AW1512" s="148" t="s">
        <v>33</v>
      </c>
      <c r="AX1512" s="148" t="s">
        <v>80</v>
      </c>
      <c r="AY1512" s="150" t="s">
        <v>337</v>
      </c>
    </row>
    <row r="1513" spans="2:51" s="148" customFormat="1" x14ac:dyDescent="0.2">
      <c r="B1513" s="149"/>
      <c r="D1513" s="143" t="s">
        <v>346</v>
      </c>
      <c r="E1513" s="150"/>
      <c r="F1513" s="151" t="s">
        <v>1310</v>
      </c>
      <c r="H1513" s="152">
        <v>5.49</v>
      </c>
      <c r="L1513" s="149"/>
      <c r="M1513" s="153"/>
      <c r="T1513" s="154"/>
      <c r="AT1513" s="150" t="s">
        <v>346</v>
      </c>
      <c r="AU1513" s="150" t="s">
        <v>90</v>
      </c>
      <c r="AV1513" s="148" t="s">
        <v>90</v>
      </c>
      <c r="AW1513" s="148" t="s">
        <v>33</v>
      </c>
      <c r="AX1513" s="148" t="s">
        <v>80</v>
      </c>
      <c r="AY1513" s="150" t="s">
        <v>337</v>
      </c>
    </row>
    <row r="1514" spans="2:51" s="148" customFormat="1" x14ac:dyDescent="0.2">
      <c r="B1514" s="149"/>
      <c r="D1514" s="143" t="s">
        <v>346</v>
      </c>
      <c r="E1514" s="150"/>
      <c r="F1514" s="151" t="s">
        <v>1415</v>
      </c>
      <c r="H1514" s="152">
        <v>8.0830000000000002</v>
      </c>
      <c r="L1514" s="149"/>
      <c r="M1514" s="153"/>
      <c r="T1514" s="154"/>
      <c r="AT1514" s="150" t="s">
        <v>346</v>
      </c>
      <c r="AU1514" s="150" t="s">
        <v>90</v>
      </c>
      <c r="AV1514" s="148" t="s">
        <v>90</v>
      </c>
      <c r="AW1514" s="148" t="s">
        <v>33</v>
      </c>
      <c r="AX1514" s="148" t="s">
        <v>80</v>
      </c>
      <c r="AY1514" s="150" t="s">
        <v>337</v>
      </c>
    </row>
    <row r="1515" spans="2:51" s="148" customFormat="1" x14ac:dyDescent="0.2">
      <c r="B1515" s="149"/>
      <c r="D1515" s="143" t="s">
        <v>346</v>
      </c>
      <c r="E1515" s="150"/>
      <c r="F1515" s="151" t="s">
        <v>1310</v>
      </c>
      <c r="H1515" s="152">
        <v>5.49</v>
      </c>
      <c r="L1515" s="149"/>
      <c r="M1515" s="153"/>
      <c r="T1515" s="154"/>
      <c r="AT1515" s="150" t="s">
        <v>346</v>
      </c>
      <c r="AU1515" s="150" t="s">
        <v>90</v>
      </c>
      <c r="AV1515" s="148" t="s">
        <v>90</v>
      </c>
      <c r="AW1515" s="148" t="s">
        <v>33</v>
      </c>
      <c r="AX1515" s="148" t="s">
        <v>80</v>
      </c>
      <c r="AY1515" s="150" t="s">
        <v>337</v>
      </c>
    </row>
    <row r="1516" spans="2:51" s="148" customFormat="1" x14ac:dyDescent="0.2">
      <c r="B1516" s="149"/>
      <c r="D1516" s="143" t="s">
        <v>346</v>
      </c>
      <c r="E1516" s="150"/>
      <c r="F1516" s="151" t="s">
        <v>1416</v>
      </c>
      <c r="H1516" s="152">
        <v>24.248000000000001</v>
      </c>
      <c r="L1516" s="149"/>
      <c r="M1516" s="153"/>
      <c r="T1516" s="154"/>
      <c r="AT1516" s="150" t="s">
        <v>346</v>
      </c>
      <c r="AU1516" s="150" t="s">
        <v>90</v>
      </c>
      <c r="AV1516" s="148" t="s">
        <v>90</v>
      </c>
      <c r="AW1516" s="148" t="s">
        <v>33</v>
      </c>
      <c r="AX1516" s="148" t="s">
        <v>80</v>
      </c>
      <c r="AY1516" s="150" t="s">
        <v>337</v>
      </c>
    </row>
    <row r="1517" spans="2:51" s="148" customFormat="1" x14ac:dyDescent="0.2">
      <c r="B1517" s="149"/>
      <c r="D1517" s="143" t="s">
        <v>346</v>
      </c>
      <c r="E1517" s="150"/>
      <c r="F1517" s="151" t="s">
        <v>1418</v>
      </c>
      <c r="H1517" s="152">
        <v>16.47</v>
      </c>
      <c r="L1517" s="149"/>
      <c r="M1517" s="153"/>
      <c r="T1517" s="154"/>
      <c r="AT1517" s="150" t="s">
        <v>346</v>
      </c>
      <c r="AU1517" s="150" t="s">
        <v>90</v>
      </c>
      <c r="AV1517" s="148" t="s">
        <v>90</v>
      </c>
      <c r="AW1517" s="148" t="s">
        <v>33</v>
      </c>
      <c r="AX1517" s="148" t="s">
        <v>80</v>
      </c>
      <c r="AY1517" s="150" t="s">
        <v>337</v>
      </c>
    </row>
    <row r="1518" spans="2:51" s="148" customFormat="1" x14ac:dyDescent="0.2">
      <c r="B1518" s="149"/>
      <c r="D1518" s="143" t="s">
        <v>346</v>
      </c>
      <c r="E1518" s="150"/>
      <c r="F1518" s="151" t="s">
        <v>1419</v>
      </c>
      <c r="H1518" s="152">
        <v>3.2029999999999998</v>
      </c>
      <c r="L1518" s="149"/>
      <c r="M1518" s="153"/>
      <c r="T1518" s="154"/>
      <c r="AT1518" s="150" t="s">
        <v>346</v>
      </c>
      <c r="AU1518" s="150" t="s">
        <v>90</v>
      </c>
      <c r="AV1518" s="148" t="s">
        <v>90</v>
      </c>
      <c r="AW1518" s="148" t="s">
        <v>33</v>
      </c>
      <c r="AX1518" s="148" t="s">
        <v>80</v>
      </c>
      <c r="AY1518" s="150" t="s">
        <v>337</v>
      </c>
    </row>
    <row r="1519" spans="2:51" s="148" customFormat="1" x14ac:dyDescent="0.2">
      <c r="B1519" s="149"/>
      <c r="D1519" s="143" t="s">
        <v>346</v>
      </c>
      <c r="E1519" s="150"/>
      <c r="F1519" s="151" t="s">
        <v>1420</v>
      </c>
      <c r="H1519" s="152">
        <v>8.1590000000000007</v>
      </c>
      <c r="L1519" s="149"/>
      <c r="M1519" s="153"/>
      <c r="T1519" s="154"/>
      <c r="AT1519" s="150" t="s">
        <v>346</v>
      </c>
      <c r="AU1519" s="150" t="s">
        <v>90</v>
      </c>
      <c r="AV1519" s="148" t="s">
        <v>90</v>
      </c>
      <c r="AW1519" s="148" t="s">
        <v>33</v>
      </c>
      <c r="AX1519" s="148" t="s">
        <v>80</v>
      </c>
      <c r="AY1519" s="150" t="s">
        <v>337</v>
      </c>
    </row>
    <row r="1520" spans="2:51" s="141" customFormat="1" x14ac:dyDescent="0.2">
      <c r="B1520" s="142"/>
      <c r="D1520" s="143" t="s">
        <v>346</v>
      </c>
      <c r="E1520" s="144"/>
      <c r="F1520" s="145" t="s">
        <v>434</v>
      </c>
      <c r="H1520" s="144"/>
      <c r="L1520" s="142"/>
      <c r="M1520" s="146"/>
      <c r="T1520" s="147"/>
      <c r="AT1520" s="144" t="s">
        <v>346</v>
      </c>
      <c r="AU1520" s="144" t="s">
        <v>90</v>
      </c>
      <c r="AV1520" s="141" t="s">
        <v>87</v>
      </c>
      <c r="AW1520" s="141" t="s">
        <v>33</v>
      </c>
      <c r="AX1520" s="141" t="s">
        <v>80</v>
      </c>
      <c r="AY1520" s="144" t="s">
        <v>337</v>
      </c>
    </row>
    <row r="1521" spans="2:65" s="148" customFormat="1" x14ac:dyDescent="0.2">
      <c r="B1521" s="149"/>
      <c r="D1521" s="143" t="s">
        <v>346</v>
      </c>
      <c r="E1521" s="150"/>
      <c r="F1521" s="151" t="s">
        <v>1421</v>
      </c>
      <c r="H1521" s="152">
        <v>48.72</v>
      </c>
      <c r="L1521" s="149"/>
      <c r="M1521" s="153"/>
      <c r="T1521" s="154"/>
      <c r="AT1521" s="150" t="s">
        <v>346</v>
      </c>
      <c r="AU1521" s="150" t="s">
        <v>90</v>
      </c>
      <c r="AV1521" s="148" t="s">
        <v>90</v>
      </c>
      <c r="AW1521" s="148" t="s">
        <v>33</v>
      </c>
      <c r="AX1521" s="148" t="s">
        <v>80</v>
      </c>
      <c r="AY1521" s="150" t="s">
        <v>337</v>
      </c>
    </row>
    <row r="1522" spans="2:65" s="148" customFormat="1" x14ac:dyDescent="0.2">
      <c r="B1522" s="149"/>
      <c r="D1522" s="143" t="s">
        <v>346</v>
      </c>
      <c r="E1522" s="150"/>
      <c r="F1522" s="151" t="s">
        <v>1422</v>
      </c>
      <c r="H1522" s="152">
        <v>27</v>
      </c>
      <c r="L1522" s="149"/>
      <c r="M1522" s="153"/>
      <c r="T1522" s="154"/>
      <c r="AT1522" s="150" t="s">
        <v>346</v>
      </c>
      <c r="AU1522" s="150" t="s">
        <v>90</v>
      </c>
      <c r="AV1522" s="148" t="s">
        <v>90</v>
      </c>
      <c r="AW1522" s="148" t="s">
        <v>33</v>
      </c>
      <c r="AX1522" s="148" t="s">
        <v>80</v>
      </c>
      <c r="AY1522" s="150" t="s">
        <v>337</v>
      </c>
    </row>
    <row r="1523" spans="2:65" s="148" customFormat="1" x14ac:dyDescent="0.2">
      <c r="B1523" s="149"/>
      <c r="D1523" s="143" t="s">
        <v>346</v>
      </c>
      <c r="E1523" s="150"/>
      <c r="F1523" s="151" t="s">
        <v>1423</v>
      </c>
      <c r="H1523" s="152">
        <v>5.0250000000000004</v>
      </c>
      <c r="L1523" s="149"/>
      <c r="M1523" s="153"/>
      <c r="T1523" s="154"/>
      <c r="AT1523" s="150" t="s">
        <v>346</v>
      </c>
      <c r="AU1523" s="150" t="s">
        <v>90</v>
      </c>
      <c r="AV1523" s="148" t="s">
        <v>90</v>
      </c>
      <c r="AW1523" s="148" t="s">
        <v>33</v>
      </c>
      <c r="AX1523" s="148" t="s">
        <v>80</v>
      </c>
      <c r="AY1523" s="150" t="s">
        <v>337</v>
      </c>
    </row>
    <row r="1524" spans="2:65" s="148" customFormat="1" x14ac:dyDescent="0.2">
      <c r="B1524" s="149"/>
      <c r="D1524" s="143" t="s">
        <v>346</v>
      </c>
      <c r="E1524" s="150"/>
      <c r="F1524" s="151" t="s">
        <v>1424</v>
      </c>
      <c r="H1524" s="152">
        <v>5.0999999999999996</v>
      </c>
      <c r="L1524" s="149"/>
      <c r="M1524" s="153"/>
      <c r="T1524" s="154"/>
      <c r="AT1524" s="150" t="s">
        <v>346</v>
      </c>
      <c r="AU1524" s="150" t="s">
        <v>90</v>
      </c>
      <c r="AV1524" s="148" t="s">
        <v>90</v>
      </c>
      <c r="AW1524" s="148" t="s">
        <v>33</v>
      </c>
      <c r="AX1524" s="148" t="s">
        <v>80</v>
      </c>
      <c r="AY1524" s="150" t="s">
        <v>337</v>
      </c>
    </row>
    <row r="1525" spans="2:65" s="155" customFormat="1" x14ac:dyDescent="0.2">
      <c r="B1525" s="156"/>
      <c r="D1525" s="143" t="s">
        <v>346</v>
      </c>
      <c r="E1525" s="157"/>
      <c r="F1525" s="158" t="s">
        <v>351</v>
      </c>
      <c r="H1525" s="159">
        <v>407.30900000000003</v>
      </c>
      <c r="L1525" s="156"/>
      <c r="M1525" s="160"/>
      <c r="T1525" s="161"/>
      <c r="AT1525" s="157" t="s">
        <v>346</v>
      </c>
      <c r="AU1525" s="157" t="s">
        <v>90</v>
      </c>
      <c r="AV1525" s="155" t="s">
        <v>344</v>
      </c>
      <c r="AW1525" s="155" t="s">
        <v>33</v>
      </c>
      <c r="AX1525" s="155" t="s">
        <v>87</v>
      </c>
      <c r="AY1525" s="157" t="s">
        <v>337</v>
      </c>
    </row>
    <row r="1526" spans="2:65" s="16" customFormat="1" ht="16.5" customHeight="1" x14ac:dyDescent="0.2">
      <c r="B1526" s="17"/>
      <c r="C1526" s="128">
        <v>128</v>
      </c>
      <c r="D1526" s="128" t="s">
        <v>339</v>
      </c>
      <c r="E1526" s="129" t="s">
        <v>1425</v>
      </c>
      <c r="F1526" s="130" t="s">
        <v>1426</v>
      </c>
      <c r="G1526" s="131" t="s">
        <v>425</v>
      </c>
      <c r="H1526" s="132">
        <v>132.45599999999999</v>
      </c>
      <c r="I1526" s="133"/>
      <c r="J1526" s="134">
        <f>ROUND(I1526*H1526,2)</f>
        <v>0</v>
      </c>
      <c r="K1526" s="130" t="s">
        <v>343</v>
      </c>
      <c r="L1526" s="17"/>
      <c r="M1526" s="135"/>
      <c r="N1526" s="136" t="s">
        <v>45</v>
      </c>
      <c r="P1526" s="137">
        <f>O1526*H1526</f>
        <v>0</v>
      </c>
      <c r="Q1526" s="137">
        <v>2.7199999999999998E-2</v>
      </c>
      <c r="R1526" s="137">
        <f>Q1526*H1526</f>
        <v>3.6028031999999994</v>
      </c>
      <c r="S1526" s="137">
        <v>0</v>
      </c>
      <c r="T1526" s="138">
        <f>S1526*H1526</f>
        <v>0</v>
      </c>
      <c r="AR1526" s="139" t="s">
        <v>496</v>
      </c>
      <c r="AT1526" s="139" t="s">
        <v>339</v>
      </c>
      <c r="AU1526" s="139" t="s">
        <v>90</v>
      </c>
      <c r="AY1526" s="2" t="s">
        <v>337</v>
      </c>
      <c r="BE1526" s="140">
        <f>IF(N1526="základní",J1526,0)</f>
        <v>0</v>
      </c>
      <c r="BF1526" s="140">
        <f>IF(N1526="snížená",J1526,0)</f>
        <v>0</v>
      </c>
      <c r="BG1526" s="140">
        <f>IF(N1526="zákl. přenesená",J1526,0)</f>
        <v>0</v>
      </c>
      <c r="BH1526" s="140">
        <f>IF(N1526="sníž. přenesená",J1526,0)</f>
        <v>0</v>
      </c>
      <c r="BI1526" s="140">
        <f>IF(N1526="nulová",J1526,0)</f>
        <v>0</v>
      </c>
      <c r="BJ1526" s="2" t="s">
        <v>87</v>
      </c>
      <c r="BK1526" s="140">
        <f>ROUND(I1526*H1526,2)</f>
        <v>0</v>
      </c>
      <c r="BL1526" s="2" t="s">
        <v>496</v>
      </c>
      <c r="BM1526" s="139" t="s">
        <v>1427</v>
      </c>
    </row>
    <row r="1527" spans="2:65" s="141" customFormat="1" x14ac:dyDescent="0.2">
      <c r="B1527" s="142"/>
      <c r="D1527" s="143" t="s">
        <v>346</v>
      </c>
      <c r="E1527" s="144"/>
      <c r="F1527" s="145" t="s">
        <v>1381</v>
      </c>
      <c r="H1527" s="144"/>
      <c r="L1527" s="142"/>
      <c r="M1527" s="146"/>
      <c r="T1527" s="147"/>
      <c r="AT1527" s="144" t="s">
        <v>346</v>
      </c>
      <c r="AU1527" s="144" t="s">
        <v>90</v>
      </c>
      <c r="AV1527" s="141" t="s">
        <v>87</v>
      </c>
      <c r="AW1527" s="141" t="s">
        <v>33</v>
      </c>
      <c r="AX1527" s="141" t="s">
        <v>80</v>
      </c>
      <c r="AY1527" s="144" t="s">
        <v>337</v>
      </c>
    </row>
    <row r="1528" spans="2:65" s="141" customFormat="1" x14ac:dyDescent="0.2">
      <c r="B1528" s="142"/>
      <c r="D1528" s="143" t="s">
        <v>346</v>
      </c>
      <c r="E1528" s="144"/>
      <c r="F1528" s="145" t="s">
        <v>1283</v>
      </c>
      <c r="H1528" s="144"/>
      <c r="L1528" s="142"/>
      <c r="M1528" s="146"/>
      <c r="T1528" s="147"/>
      <c r="AT1528" s="144" t="s">
        <v>346</v>
      </c>
      <c r="AU1528" s="144" t="s">
        <v>90</v>
      </c>
      <c r="AV1528" s="141" t="s">
        <v>87</v>
      </c>
      <c r="AW1528" s="141" t="s">
        <v>33</v>
      </c>
      <c r="AX1528" s="141" t="s">
        <v>80</v>
      </c>
      <c r="AY1528" s="144" t="s">
        <v>337</v>
      </c>
    </row>
    <row r="1529" spans="2:65" s="141" customFormat="1" x14ac:dyDescent="0.2">
      <c r="B1529" s="142"/>
      <c r="D1529" s="143" t="s">
        <v>346</v>
      </c>
      <c r="E1529" s="144"/>
      <c r="F1529" s="145" t="s">
        <v>362</v>
      </c>
      <c r="H1529" s="144"/>
      <c r="L1529" s="142"/>
      <c r="M1529" s="146"/>
      <c r="T1529" s="147"/>
      <c r="AT1529" s="144" t="s">
        <v>346</v>
      </c>
      <c r="AU1529" s="144" t="s">
        <v>90</v>
      </c>
      <c r="AV1529" s="141" t="s">
        <v>87</v>
      </c>
      <c r="AW1529" s="141" t="s">
        <v>33</v>
      </c>
      <c r="AX1529" s="141" t="s">
        <v>80</v>
      </c>
      <c r="AY1529" s="144" t="s">
        <v>337</v>
      </c>
    </row>
    <row r="1530" spans="2:65" s="148" customFormat="1" x14ac:dyDescent="0.2">
      <c r="B1530" s="149"/>
      <c r="D1530" s="143" t="s">
        <v>346</v>
      </c>
      <c r="E1530" s="150"/>
      <c r="F1530" s="151" t="s">
        <v>1428</v>
      </c>
      <c r="H1530" s="152">
        <v>6.7709999999999999</v>
      </c>
      <c r="L1530" s="149"/>
      <c r="M1530" s="153"/>
      <c r="T1530" s="154"/>
      <c r="AT1530" s="150" t="s">
        <v>346</v>
      </c>
      <c r="AU1530" s="150" t="s">
        <v>90</v>
      </c>
      <c r="AV1530" s="148" t="s">
        <v>90</v>
      </c>
      <c r="AW1530" s="148" t="s">
        <v>33</v>
      </c>
      <c r="AX1530" s="148" t="s">
        <v>80</v>
      </c>
      <c r="AY1530" s="150" t="s">
        <v>337</v>
      </c>
    </row>
    <row r="1531" spans="2:65" s="148" customFormat="1" x14ac:dyDescent="0.2">
      <c r="B1531" s="149"/>
      <c r="D1531" s="143" t="s">
        <v>346</v>
      </c>
      <c r="E1531" s="150"/>
      <c r="F1531" s="151" t="s">
        <v>1429</v>
      </c>
      <c r="H1531" s="152">
        <v>3.1720000000000002</v>
      </c>
      <c r="L1531" s="149"/>
      <c r="M1531" s="153"/>
      <c r="T1531" s="154"/>
      <c r="AT1531" s="150" t="s">
        <v>346</v>
      </c>
      <c r="AU1531" s="150" t="s">
        <v>90</v>
      </c>
      <c r="AV1531" s="148" t="s">
        <v>90</v>
      </c>
      <c r="AW1531" s="148" t="s">
        <v>33</v>
      </c>
      <c r="AX1531" s="148" t="s">
        <v>80</v>
      </c>
      <c r="AY1531" s="150" t="s">
        <v>337</v>
      </c>
    </row>
    <row r="1532" spans="2:65" s="148" customFormat="1" x14ac:dyDescent="0.2">
      <c r="B1532" s="149"/>
      <c r="D1532" s="143" t="s">
        <v>346</v>
      </c>
      <c r="E1532" s="150"/>
      <c r="F1532" s="151" t="s">
        <v>1430</v>
      </c>
      <c r="H1532" s="152">
        <v>8.3879999999999999</v>
      </c>
      <c r="L1532" s="149"/>
      <c r="M1532" s="153"/>
      <c r="T1532" s="154"/>
      <c r="AT1532" s="150" t="s">
        <v>346</v>
      </c>
      <c r="AU1532" s="150" t="s">
        <v>90</v>
      </c>
      <c r="AV1532" s="148" t="s">
        <v>90</v>
      </c>
      <c r="AW1532" s="148" t="s">
        <v>33</v>
      </c>
      <c r="AX1532" s="148" t="s">
        <v>80</v>
      </c>
      <c r="AY1532" s="150" t="s">
        <v>337</v>
      </c>
    </row>
    <row r="1533" spans="2:65" s="141" customFormat="1" x14ac:dyDescent="0.2">
      <c r="B1533" s="142"/>
      <c r="D1533" s="143" t="s">
        <v>346</v>
      </c>
      <c r="E1533" s="144"/>
      <c r="F1533" s="145" t="s">
        <v>1233</v>
      </c>
      <c r="H1533" s="144"/>
      <c r="L1533" s="142"/>
      <c r="M1533" s="146"/>
      <c r="T1533" s="147"/>
      <c r="AT1533" s="144" t="s">
        <v>346</v>
      </c>
      <c r="AU1533" s="144" t="s">
        <v>90</v>
      </c>
      <c r="AV1533" s="141" t="s">
        <v>87</v>
      </c>
      <c r="AW1533" s="141" t="s">
        <v>33</v>
      </c>
      <c r="AX1533" s="141" t="s">
        <v>80</v>
      </c>
      <c r="AY1533" s="144" t="s">
        <v>337</v>
      </c>
    </row>
    <row r="1534" spans="2:65" s="148" customFormat="1" x14ac:dyDescent="0.2">
      <c r="B1534" s="149"/>
      <c r="D1534" s="143" t="s">
        <v>346</v>
      </c>
      <c r="E1534" s="150"/>
      <c r="F1534" s="151" t="s">
        <v>1431</v>
      </c>
      <c r="H1534" s="152">
        <v>3.05</v>
      </c>
      <c r="L1534" s="149"/>
      <c r="M1534" s="153"/>
      <c r="T1534" s="154"/>
      <c r="AT1534" s="150" t="s">
        <v>346</v>
      </c>
      <c r="AU1534" s="150" t="s">
        <v>90</v>
      </c>
      <c r="AV1534" s="148" t="s">
        <v>90</v>
      </c>
      <c r="AW1534" s="148" t="s">
        <v>33</v>
      </c>
      <c r="AX1534" s="148" t="s">
        <v>80</v>
      </c>
      <c r="AY1534" s="150" t="s">
        <v>337</v>
      </c>
    </row>
    <row r="1535" spans="2:65" s="141" customFormat="1" x14ac:dyDescent="0.2">
      <c r="B1535" s="142"/>
      <c r="D1535" s="143" t="s">
        <v>346</v>
      </c>
      <c r="E1535" s="144"/>
      <c r="F1535" s="145" t="s">
        <v>367</v>
      </c>
      <c r="H1535" s="144"/>
      <c r="L1535" s="142"/>
      <c r="M1535" s="146"/>
      <c r="T1535" s="147"/>
      <c r="AT1535" s="144" t="s">
        <v>346</v>
      </c>
      <c r="AU1535" s="144" t="s">
        <v>90</v>
      </c>
      <c r="AV1535" s="141" t="s">
        <v>87</v>
      </c>
      <c r="AW1535" s="141" t="s">
        <v>33</v>
      </c>
      <c r="AX1535" s="141" t="s">
        <v>80</v>
      </c>
      <c r="AY1535" s="144" t="s">
        <v>337</v>
      </c>
    </row>
    <row r="1536" spans="2:65" s="148" customFormat="1" x14ac:dyDescent="0.2">
      <c r="B1536" s="149"/>
      <c r="D1536" s="143" t="s">
        <v>346</v>
      </c>
      <c r="E1536" s="150"/>
      <c r="F1536" s="151" t="s">
        <v>1432</v>
      </c>
      <c r="H1536" s="152">
        <v>9.0280000000000005</v>
      </c>
      <c r="L1536" s="149"/>
      <c r="M1536" s="153"/>
      <c r="T1536" s="154"/>
      <c r="AT1536" s="150" t="s">
        <v>346</v>
      </c>
      <c r="AU1536" s="150" t="s">
        <v>90</v>
      </c>
      <c r="AV1536" s="148" t="s">
        <v>90</v>
      </c>
      <c r="AW1536" s="148" t="s">
        <v>33</v>
      </c>
      <c r="AX1536" s="148" t="s">
        <v>80</v>
      </c>
      <c r="AY1536" s="150" t="s">
        <v>337</v>
      </c>
    </row>
    <row r="1537" spans="2:51" s="148" customFormat="1" x14ac:dyDescent="0.2">
      <c r="B1537" s="149"/>
      <c r="D1537" s="143" t="s">
        <v>346</v>
      </c>
      <c r="E1537" s="150"/>
      <c r="F1537" s="151" t="s">
        <v>1429</v>
      </c>
      <c r="H1537" s="152">
        <v>3.1720000000000002</v>
      </c>
      <c r="L1537" s="149"/>
      <c r="M1537" s="153"/>
      <c r="T1537" s="154"/>
      <c r="AT1537" s="150" t="s">
        <v>346</v>
      </c>
      <c r="AU1537" s="150" t="s">
        <v>90</v>
      </c>
      <c r="AV1537" s="148" t="s">
        <v>90</v>
      </c>
      <c r="AW1537" s="148" t="s">
        <v>33</v>
      </c>
      <c r="AX1537" s="148" t="s">
        <v>80</v>
      </c>
      <c r="AY1537" s="150" t="s">
        <v>337</v>
      </c>
    </row>
    <row r="1538" spans="2:51" s="148" customFormat="1" x14ac:dyDescent="0.2">
      <c r="B1538" s="149"/>
      <c r="D1538" s="143" t="s">
        <v>346</v>
      </c>
      <c r="E1538" s="150"/>
      <c r="F1538" s="151" t="s">
        <v>1433</v>
      </c>
      <c r="H1538" s="152">
        <v>4.88</v>
      </c>
      <c r="L1538" s="149"/>
      <c r="M1538" s="153"/>
      <c r="T1538" s="154"/>
      <c r="AT1538" s="150" t="s">
        <v>346</v>
      </c>
      <c r="AU1538" s="150" t="s">
        <v>90</v>
      </c>
      <c r="AV1538" s="148" t="s">
        <v>90</v>
      </c>
      <c r="AW1538" s="148" t="s">
        <v>33</v>
      </c>
      <c r="AX1538" s="148" t="s">
        <v>80</v>
      </c>
      <c r="AY1538" s="150" t="s">
        <v>337</v>
      </c>
    </row>
    <row r="1539" spans="2:51" s="141" customFormat="1" x14ac:dyDescent="0.2">
      <c r="B1539" s="142"/>
      <c r="D1539" s="143" t="s">
        <v>346</v>
      </c>
      <c r="E1539" s="144"/>
      <c r="F1539" s="145" t="s">
        <v>1233</v>
      </c>
      <c r="H1539" s="144"/>
      <c r="L1539" s="142"/>
      <c r="M1539" s="146"/>
      <c r="T1539" s="147"/>
      <c r="AT1539" s="144" t="s">
        <v>346</v>
      </c>
      <c r="AU1539" s="144" t="s">
        <v>90</v>
      </c>
      <c r="AV1539" s="141" t="s">
        <v>87</v>
      </c>
      <c r="AW1539" s="141" t="s">
        <v>33</v>
      </c>
      <c r="AX1539" s="141" t="s">
        <v>80</v>
      </c>
      <c r="AY1539" s="144" t="s">
        <v>337</v>
      </c>
    </row>
    <row r="1540" spans="2:51" s="148" customFormat="1" x14ac:dyDescent="0.2">
      <c r="B1540" s="149"/>
      <c r="D1540" s="143" t="s">
        <v>346</v>
      </c>
      <c r="E1540" s="150"/>
      <c r="F1540" s="151" t="s">
        <v>1434</v>
      </c>
      <c r="H1540" s="152">
        <v>3.1829999999999998</v>
      </c>
      <c r="L1540" s="149"/>
      <c r="M1540" s="153"/>
      <c r="T1540" s="154"/>
      <c r="AT1540" s="150" t="s">
        <v>346</v>
      </c>
      <c r="AU1540" s="150" t="s">
        <v>90</v>
      </c>
      <c r="AV1540" s="148" t="s">
        <v>90</v>
      </c>
      <c r="AW1540" s="148" t="s">
        <v>33</v>
      </c>
      <c r="AX1540" s="148" t="s">
        <v>80</v>
      </c>
      <c r="AY1540" s="150" t="s">
        <v>337</v>
      </c>
    </row>
    <row r="1541" spans="2:51" s="141" customFormat="1" x14ac:dyDescent="0.2">
      <c r="B1541" s="142"/>
      <c r="D1541" s="143" t="s">
        <v>346</v>
      </c>
      <c r="E1541" s="144"/>
      <c r="F1541" s="145" t="s">
        <v>368</v>
      </c>
      <c r="H1541" s="144"/>
      <c r="L1541" s="142"/>
      <c r="M1541" s="146"/>
      <c r="T1541" s="147"/>
      <c r="AT1541" s="144" t="s">
        <v>346</v>
      </c>
      <c r="AU1541" s="144" t="s">
        <v>90</v>
      </c>
      <c r="AV1541" s="141" t="s">
        <v>87</v>
      </c>
      <c r="AW1541" s="141" t="s">
        <v>33</v>
      </c>
      <c r="AX1541" s="141" t="s">
        <v>80</v>
      </c>
      <c r="AY1541" s="144" t="s">
        <v>337</v>
      </c>
    </row>
    <row r="1542" spans="2:51" s="148" customFormat="1" x14ac:dyDescent="0.2">
      <c r="B1542" s="149"/>
      <c r="D1542" s="143" t="s">
        <v>346</v>
      </c>
      <c r="E1542" s="150"/>
      <c r="F1542" s="151" t="s">
        <v>1432</v>
      </c>
      <c r="H1542" s="152">
        <v>9.0280000000000005</v>
      </c>
      <c r="L1542" s="149"/>
      <c r="M1542" s="153"/>
      <c r="T1542" s="154"/>
      <c r="AT1542" s="150" t="s">
        <v>346</v>
      </c>
      <c r="AU1542" s="150" t="s">
        <v>90</v>
      </c>
      <c r="AV1542" s="148" t="s">
        <v>90</v>
      </c>
      <c r="AW1542" s="148" t="s">
        <v>33</v>
      </c>
      <c r="AX1542" s="148" t="s">
        <v>80</v>
      </c>
      <c r="AY1542" s="150" t="s">
        <v>337</v>
      </c>
    </row>
    <row r="1543" spans="2:51" s="148" customFormat="1" x14ac:dyDescent="0.2">
      <c r="B1543" s="149"/>
      <c r="D1543" s="143" t="s">
        <v>346</v>
      </c>
      <c r="E1543" s="150"/>
      <c r="F1543" s="151" t="s">
        <v>1429</v>
      </c>
      <c r="H1543" s="152">
        <v>3.1720000000000002</v>
      </c>
      <c r="L1543" s="149"/>
      <c r="M1543" s="153"/>
      <c r="T1543" s="154"/>
      <c r="AT1543" s="150" t="s">
        <v>346</v>
      </c>
      <c r="AU1543" s="150" t="s">
        <v>90</v>
      </c>
      <c r="AV1543" s="148" t="s">
        <v>90</v>
      </c>
      <c r="AW1543" s="148" t="s">
        <v>33</v>
      </c>
      <c r="AX1543" s="148" t="s">
        <v>80</v>
      </c>
      <c r="AY1543" s="150" t="s">
        <v>337</v>
      </c>
    </row>
    <row r="1544" spans="2:51" s="148" customFormat="1" x14ac:dyDescent="0.2">
      <c r="B1544" s="149"/>
      <c r="D1544" s="143" t="s">
        <v>346</v>
      </c>
      <c r="E1544" s="150"/>
      <c r="F1544" s="151" t="s">
        <v>1430</v>
      </c>
      <c r="H1544" s="152">
        <v>8.3879999999999999</v>
      </c>
      <c r="L1544" s="149"/>
      <c r="M1544" s="153"/>
      <c r="T1544" s="154"/>
      <c r="AT1544" s="150" t="s">
        <v>346</v>
      </c>
      <c r="AU1544" s="150" t="s">
        <v>90</v>
      </c>
      <c r="AV1544" s="148" t="s">
        <v>90</v>
      </c>
      <c r="AW1544" s="148" t="s">
        <v>33</v>
      </c>
      <c r="AX1544" s="148" t="s">
        <v>80</v>
      </c>
      <c r="AY1544" s="150" t="s">
        <v>337</v>
      </c>
    </row>
    <row r="1545" spans="2:51" s="141" customFormat="1" x14ac:dyDescent="0.2">
      <c r="B1545" s="142"/>
      <c r="D1545" s="143" t="s">
        <v>346</v>
      </c>
      <c r="E1545" s="144"/>
      <c r="F1545" s="145" t="s">
        <v>1233</v>
      </c>
      <c r="H1545" s="144"/>
      <c r="L1545" s="142"/>
      <c r="M1545" s="146"/>
      <c r="T1545" s="147"/>
      <c r="AT1545" s="144" t="s">
        <v>346</v>
      </c>
      <c r="AU1545" s="144" t="s">
        <v>90</v>
      </c>
      <c r="AV1545" s="141" t="s">
        <v>87</v>
      </c>
      <c r="AW1545" s="141" t="s">
        <v>33</v>
      </c>
      <c r="AX1545" s="141" t="s">
        <v>80</v>
      </c>
      <c r="AY1545" s="144" t="s">
        <v>337</v>
      </c>
    </row>
    <row r="1546" spans="2:51" s="148" customFormat="1" x14ac:dyDescent="0.2">
      <c r="B1546" s="149"/>
      <c r="D1546" s="143" t="s">
        <v>346</v>
      </c>
      <c r="E1546" s="150"/>
      <c r="F1546" s="151" t="s">
        <v>1435</v>
      </c>
      <c r="H1546" s="152">
        <v>19.992999999999999</v>
      </c>
      <c r="L1546" s="149"/>
      <c r="M1546" s="153"/>
      <c r="T1546" s="154"/>
      <c r="AT1546" s="150" t="s">
        <v>346</v>
      </c>
      <c r="AU1546" s="150" t="s">
        <v>90</v>
      </c>
      <c r="AV1546" s="148" t="s">
        <v>90</v>
      </c>
      <c r="AW1546" s="148" t="s">
        <v>33</v>
      </c>
      <c r="AX1546" s="148" t="s">
        <v>80</v>
      </c>
      <c r="AY1546" s="150" t="s">
        <v>337</v>
      </c>
    </row>
    <row r="1547" spans="2:51" s="141" customFormat="1" x14ac:dyDescent="0.2">
      <c r="B1547" s="142"/>
      <c r="D1547" s="143" t="s">
        <v>346</v>
      </c>
      <c r="E1547" s="144"/>
      <c r="F1547" s="145" t="s">
        <v>370</v>
      </c>
      <c r="H1547" s="144"/>
      <c r="L1547" s="142"/>
      <c r="M1547" s="146"/>
      <c r="T1547" s="147"/>
      <c r="AT1547" s="144" t="s">
        <v>346</v>
      </c>
      <c r="AU1547" s="144" t="s">
        <v>90</v>
      </c>
      <c r="AV1547" s="141" t="s">
        <v>87</v>
      </c>
      <c r="AW1547" s="141" t="s">
        <v>33</v>
      </c>
      <c r="AX1547" s="141" t="s">
        <v>80</v>
      </c>
      <c r="AY1547" s="144" t="s">
        <v>337</v>
      </c>
    </row>
    <row r="1548" spans="2:51" s="148" customFormat="1" x14ac:dyDescent="0.2">
      <c r="B1548" s="149"/>
      <c r="D1548" s="143" t="s">
        <v>346</v>
      </c>
      <c r="E1548" s="150"/>
      <c r="F1548" s="151" t="s">
        <v>1432</v>
      </c>
      <c r="H1548" s="152">
        <v>9.0280000000000005</v>
      </c>
      <c r="L1548" s="149"/>
      <c r="M1548" s="153"/>
      <c r="T1548" s="154"/>
      <c r="AT1548" s="150" t="s">
        <v>346</v>
      </c>
      <c r="AU1548" s="150" t="s">
        <v>90</v>
      </c>
      <c r="AV1548" s="148" t="s">
        <v>90</v>
      </c>
      <c r="AW1548" s="148" t="s">
        <v>33</v>
      </c>
      <c r="AX1548" s="148" t="s">
        <v>80</v>
      </c>
      <c r="AY1548" s="150" t="s">
        <v>337</v>
      </c>
    </row>
    <row r="1549" spans="2:51" s="148" customFormat="1" x14ac:dyDescent="0.2">
      <c r="B1549" s="149"/>
      <c r="D1549" s="143" t="s">
        <v>346</v>
      </c>
      <c r="E1549" s="150"/>
      <c r="F1549" s="151" t="s">
        <v>1429</v>
      </c>
      <c r="H1549" s="152">
        <v>3.1720000000000002</v>
      </c>
      <c r="L1549" s="149"/>
      <c r="M1549" s="153"/>
      <c r="T1549" s="154"/>
      <c r="AT1549" s="150" t="s">
        <v>346</v>
      </c>
      <c r="AU1549" s="150" t="s">
        <v>90</v>
      </c>
      <c r="AV1549" s="148" t="s">
        <v>90</v>
      </c>
      <c r="AW1549" s="148" t="s">
        <v>33</v>
      </c>
      <c r="AX1549" s="148" t="s">
        <v>80</v>
      </c>
      <c r="AY1549" s="150" t="s">
        <v>337</v>
      </c>
    </row>
    <row r="1550" spans="2:51" s="148" customFormat="1" x14ac:dyDescent="0.2">
      <c r="B1550" s="149"/>
      <c r="D1550" s="143" t="s">
        <v>346</v>
      </c>
      <c r="E1550" s="150"/>
      <c r="F1550" s="151" t="s">
        <v>1433</v>
      </c>
      <c r="H1550" s="152">
        <v>4.88</v>
      </c>
      <c r="L1550" s="149"/>
      <c r="M1550" s="153"/>
      <c r="T1550" s="154"/>
      <c r="AT1550" s="150" t="s">
        <v>346</v>
      </c>
      <c r="AU1550" s="150" t="s">
        <v>90</v>
      </c>
      <c r="AV1550" s="148" t="s">
        <v>90</v>
      </c>
      <c r="AW1550" s="148" t="s">
        <v>33</v>
      </c>
      <c r="AX1550" s="148" t="s">
        <v>80</v>
      </c>
      <c r="AY1550" s="150" t="s">
        <v>337</v>
      </c>
    </row>
    <row r="1551" spans="2:51" s="141" customFormat="1" x14ac:dyDescent="0.2">
      <c r="B1551" s="142"/>
      <c r="D1551" s="143" t="s">
        <v>346</v>
      </c>
      <c r="E1551" s="144"/>
      <c r="F1551" s="145" t="s">
        <v>1233</v>
      </c>
      <c r="H1551" s="144"/>
      <c r="L1551" s="142"/>
      <c r="M1551" s="146"/>
      <c r="T1551" s="147"/>
      <c r="AT1551" s="144" t="s">
        <v>346</v>
      </c>
      <c r="AU1551" s="144" t="s">
        <v>90</v>
      </c>
      <c r="AV1551" s="141" t="s">
        <v>87</v>
      </c>
      <c r="AW1551" s="141" t="s">
        <v>33</v>
      </c>
      <c r="AX1551" s="141" t="s">
        <v>80</v>
      </c>
      <c r="AY1551" s="144" t="s">
        <v>337</v>
      </c>
    </row>
    <row r="1552" spans="2:51" s="148" customFormat="1" x14ac:dyDescent="0.2">
      <c r="B1552" s="149"/>
      <c r="D1552" s="143" t="s">
        <v>346</v>
      </c>
      <c r="E1552" s="150"/>
      <c r="F1552" s="151" t="s">
        <v>1436</v>
      </c>
      <c r="H1552" s="152">
        <v>19.291</v>
      </c>
      <c r="L1552" s="149"/>
      <c r="M1552" s="153"/>
      <c r="T1552" s="154"/>
      <c r="AT1552" s="150" t="s">
        <v>346</v>
      </c>
      <c r="AU1552" s="150" t="s">
        <v>90</v>
      </c>
      <c r="AV1552" s="148" t="s">
        <v>90</v>
      </c>
      <c r="AW1552" s="148" t="s">
        <v>33</v>
      </c>
      <c r="AX1552" s="148" t="s">
        <v>80</v>
      </c>
      <c r="AY1552" s="150" t="s">
        <v>337</v>
      </c>
    </row>
    <row r="1553" spans="2:65" s="141" customFormat="1" x14ac:dyDescent="0.2">
      <c r="B1553" s="142"/>
      <c r="D1553" s="143" t="s">
        <v>346</v>
      </c>
      <c r="E1553" s="144"/>
      <c r="F1553" s="145" t="s">
        <v>434</v>
      </c>
      <c r="H1553" s="144"/>
      <c r="L1553" s="142"/>
      <c r="M1553" s="146"/>
      <c r="T1553" s="147"/>
      <c r="AT1553" s="144" t="s">
        <v>346</v>
      </c>
      <c r="AU1553" s="144" t="s">
        <v>90</v>
      </c>
      <c r="AV1553" s="141" t="s">
        <v>87</v>
      </c>
      <c r="AW1553" s="141" t="s">
        <v>33</v>
      </c>
      <c r="AX1553" s="141" t="s">
        <v>80</v>
      </c>
      <c r="AY1553" s="144" t="s">
        <v>337</v>
      </c>
    </row>
    <row r="1554" spans="2:65" s="148" customFormat="1" x14ac:dyDescent="0.2">
      <c r="B1554" s="149"/>
      <c r="D1554" s="143" t="s">
        <v>346</v>
      </c>
      <c r="E1554" s="150"/>
      <c r="F1554" s="151" t="s">
        <v>1437</v>
      </c>
      <c r="H1554" s="152">
        <v>8.8800000000000008</v>
      </c>
      <c r="L1554" s="149"/>
      <c r="M1554" s="153"/>
      <c r="T1554" s="154"/>
      <c r="AT1554" s="150" t="s">
        <v>346</v>
      </c>
      <c r="AU1554" s="150" t="s">
        <v>90</v>
      </c>
      <c r="AV1554" s="148" t="s">
        <v>90</v>
      </c>
      <c r="AW1554" s="148" t="s">
        <v>33</v>
      </c>
      <c r="AX1554" s="148" t="s">
        <v>80</v>
      </c>
      <c r="AY1554" s="150" t="s">
        <v>337</v>
      </c>
    </row>
    <row r="1555" spans="2:65" s="148" customFormat="1" x14ac:dyDescent="0.2">
      <c r="B1555" s="149"/>
      <c r="D1555" s="143" t="s">
        <v>346</v>
      </c>
      <c r="E1555" s="150"/>
      <c r="F1555" s="151" t="s">
        <v>1438</v>
      </c>
      <c r="H1555" s="152">
        <v>4.9800000000000004</v>
      </c>
      <c r="L1555" s="149"/>
      <c r="M1555" s="153"/>
      <c r="T1555" s="154"/>
      <c r="AT1555" s="150" t="s">
        <v>346</v>
      </c>
      <c r="AU1555" s="150" t="s">
        <v>90</v>
      </c>
      <c r="AV1555" s="148" t="s">
        <v>90</v>
      </c>
      <c r="AW1555" s="148" t="s">
        <v>33</v>
      </c>
      <c r="AX1555" s="148" t="s">
        <v>80</v>
      </c>
      <c r="AY1555" s="150" t="s">
        <v>337</v>
      </c>
    </row>
    <row r="1556" spans="2:65" s="155" customFormat="1" x14ac:dyDescent="0.2">
      <c r="B1556" s="156"/>
      <c r="D1556" s="143" t="s">
        <v>346</v>
      </c>
      <c r="E1556" s="157"/>
      <c r="F1556" s="158" t="s">
        <v>351</v>
      </c>
      <c r="H1556" s="159">
        <v>132.45599999999999</v>
      </c>
      <c r="L1556" s="156"/>
      <c r="M1556" s="160"/>
      <c r="T1556" s="161"/>
      <c r="AT1556" s="157" t="s">
        <v>346</v>
      </c>
      <c r="AU1556" s="157" t="s">
        <v>90</v>
      </c>
      <c r="AV1556" s="155" t="s">
        <v>344</v>
      </c>
      <c r="AW1556" s="155" t="s">
        <v>33</v>
      </c>
      <c r="AX1556" s="155" t="s">
        <v>87</v>
      </c>
      <c r="AY1556" s="157" t="s">
        <v>337</v>
      </c>
    </row>
    <row r="1557" spans="2:65" s="16" customFormat="1" ht="16.5" customHeight="1" x14ac:dyDescent="0.2">
      <c r="B1557" s="17"/>
      <c r="C1557" s="128">
        <v>129</v>
      </c>
      <c r="D1557" s="128" t="s">
        <v>339</v>
      </c>
      <c r="E1557" s="129" t="s">
        <v>1440</v>
      </c>
      <c r="F1557" s="130" t="s">
        <v>1441</v>
      </c>
      <c r="G1557" s="131" t="s">
        <v>425</v>
      </c>
      <c r="H1557" s="132">
        <v>44.04</v>
      </c>
      <c r="I1557" s="133"/>
      <c r="J1557" s="134">
        <f>ROUND(I1557*H1557,2)</f>
        <v>0</v>
      </c>
      <c r="K1557" s="130"/>
      <c r="L1557" s="17"/>
      <c r="M1557" s="135"/>
      <c r="N1557" s="136" t="s">
        <v>45</v>
      </c>
      <c r="P1557" s="137">
        <f>O1557*H1557</f>
        <v>0</v>
      </c>
      <c r="Q1557" s="137">
        <v>2.7199999999999998E-2</v>
      </c>
      <c r="R1557" s="137">
        <f>Q1557*H1557</f>
        <v>1.1978879999999998</v>
      </c>
      <c r="S1557" s="137">
        <v>0</v>
      </c>
      <c r="T1557" s="138">
        <f>S1557*H1557</f>
        <v>0</v>
      </c>
      <c r="AR1557" s="139" t="s">
        <v>496</v>
      </c>
      <c r="AT1557" s="139" t="s">
        <v>339</v>
      </c>
      <c r="AU1557" s="139" t="s">
        <v>90</v>
      </c>
      <c r="AY1557" s="2" t="s">
        <v>337</v>
      </c>
      <c r="BE1557" s="140">
        <f>IF(N1557="základní",J1557,0)</f>
        <v>0</v>
      </c>
      <c r="BF1557" s="140">
        <f>IF(N1557="snížená",J1557,0)</f>
        <v>0</v>
      </c>
      <c r="BG1557" s="140">
        <f>IF(N1557="zákl. přenesená",J1557,0)</f>
        <v>0</v>
      </c>
      <c r="BH1557" s="140">
        <f>IF(N1557="sníž. přenesená",J1557,0)</f>
        <v>0</v>
      </c>
      <c r="BI1557" s="140">
        <f>IF(N1557="nulová",J1557,0)</f>
        <v>0</v>
      </c>
      <c r="BJ1557" s="2" t="s">
        <v>87</v>
      </c>
      <c r="BK1557" s="140">
        <f>ROUND(I1557*H1557,2)</f>
        <v>0</v>
      </c>
      <c r="BL1557" s="2" t="s">
        <v>496</v>
      </c>
      <c r="BM1557" s="139" t="s">
        <v>1442</v>
      </c>
    </row>
    <row r="1558" spans="2:65" s="141" customFormat="1" x14ac:dyDescent="0.2">
      <c r="B1558" s="142"/>
      <c r="D1558" s="143" t="s">
        <v>346</v>
      </c>
      <c r="E1558" s="144"/>
      <c r="F1558" s="145" t="s">
        <v>357</v>
      </c>
      <c r="H1558" s="144"/>
      <c r="L1558" s="142"/>
      <c r="M1558" s="146"/>
      <c r="T1558" s="147"/>
      <c r="AT1558" s="144" t="s">
        <v>346</v>
      </c>
      <c r="AU1558" s="144" t="s">
        <v>90</v>
      </c>
      <c r="AV1558" s="141" t="s">
        <v>87</v>
      </c>
      <c r="AW1558" s="141" t="s">
        <v>33</v>
      </c>
      <c r="AX1558" s="141" t="s">
        <v>80</v>
      </c>
      <c r="AY1558" s="144" t="s">
        <v>337</v>
      </c>
    </row>
    <row r="1559" spans="2:65" s="141" customFormat="1" x14ac:dyDescent="0.2">
      <c r="B1559" s="142"/>
      <c r="D1559" s="143" t="s">
        <v>346</v>
      </c>
      <c r="E1559" s="144"/>
      <c r="F1559" s="145" t="s">
        <v>1233</v>
      </c>
      <c r="H1559" s="144"/>
      <c r="L1559" s="142"/>
      <c r="M1559" s="146"/>
      <c r="T1559" s="147"/>
      <c r="AT1559" s="144" t="s">
        <v>346</v>
      </c>
      <c r="AU1559" s="144" t="s">
        <v>90</v>
      </c>
      <c r="AV1559" s="141" t="s">
        <v>87</v>
      </c>
      <c r="AW1559" s="141" t="s">
        <v>33</v>
      </c>
      <c r="AX1559" s="141" t="s">
        <v>80</v>
      </c>
      <c r="AY1559" s="144" t="s">
        <v>337</v>
      </c>
    </row>
    <row r="1560" spans="2:65" s="148" customFormat="1" x14ac:dyDescent="0.2">
      <c r="B1560" s="149"/>
      <c r="D1560" s="143" t="s">
        <v>346</v>
      </c>
      <c r="E1560" s="150"/>
      <c r="F1560" s="151" t="s">
        <v>1443</v>
      </c>
      <c r="H1560" s="152">
        <v>7.5880000000000001</v>
      </c>
      <c r="L1560" s="149"/>
      <c r="M1560" s="153"/>
      <c r="T1560" s="154"/>
      <c r="AT1560" s="150" t="s">
        <v>346</v>
      </c>
      <c r="AU1560" s="150" t="s">
        <v>90</v>
      </c>
      <c r="AV1560" s="148" t="s">
        <v>90</v>
      </c>
      <c r="AW1560" s="148" t="s">
        <v>33</v>
      </c>
      <c r="AX1560" s="148" t="s">
        <v>80</v>
      </c>
      <c r="AY1560" s="150" t="s">
        <v>337</v>
      </c>
    </row>
    <row r="1561" spans="2:65" s="148" customFormat="1" x14ac:dyDescent="0.2">
      <c r="B1561" s="149"/>
      <c r="D1561" s="143" t="s">
        <v>346</v>
      </c>
      <c r="E1561" s="150"/>
      <c r="F1561" s="151" t="s">
        <v>1444</v>
      </c>
      <c r="H1561" s="152">
        <v>2.4390000000000001</v>
      </c>
      <c r="L1561" s="149"/>
      <c r="M1561" s="153"/>
      <c r="T1561" s="154"/>
      <c r="AT1561" s="150" t="s">
        <v>346</v>
      </c>
      <c r="AU1561" s="150" t="s">
        <v>90</v>
      </c>
      <c r="AV1561" s="148" t="s">
        <v>90</v>
      </c>
      <c r="AW1561" s="148" t="s">
        <v>33</v>
      </c>
      <c r="AX1561" s="148" t="s">
        <v>80</v>
      </c>
      <c r="AY1561" s="150" t="s">
        <v>337</v>
      </c>
    </row>
    <row r="1562" spans="2:65" s="148" customFormat="1" x14ac:dyDescent="0.2">
      <c r="B1562" s="149"/>
      <c r="D1562" s="143" t="s">
        <v>346</v>
      </c>
      <c r="E1562" s="150"/>
      <c r="F1562" s="151" t="s">
        <v>1445</v>
      </c>
      <c r="H1562" s="152">
        <v>2.1</v>
      </c>
      <c r="L1562" s="149"/>
      <c r="M1562" s="153"/>
      <c r="T1562" s="154"/>
      <c r="AT1562" s="150" t="s">
        <v>346</v>
      </c>
      <c r="AU1562" s="150" t="s">
        <v>90</v>
      </c>
      <c r="AV1562" s="148" t="s">
        <v>90</v>
      </c>
      <c r="AW1562" s="148" t="s">
        <v>33</v>
      </c>
      <c r="AX1562" s="148" t="s">
        <v>80</v>
      </c>
      <c r="AY1562" s="150" t="s">
        <v>337</v>
      </c>
    </row>
    <row r="1563" spans="2:65" s="148" customFormat="1" x14ac:dyDescent="0.2">
      <c r="B1563" s="149"/>
      <c r="D1563" s="143" t="s">
        <v>346</v>
      </c>
      <c r="E1563" s="150"/>
      <c r="F1563" s="151" t="s">
        <v>1446</v>
      </c>
      <c r="H1563" s="152">
        <v>5.9619999999999997</v>
      </c>
      <c r="L1563" s="149"/>
      <c r="M1563" s="153"/>
      <c r="T1563" s="154"/>
      <c r="AT1563" s="150" t="s">
        <v>346</v>
      </c>
      <c r="AU1563" s="150" t="s">
        <v>90</v>
      </c>
      <c r="AV1563" s="148" t="s">
        <v>90</v>
      </c>
      <c r="AW1563" s="148" t="s">
        <v>33</v>
      </c>
      <c r="AX1563" s="148" t="s">
        <v>80</v>
      </c>
      <c r="AY1563" s="150" t="s">
        <v>337</v>
      </c>
    </row>
    <row r="1564" spans="2:65" s="141" customFormat="1" x14ac:dyDescent="0.2">
      <c r="B1564" s="142"/>
      <c r="D1564" s="143" t="s">
        <v>346</v>
      </c>
      <c r="E1564" s="144"/>
      <c r="F1564" s="145" t="s">
        <v>362</v>
      </c>
      <c r="H1564" s="144"/>
      <c r="L1564" s="142"/>
      <c r="M1564" s="146"/>
      <c r="T1564" s="147"/>
      <c r="AT1564" s="144" t="s">
        <v>346</v>
      </c>
      <c r="AU1564" s="144" t="s">
        <v>90</v>
      </c>
      <c r="AV1564" s="141" t="s">
        <v>87</v>
      </c>
      <c r="AW1564" s="141" t="s">
        <v>33</v>
      </c>
      <c r="AX1564" s="141" t="s">
        <v>80</v>
      </c>
      <c r="AY1564" s="144" t="s">
        <v>337</v>
      </c>
    </row>
    <row r="1565" spans="2:65" s="148" customFormat="1" x14ac:dyDescent="0.2">
      <c r="B1565" s="149"/>
      <c r="D1565" s="143" t="s">
        <v>346</v>
      </c>
      <c r="E1565" s="150"/>
      <c r="F1565" s="151" t="s">
        <v>1447</v>
      </c>
      <c r="H1565" s="152">
        <v>0</v>
      </c>
      <c r="L1565" s="149"/>
      <c r="M1565" s="153"/>
      <c r="T1565" s="154"/>
      <c r="AT1565" s="150" t="s">
        <v>346</v>
      </c>
      <c r="AU1565" s="150" t="s">
        <v>90</v>
      </c>
      <c r="AV1565" s="148" t="s">
        <v>90</v>
      </c>
      <c r="AW1565" s="148" t="s">
        <v>33</v>
      </c>
      <c r="AX1565" s="148" t="s">
        <v>80</v>
      </c>
      <c r="AY1565" s="150" t="s">
        <v>337</v>
      </c>
    </row>
    <row r="1566" spans="2:65" s="141" customFormat="1" x14ac:dyDescent="0.2">
      <c r="B1566" s="142"/>
      <c r="D1566" s="143" t="s">
        <v>346</v>
      </c>
      <c r="E1566" s="144"/>
      <c r="F1566" s="145" t="s">
        <v>367</v>
      </c>
      <c r="H1566" s="144"/>
      <c r="L1566" s="142"/>
      <c r="M1566" s="146"/>
      <c r="T1566" s="147"/>
      <c r="AT1566" s="144" t="s">
        <v>346</v>
      </c>
      <c r="AU1566" s="144" t="s">
        <v>90</v>
      </c>
      <c r="AV1566" s="141" t="s">
        <v>87</v>
      </c>
      <c r="AW1566" s="141" t="s">
        <v>33</v>
      </c>
      <c r="AX1566" s="141" t="s">
        <v>80</v>
      </c>
      <c r="AY1566" s="144" t="s">
        <v>337</v>
      </c>
    </row>
    <row r="1567" spans="2:65" s="148" customFormat="1" x14ac:dyDescent="0.2">
      <c r="B1567" s="149"/>
      <c r="D1567" s="143" t="s">
        <v>346</v>
      </c>
      <c r="E1567" s="150"/>
      <c r="F1567" s="151" t="s">
        <v>1448</v>
      </c>
      <c r="H1567" s="152">
        <v>5.0330000000000004</v>
      </c>
      <c r="L1567" s="149"/>
      <c r="M1567" s="153"/>
      <c r="T1567" s="154"/>
      <c r="AT1567" s="150" t="s">
        <v>346</v>
      </c>
      <c r="AU1567" s="150" t="s">
        <v>90</v>
      </c>
      <c r="AV1567" s="148" t="s">
        <v>90</v>
      </c>
      <c r="AW1567" s="148" t="s">
        <v>33</v>
      </c>
      <c r="AX1567" s="148" t="s">
        <v>80</v>
      </c>
      <c r="AY1567" s="150" t="s">
        <v>337</v>
      </c>
    </row>
    <row r="1568" spans="2:65" s="141" customFormat="1" x14ac:dyDescent="0.2">
      <c r="B1568" s="142"/>
      <c r="D1568" s="143" t="s">
        <v>346</v>
      </c>
      <c r="E1568" s="144"/>
      <c r="F1568" s="145" t="s">
        <v>368</v>
      </c>
      <c r="H1568" s="144"/>
      <c r="L1568" s="142"/>
      <c r="M1568" s="146"/>
      <c r="T1568" s="147"/>
      <c r="AT1568" s="144" t="s">
        <v>346</v>
      </c>
      <c r="AU1568" s="144" t="s">
        <v>90</v>
      </c>
      <c r="AV1568" s="141" t="s">
        <v>87</v>
      </c>
      <c r="AW1568" s="141" t="s">
        <v>33</v>
      </c>
      <c r="AX1568" s="141" t="s">
        <v>80</v>
      </c>
      <c r="AY1568" s="144" t="s">
        <v>337</v>
      </c>
    </row>
    <row r="1569" spans="2:65" s="148" customFormat="1" x14ac:dyDescent="0.2">
      <c r="B1569" s="149"/>
      <c r="D1569" s="143" t="s">
        <v>346</v>
      </c>
      <c r="E1569" s="150"/>
      <c r="F1569" s="151" t="s">
        <v>1448</v>
      </c>
      <c r="H1569" s="152">
        <v>5.0330000000000004</v>
      </c>
      <c r="L1569" s="149"/>
      <c r="M1569" s="153"/>
      <c r="T1569" s="154"/>
      <c r="AT1569" s="150" t="s">
        <v>346</v>
      </c>
      <c r="AU1569" s="150" t="s">
        <v>90</v>
      </c>
      <c r="AV1569" s="148" t="s">
        <v>90</v>
      </c>
      <c r="AW1569" s="148" t="s">
        <v>33</v>
      </c>
      <c r="AX1569" s="148" t="s">
        <v>80</v>
      </c>
      <c r="AY1569" s="150" t="s">
        <v>337</v>
      </c>
    </row>
    <row r="1570" spans="2:65" s="141" customFormat="1" x14ac:dyDescent="0.2">
      <c r="B1570" s="142"/>
      <c r="D1570" s="143" t="s">
        <v>346</v>
      </c>
      <c r="E1570" s="144"/>
      <c r="F1570" s="145" t="s">
        <v>434</v>
      </c>
      <c r="H1570" s="144"/>
      <c r="L1570" s="142"/>
      <c r="M1570" s="146"/>
      <c r="T1570" s="147"/>
      <c r="AT1570" s="144" t="s">
        <v>346</v>
      </c>
      <c r="AU1570" s="144" t="s">
        <v>90</v>
      </c>
      <c r="AV1570" s="141" t="s">
        <v>87</v>
      </c>
      <c r="AW1570" s="141" t="s">
        <v>33</v>
      </c>
      <c r="AX1570" s="141" t="s">
        <v>80</v>
      </c>
      <c r="AY1570" s="144" t="s">
        <v>337</v>
      </c>
    </row>
    <row r="1571" spans="2:65" s="148" customFormat="1" x14ac:dyDescent="0.2">
      <c r="B1571" s="149"/>
      <c r="D1571" s="143" t="s">
        <v>346</v>
      </c>
      <c r="E1571" s="150"/>
      <c r="F1571" s="151" t="s">
        <v>1449</v>
      </c>
      <c r="H1571" s="152">
        <v>2.895</v>
      </c>
      <c r="L1571" s="149"/>
      <c r="M1571" s="153"/>
      <c r="T1571" s="154"/>
      <c r="AT1571" s="150" t="s">
        <v>346</v>
      </c>
      <c r="AU1571" s="150" t="s">
        <v>90</v>
      </c>
      <c r="AV1571" s="148" t="s">
        <v>90</v>
      </c>
      <c r="AW1571" s="148" t="s">
        <v>33</v>
      </c>
      <c r="AX1571" s="148" t="s">
        <v>80</v>
      </c>
      <c r="AY1571" s="150" t="s">
        <v>337</v>
      </c>
    </row>
    <row r="1572" spans="2:65" s="148" customFormat="1" x14ac:dyDescent="0.2">
      <c r="B1572" s="149"/>
      <c r="D1572" s="143" t="s">
        <v>346</v>
      </c>
      <c r="E1572" s="150"/>
      <c r="F1572" s="151" t="s">
        <v>1450</v>
      </c>
      <c r="H1572" s="152">
        <v>4.3499999999999996</v>
      </c>
      <c r="L1572" s="149"/>
      <c r="M1572" s="153"/>
      <c r="T1572" s="154"/>
      <c r="AT1572" s="150" t="s">
        <v>346</v>
      </c>
      <c r="AU1572" s="150" t="s">
        <v>90</v>
      </c>
      <c r="AV1572" s="148" t="s">
        <v>90</v>
      </c>
      <c r="AW1572" s="148" t="s">
        <v>33</v>
      </c>
      <c r="AX1572" s="148" t="s">
        <v>80</v>
      </c>
      <c r="AY1572" s="150" t="s">
        <v>337</v>
      </c>
    </row>
    <row r="1573" spans="2:65" s="148" customFormat="1" x14ac:dyDescent="0.2">
      <c r="B1573" s="149"/>
      <c r="D1573" s="143" t="s">
        <v>346</v>
      </c>
      <c r="E1573" s="150"/>
      <c r="F1573" s="151" t="s">
        <v>1451</v>
      </c>
      <c r="H1573" s="152">
        <v>6</v>
      </c>
      <c r="L1573" s="149"/>
      <c r="M1573" s="153"/>
      <c r="T1573" s="154"/>
      <c r="AT1573" s="150" t="s">
        <v>346</v>
      </c>
      <c r="AU1573" s="150" t="s">
        <v>90</v>
      </c>
      <c r="AV1573" s="148" t="s">
        <v>90</v>
      </c>
      <c r="AW1573" s="148" t="s">
        <v>33</v>
      </c>
      <c r="AX1573" s="148" t="s">
        <v>80</v>
      </c>
      <c r="AY1573" s="150" t="s">
        <v>337</v>
      </c>
    </row>
    <row r="1574" spans="2:65" s="148" customFormat="1" x14ac:dyDescent="0.2">
      <c r="B1574" s="149"/>
      <c r="D1574" s="143" t="s">
        <v>346</v>
      </c>
      <c r="E1574" s="150"/>
      <c r="F1574" s="151" t="s">
        <v>1452</v>
      </c>
      <c r="H1574" s="152">
        <v>2.64</v>
      </c>
      <c r="L1574" s="149"/>
      <c r="M1574" s="153"/>
      <c r="T1574" s="154"/>
      <c r="AT1574" s="150" t="s">
        <v>346</v>
      </c>
      <c r="AU1574" s="150" t="s">
        <v>90</v>
      </c>
      <c r="AV1574" s="148" t="s">
        <v>90</v>
      </c>
      <c r="AW1574" s="148" t="s">
        <v>33</v>
      </c>
      <c r="AX1574" s="148" t="s">
        <v>80</v>
      </c>
      <c r="AY1574" s="150" t="s">
        <v>337</v>
      </c>
    </row>
    <row r="1575" spans="2:65" s="155" customFormat="1" x14ac:dyDescent="0.2">
      <c r="B1575" s="156"/>
      <c r="D1575" s="143" t="s">
        <v>346</v>
      </c>
      <c r="E1575" s="157"/>
      <c r="F1575" s="158" t="s">
        <v>351</v>
      </c>
      <c r="H1575" s="159">
        <v>44.04</v>
      </c>
      <c r="L1575" s="156"/>
      <c r="M1575" s="160"/>
      <c r="T1575" s="161"/>
      <c r="AT1575" s="157" t="s">
        <v>346</v>
      </c>
      <c r="AU1575" s="157" t="s">
        <v>90</v>
      </c>
      <c r="AV1575" s="155" t="s">
        <v>344</v>
      </c>
      <c r="AW1575" s="155" t="s">
        <v>33</v>
      </c>
      <c r="AX1575" s="155" t="s">
        <v>87</v>
      </c>
      <c r="AY1575" s="157" t="s">
        <v>337</v>
      </c>
    </row>
    <row r="1576" spans="2:65" s="16" customFormat="1" ht="16.5" customHeight="1" x14ac:dyDescent="0.2">
      <c r="B1576" s="17"/>
      <c r="C1576" s="128">
        <v>130</v>
      </c>
      <c r="D1576" s="128" t="s">
        <v>339</v>
      </c>
      <c r="E1576" s="129" t="s">
        <v>1453</v>
      </c>
      <c r="F1576" s="130" t="s">
        <v>1454</v>
      </c>
      <c r="G1576" s="131" t="s">
        <v>425</v>
      </c>
      <c r="H1576" s="132">
        <v>30.695</v>
      </c>
      <c r="I1576" s="133"/>
      <c r="J1576" s="134">
        <f>ROUND(I1576*H1576,2)</f>
        <v>0</v>
      </c>
      <c r="K1576" s="130"/>
      <c r="L1576" s="17"/>
      <c r="M1576" s="135"/>
      <c r="N1576" s="136" t="s">
        <v>45</v>
      </c>
      <c r="P1576" s="137">
        <f>O1576*H1576</f>
        <v>0</v>
      </c>
      <c r="Q1576" s="137">
        <v>2.7199999999999998E-2</v>
      </c>
      <c r="R1576" s="137">
        <f>Q1576*H1576</f>
        <v>0.83490399999999998</v>
      </c>
      <c r="S1576" s="137">
        <v>0</v>
      </c>
      <c r="T1576" s="138">
        <f>S1576*H1576</f>
        <v>0</v>
      </c>
      <c r="AR1576" s="139" t="s">
        <v>496</v>
      </c>
      <c r="AT1576" s="139" t="s">
        <v>339</v>
      </c>
      <c r="AU1576" s="139" t="s">
        <v>90</v>
      </c>
      <c r="AY1576" s="2" t="s">
        <v>337</v>
      </c>
      <c r="BE1576" s="140">
        <f>IF(N1576="základní",J1576,0)</f>
        <v>0</v>
      </c>
      <c r="BF1576" s="140">
        <f>IF(N1576="snížená",J1576,0)</f>
        <v>0</v>
      </c>
      <c r="BG1576" s="140">
        <f>IF(N1576="zákl. přenesená",J1576,0)</f>
        <v>0</v>
      </c>
      <c r="BH1576" s="140">
        <f>IF(N1576="sníž. přenesená",J1576,0)</f>
        <v>0</v>
      </c>
      <c r="BI1576" s="140">
        <f>IF(N1576="nulová",J1576,0)</f>
        <v>0</v>
      </c>
      <c r="BJ1576" s="2" t="s">
        <v>87</v>
      </c>
      <c r="BK1576" s="140">
        <f>ROUND(I1576*H1576,2)</f>
        <v>0</v>
      </c>
      <c r="BL1576" s="2" t="s">
        <v>496</v>
      </c>
      <c r="BM1576" s="139" t="s">
        <v>1455</v>
      </c>
    </row>
    <row r="1577" spans="2:65" s="141" customFormat="1" x14ac:dyDescent="0.2">
      <c r="B1577" s="142"/>
      <c r="D1577" s="143" t="s">
        <v>346</v>
      </c>
      <c r="E1577" s="144"/>
      <c r="F1577" s="145" t="s">
        <v>1353</v>
      </c>
      <c r="H1577" s="144"/>
      <c r="L1577" s="142"/>
      <c r="M1577" s="146"/>
      <c r="T1577" s="147"/>
      <c r="AT1577" s="144" t="s">
        <v>346</v>
      </c>
      <c r="AU1577" s="144" t="s">
        <v>90</v>
      </c>
      <c r="AV1577" s="141" t="s">
        <v>87</v>
      </c>
      <c r="AW1577" s="141" t="s">
        <v>33</v>
      </c>
      <c r="AX1577" s="141" t="s">
        <v>80</v>
      </c>
      <c r="AY1577" s="144" t="s">
        <v>337</v>
      </c>
    </row>
    <row r="1578" spans="2:65" s="141" customFormat="1" x14ac:dyDescent="0.2">
      <c r="B1578" s="142"/>
      <c r="D1578" s="143" t="s">
        <v>346</v>
      </c>
      <c r="E1578" s="144"/>
      <c r="F1578" s="145" t="s">
        <v>1283</v>
      </c>
      <c r="H1578" s="144"/>
      <c r="L1578" s="142"/>
      <c r="M1578" s="146"/>
      <c r="T1578" s="147"/>
      <c r="AT1578" s="144" t="s">
        <v>346</v>
      </c>
      <c r="AU1578" s="144" t="s">
        <v>90</v>
      </c>
      <c r="AV1578" s="141" t="s">
        <v>87</v>
      </c>
      <c r="AW1578" s="141" t="s">
        <v>33</v>
      </c>
      <c r="AX1578" s="141" t="s">
        <v>80</v>
      </c>
      <c r="AY1578" s="144" t="s">
        <v>337</v>
      </c>
    </row>
    <row r="1579" spans="2:65" s="141" customFormat="1" x14ac:dyDescent="0.2">
      <c r="B1579" s="142"/>
      <c r="D1579" s="143" t="s">
        <v>346</v>
      </c>
      <c r="E1579" s="144"/>
      <c r="F1579" s="145" t="s">
        <v>357</v>
      </c>
      <c r="H1579" s="144"/>
      <c r="L1579" s="142"/>
      <c r="M1579" s="146"/>
      <c r="T1579" s="147"/>
      <c r="AT1579" s="144" t="s">
        <v>346</v>
      </c>
      <c r="AU1579" s="144" t="s">
        <v>90</v>
      </c>
      <c r="AV1579" s="141" t="s">
        <v>87</v>
      </c>
      <c r="AW1579" s="141" t="s">
        <v>33</v>
      </c>
      <c r="AX1579" s="141" t="s">
        <v>80</v>
      </c>
      <c r="AY1579" s="144" t="s">
        <v>337</v>
      </c>
    </row>
    <row r="1580" spans="2:65" s="141" customFormat="1" x14ac:dyDescent="0.2">
      <c r="B1580" s="142"/>
      <c r="D1580" s="143" t="s">
        <v>346</v>
      </c>
      <c r="E1580" s="144"/>
      <c r="F1580" s="145" t="s">
        <v>1456</v>
      </c>
      <c r="H1580" s="144"/>
      <c r="L1580" s="142"/>
      <c r="M1580" s="146"/>
      <c r="T1580" s="147"/>
      <c r="AT1580" s="144" t="s">
        <v>346</v>
      </c>
      <c r="AU1580" s="144" t="s">
        <v>90</v>
      </c>
      <c r="AV1580" s="141" t="s">
        <v>87</v>
      </c>
      <c r="AW1580" s="141" t="s">
        <v>33</v>
      </c>
      <c r="AX1580" s="141" t="s">
        <v>80</v>
      </c>
      <c r="AY1580" s="144" t="s">
        <v>337</v>
      </c>
    </row>
    <row r="1581" spans="2:65" s="148" customFormat="1" x14ac:dyDescent="0.2">
      <c r="B1581" s="149"/>
      <c r="D1581" s="143" t="s">
        <v>346</v>
      </c>
      <c r="E1581" s="150"/>
      <c r="F1581" s="151" t="s">
        <v>1457</v>
      </c>
      <c r="H1581" s="152">
        <v>5.234</v>
      </c>
      <c r="L1581" s="149"/>
      <c r="M1581" s="153"/>
      <c r="T1581" s="154"/>
      <c r="AT1581" s="150" t="s">
        <v>346</v>
      </c>
      <c r="AU1581" s="150" t="s">
        <v>90</v>
      </c>
      <c r="AV1581" s="148" t="s">
        <v>90</v>
      </c>
      <c r="AW1581" s="148" t="s">
        <v>33</v>
      </c>
      <c r="AX1581" s="148" t="s">
        <v>80</v>
      </c>
      <c r="AY1581" s="150" t="s">
        <v>337</v>
      </c>
    </row>
    <row r="1582" spans="2:65" s="141" customFormat="1" x14ac:dyDescent="0.2">
      <c r="B1582" s="142"/>
      <c r="D1582" s="143" t="s">
        <v>346</v>
      </c>
      <c r="E1582" s="144"/>
      <c r="F1582" s="145" t="s">
        <v>1458</v>
      </c>
      <c r="H1582" s="144"/>
      <c r="L1582" s="142"/>
      <c r="M1582" s="146"/>
      <c r="T1582" s="147"/>
      <c r="AT1582" s="144" t="s">
        <v>346</v>
      </c>
      <c r="AU1582" s="144" t="s">
        <v>90</v>
      </c>
      <c r="AV1582" s="141" t="s">
        <v>87</v>
      </c>
      <c r="AW1582" s="141" t="s">
        <v>33</v>
      </c>
      <c r="AX1582" s="141" t="s">
        <v>80</v>
      </c>
      <c r="AY1582" s="144" t="s">
        <v>337</v>
      </c>
    </row>
    <row r="1583" spans="2:65" s="148" customFormat="1" x14ac:dyDescent="0.2">
      <c r="B1583" s="149"/>
      <c r="D1583" s="143" t="s">
        <v>346</v>
      </c>
      <c r="E1583" s="150"/>
      <c r="F1583" s="151" t="s">
        <v>1459</v>
      </c>
      <c r="H1583" s="152">
        <v>11.653</v>
      </c>
      <c r="L1583" s="149"/>
      <c r="M1583" s="153"/>
      <c r="T1583" s="154"/>
      <c r="AT1583" s="150" t="s">
        <v>346</v>
      </c>
      <c r="AU1583" s="150" t="s">
        <v>90</v>
      </c>
      <c r="AV1583" s="148" t="s">
        <v>90</v>
      </c>
      <c r="AW1583" s="148" t="s">
        <v>33</v>
      </c>
      <c r="AX1583" s="148" t="s">
        <v>80</v>
      </c>
      <c r="AY1583" s="150" t="s">
        <v>337</v>
      </c>
    </row>
    <row r="1584" spans="2:65" s="141" customFormat="1" x14ac:dyDescent="0.2">
      <c r="B1584" s="142"/>
      <c r="D1584" s="143" t="s">
        <v>346</v>
      </c>
      <c r="E1584" s="144"/>
      <c r="F1584" s="145" t="s">
        <v>367</v>
      </c>
      <c r="H1584" s="144"/>
      <c r="L1584" s="142"/>
      <c r="M1584" s="146"/>
      <c r="T1584" s="147"/>
      <c r="AT1584" s="144" t="s">
        <v>346</v>
      </c>
      <c r="AU1584" s="144" t="s">
        <v>90</v>
      </c>
      <c r="AV1584" s="141" t="s">
        <v>87</v>
      </c>
      <c r="AW1584" s="141" t="s">
        <v>33</v>
      </c>
      <c r="AX1584" s="141" t="s">
        <v>80</v>
      </c>
      <c r="AY1584" s="144" t="s">
        <v>337</v>
      </c>
    </row>
    <row r="1585" spans="2:65" s="148" customFormat="1" x14ac:dyDescent="0.2">
      <c r="B1585" s="149"/>
      <c r="D1585" s="143" t="s">
        <v>346</v>
      </c>
      <c r="E1585" s="150"/>
      <c r="F1585" s="151" t="s">
        <v>1460</v>
      </c>
      <c r="H1585" s="152">
        <v>6.7</v>
      </c>
      <c r="L1585" s="149"/>
      <c r="M1585" s="153"/>
      <c r="T1585" s="154"/>
      <c r="AT1585" s="150" t="s">
        <v>346</v>
      </c>
      <c r="AU1585" s="150" t="s">
        <v>90</v>
      </c>
      <c r="AV1585" s="148" t="s">
        <v>90</v>
      </c>
      <c r="AW1585" s="148" t="s">
        <v>33</v>
      </c>
      <c r="AX1585" s="148" t="s">
        <v>80</v>
      </c>
      <c r="AY1585" s="150" t="s">
        <v>337</v>
      </c>
    </row>
    <row r="1586" spans="2:65" s="141" customFormat="1" x14ac:dyDescent="0.2">
      <c r="B1586" s="142"/>
      <c r="D1586" s="143" t="s">
        <v>346</v>
      </c>
      <c r="E1586" s="144"/>
      <c r="F1586" s="145" t="s">
        <v>370</v>
      </c>
      <c r="H1586" s="144"/>
      <c r="L1586" s="142"/>
      <c r="M1586" s="146"/>
      <c r="T1586" s="147"/>
      <c r="AT1586" s="144" t="s">
        <v>346</v>
      </c>
      <c r="AU1586" s="144" t="s">
        <v>90</v>
      </c>
      <c r="AV1586" s="141" t="s">
        <v>87</v>
      </c>
      <c r="AW1586" s="141" t="s">
        <v>33</v>
      </c>
      <c r="AX1586" s="141" t="s">
        <v>80</v>
      </c>
      <c r="AY1586" s="144" t="s">
        <v>337</v>
      </c>
    </row>
    <row r="1587" spans="2:65" s="148" customFormat="1" x14ac:dyDescent="0.2">
      <c r="B1587" s="149"/>
      <c r="D1587" s="143" t="s">
        <v>346</v>
      </c>
      <c r="E1587" s="150"/>
      <c r="F1587" s="151" t="s">
        <v>1461</v>
      </c>
      <c r="H1587" s="152">
        <v>3.508</v>
      </c>
      <c r="L1587" s="149"/>
      <c r="M1587" s="153"/>
      <c r="T1587" s="154"/>
      <c r="AT1587" s="150" t="s">
        <v>346</v>
      </c>
      <c r="AU1587" s="150" t="s">
        <v>90</v>
      </c>
      <c r="AV1587" s="148" t="s">
        <v>90</v>
      </c>
      <c r="AW1587" s="148" t="s">
        <v>33</v>
      </c>
      <c r="AX1587" s="148" t="s">
        <v>80</v>
      </c>
      <c r="AY1587" s="150" t="s">
        <v>337</v>
      </c>
    </row>
    <row r="1588" spans="2:65" s="141" customFormat="1" x14ac:dyDescent="0.2">
      <c r="B1588" s="142"/>
      <c r="D1588" s="143" t="s">
        <v>346</v>
      </c>
      <c r="E1588" s="144"/>
      <c r="F1588" s="145" t="s">
        <v>434</v>
      </c>
      <c r="H1588" s="144"/>
      <c r="L1588" s="142"/>
      <c r="M1588" s="146"/>
      <c r="T1588" s="147"/>
      <c r="AT1588" s="144" t="s">
        <v>346</v>
      </c>
      <c r="AU1588" s="144" t="s">
        <v>90</v>
      </c>
      <c r="AV1588" s="141" t="s">
        <v>87</v>
      </c>
      <c r="AW1588" s="141" t="s">
        <v>33</v>
      </c>
      <c r="AX1588" s="141" t="s">
        <v>80</v>
      </c>
      <c r="AY1588" s="144" t="s">
        <v>337</v>
      </c>
    </row>
    <row r="1589" spans="2:65" s="148" customFormat="1" x14ac:dyDescent="0.2">
      <c r="B1589" s="149"/>
      <c r="D1589" s="143" t="s">
        <v>346</v>
      </c>
      <c r="E1589" s="150"/>
      <c r="F1589" s="151" t="s">
        <v>1462</v>
      </c>
      <c r="H1589" s="152">
        <v>3.6</v>
      </c>
      <c r="L1589" s="149"/>
      <c r="M1589" s="153"/>
      <c r="T1589" s="154"/>
      <c r="AT1589" s="150" t="s">
        <v>346</v>
      </c>
      <c r="AU1589" s="150" t="s">
        <v>90</v>
      </c>
      <c r="AV1589" s="148" t="s">
        <v>90</v>
      </c>
      <c r="AW1589" s="148" t="s">
        <v>33</v>
      </c>
      <c r="AX1589" s="148" t="s">
        <v>80</v>
      </c>
      <c r="AY1589" s="150" t="s">
        <v>337</v>
      </c>
    </row>
    <row r="1590" spans="2:65" s="155" customFormat="1" x14ac:dyDescent="0.2">
      <c r="B1590" s="156"/>
      <c r="D1590" s="143" t="s">
        <v>346</v>
      </c>
      <c r="E1590" s="157"/>
      <c r="F1590" s="158" t="s">
        <v>351</v>
      </c>
      <c r="H1590" s="159">
        <v>30.695</v>
      </c>
      <c r="L1590" s="156"/>
      <c r="M1590" s="160"/>
      <c r="T1590" s="161"/>
      <c r="AT1590" s="157" t="s">
        <v>346</v>
      </c>
      <c r="AU1590" s="157" t="s">
        <v>90</v>
      </c>
      <c r="AV1590" s="155" t="s">
        <v>344</v>
      </c>
      <c r="AW1590" s="155" t="s">
        <v>33</v>
      </c>
      <c r="AX1590" s="155" t="s">
        <v>87</v>
      </c>
      <c r="AY1590" s="157" t="s">
        <v>337</v>
      </c>
    </row>
    <row r="1591" spans="2:65" s="16" customFormat="1" ht="16.5" customHeight="1" x14ac:dyDescent="0.2">
      <c r="B1591" s="17"/>
      <c r="C1591" s="128">
        <v>131</v>
      </c>
      <c r="D1591" s="128" t="s">
        <v>339</v>
      </c>
      <c r="E1591" s="129" t="s">
        <v>1464</v>
      </c>
      <c r="F1591" s="130" t="s">
        <v>1465</v>
      </c>
      <c r="G1591" s="131" t="s">
        <v>425</v>
      </c>
      <c r="H1591" s="132">
        <v>298.93900000000002</v>
      </c>
      <c r="I1591" s="133"/>
      <c r="J1591" s="134">
        <f>ROUND(I1591*H1591,2)</f>
        <v>0</v>
      </c>
      <c r="K1591" s="130"/>
      <c r="L1591" s="17"/>
      <c r="M1591" s="135"/>
      <c r="N1591" s="136" t="s">
        <v>45</v>
      </c>
      <c r="P1591" s="137">
        <f>O1591*H1591</f>
        <v>0</v>
      </c>
      <c r="Q1591" s="137">
        <v>2.5590000000000002E-2</v>
      </c>
      <c r="R1591" s="137">
        <f>Q1591*H1591</f>
        <v>7.6498490100000014</v>
      </c>
      <c r="S1591" s="137">
        <v>0</v>
      </c>
      <c r="T1591" s="138">
        <f>S1591*H1591</f>
        <v>0</v>
      </c>
      <c r="AR1591" s="139" t="s">
        <v>496</v>
      </c>
      <c r="AT1591" s="139" t="s">
        <v>339</v>
      </c>
      <c r="AU1591" s="139" t="s">
        <v>90</v>
      </c>
      <c r="AY1591" s="2" t="s">
        <v>337</v>
      </c>
      <c r="BE1591" s="140">
        <f>IF(N1591="základní",J1591,0)</f>
        <v>0</v>
      </c>
      <c r="BF1591" s="140">
        <f>IF(N1591="snížená",J1591,0)</f>
        <v>0</v>
      </c>
      <c r="BG1591" s="140">
        <f>IF(N1591="zákl. přenesená",J1591,0)</f>
        <v>0</v>
      </c>
      <c r="BH1591" s="140">
        <f>IF(N1591="sníž. přenesená",J1591,0)</f>
        <v>0</v>
      </c>
      <c r="BI1591" s="140">
        <f>IF(N1591="nulová",J1591,0)</f>
        <v>0</v>
      </c>
      <c r="BJ1591" s="2" t="s">
        <v>87</v>
      </c>
      <c r="BK1591" s="140">
        <f>ROUND(I1591*H1591,2)</f>
        <v>0</v>
      </c>
      <c r="BL1591" s="2" t="s">
        <v>496</v>
      </c>
      <c r="BM1591" s="139" t="s">
        <v>1466</v>
      </c>
    </row>
    <row r="1592" spans="2:65" s="141" customFormat="1" x14ac:dyDescent="0.2">
      <c r="B1592" s="142"/>
      <c r="D1592" s="143" t="s">
        <v>346</v>
      </c>
      <c r="E1592" s="144"/>
      <c r="F1592" s="145" t="s">
        <v>1308</v>
      </c>
      <c r="H1592" s="144"/>
      <c r="L1592" s="142"/>
      <c r="M1592" s="146"/>
      <c r="T1592" s="147"/>
      <c r="AT1592" s="144" t="s">
        <v>346</v>
      </c>
      <c r="AU1592" s="144" t="s">
        <v>90</v>
      </c>
      <c r="AV1592" s="141" t="s">
        <v>87</v>
      </c>
      <c r="AW1592" s="141" t="s">
        <v>33</v>
      </c>
      <c r="AX1592" s="141" t="s">
        <v>80</v>
      </c>
      <c r="AY1592" s="144" t="s">
        <v>337</v>
      </c>
    </row>
    <row r="1593" spans="2:65" s="141" customFormat="1" x14ac:dyDescent="0.2">
      <c r="B1593" s="142"/>
      <c r="D1593" s="143" t="s">
        <v>346</v>
      </c>
      <c r="E1593" s="144"/>
      <c r="F1593" s="145" t="s">
        <v>1283</v>
      </c>
      <c r="H1593" s="144"/>
      <c r="L1593" s="142"/>
      <c r="M1593" s="146"/>
      <c r="T1593" s="147"/>
      <c r="AT1593" s="144" t="s">
        <v>346</v>
      </c>
      <c r="AU1593" s="144" t="s">
        <v>90</v>
      </c>
      <c r="AV1593" s="141" t="s">
        <v>87</v>
      </c>
      <c r="AW1593" s="141" t="s">
        <v>33</v>
      </c>
      <c r="AX1593" s="141" t="s">
        <v>80</v>
      </c>
      <c r="AY1593" s="144" t="s">
        <v>337</v>
      </c>
    </row>
    <row r="1594" spans="2:65" s="141" customFormat="1" x14ac:dyDescent="0.2">
      <c r="B1594" s="142"/>
      <c r="D1594" s="143" t="s">
        <v>346</v>
      </c>
      <c r="E1594" s="144"/>
      <c r="F1594" s="145" t="s">
        <v>1467</v>
      </c>
      <c r="H1594" s="144"/>
      <c r="L1594" s="142"/>
      <c r="M1594" s="146"/>
      <c r="T1594" s="147"/>
      <c r="AT1594" s="144" t="s">
        <v>346</v>
      </c>
      <c r="AU1594" s="144" t="s">
        <v>90</v>
      </c>
      <c r="AV1594" s="141" t="s">
        <v>87</v>
      </c>
      <c r="AW1594" s="141" t="s">
        <v>33</v>
      </c>
      <c r="AX1594" s="141" t="s">
        <v>80</v>
      </c>
      <c r="AY1594" s="144" t="s">
        <v>337</v>
      </c>
    </row>
    <row r="1595" spans="2:65" s="148" customFormat="1" x14ac:dyDescent="0.2">
      <c r="B1595" s="149"/>
      <c r="D1595" s="143" t="s">
        <v>346</v>
      </c>
      <c r="E1595" s="150"/>
      <c r="F1595" s="151" t="s">
        <v>1468</v>
      </c>
      <c r="H1595" s="152">
        <v>8.3330000000000002</v>
      </c>
      <c r="L1595" s="149"/>
      <c r="M1595" s="153"/>
      <c r="T1595" s="154"/>
      <c r="AT1595" s="150" t="s">
        <v>346</v>
      </c>
      <c r="AU1595" s="150" t="s">
        <v>90</v>
      </c>
      <c r="AV1595" s="148" t="s">
        <v>90</v>
      </c>
      <c r="AW1595" s="148" t="s">
        <v>33</v>
      </c>
      <c r="AX1595" s="148" t="s">
        <v>80</v>
      </c>
      <c r="AY1595" s="150" t="s">
        <v>337</v>
      </c>
    </row>
    <row r="1596" spans="2:65" s="141" customFormat="1" x14ac:dyDescent="0.2">
      <c r="B1596" s="142"/>
      <c r="D1596" s="143" t="s">
        <v>346</v>
      </c>
      <c r="E1596" s="144"/>
      <c r="F1596" s="145" t="s">
        <v>362</v>
      </c>
      <c r="H1596" s="144"/>
      <c r="L1596" s="142"/>
      <c r="M1596" s="146"/>
      <c r="T1596" s="147"/>
      <c r="AT1596" s="144" t="s">
        <v>346</v>
      </c>
      <c r="AU1596" s="144" t="s">
        <v>90</v>
      </c>
      <c r="AV1596" s="141" t="s">
        <v>87</v>
      </c>
      <c r="AW1596" s="141" t="s">
        <v>33</v>
      </c>
      <c r="AX1596" s="141" t="s">
        <v>80</v>
      </c>
      <c r="AY1596" s="144" t="s">
        <v>337</v>
      </c>
    </row>
    <row r="1597" spans="2:65" s="148" customFormat="1" x14ac:dyDescent="0.2">
      <c r="B1597" s="149"/>
      <c r="D1597" s="143" t="s">
        <v>346</v>
      </c>
      <c r="E1597" s="150"/>
      <c r="F1597" s="151" t="s">
        <v>1469</v>
      </c>
      <c r="H1597" s="152">
        <v>17.385000000000002</v>
      </c>
      <c r="L1597" s="149"/>
      <c r="M1597" s="153"/>
      <c r="T1597" s="154"/>
      <c r="AT1597" s="150" t="s">
        <v>346</v>
      </c>
      <c r="AU1597" s="150" t="s">
        <v>90</v>
      </c>
      <c r="AV1597" s="148" t="s">
        <v>90</v>
      </c>
      <c r="AW1597" s="148" t="s">
        <v>33</v>
      </c>
      <c r="AX1597" s="148" t="s">
        <v>80</v>
      </c>
      <c r="AY1597" s="150" t="s">
        <v>337</v>
      </c>
    </row>
    <row r="1598" spans="2:65" s="148" customFormat="1" x14ac:dyDescent="0.2">
      <c r="B1598" s="149"/>
      <c r="D1598" s="143" t="s">
        <v>346</v>
      </c>
      <c r="E1598" s="150"/>
      <c r="F1598" s="151" t="s">
        <v>1407</v>
      </c>
      <c r="H1598" s="152">
        <v>2.1349999999999998</v>
      </c>
      <c r="L1598" s="149"/>
      <c r="M1598" s="153"/>
      <c r="T1598" s="154"/>
      <c r="AT1598" s="150" t="s">
        <v>346</v>
      </c>
      <c r="AU1598" s="150" t="s">
        <v>90</v>
      </c>
      <c r="AV1598" s="148" t="s">
        <v>90</v>
      </c>
      <c r="AW1598" s="148" t="s">
        <v>33</v>
      </c>
      <c r="AX1598" s="148" t="s">
        <v>80</v>
      </c>
      <c r="AY1598" s="150" t="s">
        <v>337</v>
      </c>
    </row>
    <row r="1599" spans="2:65" s="148" customFormat="1" x14ac:dyDescent="0.2">
      <c r="B1599" s="149"/>
      <c r="D1599" s="143" t="s">
        <v>346</v>
      </c>
      <c r="E1599" s="150"/>
      <c r="F1599" s="151" t="s">
        <v>1470</v>
      </c>
      <c r="H1599" s="152">
        <v>7.32</v>
      </c>
      <c r="L1599" s="149"/>
      <c r="M1599" s="153"/>
      <c r="T1599" s="154"/>
      <c r="AT1599" s="150" t="s">
        <v>346</v>
      </c>
      <c r="AU1599" s="150" t="s">
        <v>90</v>
      </c>
      <c r="AV1599" s="148" t="s">
        <v>90</v>
      </c>
      <c r="AW1599" s="148" t="s">
        <v>33</v>
      </c>
      <c r="AX1599" s="148" t="s">
        <v>80</v>
      </c>
      <c r="AY1599" s="150" t="s">
        <v>337</v>
      </c>
    </row>
    <row r="1600" spans="2:65" s="148" customFormat="1" x14ac:dyDescent="0.2">
      <c r="B1600" s="149"/>
      <c r="D1600" s="143" t="s">
        <v>346</v>
      </c>
      <c r="E1600" s="150"/>
      <c r="F1600" s="151" t="s">
        <v>1471</v>
      </c>
      <c r="H1600" s="152">
        <v>2.6840000000000002</v>
      </c>
      <c r="L1600" s="149"/>
      <c r="M1600" s="153"/>
      <c r="T1600" s="154"/>
      <c r="AT1600" s="150" t="s">
        <v>346</v>
      </c>
      <c r="AU1600" s="150" t="s">
        <v>90</v>
      </c>
      <c r="AV1600" s="148" t="s">
        <v>90</v>
      </c>
      <c r="AW1600" s="148" t="s">
        <v>33</v>
      </c>
      <c r="AX1600" s="148" t="s">
        <v>80</v>
      </c>
      <c r="AY1600" s="150" t="s">
        <v>337</v>
      </c>
    </row>
    <row r="1601" spans="2:51" s="148" customFormat="1" x14ac:dyDescent="0.2">
      <c r="B1601" s="149"/>
      <c r="D1601" s="143" t="s">
        <v>346</v>
      </c>
      <c r="E1601" s="150"/>
      <c r="F1601" s="151" t="s">
        <v>1472</v>
      </c>
      <c r="H1601" s="152">
        <v>9.76</v>
      </c>
      <c r="L1601" s="149"/>
      <c r="M1601" s="153"/>
      <c r="T1601" s="154"/>
      <c r="AT1601" s="150" t="s">
        <v>346</v>
      </c>
      <c r="AU1601" s="150" t="s">
        <v>90</v>
      </c>
      <c r="AV1601" s="148" t="s">
        <v>90</v>
      </c>
      <c r="AW1601" s="148" t="s">
        <v>33</v>
      </c>
      <c r="AX1601" s="148" t="s">
        <v>80</v>
      </c>
      <c r="AY1601" s="150" t="s">
        <v>337</v>
      </c>
    </row>
    <row r="1602" spans="2:51" s="148" customFormat="1" x14ac:dyDescent="0.2">
      <c r="B1602" s="149"/>
      <c r="D1602" s="143" t="s">
        <v>346</v>
      </c>
      <c r="E1602" s="150"/>
      <c r="F1602" s="151" t="s">
        <v>1473</v>
      </c>
      <c r="H1602" s="152">
        <v>5.5659999999999998</v>
      </c>
      <c r="L1602" s="149"/>
      <c r="M1602" s="153"/>
      <c r="T1602" s="154"/>
      <c r="AT1602" s="150" t="s">
        <v>346</v>
      </c>
      <c r="AU1602" s="150" t="s">
        <v>90</v>
      </c>
      <c r="AV1602" s="148" t="s">
        <v>90</v>
      </c>
      <c r="AW1602" s="148" t="s">
        <v>33</v>
      </c>
      <c r="AX1602" s="148" t="s">
        <v>80</v>
      </c>
      <c r="AY1602" s="150" t="s">
        <v>337</v>
      </c>
    </row>
    <row r="1603" spans="2:51" s="148" customFormat="1" x14ac:dyDescent="0.2">
      <c r="B1603" s="149"/>
      <c r="D1603" s="143" t="s">
        <v>346</v>
      </c>
      <c r="E1603" s="150"/>
      <c r="F1603" s="151" t="s">
        <v>1474</v>
      </c>
      <c r="H1603" s="152">
        <v>8.8450000000000006</v>
      </c>
      <c r="L1603" s="149"/>
      <c r="M1603" s="153"/>
      <c r="T1603" s="154"/>
      <c r="AT1603" s="150" t="s">
        <v>346</v>
      </c>
      <c r="AU1603" s="150" t="s">
        <v>90</v>
      </c>
      <c r="AV1603" s="148" t="s">
        <v>90</v>
      </c>
      <c r="AW1603" s="148" t="s">
        <v>33</v>
      </c>
      <c r="AX1603" s="148" t="s">
        <v>80</v>
      </c>
      <c r="AY1603" s="150" t="s">
        <v>337</v>
      </c>
    </row>
    <row r="1604" spans="2:51" s="141" customFormat="1" x14ac:dyDescent="0.2">
      <c r="B1604" s="142"/>
      <c r="D1604" s="143" t="s">
        <v>346</v>
      </c>
      <c r="E1604" s="144"/>
      <c r="F1604" s="145" t="s">
        <v>1233</v>
      </c>
      <c r="H1604" s="144"/>
      <c r="L1604" s="142"/>
      <c r="M1604" s="146"/>
      <c r="T1604" s="147"/>
      <c r="AT1604" s="144" t="s">
        <v>346</v>
      </c>
      <c r="AU1604" s="144" t="s">
        <v>90</v>
      </c>
      <c r="AV1604" s="141" t="s">
        <v>87</v>
      </c>
      <c r="AW1604" s="141" t="s">
        <v>33</v>
      </c>
      <c r="AX1604" s="141" t="s">
        <v>80</v>
      </c>
      <c r="AY1604" s="144" t="s">
        <v>337</v>
      </c>
    </row>
    <row r="1605" spans="2:51" s="148" customFormat="1" x14ac:dyDescent="0.2">
      <c r="B1605" s="149"/>
      <c r="D1605" s="143" t="s">
        <v>346</v>
      </c>
      <c r="E1605" s="150"/>
      <c r="F1605" s="151" t="s">
        <v>1475</v>
      </c>
      <c r="H1605" s="152">
        <v>2.7450000000000001</v>
      </c>
      <c r="L1605" s="149"/>
      <c r="M1605" s="153"/>
      <c r="T1605" s="154"/>
      <c r="AT1605" s="150" t="s">
        <v>346</v>
      </c>
      <c r="AU1605" s="150" t="s">
        <v>90</v>
      </c>
      <c r="AV1605" s="148" t="s">
        <v>90</v>
      </c>
      <c r="AW1605" s="148" t="s">
        <v>33</v>
      </c>
      <c r="AX1605" s="148" t="s">
        <v>80</v>
      </c>
      <c r="AY1605" s="150" t="s">
        <v>337</v>
      </c>
    </row>
    <row r="1606" spans="2:51" s="148" customFormat="1" x14ac:dyDescent="0.2">
      <c r="B1606" s="149"/>
      <c r="D1606" s="143" t="s">
        <v>346</v>
      </c>
      <c r="E1606" s="150"/>
      <c r="F1606" s="151" t="s">
        <v>1476</v>
      </c>
      <c r="H1606" s="152">
        <v>1.83</v>
      </c>
      <c r="L1606" s="149"/>
      <c r="M1606" s="153"/>
      <c r="T1606" s="154"/>
      <c r="AT1606" s="150" t="s">
        <v>346</v>
      </c>
      <c r="AU1606" s="150" t="s">
        <v>90</v>
      </c>
      <c r="AV1606" s="148" t="s">
        <v>90</v>
      </c>
      <c r="AW1606" s="148" t="s">
        <v>33</v>
      </c>
      <c r="AX1606" s="148" t="s">
        <v>80</v>
      </c>
      <c r="AY1606" s="150" t="s">
        <v>337</v>
      </c>
    </row>
    <row r="1607" spans="2:51" s="141" customFormat="1" x14ac:dyDescent="0.2">
      <c r="B1607" s="142"/>
      <c r="D1607" s="143" t="s">
        <v>346</v>
      </c>
      <c r="E1607" s="144"/>
      <c r="F1607" s="145" t="s">
        <v>367</v>
      </c>
      <c r="H1607" s="144"/>
      <c r="L1607" s="142"/>
      <c r="M1607" s="146"/>
      <c r="T1607" s="147"/>
      <c r="AT1607" s="144" t="s">
        <v>346</v>
      </c>
      <c r="AU1607" s="144" t="s">
        <v>90</v>
      </c>
      <c r="AV1607" s="141" t="s">
        <v>87</v>
      </c>
      <c r="AW1607" s="141" t="s">
        <v>33</v>
      </c>
      <c r="AX1607" s="141" t="s">
        <v>80</v>
      </c>
      <c r="AY1607" s="144" t="s">
        <v>337</v>
      </c>
    </row>
    <row r="1608" spans="2:51" s="148" customFormat="1" x14ac:dyDescent="0.2">
      <c r="B1608" s="149"/>
      <c r="D1608" s="143" t="s">
        <v>346</v>
      </c>
      <c r="E1608" s="150"/>
      <c r="F1608" s="151" t="s">
        <v>1477</v>
      </c>
      <c r="H1608" s="152">
        <v>14.64</v>
      </c>
      <c r="L1608" s="149"/>
      <c r="M1608" s="153"/>
      <c r="T1608" s="154"/>
      <c r="AT1608" s="150" t="s">
        <v>346</v>
      </c>
      <c r="AU1608" s="150" t="s">
        <v>90</v>
      </c>
      <c r="AV1608" s="148" t="s">
        <v>90</v>
      </c>
      <c r="AW1608" s="148" t="s">
        <v>33</v>
      </c>
      <c r="AX1608" s="148" t="s">
        <v>80</v>
      </c>
      <c r="AY1608" s="150" t="s">
        <v>337</v>
      </c>
    </row>
    <row r="1609" spans="2:51" s="148" customFormat="1" x14ac:dyDescent="0.2">
      <c r="B1609" s="149"/>
      <c r="D1609" s="143" t="s">
        <v>346</v>
      </c>
      <c r="E1609" s="150"/>
      <c r="F1609" s="151" t="s">
        <v>1407</v>
      </c>
      <c r="H1609" s="152">
        <v>2.1349999999999998</v>
      </c>
      <c r="L1609" s="149"/>
      <c r="M1609" s="153"/>
      <c r="T1609" s="154"/>
      <c r="AT1609" s="150" t="s">
        <v>346</v>
      </c>
      <c r="AU1609" s="150" t="s">
        <v>90</v>
      </c>
      <c r="AV1609" s="148" t="s">
        <v>90</v>
      </c>
      <c r="AW1609" s="148" t="s">
        <v>33</v>
      </c>
      <c r="AX1609" s="148" t="s">
        <v>80</v>
      </c>
      <c r="AY1609" s="150" t="s">
        <v>337</v>
      </c>
    </row>
    <row r="1610" spans="2:51" s="148" customFormat="1" x14ac:dyDescent="0.2">
      <c r="B1610" s="149"/>
      <c r="D1610" s="143" t="s">
        <v>346</v>
      </c>
      <c r="E1610" s="150"/>
      <c r="F1610" s="151" t="s">
        <v>1471</v>
      </c>
      <c r="H1610" s="152">
        <v>2.6840000000000002</v>
      </c>
      <c r="L1610" s="149"/>
      <c r="M1610" s="153"/>
      <c r="T1610" s="154"/>
      <c r="AT1610" s="150" t="s">
        <v>346</v>
      </c>
      <c r="AU1610" s="150" t="s">
        <v>90</v>
      </c>
      <c r="AV1610" s="148" t="s">
        <v>90</v>
      </c>
      <c r="AW1610" s="148" t="s">
        <v>33</v>
      </c>
      <c r="AX1610" s="148" t="s">
        <v>80</v>
      </c>
      <c r="AY1610" s="150" t="s">
        <v>337</v>
      </c>
    </row>
    <row r="1611" spans="2:51" s="148" customFormat="1" x14ac:dyDescent="0.2">
      <c r="B1611" s="149"/>
      <c r="D1611" s="143" t="s">
        <v>346</v>
      </c>
      <c r="E1611" s="150"/>
      <c r="F1611" s="151" t="s">
        <v>1478</v>
      </c>
      <c r="H1611" s="152">
        <v>12.2</v>
      </c>
      <c r="L1611" s="149"/>
      <c r="M1611" s="153"/>
      <c r="T1611" s="154"/>
      <c r="AT1611" s="150" t="s">
        <v>346</v>
      </c>
      <c r="AU1611" s="150" t="s">
        <v>90</v>
      </c>
      <c r="AV1611" s="148" t="s">
        <v>90</v>
      </c>
      <c r="AW1611" s="148" t="s">
        <v>33</v>
      </c>
      <c r="AX1611" s="148" t="s">
        <v>80</v>
      </c>
      <c r="AY1611" s="150" t="s">
        <v>337</v>
      </c>
    </row>
    <row r="1612" spans="2:51" s="148" customFormat="1" x14ac:dyDescent="0.2">
      <c r="B1612" s="149"/>
      <c r="D1612" s="143" t="s">
        <v>346</v>
      </c>
      <c r="E1612" s="150"/>
      <c r="F1612" s="151" t="s">
        <v>1473</v>
      </c>
      <c r="H1612" s="152">
        <v>5.5659999999999998</v>
      </c>
      <c r="L1612" s="149"/>
      <c r="M1612" s="153"/>
      <c r="T1612" s="154"/>
      <c r="AT1612" s="150" t="s">
        <v>346</v>
      </c>
      <c r="AU1612" s="150" t="s">
        <v>90</v>
      </c>
      <c r="AV1612" s="148" t="s">
        <v>90</v>
      </c>
      <c r="AW1612" s="148" t="s">
        <v>33</v>
      </c>
      <c r="AX1612" s="148" t="s">
        <v>80</v>
      </c>
      <c r="AY1612" s="150" t="s">
        <v>337</v>
      </c>
    </row>
    <row r="1613" spans="2:51" s="148" customFormat="1" x14ac:dyDescent="0.2">
      <c r="B1613" s="149"/>
      <c r="D1613" s="143" t="s">
        <v>346</v>
      </c>
      <c r="E1613" s="150"/>
      <c r="F1613" s="151" t="s">
        <v>1474</v>
      </c>
      <c r="H1613" s="152">
        <v>8.8450000000000006</v>
      </c>
      <c r="L1613" s="149"/>
      <c r="M1613" s="153"/>
      <c r="T1613" s="154"/>
      <c r="AT1613" s="150" t="s">
        <v>346</v>
      </c>
      <c r="AU1613" s="150" t="s">
        <v>90</v>
      </c>
      <c r="AV1613" s="148" t="s">
        <v>90</v>
      </c>
      <c r="AW1613" s="148" t="s">
        <v>33</v>
      </c>
      <c r="AX1613" s="148" t="s">
        <v>80</v>
      </c>
      <c r="AY1613" s="150" t="s">
        <v>337</v>
      </c>
    </row>
    <row r="1614" spans="2:51" s="148" customFormat="1" x14ac:dyDescent="0.2">
      <c r="B1614" s="149"/>
      <c r="D1614" s="143" t="s">
        <v>346</v>
      </c>
      <c r="E1614" s="150"/>
      <c r="F1614" s="151" t="s">
        <v>1479</v>
      </c>
      <c r="H1614" s="152">
        <v>5.3380000000000001</v>
      </c>
      <c r="L1614" s="149"/>
      <c r="M1614" s="153"/>
      <c r="T1614" s="154"/>
      <c r="AT1614" s="150" t="s">
        <v>346</v>
      </c>
      <c r="AU1614" s="150" t="s">
        <v>90</v>
      </c>
      <c r="AV1614" s="148" t="s">
        <v>90</v>
      </c>
      <c r="AW1614" s="148" t="s">
        <v>33</v>
      </c>
      <c r="AX1614" s="148" t="s">
        <v>80</v>
      </c>
      <c r="AY1614" s="150" t="s">
        <v>337</v>
      </c>
    </row>
    <row r="1615" spans="2:51" s="141" customFormat="1" x14ac:dyDescent="0.2">
      <c r="B1615" s="142"/>
      <c r="D1615" s="143" t="s">
        <v>346</v>
      </c>
      <c r="E1615" s="144"/>
      <c r="F1615" s="145" t="s">
        <v>1233</v>
      </c>
      <c r="H1615" s="144"/>
      <c r="L1615" s="142"/>
      <c r="M1615" s="146"/>
      <c r="T1615" s="147"/>
      <c r="AT1615" s="144" t="s">
        <v>346</v>
      </c>
      <c r="AU1615" s="144" t="s">
        <v>90</v>
      </c>
      <c r="AV1615" s="141" t="s">
        <v>87</v>
      </c>
      <c r="AW1615" s="141" t="s">
        <v>33</v>
      </c>
      <c r="AX1615" s="141" t="s">
        <v>80</v>
      </c>
      <c r="AY1615" s="144" t="s">
        <v>337</v>
      </c>
    </row>
    <row r="1616" spans="2:51" s="148" customFormat="1" x14ac:dyDescent="0.2">
      <c r="B1616" s="149"/>
      <c r="D1616" s="143" t="s">
        <v>346</v>
      </c>
      <c r="E1616" s="150"/>
      <c r="F1616" s="151" t="s">
        <v>1480</v>
      </c>
      <c r="H1616" s="152">
        <v>3.0150000000000001</v>
      </c>
      <c r="L1616" s="149"/>
      <c r="M1616" s="153"/>
      <c r="T1616" s="154"/>
      <c r="AT1616" s="150" t="s">
        <v>346</v>
      </c>
      <c r="AU1616" s="150" t="s">
        <v>90</v>
      </c>
      <c r="AV1616" s="148" t="s">
        <v>90</v>
      </c>
      <c r="AW1616" s="148" t="s">
        <v>33</v>
      </c>
      <c r="AX1616" s="148" t="s">
        <v>80</v>
      </c>
      <c r="AY1616" s="150" t="s">
        <v>337</v>
      </c>
    </row>
    <row r="1617" spans="2:51" s="148" customFormat="1" x14ac:dyDescent="0.2">
      <c r="B1617" s="149"/>
      <c r="D1617" s="143" t="s">
        <v>346</v>
      </c>
      <c r="E1617" s="150"/>
      <c r="F1617" s="151" t="s">
        <v>1481</v>
      </c>
      <c r="H1617" s="152">
        <v>9.7989999999999995</v>
      </c>
      <c r="L1617" s="149"/>
      <c r="M1617" s="153"/>
      <c r="T1617" s="154"/>
      <c r="AT1617" s="150" t="s">
        <v>346</v>
      </c>
      <c r="AU1617" s="150" t="s">
        <v>90</v>
      </c>
      <c r="AV1617" s="148" t="s">
        <v>90</v>
      </c>
      <c r="AW1617" s="148" t="s">
        <v>33</v>
      </c>
      <c r="AX1617" s="148" t="s">
        <v>80</v>
      </c>
      <c r="AY1617" s="150" t="s">
        <v>337</v>
      </c>
    </row>
    <row r="1618" spans="2:51" s="141" customFormat="1" x14ac:dyDescent="0.2">
      <c r="B1618" s="142"/>
      <c r="D1618" s="143" t="s">
        <v>346</v>
      </c>
      <c r="E1618" s="144"/>
      <c r="F1618" s="145" t="s">
        <v>368</v>
      </c>
      <c r="H1618" s="144"/>
      <c r="L1618" s="142"/>
      <c r="M1618" s="146"/>
      <c r="T1618" s="147"/>
      <c r="AT1618" s="144" t="s">
        <v>346</v>
      </c>
      <c r="AU1618" s="144" t="s">
        <v>90</v>
      </c>
      <c r="AV1618" s="141" t="s">
        <v>87</v>
      </c>
      <c r="AW1618" s="141" t="s">
        <v>33</v>
      </c>
      <c r="AX1618" s="141" t="s">
        <v>80</v>
      </c>
      <c r="AY1618" s="144" t="s">
        <v>337</v>
      </c>
    </row>
    <row r="1619" spans="2:51" s="148" customFormat="1" x14ac:dyDescent="0.2">
      <c r="B1619" s="149"/>
      <c r="D1619" s="143" t="s">
        <v>346</v>
      </c>
      <c r="E1619" s="150"/>
      <c r="F1619" s="151" t="s">
        <v>1477</v>
      </c>
      <c r="H1619" s="152">
        <v>14.64</v>
      </c>
      <c r="L1619" s="149"/>
      <c r="M1619" s="153"/>
      <c r="T1619" s="154"/>
      <c r="AT1619" s="150" t="s">
        <v>346</v>
      </c>
      <c r="AU1619" s="150" t="s">
        <v>90</v>
      </c>
      <c r="AV1619" s="148" t="s">
        <v>90</v>
      </c>
      <c r="AW1619" s="148" t="s">
        <v>33</v>
      </c>
      <c r="AX1619" s="148" t="s">
        <v>80</v>
      </c>
      <c r="AY1619" s="150" t="s">
        <v>337</v>
      </c>
    </row>
    <row r="1620" spans="2:51" s="148" customFormat="1" x14ac:dyDescent="0.2">
      <c r="B1620" s="149"/>
      <c r="D1620" s="143" t="s">
        <v>346</v>
      </c>
      <c r="E1620" s="150"/>
      <c r="F1620" s="151" t="s">
        <v>1407</v>
      </c>
      <c r="H1620" s="152">
        <v>2.1349999999999998</v>
      </c>
      <c r="L1620" s="149"/>
      <c r="M1620" s="153"/>
      <c r="T1620" s="154"/>
      <c r="AT1620" s="150" t="s">
        <v>346</v>
      </c>
      <c r="AU1620" s="150" t="s">
        <v>90</v>
      </c>
      <c r="AV1620" s="148" t="s">
        <v>90</v>
      </c>
      <c r="AW1620" s="148" t="s">
        <v>33</v>
      </c>
      <c r="AX1620" s="148" t="s">
        <v>80</v>
      </c>
      <c r="AY1620" s="150" t="s">
        <v>337</v>
      </c>
    </row>
    <row r="1621" spans="2:51" s="148" customFormat="1" x14ac:dyDescent="0.2">
      <c r="B1621" s="149"/>
      <c r="D1621" s="143" t="s">
        <v>346</v>
      </c>
      <c r="E1621" s="150"/>
      <c r="F1621" s="151" t="s">
        <v>1471</v>
      </c>
      <c r="H1621" s="152">
        <v>2.6840000000000002</v>
      </c>
      <c r="L1621" s="149"/>
      <c r="M1621" s="153"/>
      <c r="T1621" s="154"/>
      <c r="AT1621" s="150" t="s">
        <v>346</v>
      </c>
      <c r="AU1621" s="150" t="s">
        <v>90</v>
      </c>
      <c r="AV1621" s="148" t="s">
        <v>90</v>
      </c>
      <c r="AW1621" s="148" t="s">
        <v>33</v>
      </c>
      <c r="AX1621" s="148" t="s">
        <v>80</v>
      </c>
      <c r="AY1621" s="150" t="s">
        <v>337</v>
      </c>
    </row>
    <row r="1622" spans="2:51" s="148" customFormat="1" x14ac:dyDescent="0.2">
      <c r="B1622" s="149"/>
      <c r="D1622" s="143" t="s">
        <v>346</v>
      </c>
      <c r="E1622" s="150"/>
      <c r="F1622" s="151" t="s">
        <v>1478</v>
      </c>
      <c r="H1622" s="152">
        <v>12.2</v>
      </c>
      <c r="L1622" s="149"/>
      <c r="M1622" s="153"/>
      <c r="T1622" s="154"/>
      <c r="AT1622" s="150" t="s">
        <v>346</v>
      </c>
      <c r="AU1622" s="150" t="s">
        <v>90</v>
      </c>
      <c r="AV1622" s="148" t="s">
        <v>90</v>
      </c>
      <c r="AW1622" s="148" t="s">
        <v>33</v>
      </c>
      <c r="AX1622" s="148" t="s">
        <v>80</v>
      </c>
      <c r="AY1622" s="150" t="s">
        <v>337</v>
      </c>
    </row>
    <row r="1623" spans="2:51" s="148" customFormat="1" x14ac:dyDescent="0.2">
      <c r="B1623" s="149"/>
      <c r="D1623" s="143" t="s">
        <v>346</v>
      </c>
      <c r="E1623" s="150"/>
      <c r="F1623" s="151" t="s">
        <v>1473</v>
      </c>
      <c r="H1623" s="152">
        <v>5.5659999999999998</v>
      </c>
      <c r="L1623" s="149"/>
      <c r="M1623" s="153"/>
      <c r="T1623" s="154"/>
      <c r="AT1623" s="150" t="s">
        <v>346</v>
      </c>
      <c r="AU1623" s="150" t="s">
        <v>90</v>
      </c>
      <c r="AV1623" s="148" t="s">
        <v>90</v>
      </c>
      <c r="AW1623" s="148" t="s">
        <v>33</v>
      </c>
      <c r="AX1623" s="148" t="s">
        <v>80</v>
      </c>
      <c r="AY1623" s="150" t="s">
        <v>337</v>
      </c>
    </row>
    <row r="1624" spans="2:51" s="148" customFormat="1" x14ac:dyDescent="0.2">
      <c r="B1624" s="149"/>
      <c r="D1624" s="143" t="s">
        <v>346</v>
      </c>
      <c r="E1624" s="150"/>
      <c r="F1624" s="151" t="s">
        <v>1474</v>
      </c>
      <c r="H1624" s="152">
        <v>8.8450000000000006</v>
      </c>
      <c r="L1624" s="149"/>
      <c r="M1624" s="153"/>
      <c r="T1624" s="154"/>
      <c r="AT1624" s="150" t="s">
        <v>346</v>
      </c>
      <c r="AU1624" s="150" t="s">
        <v>90</v>
      </c>
      <c r="AV1624" s="148" t="s">
        <v>90</v>
      </c>
      <c r="AW1624" s="148" t="s">
        <v>33</v>
      </c>
      <c r="AX1624" s="148" t="s">
        <v>80</v>
      </c>
      <c r="AY1624" s="150" t="s">
        <v>337</v>
      </c>
    </row>
    <row r="1625" spans="2:51" s="148" customFormat="1" x14ac:dyDescent="0.2">
      <c r="B1625" s="149"/>
      <c r="D1625" s="143" t="s">
        <v>346</v>
      </c>
      <c r="E1625" s="150"/>
      <c r="F1625" s="151" t="s">
        <v>1479</v>
      </c>
      <c r="H1625" s="152">
        <v>5.3380000000000001</v>
      </c>
      <c r="L1625" s="149"/>
      <c r="M1625" s="153"/>
      <c r="T1625" s="154"/>
      <c r="AT1625" s="150" t="s">
        <v>346</v>
      </c>
      <c r="AU1625" s="150" t="s">
        <v>90</v>
      </c>
      <c r="AV1625" s="148" t="s">
        <v>90</v>
      </c>
      <c r="AW1625" s="148" t="s">
        <v>33</v>
      </c>
      <c r="AX1625" s="148" t="s">
        <v>80</v>
      </c>
      <c r="AY1625" s="150" t="s">
        <v>337</v>
      </c>
    </row>
    <row r="1626" spans="2:51" s="141" customFormat="1" x14ac:dyDescent="0.2">
      <c r="B1626" s="142"/>
      <c r="D1626" s="143" t="s">
        <v>346</v>
      </c>
      <c r="E1626" s="144"/>
      <c r="F1626" s="145" t="s">
        <v>1233</v>
      </c>
      <c r="H1626" s="144"/>
      <c r="L1626" s="142"/>
      <c r="M1626" s="146"/>
      <c r="T1626" s="147"/>
      <c r="AT1626" s="144" t="s">
        <v>346</v>
      </c>
      <c r="AU1626" s="144" t="s">
        <v>90</v>
      </c>
      <c r="AV1626" s="141" t="s">
        <v>87</v>
      </c>
      <c r="AW1626" s="141" t="s">
        <v>33</v>
      </c>
      <c r="AX1626" s="141" t="s">
        <v>80</v>
      </c>
      <c r="AY1626" s="144" t="s">
        <v>337</v>
      </c>
    </row>
    <row r="1627" spans="2:51" s="148" customFormat="1" x14ac:dyDescent="0.2">
      <c r="B1627" s="149"/>
      <c r="D1627" s="143" t="s">
        <v>346</v>
      </c>
      <c r="E1627" s="150"/>
      <c r="F1627" s="151" t="s">
        <v>1482</v>
      </c>
      <c r="H1627" s="152">
        <v>2.8980000000000001</v>
      </c>
      <c r="L1627" s="149"/>
      <c r="M1627" s="153"/>
      <c r="T1627" s="154"/>
      <c r="AT1627" s="150" t="s">
        <v>346</v>
      </c>
      <c r="AU1627" s="150" t="s">
        <v>90</v>
      </c>
      <c r="AV1627" s="148" t="s">
        <v>90</v>
      </c>
      <c r="AW1627" s="148" t="s">
        <v>33</v>
      </c>
      <c r="AX1627" s="148" t="s">
        <v>80</v>
      </c>
      <c r="AY1627" s="150" t="s">
        <v>337</v>
      </c>
    </row>
    <row r="1628" spans="2:51" s="148" customFormat="1" x14ac:dyDescent="0.2">
      <c r="B1628" s="149"/>
      <c r="D1628" s="143" t="s">
        <v>346</v>
      </c>
      <c r="E1628" s="150"/>
      <c r="F1628" s="151" t="s">
        <v>1483</v>
      </c>
      <c r="H1628" s="152">
        <v>7.93</v>
      </c>
      <c r="L1628" s="149"/>
      <c r="M1628" s="153"/>
      <c r="T1628" s="154"/>
      <c r="AT1628" s="150" t="s">
        <v>346</v>
      </c>
      <c r="AU1628" s="150" t="s">
        <v>90</v>
      </c>
      <c r="AV1628" s="148" t="s">
        <v>90</v>
      </c>
      <c r="AW1628" s="148" t="s">
        <v>33</v>
      </c>
      <c r="AX1628" s="148" t="s">
        <v>80</v>
      </c>
      <c r="AY1628" s="150" t="s">
        <v>337</v>
      </c>
    </row>
    <row r="1629" spans="2:51" s="141" customFormat="1" x14ac:dyDescent="0.2">
      <c r="B1629" s="142"/>
      <c r="D1629" s="143" t="s">
        <v>346</v>
      </c>
      <c r="E1629" s="144"/>
      <c r="F1629" s="145" t="s">
        <v>370</v>
      </c>
      <c r="H1629" s="144"/>
      <c r="L1629" s="142"/>
      <c r="M1629" s="146"/>
      <c r="T1629" s="147"/>
      <c r="AT1629" s="144" t="s">
        <v>346</v>
      </c>
      <c r="AU1629" s="144" t="s">
        <v>90</v>
      </c>
      <c r="AV1629" s="141" t="s">
        <v>87</v>
      </c>
      <c r="AW1629" s="141" t="s">
        <v>33</v>
      </c>
      <c r="AX1629" s="141" t="s">
        <v>80</v>
      </c>
      <c r="AY1629" s="144" t="s">
        <v>337</v>
      </c>
    </row>
    <row r="1630" spans="2:51" s="148" customFormat="1" x14ac:dyDescent="0.2">
      <c r="B1630" s="149"/>
      <c r="D1630" s="143" t="s">
        <v>346</v>
      </c>
      <c r="E1630" s="150"/>
      <c r="F1630" s="151" t="s">
        <v>1477</v>
      </c>
      <c r="H1630" s="152">
        <v>14.64</v>
      </c>
      <c r="L1630" s="149"/>
      <c r="M1630" s="153"/>
      <c r="T1630" s="154"/>
      <c r="AT1630" s="150" t="s">
        <v>346</v>
      </c>
      <c r="AU1630" s="150" t="s">
        <v>90</v>
      </c>
      <c r="AV1630" s="148" t="s">
        <v>90</v>
      </c>
      <c r="AW1630" s="148" t="s">
        <v>33</v>
      </c>
      <c r="AX1630" s="148" t="s">
        <v>80</v>
      </c>
      <c r="AY1630" s="150" t="s">
        <v>337</v>
      </c>
    </row>
    <row r="1631" spans="2:51" s="148" customFormat="1" x14ac:dyDescent="0.2">
      <c r="B1631" s="149"/>
      <c r="D1631" s="143" t="s">
        <v>346</v>
      </c>
      <c r="E1631" s="150"/>
      <c r="F1631" s="151" t="s">
        <v>1407</v>
      </c>
      <c r="H1631" s="152">
        <v>2.1349999999999998</v>
      </c>
      <c r="L1631" s="149"/>
      <c r="M1631" s="153"/>
      <c r="T1631" s="154"/>
      <c r="AT1631" s="150" t="s">
        <v>346</v>
      </c>
      <c r="AU1631" s="150" t="s">
        <v>90</v>
      </c>
      <c r="AV1631" s="148" t="s">
        <v>90</v>
      </c>
      <c r="AW1631" s="148" t="s">
        <v>33</v>
      </c>
      <c r="AX1631" s="148" t="s">
        <v>80</v>
      </c>
      <c r="AY1631" s="150" t="s">
        <v>337</v>
      </c>
    </row>
    <row r="1632" spans="2:51" s="148" customFormat="1" x14ac:dyDescent="0.2">
      <c r="B1632" s="149"/>
      <c r="D1632" s="143" t="s">
        <v>346</v>
      </c>
      <c r="E1632" s="150"/>
      <c r="F1632" s="151" t="s">
        <v>1471</v>
      </c>
      <c r="H1632" s="152">
        <v>2.6840000000000002</v>
      </c>
      <c r="L1632" s="149"/>
      <c r="M1632" s="153"/>
      <c r="T1632" s="154"/>
      <c r="AT1632" s="150" t="s">
        <v>346</v>
      </c>
      <c r="AU1632" s="150" t="s">
        <v>90</v>
      </c>
      <c r="AV1632" s="148" t="s">
        <v>90</v>
      </c>
      <c r="AW1632" s="148" t="s">
        <v>33</v>
      </c>
      <c r="AX1632" s="148" t="s">
        <v>80</v>
      </c>
      <c r="AY1632" s="150" t="s">
        <v>337</v>
      </c>
    </row>
    <row r="1633" spans="2:65" s="148" customFormat="1" x14ac:dyDescent="0.2">
      <c r="B1633" s="149"/>
      <c r="D1633" s="143" t="s">
        <v>346</v>
      </c>
      <c r="E1633" s="150"/>
      <c r="F1633" s="151" t="s">
        <v>1478</v>
      </c>
      <c r="H1633" s="152">
        <v>12.2</v>
      </c>
      <c r="L1633" s="149"/>
      <c r="M1633" s="153"/>
      <c r="T1633" s="154"/>
      <c r="AT1633" s="150" t="s">
        <v>346</v>
      </c>
      <c r="AU1633" s="150" t="s">
        <v>90</v>
      </c>
      <c r="AV1633" s="148" t="s">
        <v>90</v>
      </c>
      <c r="AW1633" s="148" t="s">
        <v>33</v>
      </c>
      <c r="AX1633" s="148" t="s">
        <v>80</v>
      </c>
      <c r="AY1633" s="150" t="s">
        <v>337</v>
      </c>
    </row>
    <row r="1634" spans="2:65" s="148" customFormat="1" x14ac:dyDescent="0.2">
      <c r="B1634" s="149"/>
      <c r="D1634" s="143" t="s">
        <v>346</v>
      </c>
      <c r="E1634" s="150"/>
      <c r="F1634" s="151" t="s">
        <v>1473</v>
      </c>
      <c r="H1634" s="152">
        <v>5.5659999999999998</v>
      </c>
      <c r="L1634" s="149"/>
      <c r="M1634" s="153"/>
      <c r="T1634" s="154"/>
      <c r="AT1634" s="150" t="s">
        <v>346</v>
      </c>
      <c r="AU1634" s="150" t="s">
        <v>90</v>
      </c>
      <c r="AV1634" s="148" t="s">
        <v>90</v>
      </c>
      <c r="AW1634" s="148" t="s">
        <v>33</v>
      </c>
      <c r="AX1634" s="148" t="s">
        <v>80</v>
      </c>
      <c r="AY1634" s="150" t="s">
        <v>337</v>
      </c>
    </row>
    <row r="1635" spans="2:65" s="148" customFormat="1" x14ac:dyDescent="0.2">
      <c r="B1635" s="149"/>
      <c r="D1635" s="143" t="s">
        <v>346</v>
      </c>
      <c r="E1635" s="150"/>
      <c r="F1635" s="151" t="s">
        <v>1474</v>
      </c>
      <c r="H1635" s="152">
        <v>8.8450000000000006</v>
      </c>
      <c r="L1635" s="149"/>
      <c r="M1635" s="153"/>
      <c r="T1635" s="154"/>
      <c r="AT1635" s="150" t="s">
        <v>346</v>
      </c>
      <c r="AU1635" s="150" t="s">
        <v>90</v>
      </c>
      <c r="AV1635" s="148" t="s">
        <v>90</v>
      </c>
      <c r="AW1635" s="148" t="s">
        <v>33</v>
      </c>
      <c r="AX1635" s="148" t="s">
        <v>80</v>
      </c>
      <c r="AY1635" s="150" t="s">
        <v>337</v>
      </c>
    </row>
    <row r="1636" spans="2:65" s="148" customFormat="1" x14ac:dyDescent="0.2">
      <c r="B1636" s="149"/>
      <c r="D1636" s="143" t="s">
        <v>346</v>
      </c>
      <c r="E1636" s="150"/>
      <c r="F1636" s="151" t="s">
        <v>1479</v>
      </c>
      <c r="H1636" s="152">
        <v>5.3380000000000001</v>
      </c>
      <c r="L1636" s="149"/>
      <c r="M1636" s="153"/>
      <c r="T1636" s="154"/>
      <c r="AT1636" s="150" t="s">
        <v>346</v>
      </c>
      <c r="AU1636" s="150" t="s">
        <v>90</v>
      </c>
      <c r="AV1636" s="148" t="s">
        <v>90</v>
      </c>
      <c r="AW1636" s="148" t="s">
        <v>33</v>
      </c>
      <c r="AX1636" s="148" t="s">
        <v>80</v>
      </c>
      <c r="AY1636" s="150" t="s">
        <v>337</v>
      </c>
    </row>
    <row r="1637" spans="2:65" s="141" customFormat="1" x14ac:dyDescent="0.2">
      <c r="B1637" s="142"/>
      <c r="D1637" s="143" t="s">
        <v>346</v>
      </c>
      <c r="E1637" s="144"/>
      <c r="F1637" s="145" t="s">
        <v>1233</v>
      </c>
      <c r="H1637" s="144"/>
      <c r="L1637" s="142"/>
      <c r="M1637" s="146"/>
      <c r="T1637" s="147"/>
      <c r="AT1637" s="144" t="s">
        <v>346</v>
      </c>
      <c r="AU1637" s="144" t="s">
        <v>90</v>
      </c>
      <c r="AV1637" s="141" t="s">
        <v>87</v>
      </c>
      <c r="AW1637" s="141" t="s">
        <v>33</v>
      </c>
      <c r="AX1637" s="141" t="s">
        <v>80</v>
      </c>
      <c r="AY1637" s="144" t="s">
        <v>337</v>
      </c>
    </row>
    <row r="1638" spans="2:65" s="148" customFormat="1" x14ac:dyDescent="0.2">
      <c r="B1638" s="149"/>
      <c r="D1638" s="143" t="s">
        <v>346</v>
      </c>
      <c r="E1638" s="150"/>
      <c r="F1638" s="151" t="s">
        <v>1484</v>
      </c>
      <c r="H1638" s="152">
        <v>2.44</v>
      </c>
      <c r="L1638" s="149"/>
      <c r="M1638" s="153"/>
      <c r="T1638" s="154"/>
      <c r="AT1638" s="150" t="s">
        <v>346</v>
      </c>
      <c r="AU1638" s="150" t="s">
        <v>90</v>
      </c>
      <c r="AV1638" s="148" t="s">
        <v>90</v>
      </c>
      <c r="AW1638" s="148" t="s">
        <v>33</v>
      </c>
      <c r="AX1638" s="148" t="s">
        <v>80</v>
      </c>
      <c r="AY1638" s="150" t="s">
        <v>337</v>
      </c>
    </row>
    <row r="1639" spans="2:65" s="148" customFormat="1" x14ac:dyDescent="0.2">
      <c r="B1639" s="149"/>
      <c r="D1639" s="143" t="s">
        <v>346</v>
      </c>
      <c r="E1639" s="150"/>
      <c r="F1639" s="151" t="s">
        <v>1485</v>
      </c>
      <c r="H1639" s="152">
        <v>7.93</v>
      </c>
      <c r="L1639" s="149"/>
      <c r="M1639" s="153"/>
      <c r="T1639" s="154"/>
      <c r="AT1639" s="150" t="s">
        <v>346</v>
      </c>
      <c r="AU1639" s="150" t="s">
        <v>90</v>
      </c>
      <c r="AV1639" s="148" t="s">
        <v>90</v>
      </c>
      <c r="AW1639" s="148" t="s">
        <v>33</v>
      </c>
      <c r="AX1639" s="148" t="s">
        <v>80</v>
      </c>
      <c r="AY1639" s="150" t="s">
        <v>337</v>
      </c>
    </row>
    <row r="1640" spans="2:65" s="141" customFormat="1" x14ac:dyDescent="0.2">
      <c r="B1640" s="142"/>
      <c r="D1640" s="143" t="s">
        <v>346</v>
      </c>
      <c r="E1640" s="144"/>
      <c r="F1640" s="145" t="s">
        <v>434</v>
      </c>
      <c r="H1640" s="144"/>
      <c r="L1640" s="142"/>
      <c r="M1640" s="146"/>
      <c r="T1640" s="147"/>
      <c r="AT1640" s="144" t="s">
        <v>346</v>
      </c>
      <c r="AU1640" s="144" t="s">
        <v>90</v>
      </c>
      <c r="AV1640" s="141" t="s">
        <v>87</v>
      </c>
      <c r="AW1640" s="141" t="s">
        <v>33</v>
      </c>
      <c r="AX1640" s="141" t="s">
        <v>80</v>
      </c>
      <c r="AY1640" s="144" t="s">
        <v>337</v>
      </c>
    </row>
    <row r="1641" spans="2:65" s="148" customFormat="1" x14ac:dyDescent="0.2">
      <c r="B1641" s="149"/>
      <c r="D1641" s="143" t="s">
        <v>346</v>
      </c>
      <c r="E1641" s="150"/>
      <c r="F1641" s="151" t="s">
        <v>1486</v>
      </c>
      <c r="H1641" s="152">
        <v>4.3499999999999996</v>
      </c>
      <c r="L1641" s="149"/>
      <c r="M1641" s="153"/>
      <c r="T1641" s="154"/>
      <c r="AT1641" s="150" t="s">
        <v>346</v>
      </c>
      <c r="AU1641" s="150" t="s">
        <v>90</v>
      </c>
      <c r="AV1641" s="148" t="s">
        <v>90</v>
      </c>
      <c r="AW1641" s="148" t="s">
        <v>33</v>
      </c>
      <c r="AX1641" s="148" t="s">
        <v>80</v>
      </c>
      <c r="AY1641" s="150" t="s">
        <v>337</v>
      </c>
    </row>
    <row r="1642" spans="2:65" s="148" customFormat="1" x14ac:dyDescent="0.2">
      <c r="B1642" s="149"/>
      <c r="D1642" s="143" t="s">
        <v>346</v>
      </c>
      <c r="E1642" s="150"/>
      <c r="F1642" s="151" t="s">
        <v>1487</v>
      </c>
      <c r="H1642" s="152">
        <v>2.3250000000000002</v>
      </c>
      <c r="L1642" s="149"/>
      <c r="M1642" s="153"/>
      <c r="T1642" s="154"/>
      <c r="AT1642" s="150" t="s">
        <v>346</v>
      </c>
      <c r="AU1642" s="150" t="s">
        <v>90</v>
      </c>
      <c r="AV1642" s="148" t="s">
        <v>90</v>
      </c>
      <c r="AW1642" s="148" t="s">
        <v>33</v>
      </c>
      <c r="AX1642" s="148" t="s">
        <v>80</v>
      </c>
      <c r="AY1642" s="150" t="s">
        <v>337</v>
      </c>
    </row>
    <row r="1643" spans="2:65" s="148" customFormat="1" x14ac:dyDescent="0.2">
      <c r="B1643" s="149"/>
      <c r="D1643" s="143" t="s">
        <v>346</v>
      </c>
      <c r="E1643" s="150"/>
      <c r="F1643" s="151" t="s">
        <v>1488</v>
      </c>
      <c r="H1643" s="152">
        <v>35.1</v>
      </c>
      <c r="L1643" s="149"/>
      <c r="M1643" s="153"/>
      <c r="T1643" s="154"/>
      <c r="AT1643" s="150" t="s">
        <v>346</v>
      </c>
      <c r="AU1643" s="150" t="s">
        <v>90</v>
      </c>
      <c r="AV1643" s="148" t="s">
        <v>90</v>
      </c>
      <c r="AW1643" s="148" t="s">
        <v>33</v>
      </c>
      <c r="AX1643" s="148" t="s">
        <v>80</v>
      </c>
      <c r="AY1643" s="150" t="s">
        <v>337</v>
      </c>
    </row>
    <row r="1644" spans="2:65" s="148" customFormat="1" x14ac:dyDescent="0.2">
      <c r="B1644" s="149"/>
      <c r="D1644" s="143" t="s">
        <v>346</v>
      </c>
      <c r="E1644" s="150"/>
      <c r="F1644" s="151" t="s">
        <v>1487</v>
      </c>
      <c r="H1644" s="152">
        <v>2.3250000000000002</v>
      </c>
      <c r="L1644" s="149"/>
      <c r="M1644" s="153"/>
      <c r="T1644" s="154"/>
      <c r="AT1644" s="150" t="s">
        <v>346</v>
      </c>
      <c r="AU1644" s="150" t="s">
        <v>90</v>
      </c>
      <c r="AV1644" s="148" t="s">
        <v>90</v>
      </c>
      <c r="AW1644" s="148" t="s">
        <v>33</v>
      </c>
      <c r="AX1644" s="148" t="s">
        <v>80</v>
      </c>
      <c r="AY1644" s="150" t="s">
        <v>337</v>
      </c>
    </row>
    <row r="1645" spans="2:65" s="155" customFormat="1" x14ac:dyDescent="0.2">
      <c r="B1645" s="156"/>
      <c r="D1645" s="143" t="s">
        <v>346</v>
      </c>
      <c r="E1645" s="157"/>
      <c r="F1645" s="158" t="s">
        <v>351</v>
      </c>
      <c r="H1645" s="159">
        <v>298.93900000000002</v>
      </c>
      <c r="L1645" s="156"/>
      <c r="M1645" s="160"/>
      <c r="T1645" s="161"/>
      <c r="AT1645" s="157" t="s">
        <v>346</v>
      </c>
      <c r="AU1645" s="157" t="s">
        <v>90</v>
      </c>
      <c r="AV1645" s="155" t="s">
        <v>344</v>
      </c>
      <c r="AW1645" s="155" t="s">
        <v>33</v>
      </c>
      <c r="AX1645" s="155" t="s">
        <v>87</v>
      </c>
      <c r="AY1645" s="157" t="s">
        <v>337</v>
      </c>
    </row>
    <row r="1646" spans="2:65" s="16" customFormat="1" ht="16.5" customHeight="1" x14ac:dyDescent="0.2">
      <c r="B1646" s="17"/>
      <c r="C1646" s="128">
        <v>132</v>
      </c>
      <c r="D1646" s="128" t="s">
        <v>339</v>
      </c>
      <c r="E1646" s="129" t="s">
        <v>1489</v>
      </c>
      <c r="F1646" s="130" t="s">
        <v>1490</v>
      </c>
      <c r="G1646" s="131" t="s">
        <v>449</v>
      </c>
      <c r="H1646" s="132">
        <v>10</v>
      </c>
      <c r="I1646" s="133"/>
      <c r="J1646" s="134">
        <f>ROUND(I1646*H1646,2)</f>
        <v>0</v>
      </c>
      <c r="K1646" s="130" t="s">
        <v>343</v>
      </c>
      <c r="L1646" s="17"/>
      <c r="M1646" s="135"/>
      <c r="N1646" s="136" t="s">
        <v>45</v>
      </c>
      <c r="P1646" s="137">
        <f>O1646*H1646</f>
        <v>0</v>
      </c>
      <c r="Q1646" s="137">
        <v>3.0000000000000001E-5</v>
      </c>
      <c r="R1646" s="137">
        <f>Q1646*H1646</f>
        <v>3.0000000000000003E-4</v>
      </c>
      <c r="S1646" s="137">
        <v>0</v>
      </c>
      <c r="T1646" s="138">
        <f>S1646*H1646</f>
        <v>0</v>
      </c>
      <c r="AR1646" s="139" t="s">
        <v>496</v>
      </c>
      <c r="AT1646" s="139" t="s">
        <v>339</v>
      </c>
      <c r="AU1646" s="139" t="s">
        <v>90</v>
      </c>
      <c r="AY1646" s="2" t="s">
        <v>337</v>
      </c>
      <c r="BE1646" s="140">
        <f>IF(N1646="základní",J1646,0)</f>
        <v>0</v>
      </c>
      <c r="BF1646" s="140">
        <f>IF(N1646="snížená",J1646,0)</f>
        <v>0</v>
      </c>
      <c r="BG1646" s="140">
        <f>IF(N1646="zákl. přenesená",J1646,0)</f>
        <v>0</v>
      </c>
      <c r="BH1646" s="140">
        <f>IF(N1646="sníž. přenesená",J1646,0)</f>
        <v>0</v>
      </c>
      <c r="BI1646" s="140">
        <f>IF(N1646="nulová",J1646,0)</f>
        <v>0</v>
      </c>
      <c r="BJ1646" s="2" t="s">
        <v>87</v>
      </c>
      <c r="BK1646" s="140">
        <f>ROUND(I1646*H1646,2)</f>
        <v>0</v>
      </c>
      <c r="BL1646" s="2" t="s">
        <v>496</v>
      </c>
      <c r="BM1646" s="139" t="s">
        <v>1491</v>
      </c>
    </row>
    <row r="1647" spans="2:65" s="16" customFormat="1" ht="16.5" customHeight="1" x14ac:dyDescent="0.2">
      <c r="B1647" s="17"/>
      <c r="C1647" s="128">
        <v>133</v>
      </c>
      <c r="D1647" s="128" t="s">
        <v>339</v>
      </c>
      <c r="E1647" s="129" t="s">
        <v>1493</v>
      </c>
      <c r="F1647" s="130" t="s">
        <v>1494</v>
      </c>
      <c r="G1647" s="131" t="s">
        <v>449</v>
      </c>
      <c r="H1647" s="132">
        <v>10</v>
      </c>
      <c r="I1647" s="133"/>
      <c r="J1647" s="134">
        <f>ROUND(I1647*H1647,2)</f>
        <v>0</v>
      </c>
      <c r="K1647" s="130" t="s">
        <v>343</v>
      </c>
      <c r="L1647" s="17"/>
      <c r="M1647" s="135"/>
      <c r="N1647" s="136" t="s">
        <v>45</v>
      </c>
      <c r="P1647" s="137">
        <f>O1647*H1647</f>
        <v>0</v>
      </c>
      <c r="Q1647" s="137">
        <v>3.0000000000000001E-5</v>
      </c>
      <c r="R1647" s="137">
        <f>Q1647*H1647</f>
        <v>3.0000000000000003E-4</v>
      </c>
      <c r="S1647" s="137">
        <v>0</v>
      </c>
      <c r="T1647" s="138">
        <f>S1647*H1647</f>
        <v>0</v>
      </c>
      <c r="AR1647" s="139" t="s">
        <v>496</v>
      </c>
      <c r="AT1647" s="139" t="s">
        <v>339</v>
      </c>
      <c r="AU1647" s="139" t="s">
        <v>90</v>
      </c>
      <c r="AY1647" s="2" t="s">
        <v>337</v>
      </c>
      <c r="BE1647" s="140">
        <f>IF(N1647="základní",J1647,0)</f>
        <v>0</v>
      </c>
      <c r="BF1647" s="140">
        <f>IF(N1647="snížená",J1647,0)</f>
        <v>0</v>
      </c>
      <c r="BG1647" s="140">
        <f>IF(N1647="zákl. přenesená",J1647,0)</f>
        <v>0</v>
      </c>
      <c r="BH1647" s="140">
        <f>IF(N1647="sníž. přenesená",J1647,0)</f>
        <v>0</v>
      </c>
      <c r="BI1647" s="140">
        <f>IF(N1647="nulová",J1647,0)</f>
        <v>0</v>
      </c>
      <c r="BJ1647" s="2" t="s">
        <v>87</v>
      </c>
      <c r="BK1647" s="140">
        <f>ROUND(I1647*H1647,2)</f>
        <v>0</v>
      </c>
      <c r="BL1647" s="2" t="s">
        <v>496</v>
      </c>
      <c r="BM1647" s="139" t="s">
        <v>1495</v>
      </c>
    </row>
    <row r="1648" spans="2:65" s="16" customFormat="1" ht="16.5" customHeight="1" x14ac:dyDescent="0.2">
      <c r="B1648" s="17"/>
      <c r="C1648" s="128">
        <v>134</v>
      </c>
      <c r="D1648" s="162" t="s">
        <v>519</v>
      </c>
      <c r="E1648" s="163" t="s">
        <v>1496</v>
      </c>
      <c r="F1648" s="164" t="s">
        <v>1497</v>
      </c>
      <c r="G1648" s="165" t="s">
        <v>449</v>
      </c>
      <c r="H1648" s="166">
        <v>20</v>
      </c>
      <c r="I1648" s="167"/>
      <c r="J1648" s="168">
        <f>ROUND(I1648*H1648,2)</f>
        <v>0</v>
      </c>
      <c r="K1648" s="164" t="s">
        <v>343</v>
      </c>
      <c r="L1648" s="169"/>
      <c r="M1648" s="170"/>
      <c r="N1648" s="171" t="s">
        <v>45</v>
      </c>
      <c r="P1648" s="137">
        <f>O1648*H1648</f>
        <v>0</v>
      </c>
      <c r="Q1648" s="137">
        <v>1.4E-3</v>
      </c>
      <c r="R1648" s="137">
        <f>Q1648*H1648</f>
        <v>2.8000000000000001E-2</v>
      </c>
      <c r="S1648" s="137">
        <v>0</v>
      </c>
      <c r="T1648" s="138">
        <f>S1648*H1648</f>
        <v>0</v>
      </c>
      <c r="AR1648" s="139" t="s">
        <v>621</v>
      </c>
      <c r="AT1648" s="139" t="s">
        <v>519</v>
      </c>
      <c r="AU1648" s="139" t="s">
        <v>90</v>
      </c>
      <c r="AY1648" s="2" t="s">
        <v>337</v>
      </c>
      <c r="BE1648" s="140">
        <f>IF(N1648="základní",J1648,0)</f>
        <v>0</v>
      </c>
      <c r="BF1648" s="140">
        <f>IF(N1648="snížená",J1648,0)</f>
        <v>0</v>
      </c>
      <c r="BG1648" s="140">
        <f>IF(N1648="zákl. přenesená",J1648,0)</f>
        <v>0</v>
      </c>
      <c r="BH1648" s="140">
        <f>IF(N1648="sníž. přenesená",J1648,0)</f>
        <v>0</v>
      </c>
      <c r="BI1648" s="140">
        <f>IF(N1648="nulová",J1648,0)</f>
        <v>0</v>
      </c>
      <c r="BJ1648" s="2" t="s">
        <v>87</v>
      </c>
      <c r="BK1648" s="140">
        <f>ROUND(I1648*H1648,2)</f>
        <v>0</v>
      </c>
      <c r="BL1648" s="2" t="s">
        <v>496</v>
      </c>
      <c r="BM1648" s="139" t="s">
        <v>1498</v>
      </c>
    </row>
    <row r="1649" spans="2:65" s="16" customFormat="1" ht="21.75" customHeight="1" x14ac:dyDescent="0.2">
      <c r="B1649" s="17"/>
      <c r="C1649" s="128">
        <v>135</v>
      </c>
      <c r="D1649" s="128" t="s">
        <v>339</v>
      </c>
      <c r="E1649" s="129" t="s">
        <v>1500</v>
      </c>
      <c r="F1649" s="130" t="s">
        <v>1501</v>
      </c>
      <c r="G1649" s="131" t="s">
        <v>425</v>
      </c>
      <c r="H1649" s="132">
        <v>668.81</v>
      </c>
      <c r="I1649" s="133"/>
      <c r="J1649" s="134">
        <f>ROUND(I1649*H1649,2)</f>
        <v>0</v>
      </c>
      <c r="K1649" s="130"/>
      <c r="L1649" s="17"/>
      <c r="M1649" s="135"/>
      <c r="N1649" s="136" t="s">
        <v>45</v>
      </c>
      <c r="P1649" s="137">
        <f>O1649*H1649</f>
        <v>0</v>
      </c>
      <c r="Q1649" s="137">
        <v>9.4499999999999998E-4</v>
      </c>
      <c r="R1649" s="137">
        <f>Q1649*H1649</f>
        <v>0.63202544999999999</v>
      </c>
      <c r="S1649" s="137">
        <v>0</v>
      </c>
      <c r="T1649" s="138">
        <f>S1649*H1649</f>
        <v>0</v>
      </c>
      <c r="AR1649" s="139" t="s">
        <v>496</v>
      </c>
      <c r="AT1649" s="139" t="s">
        <v>339</v>
      </c>
      <c r="AU1649" s="139" t="s">
        <v>90</v>
      </c>
      <c r="AY1649" s="2" t="s">
        <v>337</v>
      </c>
      <c r="BE1649" s="140">
        <f>IF(N1649="základní",J1649,0)</f>
        <v>0</v>
      </c>
      <c r="BF1649" s="140">
        <f>IF(N1649="snížená",J1649,0)</f>
        <v>0</v>
      </c>
      <c r="BG1649" s="140">
        <f>IF(N1649="zákl. přenesená",J1649,0)</f>
        <v>0</v>
      </c>
      <c r="BH1649" s="140">
        <f>IF(N1649="sníž. přenesená",J1649,0)</f>
        <v>0</v>
      </c>
      <c r="BI1649" s="140">
        <f>IF(N1649="nulová",J1649,0)</f>
        <v>0</v>
      </c>
      <c r="BJ1649" s="2" t="s">
        <v>87</v>
      </c>
      <c r="BK1649" s="140">
        <f>ROUND(I1649*H1649,2)</f>
        <v>0</v>
      </c>
      <c r="BL1649" s="2" t="s">
        <v>496</v>
      </c>
      <c r="BM1649" s="139" t="s">
        <v>1502</v>
      </c>
    </row>
    <row r="1650" spans="2:65" s="141" customFormat="1" x14ac:dyDescent="0.2">
      <c r="B1650" s="142"/>
      <c r="D1650" s="143" t="s">
        <v>346</v>
      </c>
      <c r="E1650" s="144"/>
      <c r="F1650" s="145" t="s">
        <v>1068</v>
      </c>
      <c r="H1650" s="144"/>
      <c r="L1650" s="142"/>
      <c r="M1650" s="146"/>
      <c r="T1650" s="147"/>
      <c r="AT1650" s="144" t="s">
        <v>346</v>
      </c>
      <c r="AU1650" s="144" t="s">
        <v>90</v>
      </c>
      <c r="AV1650" s="141" t="s">
        <v>87</v>
      </c>
      <c r="AW1650" s="141" t="s">
        <v>33</v>
      </c>
      <c r="AX1650" s="141" t="s">
        <v>80</v>
      </c>
      <c r="AY1650" s="144" t="s">
        <v>337</v>
      </c>
    </row>
    <row r="1651" spans="2:65" s="141" customFormat="1" x14ac:dyDescent="0.2">
      <c r="B1651" s="142"/>
      <c r="D1651" s="143" t="s">
        <v>346</v>
      </c>
      <c r="E1651" s="144"/>
      <c r="F1651" s="145" t="s">
        <v>362</v>
      </c>
      <c r="H1651" s="144"/>
      <c r="L1651" s="142"/>
      <c r="M1651" s="146"/>
      <c r="T1651" s="147"/>
      <c r="AT1651" s="144" t="s">
        <v>346</v>
      </c>
      <c r="AU1651" s="144" t="s">
        <v>90</v>
      </c>
      <c r="AV1651" s="141" t="s">
        <v>87</v>
      </c>
      <c r="AW1651" s="141" t="s">
        <v>33</v>
      </c>
      <c r="AX1651" s="141" t="s">
        <v>80</v>
      </c>
      <c r="AY1651" s="144" t="s">
        <v>337</v>
      </c>
    </row>
    <row r="1652" spans="2:65" s="148" customFormat="1" x14ac:dyDescent="0.2">
      <c r="B1652" s="149"/>
      <c r="D1652" s="143" t="s">
        <v>346</v>
      </c>
      <c r="E1652" s="150"/>
      <c r="F1652" s="151" t="s">
        <v>1503</v>
      </c>
      <c r="H1652" s="152">
        <v>320.64</v>
      </c>
      <c r="L1652" s="149"/>
      <c r="M1652" s="153"/>
      <c r="T1652" s="154"/>
      <c r="AT1652" s="150" t="s">
        <v>346</v>
      </c>
      <c r="AU1652" s="150" t="s">
        <v>90</v>
      </c>
      <c r="AV1652" s="148" t="s">
        <v>90</v>
      </c>
      <c r="AW1652" s="148" t="s">
        <v>33</v>
      </c>
      <c r="AX1652" s="148" t="s">
        <v>80</v>
      </c>
      <c r="AY1652" s="150" t="s">
        <v>337</v>
      </c>
    </row>
    <row r="1653" spans="2:65" s="141" customFormat="1" x14ac:dyDescent="0.2">
      <c r="B1653" s="142"/>
      <c r="D1653" s="143" t="s">
        <v>346</v>
      </c>
      <c r="E1653" s="144"/>
      <c r="F1653" s="145" t="s">
        <v>367</v>
      </c>
      <c r="H1653" s="144"/>
      <c r="L1653" s="142"/>
      <c r="M1653" s="146"/>
      <c r="T1653" s="147"/>
      <c r="AT1653" s="144" t="s">
        <v>346</v>
      </c>
      <c r="AU1653" s="144" t="s">
        <v>90</v>
      </c>
      <c r="AV1653" s="141" t="s">
        <v>87</v>
      </c>
      <c r="AW1653" s="141" t="s">
        <v>33</v>
      </c>
      <c r="AX1653" s="141" t="s">
        <v>80</v>
      </c>
      <c r="AY1653" s="144" t="s">
        <v>337</v>
      </c>
    </row>
    <row r="1654" spans="2:65" s="148" customFormat="1" x14ac:dyDescent="0.2">
      <c r="B1654" s="149"/>
      <c r="D1654" s="143" t="s">
        <v>346</v>
      </c>
      <c r="E1654" s="150"/>
      <c r="F1654" s="151" t="s">
        <v>1504</v>
      </c>
      <c r="H1654" s="152">
        <v>101.52</v>
      </c>
      <c r="L1654" s="149"/>
      <c r="M1654" s="153"/>
      <c r="T1654" s="154"/>
      <c r="AT1654" s="150" t="s">
        <v>346</v>
      </c>
      <c r="AU1654" s="150" t="s">
        <v>90</v>
      </c>
      <c r="AV1654" s="148" t="s">
        <v>90</v>
      </c>
      <c r="AW1654" s="148" t="s">
        <v>33</v>
      </c>
      <c r="AX1654" s="148" t="s">
        <v>80</v>
      </c>
      <c r="AY1654" s="150" t="s">
        <v>337</v>
      </c>
    </row>
    <row r="1655" spans="2:65" s="141" customFormat="1" x14ac:dyDescent="0.2">
      <c r="B1655" s="142"/>
      <c r="D1655" s="143" t="s">
        <v>346</v>
      </c>
      <c r="E1655" s="144"/>
      <c r="F1655" s="145" t="s">
        <v>368</v>
      </c>
      <c r="H1655" s="144"/>
      <c r="L1655" s="142"/>
      <c r="M1655" s="146"/>
      <c r="T1655" s="147"/>
      <c r="AT1655" s="144" t="s">
        <v>346</v>
      </c>
      <c r="AU1655" s="144" t="s">
        <v>90</v>
      </c>
      <c r="AV1655" s="141" t="s">
        <v>87</v>
      </c>
      <c r="AW1655" s="141" t="s">
        <v>33</v>
      </c>
      <c r="AX1655" s="141" t="s">
        <v>80</v>
      </c>
      <c r="AY1655" s="144" t="s">
        <v>337</v>
      </c>
    </row>
    <row r="1656" spans="2:65" s="148" customFormat="1" x14ac:dyDescent="0.2">
      <c r="B1656" s="149"/>
      <c r="D1656" s="143" t="s">
        <v>346</v>
      </c>
      <c r="E1656" s="150"/>
      <c r="F1656" s="151" t="s">
        <v>1505</v>
      </c>
      <c r="H1656" s="152">
        <v>111.54</v>
      </c>
      <c r="L1656" s="149"/>
      <c r="M1656" s="153"/>
      <c r="T1656" s="154"/>
      <c r="AT1656" s="150" t="s">
        <v>346</v>
      </c>
      <c r="AU1656" s="150" t="s">
        <v>90</v>
      </c>
      <c r="AV1656" s="148" t="s">
        <v>90</v>
      </c>
      <c r="AW1656" s="148" t="s">
        <v>33</v>
      </c>
      <c r="AX1656" s="148" t="s">
        <v>80</v>
      </c>
      <c r="AY1656" s="150" t="s">
        <v>337</v>
      </c>
    </row>
    <row r="1657" spans="2:65" s="141" customFormat="1" x14ac:dyDescent="0.2">
      <c r="B1657" s="142"/>
      <c r="D1657" s="143" t="s">
        <v>346</v>
      </c>
      <c r="E1657" s="144"/>
      <c r="F1657" s="145" t="s">
        <v>370</v>
      </c>
      <c r="H1657" s="144"/>
      <c r="L1657" s="142"/>
      <c r="M1657" s="146"/>
      <c r="T1657" s="147"/>
      <c r="AT1657" s="144" t="s">
        <v>346</v>
      </c>
      <c r="AU1657" s="144" t="s">
        <v>90</v>
      </c>
      <c r="AV1657" s="141" t="s">
        <v>87</v>
      </c>
      <c r="AW1657" s="141" t="s">
        <v>33</v>
      </c>
      <c r="AX1657" s="141" t="s">
        <v>80</v>
      </c>
      <c r="AY1657" s="144" t="s">
        <v>337</v>
      </c>
    </row>
    <row r="1658" spans="2:65" s="148" customFormat="1" x14ac:dyDescent="0.2">
      <c r="B1658" s="149"/>
      <c r="D1658" s="143" t="s">
        <v>346</v>
      </c>
      <c r="E1658" s="150"/>
      <c r="F1658" s="151" t="s">
        <v>1506</v>
      </c>
      <c r="H1658" s="152">
        <v>125.57</v>
      </c>
      <c r="L1658" s="149"/>
      <c r="M1658" s="153"/>
      <c r="T1658" s="154"/>
      <c r="AT1658" s="150" t="s">
        <v>346</v>
      </c>
      <c r="AU1658" s="150" t="s">
        <v>90</v>
      </c>
      <c r="AV1658" s="148" t="s">
        <v>90</v>
      </c>
      <c r="AW1658" s="148" t="s">
        <v>33</v>
      </c>
      <c r="AX1658" s="148" t="s">
        <v>80</v>
      </c>
      <c r="AY1658" s="150" t="s">
        <v>337</v>
      </c>
    </row>
    <row r="1659" spans="2:65" s="141" customFormat="1" x14ac:dyDescent="0.2">
      <c r="B1659" s="142"/>
      <c r="D1659" s="143" t="s">
        <v>346</v>
      </c>
      <c r="E1659" s="144"/>
      <c r="F1659" s="145" t="s">
        <v>434</v>
      </c>
      <c r="H1659" s="144"/>
      <c r="L1659" s="142"/>
      <c r="M1659" s="146"/>
      <c r="T1659" s="147"/>
      <c r="AT1659" s="144" t="s">
        <v>346</v>
      </c>
      <c r="AU1659" s="144" t="s">
        <v>90</v>
      </c>
      <c r="AV1659" s="141" t="s">
        <v>87</v>
      </c>
      <c r="AW1659" s="141" t="s">
        <v>33</v>
      </c>
      <c r="AX1659" s="141" t="s">
        <v>80</v>
      </c>
      <c r="AY1659" s="144" t="s">
        <v>337</v>
      </c>
    </row>
    <row r="1660" spans="2:65" s="148" customFormat="1" x14ac:dyDescent="0.2">
      <c r="B1660" s="149"/>
      <c r="D1660" s="143" t="s">
        <v>346</v>
      </c>
      <c r="E1660" s="150"/>
      <c r="F1660" s="151" t="s">
        <v>1507</v>
      </c>
      <c r="H1660" s="152">
        <v>114.3</v>
      </c>
      <c r="L1660" s="149"/>
      <c r="M1660" s="153"/>
      <c r="T1660" s="154"/>
      <c r="AT1660" s="150" t="s">
        <v>346</v>
      </c>
      <c r="AU1660" s="150" t="s">
        <v>90</v>
      </c>
      <c r="AV1660" s="148" t="s">
        <v>90</v>
      </c>
      <c r="AW1660" s="148" t="s">
        <v>33</v>
      </c>
      <c r="AX1660" s="148" t="s">
        <v>80</v>
      </c>
      <c r="AY1660" s="150" t="s">
        <v>337</v>
      </c>
    </row>
    <row r="1661" spans="2:65" s="141" customFormat="1" x14ac:dyDescent="0.2">
      <c r="B1661" s="142"/>
      <c r="D1661" s="143" t="s">
        <v>346</v>
      </c>
      <c r="E1661" s="144"/>
      <c r="F1661" s="145" t="s">
        <v>1508</v>
      </c>
      <c r="H1661" s="144"/>
      <c r="L1661" s="142"/>
      <c r="M1661" s="146"/>
      <c r="T1661" s="147"/>
      <c r="AT1661" s="144" t="s">
        <v>346</v>
      </c>
      <c r="AU1661" s="144" t="s">
        <v>90</v>
      </c>
      <c r="AV1661" s="141" t="s">
        <v>87</v>
      </c>
      <c r="AW1661" s="141" t="s">
        <v>33</v>
      </c>
      <c r="AX1661" s="141" t="s">
        <v>80</v>
      </c>
      <c r="AY1661" s="144" t="s">
        <v>337</v>
      </c>
    </row>
    <row r="1662" spans="2:65" s="141" customFormat="1" x14ac:dyDescent="0.2">
      <c r="B1662" s="142"/>
      <c r="D1662" s="143" t="s">
        <v>346</v>
      </c>
      <c r="E1662" s="144"/>
      <c r="F1662" s="145" t="s">
        <v>1509</v>
      </c>
      <c r="H1662" s="144"/>
      <c r="L1662" s="142"/>
      <c r="M1662" s="146"/>
      <c r="T1662" s="147"/>
      <c r="AT1662" s="144" t="s">
        <v>346</v>
      </c>
      <c r="AU1662" s="144" t="s">
        <v>90</v>
      </c>
      <c r="AV1662" s="141" t="s">
        <v>87</v>
      </c>
      <c r="AW1662" s="141" t="s">
        <v>33</v>
      </c>
      <c r="AX1662" s="141" t="s">
        <v>80</v>
      </c>
      <c r="AY1662" s="144" t="s">
        <v>337</v>
      </c>
    </row>
    <row r="1663" spans="2:65" s="148" customFormat="1" x14ac:dyDescent="0.2">
      <c r="B1663" s="149"/>
      <c r="D1663" s="143" t="s">
        <v>346</v>
      </c>
      <c r="E1663" s="150"/>
      <c r="F1663" s="151" t="s">
        <v>1510</v>
      </c>
      <c r="H1663" s="152">
        <v>-12.15</v>
      </c>
      <c r="L1663" s="149"/>
      <c r="M1663" s="153"/>
      <c r="T1663" s="154"/>
      <c r="AT1663" s="150" t="s">
        <v>346</v>
      </c>
      <c r="AU1663" s="150" t="s">
        <v>90</v>
      </c>
      <c r="AV1663" s="148" t="s">
        <v>90</v>
      </c>
      <c r="AW1663" s="148" t="s">
        <v>33</v>
      </c>
      <c r="AX1663" s="148" t="s">
        <v>80</v>
      </c>
      <c r="AY1663" s="150" t="s">
        <v>337</v>
      </c>
    </row>
    <row r="1664" spans="2:65" s="141" customFormat="1" x14ac:dyDescent="0.2">
      <c r="B1664" s="142"/>
      <c r="D1664" s="143" t="s">
        <v>346</v>
      </c>
      <c r="E1664" s="144"/>
      <c r="F1664" s="145" t="s">
        <v>1511</v>
      </c>
      <c r="H1664" s="144"/>
      <c r="L1664" s="142"/>
      <c r="M1664" s="146"/>
      <c r="T1664" s="147"/>
      <c r="AT1664" s="144" t="s">
        <v>346</v>
      </c>
      <c r="AU1664" s="144" t="s">
        <v>90</v>
      </c>
      <c r="AV1664" s="141" t="s">
        <v>87</v>
      </c>
      <c r="AW1664" s="141" t="s">
        <v>33</v>
      </c>
      <c r="AX1664" s="141" t="s">
        <v>80</v>
      </c>
      <c r="AY1664" s="144" t="s">
        <v>337</v>
      </c>
    </row>
    <row r="1665" spans="2:51" s="148" customFormat="1" x14ac:dyDescent="0.2">
      <c r="B1665" s="149"/>
      <c r="D1665" s="143" t="s">
        <v>346</v>
      </c>
      <c r="E1665" s="150"/>
      <c r="F1665" s="151" t="s">
        <v>1512</v>
      </c>
      <c r="H1665" s="152">
        <v>-13.05</v>
      </c>
      <c r="L1665" s="149"/>
      <c r="M1665" s="153"/>
      <c r="T1665" s="154"/>
      <c r="AT1665" s="150" t="s">
        <v>346</v>
      </c>
      <c r="AU1665" s="150" t="s">
        <v>90</v>
      </c>
      <c r="AV1665" s="148" t="s">
        <v>90</v>
      </c>
      <c r="AW1665" s="148" t="s">
        <v>33</v>
      </c>
      <c r="AX1665" s="148" t="s">
        <v>80</v>
      </c>
      <c r="AY1665" s="150" t="s">
        <v>337</v>
      </c>
    </row>
    <row r="1666" spans="2:51" s="141" customFormat="1" x14ac:dyDescent="0.2">
      <c r="B1666" s="142"/>
      <c r="D1666" s="143" t="s">
        <v>346</v>
      </c>
      <c r="E1666" s="144"/>
      <c r="F1666" s="145" t="s">
        <v>1513</v>
      </c>
      <c r="H1666" s="144"/>
      <c r="L1666" s="142"/>
      <c r="M1666" s="146"/>
      <c r="T1666" s="147"/>
      <c r="AT1666" s="144" t="s">
        <v>346</v>
      </c>
      <c r="AU1666" s="144" t="s">
        <v>90</v>
      </c>
      <c r="AV1666" s="141" t="s">
        <v>87</v>
      </c>
      <c r="AW1666" s="141" t="s">
        <v>33</v>
      </c>
      <c r="AX1666" s="141" t="s">
        <v>80</v>
      </c>
      <c r="AY1666" s="144" t="s">
        <v>337</v>
      </c>
    </row>
    <row r="1667" spans="2:51" s="148" customFormat="1" x14ac:dyDescent="0.2">
      <c r="B1667" s="149"/>
      <c r="D1667" s="143" t="s">
        <v>346</v>
      </c>
      <c r="E1667" s="150"/>
      <c r="F1667" s="151" t="s">
        <v>1514</v>
      </c>
      <c r="H1667" s="152">
        <v>-11.23</v>
      </c>
      <c r="L1667" s="149"/>
      <c r="M1667" s="153"/>
      <c r="T1667" s="154"/>
      <c r="AT1667" s="150" t="s">
        <v>346</v>
      </c>
      <c r="AU1667" s="150" t="s">
        <v>90</v>
      </c>
      <c r="AV1667" s="148" t="s">
        <v>90</v>
      </c>
      <c r="AW1667" s="148" t="s">
        <v>33</v>
      </c>
      <c r="AX1667" s="148" t="s">
        <v>80</v>
      </c>
      <c r="AY1667" s="150" t="s">
        <v>337</v>
      </c>
    </row>
    <row r="1668" spans="2:51" s="141" customFormat="1" x14ac:dyDescent="0.2">
      <c r="B1668" s="142"/>
      <c r="D1668" s="143" t="s">
        <v>346</v>
      </c>
      <c r="E1668" s="144"/>
      <c r="F1668" s="145" t="s">
        <v>1515</v>
      </c>
      <c r="H1668" s="144"/>
      <c r="L1668" s="142"/>
      <c r="M1668" s="146"/>
      <c r="T1668" s="147"/>
      <c r="AT1668" s="144" t="s">
        <v>346</v>
      </c>
      <c r="AU1668" s="144" t="s">
        <v>90</v>
      </c>
      <c r="AV1668" s="141" t="s">
        <v>87</v>
      </c>
      <c r="AW1668" s="141" t="s">
        <v>33</v>
      </c>
      <c r="AX1668" s="141" t="s">
        <v>80</v>
      </c>
      <c r="AY1668" s="144" t="s">
        <v>337</v>
      </c>
    </row>
    <row r="1669" spans="2:51" s="148" customFormat="1" x14ac:dyDescent="0.2">
      <c r="B1669" s="149"/>
      <c r="D1669" s="143" t="s">
        <v>346</v>
      </c>
      <c r="E1669" s="150"/>
      <c r="F1669" s="151" t="s">
        <v>1512</v>
      </c>
      <c r="H1669" s="152">
        <v>-13.05</v>
      </c>
      <c r="L1669" s="149"/>
      <c r="M1669" s="153"/>
      <c r="T1669" s="154"/>
      <c r="AT1669" s="150" t="s">
        <v>346</v>
      </c>
      <c r="AU1669" s="150" t="s">
        <v>90</v>
      </c>
      <c r="AV1669" s="148" t="s">
        <v>90</v>
      </c>
      <c r="AW1669" s="148" t="s">
        <v>33</v>
      </c>
      <c r="AX1669" s="148" t="s">
        <v>80</v>
      </c>
      <c r="AY1669" s="150" t="s">
        <v>337</v>
      </c>
    </row>
    <row r="1670" spans="2:51" s="141" customFormat="1" x14ac:dyDescent="0.2">
      <c r="B1670" s="142"/>
      <c r="D1670" s="143" t="s">
        <v>346</v>
      </c>
      <c r="E1670" s="144"/>
      <c r="F1670" s="145" t="s">
        <v>1516</v>
      </c>
      <c r="H1670" s="144"/>
      <c r="L1670" s="142"/>
      <c r="M1670" s="146"/>
      <c r="T1670" s="147"/>
      <c r="AT1670" s="144" t="s">
        <v>346</v>
      </c>
      <c r="AU1670" s="144" t="s">
        <v>90</v>
      </c>
      <c r="AV1670" s="141" t="s">
        <v>87</v>
      </c>
      <c r="AW1670" s="141" t="s">
        <v>33</v>
      </c>
      <c r="AX1670" s="141" t="s">
        <v>80</v>
      </c>
      <c r="AY1670" s="144" t="s">
        <v>337</v>
      </c>
    </row>
    <row r="1671" spans="2:51" s="148" customFormat="1" x14ac:dyDescent="0.2">
      <c r="B1671" s="149"/>
      <c r="D1671" s="143" t="s">
        <v>346</v>
      </c>
      <c r="E1671" s="150"/>
      <c r="F1671" s="151" t="s">
        <v>1514</v>
      </c>
      <c r="H1671" s="152">
        <v>-11.23</v>
      </c>
      <c r="L1671" s="149"/>
      <c r="M1671" s="153"/>
      <c r="T1671" s="154"/>
      <c r="AT1671" s="150" t="s">
        <v>346</v>
      </c>
      <c r="AU1671" s="150" t="s">
        <v>90</v>
      </c>
      <c r="AV1671" s="148" t="s">
        <v>90</v>
      </c>
      <c r="AW1671" s="148" t="s">
        <v>33</v>
      </c>
      <c r="AX1671" s="148" t="s">
        <v>80</v>
      </c>
      <c r="AY1671" s="150" t="s">
        <v>337</v>
      </c>
    </row>
    <row r="1672" spans="2:51" s="141" customFormat="1" x14ac:dyDescent="0.2">
      <c r="B1672" s="142"/>
      <c r="D1672" s="143" t="s">
        <v>346</v>
      </c>
      <c r="E1672" s="144"/>
      <c r="F1672" s="145" t="s">
        <v>1517</v>
      </c>
      <c r="H1672" s="144"/>
      <c r="L1672" s="142"/>
      <c r="M1672" s="146"/>
      <c r="T1672" s="147"/>
      <c r="AT1672" s="144" t="s">
        <v>346</v>
      </c>
      <c r="AU1672" s="144" t="s">
        <v>90</v>
      </c>
      <c r="AV1672" s="141" t="s">
        <v>87</v>
      </c>
      <c r="AW1672" s="141" t="s">
        <v>33</v>
      </c>
      <c r="AX1672" s="141" t="s">
        <v>80</v>
      </c>
      <c r="AY1672" s="144" t="s">
        <v>337</v>
      </c>
    </row>
    <row r="1673" spans="2:51" s="148" customFormat="1" x14ac:dyDescent="0.2">
      <c r="B1673" s="149"/>
      <c r="D1673" s="143" t="s">
        <v>346</v>
      </c>
      <c r="E1673" s="150"/>
      <c r="F1673" s="151" t="s">
        <v>1512</v>
      </c>
      <c r="H1673" s="152">
        <v>-13.05</v>
      </c>
      <c r="L1673" s="149"/>
      <c r="M1673" s="153"/>
      <c r="T1673" s="154"/>
      <c r="AT1673" s="150" t="s">
        <v>346</v>
      </c>
      <c r="AU1673" s="150" t="s">
        <v>90</v>
      </c>
      <c r="AV1673" s="148" t="s">
        <v>90</v>
      </c>
      <c r="AW1673" s="148" t="s">
        <v>33</v>
      </c>
      <c r="AX1673" s="148" t="s">
        <v>80</v>
      </c>
      <c r="AY1673" s="150" t="s">
        <v>337</v>
      </c>
    </row>
    <row r="1674" spans="2:51" s="141" customFormat="1" x14ac:dyDescent="0.2">
      <c r="B1674" s="142"/>
      <c r="D1674" s="143" t="s">
        <v>346</v>
      </c>
      <c r="E1674" s="144"/>
      <c r="F1674" s="145" t="s">
        <v>1518</v>
      </c>
      <c r="H1674" s="144"/>
      <c r="L1674" s="142"/>
      <c r="M1674" s="146"/>
      <c r="T1674" s="147"/>
      <c r="AT1674" s="144" t="s">
        <v>346</v>
      </c>
      <c r="AU1674" s="144" t="s">
        <v>90</v>
      </c>
      <c r="AV1674" s="141" t="s">
        <v>87</v>
      </c>
      <c r="AW1674" s="141" t="s">
        <v>33</v>
      </c>
      <c r="AX1674" s="141" t="s">
        <v>80</v>
      </c>
      <c r="AY1674" s="144" t="s">
        <v>337</v>
      </c>
    </row>
    <row r="1675" spans="2:51" s="148" customFormat="1" x14ac:dyDescent="0.2">
      <c r="B1675" s="149"/>
      <c r="D1675" s="143" t="s">
        <v>346</v>
      </c>
      <c r="E1675" s="150"/>
      <c r="F1675" s="151" t="s">
        <v>1514</v>
      </c>
      <c r="H1675" s="152">
        <v>-11.23</v>
      </c>
      <c r="L1675" s="149"/>
      <c r="M1675" s="153"/>
      <c r="T1675" s="154"/>
      <c r="AT1675" s="150" t="s">
        <v>346</v>
      </c>
      <c r="AU1675" s="150" t="s">
        <v>90</v>
      </c>
      <c r="AV1675" s="148" t="s">
        <v>90</v>
      </c>
      <c r="AW1675" s="148" t="s">
        <v>33</v>
      </c>
      <c r="AX1675" s="148" t="s">
        <v>80</v>
      </c>
      <c r="AY1675" s="150" t="s">
        <v>337</v>
      </c>
    </row>
    <row r="1676" spans="2:51" s="141" customFormat="1" x14ac:dyDescent="0.2">
      <c r="B1676" s="142"/>
      <c r="D1676" s="143" t="s">
        <v>346</v>
      </c>
      <c r="E1676" s="144"/>
      <c r="F1676" s="145" t="s">
        <v>1519</v>
      </c>
      <c r="H1676" s="144"/>
      <c r="L1676" s="142"/>
      <c r="M1676" s="146"/>
      <c r="T1676" s="147"/>
      <c r="AT1676" s="144" t="s">
        <v>346</v>
      </c>
      <c r="AU1676" s="144" t="s">
        <v>90</v>
      </c>
      <c r="AV1676" s="141" t="s">
        <v>87</v>
      </c>
      <c r="AW1676" s="141" t="s">
        <v>33</v>
      </c>
      <c r="AX1676" s="141" t="s">
        <v>80</v>
      </c>
      <c r="AY1676" s="144" t="s">
        <v>337</v>
      </c>
    </row>
    <row r="1677" spans="2:51" s="148" customFormat="1" x14ac:dyDescent="0.2">
      <c r="B1677" s="149"/>
      <c r="D1677" s="143" t="s">
        <v>346</v>
      </c>
      <c r="E1677" s="150"/>
      <c r="F1677" s="151" t="s">
        <v>1512</v>
      </c>
      <c r="H1677" s="152">
        <v>-13.05</v>
      </c>
      <c r="L1677" s="149"/>
      <c r="M1677" s="153"/>
      <c r="T1677" s="154"/>
      <c r="AT1677" s="150" t="s">
        <v>346</v>
      </c>
      <c r="AU1677" s="150" t="s">
        <v>90</v>
      </c>
      <c r="AV1677" s="148" t="s">
        <v>90</v>
      </c>
      <c r="AW1677" s="148" t="s">
        <v>33</v>
      </c>
      <c r="AX1677" s="148" t="s">
        <v>80</v>
      </c>
      <c r="AY1677" s="150" t="s">
        <v>337</v>
      </c>
    </row>
    <row r="1678" spans="2:51" s="141" customFormat="1" x14ac:dyDescent="0.2">
      <c r="B1678" s="142"/>
      <c r="D1678" s="143" t="s">
        <v>346</v>
      </c>
      <c r="E1678" s="144"/>
      <c r="F1678" s="145" t="s">
        <v>1520</v>
      </c>
      <c r="H1678" s="144"/>
      <c r="L1678" s="142"/>
      <c r="M1678" s="146"/>
      <c r="T1678" s="147"/>
      <c r="AT1678" s="144" t="s">
        <v>346</v>
      </c>
      <c r="AU1678" s="144" t="s">
        <v>90</v>
      </c>
      <c r="AV1678" s="141" t="s">
        <v>87</v>
      </c>
      <c r="AW1678" s="141" t="s">
        <v>33</v>
      </c>
      <c r="AX1678" s="141" t="s">
        <v>80</v>
      </c>
      <c r="AY1678" s="144" t="s">
        <v>337</v>
      </c>
    </row>
    <row r="1679" spans="2:51" s="148" customFormat="1" x14ac:dyDescent="0.2">
      <c r="B1679" s="149"/>
      <c r="D1679" s="143" t="s">
        <v>346</v>
      </c>
      <c r="E1679" s="150"/>
      <c r="F1679" s="151" t="s">
        <v>1514</v>
      </c>
      <c r="H1679" s="152">
        <v>-11.23</v>
      </c>
      <c r="L1679" s="149"/>
      <c r="M1679" s="153"/>
      <c r="T1679" s="154"/>
      <c r="AT1679" s="150" t="s">
        <v>346</v>
      </c>
      <c r="AU1679" s="150" t="s">
        <v>90</v>
      </c>
      <c r="AV1679" s="148" t="s">
        <v>90</v>
      </c>
      <c r="AW1679" s="148" t="s">
        <v>33</v>
      </c>
      <c r="AX1679" s="148" t="s">
        <v>80</v>
      </c>
      <c r="AY1679" s="150" t="s">
        <v>337</v>
      </c>
    </row>
    <row r="1680" spans="2:51" s="141" customFormat="1" x14ac:dyDescent="0.2">
      <c r="B1680" s="142"/>
      <c r="D1680" s="143" t="s">
        <v>346</v>
      </c>
      <c r="E1680" s="144"/>
      <c r="F1680" s="145" t="s">
        <v>1521</v>
      </c>
      <c r="H1680" s="144"/>
      <c r="L1680" s="142"/>
      <c r="M1680" s="146"/>
      <c r="T1680" s="147"/>
      <c r="AT1680" s="144" t="s">
        <v>346</v>
      </c>
      <c r="AU1680" s="144" t="s">
        <v>90</v>
      </c>
      <c r="AV1680" s="141" t="s">
        <v>87</v>
      </c>
      <c r="AW1680" s="141" t="s">
        <v>33</v>
      </c>
      <c r="AX1680" s="141" t="s">
        <v>80</v>
      </c>
      <c r="AY1680" s="144" t="s">
        <v>337</v>
      </c>
    </row>
    <row r="1681" spans="2:51" s="148" customFormat="1" x14ac:dyDescent="0.2">
      <c r="B1681" s="149"/>
      <c r="D1681" s="143" t="s">
        <v>346</v>
      </c>
      <c r="E1681" s="150"/>
      <c r="F1681" s="151" t="s">
        <v>1512</v>
      </c>
      <c r="H1681" s="152">
        <v>-13.05</v>
      </c>
      <c r="L1681" s="149"/>
      <c r="M1681" s="153"/>
      <c r="T1681" s="154"/>
      <c r="AT1681" s="150" t="s">
        <v>346</v>
      </c>
      <c r="AU1681" s="150" t="s">
        <v>90</v>
      </c>
      <c r="AV1681" s="148" t="s">
        <v>90</v>
      </c>
      <c r="AW1681" s="148" t="s">
        <v>33</v>
      </c>
      <c r="AX1681" s="148" t="s">
        <v>80</v>
      </c>
      <c r="AY1681" s="150" t="s">
        <v>337</v>
      </c>
    </row>
    <row r="1682" spans="2:51" s="172" customFormat="1" x14ac:dyDescent="0.2">
      <c r="B1682" s="173"/>
      <c r="D1682" s="143" t="s">
        <v>346</v>
      </c>
      <c r="E1682" s="174" t="s">
        <v>210</v>
      </c>
      <c r="F1682" s="175" t="s">
        <v>609</v>
      </c>
      <c r="H1682" s="176">
        <v>651.25</v>
      </c>
      <c r="L1682" s="173"/>
      <c r="M1682" s="177"/>
      <c r="T1682" s="178"/>
      <c r="AT1682" s="174" t="s">
        <v>346</v>
      </c>
      <c r="AU1682" s="174" t="s">
        <v>90</v>
      </c>
      <c r="AV1682" s="172" t="s">
        <v>113</v>
      </c>
      <c r="AW1682" s="172" t="s">
        <v>33</v>
      </c>
      <c r="AX1682" s="172" t="s">
        <v>80</v>
      </c>
      <c r="AY1682" s="174" t="s">
        <v>337</v>
      </c>
    </row>
    <row r="1683" spans="2:51" s="141" customFormat="1" x14ac:dyDescent="0.2">
      <c r="B1683" s="142"/>
      <c r="D1683" s="143" t="s">
        <v>346</v>
      </c>
      <c r="E1683" s="144"/>
      <c r="F1683" s="145" t="s">
        <v>1522</v>
      </c>
      <c r="H1683" s="144"/>
      <c r="L1683" s="142"/>
      <c r="M1683" s="146"/>
      <c r="T1683" s="147"/>
      <c r="AT1683" s="144" t="s">
        <v>346</v>
      </c>
      <c r="AU1683" s="144" t="s">
        <v>90</v>
      </c>
      <c r="AV1683" s="141" t="s">
        <v>87</v>
      </c>
      <c r="AW1683" s="141" t="s">
        <v>33</v>
      </c>
      <c r="AX1683" s="141" t="s">
        <v>80</v>
      </c>
      <c r="AY1683" s="144" t="s">
        <v>337</v>
      </c>
    </row>
    <row r="1684" spans="2:51" s="141" customFormat="1" x14ac:dyDescent="0.2">
      <c r="B1684" s="142"/>
      <c r="D1684" s="143" t="s">
        <v>346</v>
      </c>
      <c r="E1684" s="144"/>
      <c r="F1684" s="145" t="s">
        <v>362</v>
      </c>
      <c r="H1684" s="144"/>
      <c r="L1684" s="142"/>
      <c r="M1684" s="146"/>
      <c r="T1684" s="147"/>
      <c r="AT1684" s="144" t="s">
        <v>346</v>
      </c>
      <c r="AU1684" s="144" t="s">
        <v>90</v>
      </c>
      <c r="AV1684" s="141" t="s">
        <v>87</v>
      </c>
      <c r="AW1684" s="141" t="s">
        <v>33</v>
      </c>
      <c r="AX1684" s="141" t="s">
        <v>80</v>
      </c>
      <c r="AY1684" s="144" t="s">
        <v>337</v>
      </c>
    </row>
    <row r="1685" spans="2:51" s="141" customFormat="1" x14ac:dyDescent="0.2">
      <c r="B1685" s="142"/>
      <c r="D1685" s="143" t="s">
        <v>346</v>
      </c>
      <c r="E1685" s="144"/>
      <c r="F1685" s="145" t="s">
        <v>1511</v>
      </c>
      <c r="H1685" s="144"/>
      <c r="L1685" s="142"/>
      <c r="M1685" s="146"/>
      <c r="T1685" s="147"/>
      <c r="AT1685" s="144" t="s">
        <v>346</v>
      </c>
      <c r="AU1685" s="144" t="s">
        <v>90</v>
      </c>
      <c r="AV1685" s="141" t="s">
        <v>87</v>
      </c>
      <c r="AW1685" s="141" t="s">
        <v>33</v>
      </c>
      <c r="AX1685" s="141" t="s">
        <v>80</v>
      </c>
      <c r="AY1685" s="144" t="s">
        <v>337</v>
      </c>
    </row>
    <row r="1686" spans="2:51" s="148" customFormat="1" x14ac:dyDescent="0.2">
      <c r="B1686" s="149"/>
      <c r="D1686" s="143" t="s">
        <v>346</v>
      </c>
      <c r="E1686" s="150"/>
      <c r="F1686" s="151" t="s">
        <v>1523</v>
      </c>
      <c r="H1686" s="152">
        <v>3.6</v>
      </c>
      <c r="L1686" s="149"/>
      <c r="M1686" s="153"/>
      <c r="T1686" s="154"/>
      <c r="AT1686" s="150" t="s">
        <v>346</v>
      </c>
      <c r="AU1686" s="150" t="s">
        <v>90</v>
      </c>
      <c r="AV1686" s="148" t="s">
        <v>90</v>
      </c>
      <c r="AW1686" s="148" t="s">
        <v>33</v>
      </c>
      <c r="AX1686" s="148" t="s">
        <v>80</v>
      </c>
      <c r="AY1686" s="150" t="s">
        <v>337</v>
      </c>
    </row>
    <row r="1687" spans="2:51" s="141" customFormat="1" x14ac:dyDescent="0.2">
      <c r="B1687" s="142"/>
      <c r="D1687" s="143" t="s">
        <v>346</v>
      </c>
      <c r="E1687" s="144"/>
      <c r="F1687" s="145" t="s">
        <v>1513</v>
      </c>
      <c r="H1687" s="144"/>
      <c r="L1687" s="142"/>
      <c r="M1687" s="146"/>
      <c r="T1687" s="147"/>
      <c r="AT1687" s="144" t="s">
        <v>346</v>
      </c>
      <c r="AU1687" s="144" t="s">
        <v>90</v>
      </c>
      <c r="AV1687" s="141" t="s">
        <v>87</v>
      </c>
      <c r="AW1687" s="141" t="s">
        <v>33</v>
      </c>
      <c r="AX1687" s="141" t="s">
        <v>80</v>
      </c>
      <c r="AY1687" s="144" t="s">
        <v>337</v>
      </c>
    </row>
    <row r="1688" spans="2:51" s="148" customFormat="1" x14ac:dyDescent="0.2">
      <c r="B1688" s="149"/>
      <c r="D1688" s="143" t="s">
        <v>346</v>
      </c>
      <c r="E1688" s="150"/>
      <c r="F1688" s="151" t="s">
        <v>1524</v>
      </c>
      <c r="H1688" s="152">
        <v>1.1599999999999999</v>
      </c>
      <c r="L1688" s="149"/>
      <c r="M1688" s="153"/>
      <c r="T1688" s="154"/>
      <c r="AT1688" s="150" t="s">
        <v>346</v>
      </c>
      <c r="AU1688" s="150" t="s">
        <v>90</v>
      </c>
      <c r="AV1688" s="148" t="s">
        <v>90</v>
      </c>
      <c r="AW1688" s="148" t="s">
        <v>33</v>
      </c>
      <c r="AX1688" s="148" t="s">
        <v>80</v>
      </c>
      <c r="AY1688" s="150" t="s">
        <v>337</v>
      </c>
    </row>
    <row r="1689" spans="2:51" s="141" customFormat="1" x14ac:dyDescent="0.2">
      <c r="B1689" s="142"/>
      <c r="D1689" s="143" t="s">
        <v>346</v>
      </c>
      <c r="E1689" s="144"/>
      <c r="F1689" s="145" t="s">
        <v>1525</v>
      </c>
      <c r="H1689" s="144"/>
      <c r="L1689" s="142"/>
      <c r="M1689" s="146"/>
      <c r="T1689" s="147"/>
      <c r="AT1689" s="144" t="s">
        <v>346</v>
      </c>
      <c r="AU1689" s="144" t="s">
        <v>90</v>
      </c>
      <c r="AV1689" s="141" t="s">
        <v>87</v>
      </c>
      <c r="AW1689" s="141" t="s">
        <v>33</v>
      </c>
      <c r="AX1689" s="141" t="s">
        <v>80</v>
      </c>
      <c r="AY1689" s="144" t="s">
        <v>337</v>
      </c>
    </row>
    <row r="1690" spans="2:51" s="148" customFormat="1" x14ac:dyDescent="0.2">
      <c r="B1690" s="149"/>
      <c r="D1690" s="143" t="s">
        <v>346</v>
      </c>
      <c r="E1690" s="150"/>
      <c r="F1690" s="151" t="s">
        <v>1526</v>
      </c>
      <c r="H1690" s="152">
        <v>3.28</v>
      </c>
      <c r="L1690" s="149"/>
      <c r="M1690" s="153"/>
      <c r="T1690" s="154"/>
      <c r="AT1690" s="150" t="s">
        <v>346</v>
      </c>
      <c r="AU1690" s="150" t="s">
        <v>90</v>
      </c>
      <c r="AV1690" s="148" t="s">
        <v>90</v>
      </c>
      <c r="AW1690" s="148" t="s">
        <v>33</v>
      </c>
      <c r="AX1690" s="148" t="s">
        <v>80</v>
      </c>
      <c r="AY1690" s="150" t="s">
        <v>337</v>
      </c>
    </row>
    <row r="1691" spans="2:51" s="141" customFormat="1" x14ac:dyDescent="0.2">
      <c r="B1691" s="142"/>
      <c r="D1691" s="143" t="s">
        <v>346</v>
      </c>
      <c r="E1691" s="144"/>
      <c r="F1691" s="145" t="s">
        <v>1076</v>
      </c>
      <c r="H1691" s="144"/>
      <c r="L1691" s="142"/>
      <c r="M1691" s="146"/>
      <c r="T1691" s="147"/>
      <c r="AT1691" s="144" t="s">
        <v>346</v>
      </c>
      <c r="AU1691" s="144" t="s">
        <v>90</v>
      </c>
      <c r="AV1691" s="141" t="s">
        <v>87</v>
      </c>
      <c r="AW1691" s="141" t="s">
        <v>33</v>
      </c>
      <c r="AX1691" s="141" t="s">
        <v>80</v>
      </c>
      <c r="AY1691" s="144" t="s">
        <v>337</v>
      </c>
    </row>
    <row r="1692" spans="2:51" s="141" customFormat="1" x14ac:dyDescent="0.2">
      <c r="B1692" s="142"/>
      <c r="D1692" s="143" t="s">
        <v>346</v>
      </c>
      <c r="E1692" s="144"/>
      <c r="F1692" s="145" t="s">
        <v>1527</v>
      </c>
      <c r="H1692" s="144"/>
      <c r="L1692" s="142"/>
      <c r="M1692" s="146"/>
      <c r="T1692" s="147"/>
      <c r="AT1692" s="144" t="s">
        <v>346</v>
      </c>
      <c r="AU1692" s="144" t="s">
        <v>90</v>
      </c>
      <c r="AV1692" s="141" t="s">
        <v>87</v>
      </c>
      <c r="AW1692" s="141" t="s">
        <v>33</v>
      </c>
      <c r="AX1692" s="141" t="s">
        <v>80</v>
      </c>
      <c r="AY1692" s="144" t="s">
        <v>337</v>
      </c>
    </row>
    <row r="1693" spans="2:51" s="148" customFormat="1" x14ac:dyDescent="0.2">
      <c r="B1693" s="149"/>
      <c r="D1693" s="143" t="s">
        <v>346</v>
      </c>
      <c r="E1693" s="150"/>
      <c r="F1693" s="151" t="s">
        <v>1528</v>
      </c>
      <c r="H1693" s="152">
        <v>5.4</v>
      </c>
      <c r="L1693" s="149"/>
      <c r="M1693" s="153"/>
      <c r="T1693" s="154"/>
      <c r="AT1693" s="150" t="s">
        <v>346</v>
      </c>
      <c r="AU1693" s="150" t="s">
        <v>90</v>
      </c>
      <c r="AV1693" s="148" t="s">
        <v>90</v>
      </c>
      <c r="AW1693" s="148" t="s">
        <v>33</v>
      </c>
      <c r="AX1693" s="148" t="s">
        <v>80</v>
      </c>
      <c r="AY1693" s="150" t="s">
        <v>337</v>
      </c>
    </row>
    <row r="1694" spans="2:51" s="148" customFormat="1" x14ac:dyDescent="0.2">
      <c r="B1694" s="149"/>
      <c r="D1694" s="143" t="s">
        <v>346</v>
      </c>
      <c r="E1694" s="150"/>
      <c r="F1694" s="151" t="s">
        <v>1529</v>
      </c>
      <c r="H1694" s="152">
        <v>2.3199999999999998</v>
      </c>
      <c r="L1694" s="149"/>
      <c r="M1694" s="153"/>
      <c r="T1694" s="154"/>
      <c r="AT1694" s="150" t="s">
        <v>346</v>
      </c>
      <c r="AU1694" s="150" t="s">
        <v>90</v>
      </c>
      <c r="AV1694" s="148" t="s">
        <v>90</v>
      </c>
      <c r="AW1694" s="148" t="s">
        <v>33</v>
      </c>
      <c r="AX1694" s="148" t="s">
        <v>80</v>
      </c>
      <c r="AY1694" s="150" t="s">
        <v>337</v>
      </c>
    </row>
    <row r="1695" spans="2:51" s="141" customFormat="1" x14ac:dyDescent="0.2">
      <c r="B1695" s="142"/>
      <c r="D1695" s="143" t="s">
        <v>346</v>
      </c>
      <c r="E1695" s="144"/>
      <c r="F1695" s="145" t="s">
        <v>434</v>
      </c>
      <c r="H1695" s="144"/>
      <c r="L1695" s="142"/>
      <c r="M1695" s="146"/>
      <c r="T1695" s="147"/>
      <c r="AT1695" s="144" t="s">
        <v>346</v>
      </c>
      <c r="AU1695" s="144" t="s">
        <v>90</v>
      </c>
      <c r="AV1695" s="141" t="s">
        <v>87</v>
      </c>
      <c r="AW1695" s="141" t="s">
        <v>33</v>
      </c>
      <c r="AX1695" s="141" t="s">
        <v>80</v>
      </c>
      <c r="AY1695" s="144" t="s">
        <v>337</v>
      </c>
    </row>
    <row r="1696" spans="2:51" s="141" customFormat="1" x14ac:dyDescent="0.2">
      <c r="B1696" s="142"/>
      <c r="D1696" s="143" t="s">
        <v>346</v>
      </c>
      <c r="E1696" s="144"/>
      <c r="F1696" s="145" t="s">
        <v>1527</v>
      </c>
      <c r="H1696" s="144"/>
      <c r="L1696" s="142"/>
      <c r="M1696" s="146"/>
      <c r="T1696" s="147"/>
      <c r="AT1696" s="144" t="s">
        <v>346</v>
      </c>
      <c r="AU1696" s="144" t="s">
        <v>90</v>
      </c>
      <c r="AV1696" s="141" t="s">
        <v>87</v>
      </c>
      <c r="AW1696" s="141" t="s">
        <v>33</v>
      </c>
      <c r="AX1696" s="141" t="s">
        <v>80</v>
      </c>
      <c r="AY1696" s="144" t="s">
        <v>337</v>
      </c>
    </row>
    <row r="1697" spans="2:65" s="148" customFormat="1" x14ac:dyDescent="0.2">
      <c r="B1697" s="149"/>
      <c r="D1697" s="143" t="s">
        <v>346</v>
      </c>
      <c r="E1697" s="150"/>
      <c r="F1697" s="151" t="s">
        <v>1530</v>
      </c>
      <c r="H1697" s="152">
        <v>1.8</v>
      </c>
      <c r="L1697" s="149"/>
      <c r="M1697" s="153"/>
      <c r="T1697" s="154"/>
      <c r="AT1697" s="150" t="s">
        <v>346</v>
      </c>
      <c r="AU1697" s="150" t="s">
        <v>90</v>
      </c>
      <c r="AV1697" s="148" t="s">
        <v>90</v>
      </c>
      <c r="AW1697" s="148" t="s">
        <v>33</v>
      </c>
      <c r="AX1697" s="148" t="s">
        <v>80</v>
      </c>
      <c r="AY1697" s="150" t="s">
        <v>337</v>
      </c>
    </row>
    <row r="1698" spans="2:65" s="155" customFormat="1" x14ac:dyDescent="0.2">
      <c r="B1698" s="156"/>
      <c r="D1698" s="143" t="s">
        <v>346</v>
      </c>
      <c r="E1698" s="157"/>
      <c r="F1698" s="158" t="s">
        <v>351</v>
      </c>
      <c r="H1698" s="159">
        <v>668.81</v>
      </c>
      <c r="L1698" s="156"/>
      <c r="M1698" s="160"/>
      <c r="T1698" s="161"/>
      <c r="AT1698" s="157" t="s">
        <v>346</v>
      </c>
      <c r="AU1698" s="157" t="s">
        <v>90</v>
      </c>
      <c r="AV1698" s="155" t="s">
        <v>344</v>
      </c>
      <c r="AW1698" s="155" t="s">
        <v>33</v>
      </c>
      <c r="AX1698" s="155" t="s">
        <v>87</v>
      </c>
      <c r="AY1698" s="157" t="s">
        <v>337</v>
      </c>
    </row>
    <row r="1699" spans="2:65" s="16" customFormat="1" ht="16.5" customHeight="1" x14ac:dyDescent="0.2">
      <c r="B1699" s="17"/>
      <c r="C1699" s="128">
        <v>136</v>
      </c>
      <c r="D1699" s="162" t="s">
        <v>519</v>
      </c>
      <c r="E1699" s="163" t="s">
        <v>1531</v>
      </c>
      <c r="F1699" s="164" t="s">
        <v>1532</v>
      </c>
      <c r="G1699" s="165" t="s">
        <v>425</v>
      </c>
      <c r="H1699" s="166">
        <v>683.81299999999999</v>
      </c>
      <c r="I1699" s="167"/>
      <c r="J1699" s="168">
        <f>ROUND(I1699*H1699,2)</f>
        <v>0</v>
      </c>
      <c r="K1699" s="164"/>
      <c r="L1699" s="169"/>
      <c r="M1699" s="170"/>
      <c r="N1699" s="171" t="s">
        <v>45</v>
      </c>
      <c r="P1699" s="137">
        <f>O1699*H1699</f>
        <v>0</v>
      </c>
      <c r="Q1699" s="137">
        <v>8.0000000000000002E-3</v>
      </c>
      <c r="R1699" s="137">
        <f>Q1699*H1699</f>
        <v>5.470504</v>
      </c>
      <c r="S1699" s="137">
        <v>0</v>
      </c>
      <c r="T1699" s="138">
        <f>S1699*H1699</f>
        <v>0</v>
      </c>
      <c r="AR1699" s="139" t="s">
        <v>621</v>
      </c>
      <c r="AT1699" s="139" t="s">
        <v>519</v>
      </c>
      <c r="AU1699" s="139" t="s">
        <v>90</v>
      </c>
      <c r="AY1699" s="2" t="s">
        <v>337</v>
      </c>
      <c r="BE1699" s="140">
        <f>IF(N1699="základní",J1699,0)</f>
        <v>0</v>
      </c>
      <c r="BF1699" s="140">
        <f>IF(N1699="snížená",J1699,0)</f>
        <v>0</v>
      </c>
      <c r="BG1699" s="140">
        <f>IF(N1699="zákl. přenesená",J1699,0)</f>
        <v>0</v>
      </c>
      <c r="BH1699" s="140">
        <f>IF(N1699="sníž. přenesená",J1699,0)</f>
        <v>0</v>
      </c>
      <c r="BI1699" s="140">
        <f>IF(N1699="nulová",J1699,0)</f>
        <v>0</v>
      </c>
      <c r="BJ1699" s="2" t="s">
        <v>87</v>
      </c>
      <c r="BK1699" s="140">
        <f>ROUND(I1699*H1699,2)</f>
        <v>0</v>
      </c>
      <c r="BL1699" s="2" t="s">
        <v>496</v>
      </c>
      <c r="BM1699" s="139" t="s">
        <v>1533</v>
      </c>
    </row>
    <row r="1700" spans="2:65" s="148" customFormat="1" x14ac:dyDescent="0.2">
      <c r="B1700" s="149"/>
      <c r="D1700" s="143" t="s">
        <v>346</v>
      </c>
      <c r="E1700" s="150"/>
      <c r="F1700" s="151" t="s">
        <v>210</v>
      </c>
      <c r="H1700" s="152">
        <v>651.25</v>
      </c>
      <c r="L1700" s="149"/>
      <c r="M1700" s="153"/>
      <c r="T1700" s="154"/>
      <c r="AT1700" s="150" t="s">
        <v>346</v>
      </c>
      <c r="AU1700" s="150" t="s">
        <v>90</v>
      </c>
      <c r="AV1700" s="148" t="s">
        <v>90</v>
      </c>
      <c r="AW1700" s="148" t="s">
        <v>33</v>
      </c>
      <c r="AX1700" s="148" t="s">
        <v>87</v>
      </c>
      <c r="AY1700" s="150" t="s">
        <v>337</v>
      </c>
    </row>
    <row r="1701" spans="2:65" s="148" customFormat="1" x14ac:dyDescent="0.2">
      <c r="B1701" s="149"/>
      <c r="D1701" s="143" t="s">
        <v>346</v>
      </c>
      <c r="F1701" s="151" t="s">
        <v>1534</v>
      </c>
      <c r="H1701" s="152">
        <v>683.81299999999999</v>
      </c>
      <c r="L1701" s="149"/>
      <c r="M1701" s="153"/>
      <c r="T1701" s="154"/>
      <c r="AT1701" s="150" t="s">
        <v>346</v>
      </c>
      <c r="AU1701" s="150" t="s">
        <v>90</v>
      </c>
      <c r="AV1701" s="148" t="s">
        <v>90</v>
      </c>
      <c r="AW1701" s="148" t="s">
        <v>3</v>
      </c>
      <c r="AX1701" s="148" t="s">
        <v>87</v>
      </c>
      <c r="AY1701" s="150" t="s">
        <v>337</v>
      </c>
    </row>
    <row r="1702" spans="2:65" s="16" customFormat="1" ht="16.5" customHeight="1" x14ac:dyDescent="0.2">
      <c r="B1702" s="17"/>
      <c r="C1702" s="128">
        <v>137</v>
      </c>
      <c r="D1702" s="128" t="s">
        <v>339</v>
      </c>
      <c r="E1702" s="129" t="s">
        <v>1536</v>
      </c>
      <c r="F1702" s="130" t="s">
        <v>1537</v>
      </c>
      <c r="G1702" s="131" t="s">
        <v>990</v>
      </c>
      <c r="H1702" s="132">
        <v>221.51900000000001</v>
      </c>
      <c r="I1702" s="133"/>
      <c r="J1702" s="134">
        <f>ROUND(I1702*H1702,2)</f>
        <v>0</v>
      </c>
      <c r="K1702" s="130" t="s">
        <v>343</v>
      </c>
      <c r="L1702" s="17"/>
      <c r="M1702" s="135"/>
      <c r="N1702" s="136" t="s">
        <v>45</v>
      </c>
      <c r="P1702" s="137">
        <f>O1702*H1702</f>
        <v>0</v>
      </c>
      <c r="Q1702" s="137">
        <v>0</v>
      </c>
      <c r="R1702" s="137">
        <f>Q1702*H1702</f>
        <v>0</v>
      </c>
      <c r="S1702" s="137">
        <v>0</v>
      </c>
      <c r="T1702" s="138">
        <f>S1702*H1702</f>
        <v>0</v>
      </c>
      <c r="AR1702" s="139" t="s">
        <v>496</v>
      </c>
      <c r="AT1702" s="139" t="s">
        <v>339</v>
      </c>
      <c r="AU1702" s="139" t="s">
        <v>90</v>
      </c>
      <c r="AY1702" s="2" t="s">
        <v>337</v>
      </c>
      <c r="BE1702" s="140">
        <f>IF(N1702="základní",J1702,0)</f>
        <v>0</v>
      </c>
      <c r="BF1702" s="140">
        <f>IF(N1702="snížená",J1702,0)</f>
        <v>0</v>
      </c>
      <c r="BG1702" s="140">
        <f>IF(N1702="zákl. přenesená",J1702,0)</f>
        <v>0</v>
      </c>
      <c r="BH1702" s="140">
        <f>IF(N1702="sníž. přenesená",J1702,0)</f>
        <v>0</v>
      </c>
      <c r="BI1702" s="140">
        <f>IF(N1702="nulová",J1702,0)</f>
        <v>0</v>
      </c>
      <c r="BJ1702" s="2" t="s">
        <v>87</v>
      </c>
      <c r="BK1702" s="140">
        <f>ROUND(I1702*H1702,2)</f>
        <v>0</v>
      </c>
      <c r="BL1702" s="2" t="s">
        <v>496</v>
      </c>
      <c r="BM1702" s="139" t="s">
        <v>1538</v>
      </c>
    </row>
    <row r="1703" spans="2:65" s="116" customFormat="1" ht="22.9" customHeight="1" x14ac:dyDescent="0.2">
      <c r="B1703" s="117"/>
      <c r="D1703" s="118" t="s">
        <v>79</v>
      </c>
      <c r="E1703" s="126" t="s">
        <v>1539</v>
      </c>
      <c r="F1703" s="126" t="s">
        <v>1540</v>
      </c>
      <c r="J1703" s="127">
        <f>BK1703</f>
        <v>0</v>
      </c>
      <c r="L1703" s="117"/>
      <c r="M1703" s="121"/>
      <c r="P1703" s="122">
        <f>SUM(P1704:P1996)</f>
        <v>0</v>
      </c>
      <c r="R1703" s="122">
        <f>SUM(R1704:R1996)</f>
        <v>45.910197429999997</v>
      </c>
      <c r="T1703" s="123">
        <f>SUM(T1704:T1996)</f>
        <v>0</v>
      </c>
      <c r="AR1703" s="118" t="s">
        <v>90</v>
      </c>
      <c r="AT1703" s="124" t="s">
        <v>79</v>
      </c>
      <c r="AU1703" s="124" t="s">
        <v>87</v>
      </c>
      <c r="AY1703" s="118" t="s">
        <v>337</v>
      </c>
      <c r="BK1703" s="125">
        <f>SUM(BK1704:BK1996)</f>
        <v>0</v>
      </c>
    </row>
    <row r="1704" spans="2:65" s="16" customFormat="1" ht="16.5" customHeight="1" x14ac:dyDescent="0.2">
      <c r="B1704" s="17"/>
      <c r="C1704" s="128">
        <v>138</v>
      </c>
      <c r="D1704" s="128" t="s">
        <v>339</v>
      </c>
      <c r="E1704" s="129" t="s">
        <v>1542</v>
      </c>
      <c r="F1704" s="130" t="s">
        <v>1543</v>
      </c>
      <c r="G1704" s="131" t="s">
        <v>425</v>
      </c>
      <c r="H1704" s="132">
        <v>1303.3820000000001</v>
      </c>
      <c r="I1704" s="133"/>
      <c r="J1704" s="134">
        <f>ROUND(I1704*H1704,2)</f>
        <v>0</v>
      </c>
      <c r="K1704" s="130" t="s">
        <v>343</v>
      </c>
      <c r="L1704" s="17"/>
      <c r="M1704" s="135"/>
      <c r="N1704" s="136" t="s">
        <v>45</v>
      </c>
      <c r="P1704" s="137">
        <f>O1704*H1704</f>
        <v>0</v>
      </c>
      <c r="Q1704" s="137">
        <v>0</v>
      </c>
      <c r="R1704" s="137">
        <f>Q1704*H1704</f>
        <v>0</v>
      </c>
      <c r="S1704" s="137">
        <v>0</v>
      </c>
      <c r="T1704" s="138">
        <f>S1704*H1704</f>
        <v>0</v>
      </c>
      <c r="AR1704" s="139" t="s">
        <v>496</v>
      </c>
      <c r="AT1704" s="139" t="s">
        <v>339</v>
      </c>
      <c r="AU1704" s="139" t="s">
        <v>90</v>
      </c>
      <c r="AY1704" s="2" t="s">
        <v>337</v>
      </c>
      <c r="BE1704" s="140">
        <f>IF(N1704="základní",J1704,0)</f>
        <v>0</v>
      </c>
      <c r="BF1704" s="140">
        <f>IF(N1704="snížená",J1704,0)</f>
        <v>0</v>
      </c>
      <c r="BG1704" s="140">
        <f>IF(N1704="zákl. přenesená",J1704,0)</f>
        <v>0</v>
      </c>
      <c r="BH1704" s="140">
        <f>IF(N1704="sníž. přenesená",J1704,0)</f>
        <v>0</v>
      </c>
      <c r="BI1704" s="140">
        <f>IF(N1704="nulová",J1704,0)</f>
        <v>0</v>
      </c>
      <c r="BJ1704" s="2" t="s">
        <v>87</v>
      </c>
      <c r="BK1704" s="140">
        <f>ROUND(I1704*H1704,2)</f>
        <v>0</v>
      </c>
      <c r="BL1704" s="2" t="s">
        <v>496</v>
      </c>
      <c r="BM1704" s="139" t="s">
        <v>1544</v>
      </c>
    </row>
    <row r="1705" spans="2:65" s="148" customFormat="1" x14ac:dyDescent="0.2">
      <c r="B1705" s="149"/>
      <c r="D1705" s="143" t="s">
        <v>346</v>
      </c>
      <c r="E1705" s="150"/>
      <c r="F1705" s="151" t="s">
        <v>177</v>
      </c>
      <c r="H1705" s="152">
        <v>815.17</v>
      </c>
      <c r="L1705" s="149"/>
      <c r="M1705" s="153"/>
      <c r="T1705" s="154"/>
      <c r="AT1705" s="150" t="s">
        <v>346</v>
      </c>
      <c r="AU1705" s="150" t="s">
        <v>90</v>
      </c>
      <c r="AV1705" s="148" t="s">
        <v>90</v>
      </c>
      <c r="AW1705" s="148" t="s">
        <v>33</v>
      </c>
      <c r="AX1705" s="148" t="s">
        <v>80</v>
      </c>
      <c r="AY1705" s="150" t="s">
        <v>337</v>
      </c>
    </row>
    <row r="1706" spans="2:65" s="148" customFormat="1" x14ac:dyDescent="0.2">
      <c r="B1706" s="149"/>
      <c r="D1706" s="143" t="s">
        <v>346</v>
      </c>
      <c r="E1706" s="150"/>
      <c r="F1706" s="151" t="s">
        <v>182</v>
      </c>
      <c r="H1706" s="152">
        <v>160.24</v>
      </c>
      <c r="L1706" s="149"/>
      <c r="M1706" s="153"/>
      <c r="T1706" s="154"/>
      <c r="AT1706" s="150" t="s">
        <v>346</v>
      </c>
      <c r="AU1706" s="150" t="s">
        <v>90</v>
      </c>
      <c r="AV1706" s="148" t="s">
        <v>90</v>
      </c>
      <c r="AW1706" s="148" t="s">
        <v>33</v>
      </c>
      <c r="AX1706" s="148" t="s">
        <v>80</v>
      </c>
      <c r="AY1706" s="150" t="s">
        <v>337</v>
      </c>
    </row>
    <row r="1707" spans="2:65" s="148" customFormat="1" x14ac:dyDescent="0.2">
      <c r="B1707" s="149"/>
      <c r="D1707" s="143" t="s">
        <v>346</v>
      </c>
      <c r="E1707" s="150"/>
      <c r="F1707" s="151" t="s">
        <v>184</v>
      </c>
      <c r="H1707" s="152">
        <v>143.87700000000001</v>
      </c>
      <c r="L1707" s="149"/>
      <c r="M1707" s="153"/>
      <c r="T1707" s="154"/>
      <c r="AT1707" s="150" t="s">
        <v>346</v>
      </c>
      <c r="AU1707" s="150" t="s">
        <v>90</v>
      </c>
      <c r="AV1707" s="148" t="s">
        <v>90</v>
      </c>
      <c r="AW1707" s="148" t="s">
        <v>33</v>
      </c>
      <c r="AX1707" s="148" t="s">
        <v>80</v>
      </c>
      <c r="AY1707" s="150" t="s">
        <v>337</v>
      </c>
    </row>
    <row r="1708" spans="2:65" s="148" customFormat="1" x14ac:dyDescent="0.2">
      <c r="B1708" s="149"/>
      <c r="D1708" s="143" t="s">
        <v>346</v>
      </c>
      <c r="E1708" s="150"/>
      <c r="F1708" s="151" t="s">
        <v>186</v>
      </c>
      <c r="H1708" s="152">
        <v>84.35</v>
      </c>
      <c r="L1708" s="149"/>
      <c r="M1708" s="153"/>
      <c r="T1708" s="154"/>
      <c r="AT1708" s="150" t="s">
        <v>346</v>
      </c>
      <c r="AU1708" s="150" t="s">
        <v>90</v>
      </c>
      <c r="AV1708" s="148" t="s">
        <v>90</v>
      </c>
      <c r="AW1708" s="148" t="s">
        <v>33</v>
      </c>
      <c r="AX1708" s="148" t="s">
        <v>80</v>
      </c>
      <c r="AY1708" s="150" t="s">
        <v>337</v>
      </c>
    </row>
    <row r="1709" spans="2:65" s="148" customFormat="1" x14ac:dyDescent="0.2">
      <c r="B1709" s="149"/>
      <c r="D1709" s="143" t="s">
        <v>346</v>
      </c>
      <c r="E1709" s="150"/>
      <c r="F1709" s="151" t="s">
        <v>1545</v>
      </c>
      <c r="H1709" s="152">
        <v>85.462999999999994</v>
      </c>
      <c r="L1709" s="149"/>
      <c r="M1709" s="153"/>
      <c r="T1709" s="154"/>
      <c r="AT1709" s="150" t="s">
        <v>346</v>
      </c>
      <c r="AU1709" s="150" t="s">
        <v>90</v>
      </c>
      <c r="AV1709" s="148" t="s">
        <v>90</v>
      </c>
      <c r="AW1709" s="148" t="s">
        <v>33</v>
      </c>
      <c r="AX1709" s="148" t="s">
        <v>80</v>
      </c>
      <c r="AY1709" s="150" t="s">
        <v>337</v>
      </c>
    </row>
    <row r="1710" spans="2:65" s="148" customFormat="1" x14ac:dyDescent="0.2">
      <c r="B1710" s="149"/>
      <c r="D1710" s="143" t="s">
        <v>346</v>
      </c>
      <c r="E1710" s="150"/>
      <c r="F1710" s="151" t="s">
        <v>1546</v>
      </c>
      <c r="H1710" s="152">
        <v>7.05</v>
      </c>
      <c r="L1710" s="149"/>
      <c r="M1710" s="153"/>
      <c r="T1710" s="154"/>
      <c r="AT1710" s="150" t="s">
        <v>346</v>
      </c>
      <c r="AU1710" s="150" t="s">
        <v>90</v>
      </c>
      <c r="AV1710" s="148" t="s">
        <v>90</v>
      </c>
      <c r="AW1710" s="148" t="s">
        <v>33</v>
      </c>
      <c r="AX1710" s="148" t="s">
        <v>80</v>
      </c>
      <c r="AY1710" s="150" t="s">
        <v>337</v>
      </c>
    </row>
    <row r="1711" spans="2:65" s="148" customFormat="1" x14ac:dyDescent="0.2">
      <c r="B1711" s="149"/>
      <c r="D1711" s="143" t="s">
        <v>346</v>
      </c>
      <c r="E1711" s="150"/>
      <c r="F1711" s="151" t="s">
        <v>1547</v>
      </c>
      <c r="H1711" s="152">
        <v>7.2320000000000002</v>
      </c>
      <c r="L1711" s="149"/>
      <c r="M1711" s="153"/>
      <c r="T1711" s="154"/>
      <c r="AT1711" s="150" t="s">
        <v>346</v>
      </c>
      <c r="AU1711" s="150" t="s">
        <v>90</v>
      </c>
      <c r="AV1711" s="148" t="s">
        <v>90</v>
      </c>
      <c r="AW1711" s="148" t="s">
        <v>33</v>
      </c>
      <c r="AX1711" s="148" t="s">
        <v>80</v>
      </c>
      <c r="AY1711" s="150" t="s">
        <v>337</v>
      </c>
    </row>
    <row r="1712" spans="2:65" s="155" customFormat="1" x14ac:dyDescent="0.2">
      <c r="B1712" s="156"/>
      <c r="D1712" s="143" t="s">
        <v>346</v>
      </c>
      <c r="E1712" s="157"/>
      <c r="F1712" s="158" t="s">
        <v>351</v>
      </c>
      <c r="H1712" s="159">
        <v>1303.3820000000001</v>
      </c>
      <c r="L1712" s="156"/>
      <c r="M1712" s="160"/>
      <c r="T1712" s="161"/>
      <c r="AT1712" s="157" t="s">
        <v>346</v>
      </c>
      <c r="AU1712" s="157" t="s">
        <v>90</v>
      </c>
      <c r="AV1712" s="155" t="s">
        <v>344</v>
      </c>
      <c r="AW1712" s="155" t="s">
        <v>33</v>
      </c>
      <c r="AX1712" s="155" t="s">
        <v>87</v>
      </c>
      <c r="AY1712" s="157" t="s">
        <v>337</v>
      </c>
    </row>
    <row r="1713" spans="2:65" s="16" customFormat="1" ht="16.5" customHeight="1" x14ac:dyDescent="0.2">
      <c r="B1713" s="17"/>
      <c r="C1713" s="128">
        <v>139</v>
      </c>
      <c r="D1713" s="128" t="s">
        <v>339</v>
      </c>
      <c r="E1713" s="129" t="s">
        <v>1548</v>
      </c>
      <c r="F1713" s="130" t="s">
        <v>1549</v>
      </c>
      <c r="G1713" s="131" t="s">
        <v>425</v>
      </c>
      <c r="H1713" s="132">
        <v>1493.7349999999999</v>
      </c>
      <c r="I1713" s="133"/>
      <c r="J1713" s="134">
        <f>ROUND(I1713*H1713,2)</f>
        <v>0</v>
      </c>
      <c r="K1713" s="130" t="s">
        <v>343</v>
      </c>
      <c r="L1713" s="17"/>
      <c r="M1713" s="135"/>
      <c r="N1713" s="136" t="s">
        <v>45</v>
      </c>
      <c r="P1713" s="137">
        <f>O1713*H1713</f>
        <v>0</v>
      </c>
      <c r="Q1713" s="137">
        <v>2.9999999999999997E-4</v>
      </c>
      <c r="R1713" s="137">
        <f>Q1713*H1713</f>
        <v>0.44812049999999992</v>
      </c>
      <c r="S1713" s="137">
        <v>0</v>
      </c>
      <c r="T1713" s="138">
        <f>S1713*H1713</f>
        <v>0</v>
      </c>
      <c r="AR1713" s="139" t="s">
        <v>496</v>
      </c>
      <c r="AT1713" s="139" t="s">
        <v>339</v>
      </c>
      <c r="AU1713" s="139" t="s">
        <v>90</v>
      </c>
      <c r="AY1713" s="2" t="s">
        <v>337</v>
      </c>
      <c r="BE1713" s="140">
        <f>IF(N1713="základní",J1713,0)</f>
        <v>0</v>
      </c>
      <c r="BF1713" s="140">
        <f>IF(N1713="snížená",J1713,0)</f>
        <v>0</v>
      </c>
      <c r="BG1713" s="140">
        <f>IF(N1713="zákl. přenesená",J1713,0)</f>
        <v>0</v>
      </c>
      <c r="BH1713" s="140">
        <f>IF(N1713="sníž. přenesená",J1713,0)</f>
        <v>0</v>
      </c>
      <c r="BI1713" s="140">
        <f>IF(N1713="nulová",J1713,0)</f>
        <v>0</v>
      </c>
      <c r="BJ1713" s="2" t="s">
        <v>87</v>
      </c>
      <c r="BK1713" s="140">
        <f>ROUND(I1713*H1713,2)</f>
        <v>0</v>
      </c>
      <c r="BL1713" s="2" t="s">
        <v>496</v>
      </c>
      <c r="BM1713" s="139" t="s">
        <v>1550</v>
      </c>
    </row>
    <row r="1714" spans="2:65" s="148" customFormat="1" x14ac:dyDescent="0.2">
      <c r="B1714" s="149"/>
      <c r="D1714" s="143" t="s">
        <v>346</v>
      </c>
      <c r="E1714" s="150"/>
      <c r="F1714" s="151" t="s">
        <v>224</v>
      </c>
      <c r="H1714" s="152">
        <v>334.23</v>
      </c>
      <c r="L1714" s="149"/>
      <c r="M1714" s="153"/>
      <c r="T1714" s="154"/>
      <c r="AT1714" s="150" t="s">
        <v>346</v>
      </c>
      <c r="AU1714" s="150" t="s">
        <v>90</v>
      </c>
      <c r="AV1714" s="148" t="s">
        <v>90</v>
      </c>
      <c r="AW1714" s="148" t="s">
        <v>33</v>
      </c>
      <c r="AX1714" s="148" t="s">
        <v>80</v>
      </c>
      <c r="AY1714" s="150" t="s">
        <v>337</v>
      </c>
    </row>
    <row r="1715" spans="2:65" s="148" customFormat="1" x14ac:dyDescent="0.2">
      <c r="B1715" s="149"/>
      <c r="D1715" s="143" t="s">
        <v>346</v>
      </c>
      <c r="E1715" s="150"/>
      <c r="F1715" s="151" t="s">
        <v>177</v>
      </c>
      <c r="H1715" s="152">
        <v>815.17</v>
      </c>
      <c r="L1715" s="149"/>
      <c r="M1715" s="153"/>
      <c r="T1715" s="154"/>
      <c r="AT1715" s="150" t="s">
        <v>346</v>
      </c>
      <c r="AU1715" s="150" t="s">
        <v>90</v>
      </c>
      <c r="AV1715" s="148" t="s">
        <v>90</v>
      </c>
      <c r="AW1715" s="148" t="s">
        <v>33</v>
      </c>
      <c r="AX1715" s="148" t="s">
        <v>80</v>
      </c>
      <c r="AY1715" s="150" t="s">
        <v>337</v>
      </c>
    </row>
    <row r="1716" spans="2:65" s="148" customFormat="1" x14ac:dyDescent="0.2">
      <c r="B1716" s="149"/>
      <c r="D1716" s="143" t="s">
        <v>346</v>
      </c>
      <c r="E1716" s="150"/>
      <c r="F1716" s="151" t="s">
        <v>182</v>
      </c>
      <c r="H1716" s="152">
        <v>160.24</v>
      </c>
      <c r="L1716" s="149"/>
      <c r="M1716" s="153"/>
      <c r="T1716" s="154"/>
      <c r="AT1716" s="150" t="s">
        <v>346</v>
      </c>
      <c r="AU1716" s="150" t="s">
        <v>90</v>
      </c>
      <c r="AV1716" s="148" t="s">
        <v>90</v>
      </c>
      <c r="AW1716" s="148" t="s">
        <v>33</v>
      </c>
      <c r="AX1716" s="148" t="s">
        <v>80</v>
      </c>
      <c r="AY1716" s="150" t="s">
        <v>337</v>
      </c>
    </row>
    <row r="1717" spans="2:65" s="148" customFormat="1" x14ac:dyDescent="0.2">
      <c r="B1717" s="149"/>
      <c r="D1717" s="143" t="s">
        <v>346</v>
      </c>
      <c r="E1717" s="150"/>
      <c r="F1717" s="151" t="s">
        <v>186</v>
      </c>
      <c r="H1717" s="152">
        <v>84.35</v>
      </c>
      <c r="L1717" s="149"/>
      <c r="M1717" s="153"/>
      <c r="T1717" s="154"/>
      <c r="AT1717" s="150" t="s">
        <v>346</v>
      </c>
      <c r="AU1717" s="150" t="s">
        <v>90</v>
      </c>
      <c r="AV1717" s="148" t="s">
        <v>90</v>
      </c>
      <c r="AW1717" s="148" t="s">
        <v>33</v>
      </c>
      <c r="AX1717" s="148" t="s">
        <v>80</v>
      </c>
      <c r="AY1717" s="150" t="s">
        <v>337</v>
      </c>
    </row>
    <row r="1718" spans="2:65" s="148" customFormat="1" x14ac:dyDescent="0.2">
      <c r="B1718" s="149"/>
      <c r="D1718" s="143" t="s">
        <v>346</v>
      </c>
      <c r="E1718" s="150"/>
      <c r="F1718" s="151" t="s">
        <v>1545</v>
      </c>
      <c r="H1718" s="152">
        <v>85.462999999999994</v>
      </c>
      <c r="L1718" s="149"/>
      <c r="M1718" s="153"/>
      <c r="T1718" s="154"/>
      <c r="AT1718" s="150" t="s">
        <v>346</v>
      </c>
      <c r="AU1718" s="150" t="s">
        <v>90</v>
      </c>
      <c r="AV1718" s="148" t="s">
        <v>90</v>
      </c>
      <c r="AW1718" s="148" t="s">
        <v>33</v>
      </c>
      <c r="AX1718" s="148" t="s">
        <v>80</v>
      </c>
      <c r="AY1718" s="150" t="s">
        <v>337</v>
      </c>
    </row>
    <row r="1719" spans="2:65" s="148" customFormat="1" x14ac:dyDescent="0.2">
      <c r="B1719" s="149"/>
      <c r="D1719" s="143" t="s">
        <v>346</v>
      </c>
      <c r="E1719" s="150"/>
      <c r="F1719" s="151" t="s">
        <v>1546</v>
      </c>
      <c r="H1719" s="152">
        <v>7.05</v>
      </c>
      <c r="L1719" s="149"/>
      <c r="M1719" s="153"/>
      <c r="T1719" s="154"/>
      <c r="AT1719" s="150" t="s">
        <v>346</v>
      </c>
      <c r="AU1719" s="150" t="s">
        <v>90</v>
      </c>
      <c r="AV1719" s="148" t="s">
        <v>90</v>
      </c>
      <c r="AW1719" s="148" t="s">
        <v>33</v>
      </c>
      <c r="AX1719" s="148" t="s">
        <v>80</v>
      </c>
      <c r="AY1719" s="150" t="s">
        <v>337</v>
      </c>
    </row>
    <row r="1720" spans="2:65" s="148" customFormat="1" x14ac:dyDescent="0.2">
      <c r="B1720" s="149"/>
      <c r="D1720" s="143" t="s">
        <v>346</v>
      </c>
      <c r="E1720" s="150"/>
      <c r="F1720" s="151" t="s">
        <v>1547</v>
      </c>
      <c r="H1720" s="152">
        <v>7.2320000000000002</v>
      </c>
      <c r="L1720" s="149"/>
      <c r="M1720" s="153"/>
      <c r="T1720" s="154"/>
      <c r="AT1720" s="150" t="s">
        <v>346</v>
      </c>
      <c r="AU1720" s="150" t="s">
        <v>90</v>
      </c>
      <c r="AV1720" s="148" t="s">
        <v>90</v>
      </c>
      <c r="AW1720" s="148" t="s">
        <v>33</v>
      </c>
      <c r="AX1720" s="148" t="s">
        <v>80</v>
      </c>
      <c r="AY1720" s="150" t="s">
        <v>337</v>
      </c>
    </row>
    <row r="1721" spans="2:65" s="155" customFormat="1" x14ac:dyDescent="0.2">
      <c r="B1721" s="156"/>
      <c r="D1721" s="143" t="s">
        <v>346</v>
      </c>
      <c r="E1721" s="157"/>
      <c r="F1721" s="158" t="s">
        <v>351</v>
      </c>
      <c r="H1721" s="159">
        <v>1493.7349999999999</v>
      </c>
      <c r="L1721" s="156"/>
      <c r="M1721" s="160"/>
      <c r="T1721" s="161"/>
      <c r="AT1721" s="157" t="s">
        <v>346</v>
      </c>
      <c r="AU1721" s="157" t="s">
        <v>90</v>
      </c>
      <c r="AV1721" s="155" t="s">
        <v>344</v>
      </c>
      <c r="AW1721" s="155" t="s">
        <v>33</v>
      </c>
      <c r="AX1721" s="155" t="s">
        <v>87</v>
      </c>
      <c r="AY1721" s="157" t="s">
        <v>337</v>
      </c>
    </row>
    <row r="1722" spans="2:65" s="16" customFormat="1" ht="16.5" customHeight="1" x14ac:dyDescent="0.2">
      <c r="B1722" s="17"/>
      <c r="C1722" s="128">
        <v>140</v>
      </c>
      <c r="D1722" s="128" t="s">
        <v>339</v>
      </c>
      <c r="E1722" s="129" t="s">
        <v>1551</v>
      </c>
      <c r="F1722" s="130" t="s">
        <v>1552</v>
      </c>
      <c r="G1722" s="131" t="s">
        <v>724</v>
      </c>
      <c r="H1722" s="132">
        <v>148</v>
      </c>
      <c r="I1722" s="133"/>
      <c r="J1722" s="134">
        <f>ROUND(I1722*H1722,2)</f>
        <v>0</v>
      </c>
      <c r="K1722" s="130" t="s">
        <v>343</v>
      </c>
      <c r="L1722" s="17"/>
      <c r="M1722" s="135"/>
      <c r="N1722" s="136" t="s">
        <v>45</v>
      </c>
      <c r="P1722" s="137">
        <f>O1722*H1722</f>
        <v>0</v>
      </c>
      <c r="Q1722" s="137">
        <v>2.0000000000000001E-4</v>
      </c>
      <c r="R1722" s="137">
        <f>Q1722*H1722</f>
        <v>2.9600000000000001E-2</v>
      </c>
      <c r="S1722" s="137">
        <v>0</v>
      </c>
      <c r="T1722" s="138">
        <f>S1722*H1722</f>
        <v>0</v>
      </c>
      <c r="AR1722" s="139" t="s">
        <v>496</v>
      </c>
      <c r="AT1722" s="139" t="s">
        <v>339</v>
      </c>
      <c r="AU1722" s="139" t="s">
        <v>90</v>
      </c>
      <c r="AY1722" s="2" t="s">
        <v>337</v>
      </c>
      <c r="BE1722" s="140">
        <f>IF(N1722="základní",J1722,0)</f>
        <v>0</v>
      </c>
      <c r="BF1722" s="140">
        <f>IF(N1722="snížená",J1722,0)</f>
        <v>0</v>
      </c>
      <c r="BG1722" s="140">
        <f>IF(N1722="zákl. přenesená",J1722,0)</f>
        <v>0</v>
      </c>
      <c r="BH1722" s="140">
        <f>IF(N1722="sníž. přenesená",J1722,0)</f>
        <v>0</v>
      </c>
      <c r="BI1722" s="140">
        <f>IF(N1722="nulová",J1722,0)</f>
        <v>0</v>
      </c>
      <c r="BJ1722" s="2" t="s">
        <v>87</v>
      </c>
      <c r="BK1722" s="140">
        <f>ROUND(I1722*H1722,2)</f>
        <v>0</v>
      </c>
      <c r="BL1722" s="2" t="s">
        <v>496</v>
      </c>
      <c r="BM1722" s="139" t="s">
        <v>1553</v>
      </c>
    </row>
    <row r="1723" spans="2:65" s="141" customFormat="1" x14ac:dyDescent="0.2">
      <c r="B1723" s="142"/>
      <c r="D1723" s="143" t="s">
        <v>346</v>
      </c>
      <c r="E1723" s="144"/>
      <c r="F1723" s="145" t="s">
        <v>357</v>
      </c>
      <c r="H1723" s="144"/>
      <c r="L1723" s="142"/>
      <c r="M1723" s="146"/>
      <c r="T1723" s="147"/>
      <c r="AT1723" s="144" t="s">
        <v>346</v>
      </c>
      <c r="AU1723" s="144" t="s">
        <v>90</v>
      </c>
      <c r="AV1723" s="141" t="s">
        <v>87</v>
      </c>
      <c r="AW1723" s="141" t="s">
        <v>33</v>
      </c>
      <c r="AX1723" s="141" t="s">
        <v>80</v>
      </c>
      <c r="AY1723" s="144" t="s">
        <v>337</v>
      </c>
    </row>
    <row r="1724" spans="2:65" s="148" customFormat="1" x14ac:dyDescent="0.2">
      <c r="B1724" s="149"/>
      <c r="D1724" s="143" t="s">
        <v>346</v>
      </c>
      <c r="E1724" s="150"/>
      <c r="F1724" s="151" t="s">
        <v>1554</v>
      </c>
      <c r="H1724" s="152">
        <v>20</v>
      </c>
      <c r="L1724" s="149"/>
      <c r="M1724" s="153"/>
      <c r="T1724" s="154"/>
      <c r="AT1724" s="150" t="s">
        <v>346</v>
      </c>
      <c r="AU1724" s="150" t="s">
        <v>90</v>
      </c>
      <c r="AV1724" s="148" t="s">
        <v>90</v>
      </c>
      <c r="AW1724" s="148" t="s">
        <v>33</v>
      </c>
      <c r="AX1724" s="148" t="s">
        <v>80</v>
      </c>
      <c r="AY1724" s="150" t="s">
        <v>337</v>
      </c>
    </row>
    <row r="1725" spans="2:65" s="141" customFormat="1" x14ac:dyDescent="0.2">
      <c r="B1725" s="142"/>
      <c r="D1725" s="143" t="s">
        <v>346</v>
      </c>
      <c r="E1725" s="144"/>
      <c r="F1725" s="145" t="s">
        <v>362</v>
      </c>
      <c r="H1725" s="144"/>
      <c r="L1725" s="142"/>
      <c r="M1725" s="146"/>
      <c r="T1725" s="147"/>
      <c r="AT1725" s="144" t="s">
        <v>346</v>
      </c>
      <c r="AU1725" s="144" t="s">
        <v>90</v>
      </c>
      <c r="AV1725" s="141" t="s">
        <v>87</v>
      </c>
      <c r="AW1725" s="141" t="s">
        <v>33</v>
      </c>
      <c r="AX1725" s="141" t="s">
        <v>80</v>
      </c>
      <c r="AY1725" s="144" t="s">
        <v>337</v>
      </c>
    </row>
    <row r="1726" spans="2:65" s="148" customFormat="1" x14ac:dyDescent="0.2">
      <c r="B1726" s="149"/>
      <c r="D1726" s="143" t="s">
        <v>346</v>
      </c>
      <c r="E1726" s="150"/>
      <c r="F1726" s="151" t="s">
        <v>1555</v>
      </c>
      <c r="H1726" s="152">
        <v>24</v>
      </c>
      <c r="L1726" s="149"/>
      <c r="M1726" s="153"/>
      <c r="T1726" s="154"/>
      <c r="AT1726" s="150" t="s">
        <v>346</v>
      </c>
      <c r="AU1726" s="150" t="s">
        <v>90</v>
      </c>
      <c r="AV1726" s="148" t="s">
        <v>90</v>
      </c>
      <c r="AW1726" s="148" t="s">
        <v>33</v>
      </c>
      <c r="AX1726" s="148" t="s">
        <v>80</v>
      </c>
      <c r="AY1726" s="150" t="s">
        <v>337</v>
      </c>
    </row>
    <row r="1727" spans="2:65" s="141" customFormat="1" x14ac:dyDescent="0.2">
      <c r="B1727" s="142"/>
      <c r="D1727" s="143" t="s">
        <v>346</v>
      </c>
      <c r="E1727" s="144"/>
      <c r="F1727" s="145" t="s">
        <v>367</v>
      </c>
      <c r="H1727" s="144"/>
      <c r="L1727" s="142"/>
      <c r="M1727" s="146"/>
      <c r="T1727" s="147"/>
      <c r="AT1727" s="144" t="s">
        <v>346</v>
      </c>
      <c r="AU1727" s="144" t="s">
        <v>90</v>
      </c>
      <c r="AV1727" s="141" t="s">
        <v>87</v>
      </c>
      <c r="AW1727" s="141" t="s">
        <v>33</v>
      </c>
      <c r="AX1727" s="141" t="s">
        <v>80</v>
      </c>
      <c r="AY1727" s="144" t="s">
        <v>337</v>
      </c>
    </row>
    <row r="1728" spans="2:65" s="148" customFormat="1" x14ac:dyDescent="0.2">
      <c r="B1728" s="149"/>
      <c r="D1728" s="143" t="s">
        <v>346</v>
      </c>
      <c r="E1728" s="150"/>
      <c r="F1728" s="151" t="s">
        <v>1556</v>
      </c>
      <c r="H1728" s="152">
        <v>28</v>
      </c>
      <c r="L1728" s="149"/>
      <c r="M1728" s="153"/>
      <c r="T1728" s="154"/>
      <c r="AT1728" s="150" t="s">
        <v>346</v>
      </c>
      <c r="AU1728" s="150" t="s">
        <v>90</v>
      </c>
      <c r="AV1728" s="148" t="s">
        <v>90</v>
      </c>
      <c r="AW1728" s="148" t="s">
        <v>33</v>
      </c>
      <c r="AX1728" s="148" t="s">
        <v>80</v>
      </c>
      <c r="AY1728" s="150" t="s">
        <v>337</v>
      </c>
    </row>
    <row r="1729" spans="2:65" s="141" customFormat="1" x14ac:dyDescent="0.2">
      <c r="B1729" s="142"/>
      <c r="D1729" s="143" t="s">
        <v>346</v>
      </c>
      <c r="E1729" s="144"/>
      <c r="F1729" s="145" t="s">
        <v>368</v>
      </c>
      <c r="H1729" s="144"/>
      <c r="L1729" s="142"/>
      <c r="M1729" s="146"/>
      <c r="T1729" s="147"/>
      <c r="AT1729" s="144" t="s">
        <v>346</v>
      </c>
      <c r="AU1729" s="144" t="s">
        <v>90</v>
      </c>
      <c r="AV1729" s="141" t="s">
        <v>87</v>
      </c>
      <c r="AW1729" s="141" t="s">
        <v>33</v>
      </c>
      <c r="AX1729" s="141" t="s">
        <v>80</v>
      </c>
      <c r="AY1729" s="144" t="s">
        <v>337</v>
      </c>
    </row>
    <row r="1730" spans="2:65" s="148" customFormat="1" x14ac:dyDescent="0.2">
      <c r="B1730" s="149"/>
      <c r="D1730" s="143" t="s">
        <v>346</v>
      </c>
      <c r="E1730" s="150"/>
      <c r="F1730" s="151" t="s">
        <v>1556</v>
      </c>
      <c r="H1730" s="152">
        <v>28</v>
      </c>
      <c r="L1730" s="149"/>
      <c r="M1730" s="153"/>
      <c r="T1730" s="154"/>
      <c r="AT1730" s="150" t="s">
        <v>346</v>
      </c>
      <c r="AU1730" s="150" t="s">
        <v>90</v>
      </c>
      <c r="AV1730" s="148" t="s">
        <v>90</v>
      </c>
      <c r="AW1730" s="148" t="s">
        <v>33</v>
      </c>
      <c r="AX1730" s="148" t="s">
        <v>80</v>
      </c>
      <c r="AY1730" s="150" t="s">
        <v>337</v>
      </c>
    </row>
    <row r="1731" spans="2:65" s="141" customFormat="1" x14ac:dyDescent="0.2">
      <c r="B1731" s="142"/>
      <c r="D1731" s="143" t="s">
        <v>346</v>
      </c>
      <c r="E1731" s="144"/>
      <c r="F1731" s="145" t="s">
        <v>370</v>
      </c>
      <c r="H1731" s="144"/>
      <c r="L1731" s="142"/>
      <c r="M1731" s="146"/>
      <c r="T1731" s="147"/>
      <c r="AT1731" s="144" t="s">
        <v>346</v>
      </c>
      <c r="AU1731" s="144" t="s">
        <v>90</v>
      </c>
      <c r="AV1731" s="141" t="s">
        <v>87</v>
      </c>
      <c r="AW1731" s="141" t="s">
        <v>33</v>
      </c>
      <c r="AX1731" s="141" t="s">
        <v>80</v>
      </c>
      <c r="AY1731" s="144" t="s">
        <v>337</v>
      </c>
    </row>
    <row r="1732" spans="2:65" s="148" customFormat="1" x14ac:dyDescent="0.2">
      <c r="B1732" s="149"/>
      <c r="D1732" s="143" t="s">
        <v>346</v>
      </c>
      <c r="E1732" s="150"/>
      <c r="F1732" s="151" t="s">
        <v>1556</v>
      </c>
      <c r="H1732" s="152">
        <v>28</v>
      </c>
      <c r="L1732" s="149"/>
      <c r="M1732" s="153"/>
      <c r="T1732" s="154"/>
      <c r="AT1732" s="150" t="s">
        <v>346</v>
      </c>
      <c r="AU1732" s="150" t="s">
        <v>90</v>
      </c>
      <c r="AV1732" s="148" t="s">
        <v>90</v>
      </c>
      <c r="AW1732" s="148" t="s">
        <v>33</v>
      </c>
      <c r="AX1732" s="148" t="s">
        <v>80</v>
      </c>
      <c r="AY1732" s="150" t="s">
        <v>337</v>
      </c>
    </row>
    <row r="1733" spans="2:65" s="141" customFormat="1" x14ac:dyDescent="0.2">
      <c r="B1733" s="142"/>
      <c r="D1733" s="143" t="s">
        <v>346</v>
      </c>
      <c r="E1733" s="144"/>
      <c r="F1733" s="145" t="s">
        <v>434</v>
      </c>
      <c r="H1733" s="144"/>
      <c r="L1733" s="142"/>
      <c r="M1733" s="146"/>
      <c r="T1733" s="147"/>
      <c r="AT1733" s="144" t="s">
        <v>346</v>
      </c>
      <c r="AU1733" s="144" t="s">
        <v>90</v>
      </c>
      <c r="AV1733" s="141" t="s">
        <v>87</v>
      </c>
      <c r="AW1733" s="141" t="s">
        <v>33</v>
      </c>
      <c r="AX1733" s="141" t="s">
        <v>80</v>
      </c>
      <c r="AY1733" s="144" t="s">
        <v>337</v>
      </c>
    </row>
    <row r="1734" spans="2:65" s="148" customFormat="1" x14ac:dyDescent="0.2">
      <c r="B1734" s="149"/>
      <c r="D1734" s="143" t="s">
        <v>346</v>
      </c>
      <c r="E1734" s="150"/>
      <c r="F1734" s="151" t="s">
        <v>1554</v>
      </c>
      <c r="H1734" s="152">
        <v>20</v>
      </c>
      <c r="L1734" s="149"/>
      <c r="M1734" s="153"/>
      <c r="T1734" s="154"/>
      <c r="AT1734" s="150" t="s">
        <v>346</v>
      </c>
      <c r="AU1734" s="150" t="s">
        <v>90</v>
      </c>
      <c r="AV1734" s="148" t="s">
        <v>90</v>
      </c>
      <c r="AW1734" s="148" t="s">
        <v>33</v>
      </c>
      <c r="AX1734" s="148" t="s">
        <v>80</v>
      </c>
      <c r="AY1734" s="150" t="s">
        <v>337</v>
      </c>
    </row>
    <row r="1735" spans="2:65" s="155" customFormat="1" x14ac:dyDescent="0.2">
      <c r="B1735" s="156"/>
      <c r="D1735" s="143" t="s">
        <v>346</v>
      </c>
      <c r="E1735" s="157"/>
      <c r="F1735" s="158" t="s">
        <v>351</v>
      </c>
      <c r="H1735" s="159">
        <v>148</v>
      </c>
      <c r="L1735" s="156"/>
      <c r="M1735" s="160"/>
      <c r="T1735" s="161"/>
      <c r="AT1735" s="157" t="s">
        <v>346</v>
      </c>
      <c r="AU1735" s="157" t="s">
        <v>90</v>
      </c>
      <c r="AV1735" s="155" t="s">
        <v>344</v>
      </c>
      <c r="AW1735" s="155" t="s">
        <v>33</v>
      </c>
      <c r="AX1735" s="155" t="s">
        <v>87</v>
      </c>
      <c r="AY1735" s="157" t="s">
        <v>337</v>
      </c>
    </row>
    <row r="1736" spans="2:65" s="16" customFormat="1" ht="16.5" customHeight="1" x14ac:dyDescent="0.2">
      <c r="B1736" s="17"/>
      <c r="C1736" s="128">
        <v>141</v>
      </c>
      <c r="D1736" s="128" t="s">
        <v>339</v>
      </c>
      <c r="E1736" s="129" t="s">
        <v>1558</v>
      </c>
      <c r="F1736" s="130" t="s">
        <v>1559</v>
      </c>
      <c r="G1736" s="131" t="s">
        <v>724</v>
      </c>
      <c r="H1736" s="132">
        <v>284.39999999999998</v>
      </c>
      <c r="I1736" s="133"/>
      <c r="J1736" s="134">
        <f>ROUND(I1736*H1736,2)</f>
        <v>0</v>
      </c>
      <c r="K1736" s="130" t="s">
        <v>343</v>
      </c>
      <c r="L1736" s="17"/>
      <c r="M1736" s="135"/>
      <c r="N1736" s="136" t="s">
        <v>45</v>
      </c>
      <c r="P1736" s="137">
        <f>O1736*H1736</f>
        <v>0</v>
      </c>
      <c r="Q1736" s="137">
        <v>3.4000000000000002E-4</v>
      </c>
      <c r="R1736" s="137">
        <f>Q1736*H1736</f>
        <v>9.6696000000000004E-2</v>
      </c>
      <c r="S1736" s="137">
        <v>0</v>
      </c>
      <c r="T1736" s="138">
        <f>S1736*H1736</f>
        <v>0</v>
      </c>
      <c r="AR1736" s="139" t="s">
        <v>496</v>
      </c>
      <c r="AT1736" s="139" t="s">
        <v>339</v>
      </c>
      <c r="AU1736" s="139" t="s">
        <v>90</v>
      </c>
      <c r="AY1736" s="2" t="s">
        <v>337</v>
      </c>
      <c r="BE1736" s="140">
        <f>IF(N1736="základní",J1736,0)</f>
        <v>0</v>
      </c>
      <c r="BF1736" s="140">
        <f>IF(N1736="snížená",J1736,0)</f>
        <v>0</v>
      </c>
      <c r="BG1736" s="140">
        <f>IF(N1736="zákl. přenesená",J1736,0)</f>
        <v>0</v>
      </c>
      <c r="BH1736" s="140">
        <f>IF(N1736="sníž. přenesená",J1736,0)</f>
        <v>0</v>
      </c>
      <c r="BI1736" s="140">
        <f>IF(N1736="nulová",J1736,0)</f>
        <v>0</v>
      </c>
      <c r="BJ1736" s="2" t="s">
        <v>87</v>
      </c>
      <c r="BK1736" s="140">
        <f>ROUND(I1736*H1736,2)</f>
        <v>0</v>
      </c>
      <c r="BL1736" s="2" t="s">
        <v>496</v>
      </c>
      <c r="BM1736" s="139" t="s">
        <v>1560</v>
      </c>
    </row>
    <row r="1737" spans="2:65" s="141" customFormat="1" x14ac:dyDescent="0.2">
      <c r="B1737" s="142"/>
      <c r="D1737" s="143" t="s">
        <v>346</v>
      </c>
      <c r="E1737" s="144"/>
      <c r="F1737" s="145" t="s">
        <v>1561</v>
      </c>
      <c r="H1737" s="144"/>
      <c r="L1737" s="142"/>
      <c r="M1737" s="146"/>
      <c r="T1737" s="147"/>
      <c r="AT1737" s="144" t="s">
        <v>346</v>
      </c>
      <c r="AU1737" s="144" t="s">
        <v>90</v>
      </c>
      <c r="AV1737" s="141" t="s">
        <v>87</v>
      </c>
      <c r="AW1737" s="141" t="s">
        <v>33</v>
      </c>
      <c r="AX1737" s="141" t="s">
        <v>80</v>
      </c>
      <c r="AY1737" s="144" t="s">
        <v>337</v>
      </c>
    </row>
    <row r="1738" spans="2:65" s="148" customFormat="1" x14ac:dyDescent="0.2">
      <c r="B1738" s="149"/>
      <c r="D1738" s="143" t="s">
        <v>346</v>
      </c>
      <c r="E1738" s="150"/>
      <c r="F1738" s="151" t="s">
        <v>222</v>
      </c>
      <c r="H1738" s="152">
        <v>284.39999999999998</v>
      </c>
      <c r="L1738" s="149"/>
      <c r="M1738" s="153"/>
      <c r="T1738" s="154"/>
      <c r="AT1738" s="150" t="s">
        <v>346</v>
      </c>
      <c r="AU1738" s="150" t="s">
        <v>90</v>
      </c>
      <c r="AV1738" s="148" t="s">
        <v>90</v>
      </c>
      <c r="AW1738" s="148" t="s">
        <v>33</v>
      </c>
      <c r="AX1738" s="148" t="s">
        <v>87</v>
      </c>
      <c r="AY1738" s="150" t="s">
        <v>337</v>
      </c>
    </row>
    <row r="1739" spans="2:65" s="16" customFormat="1" ht="16.5" customHeight="1" x14ac:dyDescent="0.2">
      <c r="B1739" s="17"/>
      <c r="C1739" s="128">
        <v>142</v>
      </c>
      <c r="D1739" s="162" t="s">
        <v>519</v>
      </c>
      <c r="E1739" s="163" t="s">
        <v>1563</v>
      </c>
      <c r="F1739" s="164" t="s">
        <v>1564</v>
      </c>
      <c r="G1739" s="165" t="s">
        <v>724</v>
      </c>
      <c r="H1739" s="166">
        <v>475.64</v>
      </c>
      <c r="I1739" s="167"/>
      <c r="J1739" s="168">
        <f>ROUND(I1739*H1739,2)</f>
        <v>0</v>
      </c>
      <c r="K1739" s="164"/>
      <c r="L1739" s="169"/>
      <c r="M1739" s="170"/>
      <c r="N1739" s="171" t="s">
        <v>45</v>
      </c>
      <c r="P1739" s="137">
        <f>O1739*H1739</f>
        <v>0</v>
      </c>
      <c r="Q1739" s="137">
        <v>1.7000000000000001E-4</v>
      </c>
      <c r="R1739" s="137">
        <f>Q1739*H1739</f>
        <v>8.0858800000000008E-2</v>
      </c>
      <c r="S1739" s="137">
        <v>0</v>
      </c>
      <c r="T1739" s="138">
        <f>S1739*H1739</f>
        <v>0</v>
      </c>
      <c r="AR1739" s="139" t="s">
        <v>621</v>
      </c>
      <c r="AT1739" s="139" t="s">
        <v>519</v>
      </c>
      <c r="AU1739" s="139" t="s">
        <v>90</v>
      </c>
      <c r="AY1739" s="2" t="s">
        <v>337</v>
      </c>
      <c r="BE1739" s="140">
        <f>IF(N1739="základní",J1739,0)</f>
        <v>0</v>
      </c>
      <c r="BF1739" s="140">
        <f>IF(N1739="snížená",J1739,0)</f>
        <v>0</v>
      </c>
      <c r="BG1739" s="140">
        <f>IF(N1739="zákl. přenesená",J1739,0)</f>
        <v>0</v>
      </c>
      <c r="BH1739" s="140">
        <f>IF(N1739="sníž. přenesená",J1739,0)</f>
        <v>0</v>
      </c>
      <c r="BI1739" s="140">
        <f>IF(N1739="nulová",J1739,0)</f>
        <v>0</v>
      </c>
      <c r="BJ1739" s="2" t="s">
        <v>87</v>
      </c>
      <c r="BK1739" s="140">
        <f>ROUND(I1739*H1739,2)</f>
        <v>0</v>
      </c>
      <c r="BL1739" s="2" t="s">
        <v>496</v>
      </c>
      <c r="BM1739" s="139" t="s">
        <v>1565</v>
      </c>
    </row>
    <row r="1740" spans="2:65" s="16" customFormat="1" ht="19.5" x14ac:dyDescent="0.2">
      <c r="B1740" s="17"/>
      <c r="D1740" s="143" t="s">
        <v>644</v>
      </c>
      <c r="F1740" s="179" t="s">
        <v>1566</v>
      </c>
      <c r="L1740" s="17"/>
      <c r="M1740" s="180"/>
      <c r="T1740" s="41"/>
      <c r="AT1740" s="2" t="s">
        <v>644</v>
      </c>
      <c r="AU1740" s="2" t="s">
        <v>90</v>
      </c>
    </row>
    <row r="1741" spans="2:65" s="148" customFormat="1" x14ac:dyDescent="0.2">
      <c r="B1741" s="149"/>
      <c r="D1741" s="143" t="s">
        <v>346</v>
      </c>
      <c r="F1741" s="151" t="s">
        <v>1567</v>
      </c>
      <c r="H1741" s="152">
        <v>475.64</v>
      </c>
      <c r="L1741" s="149"/>
      <c r="M1741" s="153"/>
      <c r="T1741" s="154"/>
      <c r="AT1741" s="150" t="s">
        <v>346</v>
      </c>
      <c r="AU1741" s="150" t="s">
        <v>90</v>
      </c>
      <c r="AV1741" s="148" t="s">
        <v>90</v>
      </c>
      <c r="AW1741" s="148" t="s">
        <v>3</v>
      </c>
      <c r="AX1741" s="148" t="s">
        <v>87</v>
      </c>
      <c r="AY1741" s="150" t="s">
        <v>337</v>
      </c>
    </row>
    <row r="1742" spans="2:65" s="16" customFormat="1" ht="24.2" customHeight="1" x14ac:dyDescent="0.2">
      <c r="B1742" s="17"/>
      <c r="C1742" s="128">
        <v>143</v>
      </c>
      <c r="D1742" s="128" t="s">
        <v>339</v>
      </c>
      <c r="E1742" s="129" t="s">
        <v>1568</v>
      </c>
      <c r="F1742" s="130" t="s">
        <v>1569</v>
      </c>
      <c r="G1742" s="131" t="s">
        <v>724</v>
      </c>
      <c r="H1742" s="132">
        <v>284.39999999999998</v>
      </c>
      <c r="I1742" s="133"/>
      <c r="J1742" s="134">
        <f>ROUND(I1742*H1742,2)</f>
        <v>0</v>
      </c>
      <c r="K1742" s="130" t="s">
        <v>343</v>
      </c>
      <c r="L1742" s="17"/>
      <c r="M1742" s="135"/>
      <c r="N1742" s="136" t="s">
        <v>45</v>
      </c>
      <c r="P1742" s="137">
        <f>O1742*H1742</f>
        <v>0</v>
      </c>
      <c r="Q1742" s="137">
        <v>1.5299999999999999E-3</v>
      </c>
      <c r="R1742" s="137">
        <f>Q1742*H1742</f>
        <v>0.43513199999999991</v>
      </c>
      <c r="S1742" s="137">
        <v>0</v>
      </c>
      <c r="T1742" s="138">
        <f>S1742*H1742</f>
        <v>0</v>
      </c>
      <c r="AR1742" s="139" t="s">
        <v>496</v>
      </c>
      <c r="AT1742" s="139" t="s">
        <v>339</v>
      </c>
      <c r="AU1742" s="139" t="s">
        <v>90</v>
      </c>
      <c r="AY1742" s="2" t="s">
        <v>337</v>
      </c>
      <c r="BE1742" s="140">
        <f>IF(N1742="základní",J1742,0)</f>
        <v>0</v>
      </c>
      <c r="BF1742" s="140">
        <f>IF(N1742="snížená",J1742,0)</f>
        <v>0</v>
      </c>
      <c r="BG1742" s="140">
        <f>IF(N1742="zákl. přenesená",J1742,0)</f>
        <v>0</v>
      </c>
      <c r="BH1742" s="140">
        <f>IF(N1742="sníž. přenesená",J1742,0)</f>
        <v>0</v>
      </c>
      <c r="BI1742" s="140">
        <f>IF(N1742="nulová",J1742,0)</f>
        <v>0</v>
      </c>
      <c r="BJ1742" s="2" t="s">
        <v>87</v>
      </c>
      <c r="BK1742" s="140">
        <f>ROUND(I1742*H1742,2)</f>
        <v>0</v>
      </c>
      <c r="BL1742" s="2" t="s">
        <v>496</v>
      </c>
      <c r="BM1742" s="139" t="s">
        <v>1570</v>
      </c>
    </row>
    <row r="1743" spans="2:65" s="141" customFormat="1" x14ac:dyDescent="0.2">
      <c r="B1743" s="142"/>
      <c r="D1743" s="143" t="s">
        <v>346</v>
      </c>
      <c r="E1743" s="144"/>
      <c r="F1743" s="145" t="s">
        <v>1571</v>
      </c>
      <c r="H1743" s="144"/>
      <c r="L1743" s="142"/>
      <c r="M1743" s="146"/>
      <c r="T1743" s="147"/>
      <c r="AT1743" s="144" t="s">
        <v>346</v>
      </c>
      <c r="AU1743" s="144" t="s">
        <v>90</v>
      </c>
      <c r="AV1743" s="141" t="s">
        <v>87</v>
      </c>
      <c r="AW1743" s="141" t="s">
        <v>33</v>
      </c>
      <c r="AX1743" s="141" t="s">
        <v>80</v>
      </c>
      <c r="AY1743" s="144" t="s">
        <v>337</v>
      </c>
    </row>
    <row r="1744" spans="2:65" s="141" customFormat="1" x14ac:dyDescent="0.2">
      <c r="B1744" s="142"/>
      <c r="D1744" s="143" t="s">
        <v>346</v>
      </c>
      <c r="E1744" s="144"/>
      <c r="F1744" s="145" t="s">
        <v>1509</v>
      </c>
      <c r="H1744" s="144"/>
      <c r="L1744" s="142"/>
      <c r="M1744" s="146"/>
      <c r="T1744" s="147"/>
      <c r="AT1744" s="144" t="s">
        <v>346</v>
      </c>
      <c r="AU1744" s="144" t="s">
        <v>90</v>
      </c>
      <c r="AV1744" s="141" t="s">
        <v>87</v>
      </c>
      <c r="AW1744" s="141" t="s">
        <v>33</v>
      </c>
      <c r="AX1744" s="141" t="s">
        <v>80</v>
      </c>
      <c r="AY1744" s="144" t="s">
        <v>337</v>
      </c>
    </row>
    <row r="1745" spans="2:51" s="148" customFormat="1" x14ac:dyDescent="0.2">
      <c r="B1745" s="149"/>
      <c r="D1745" s="143" t="s">
        <v>346</v>
      </c>
      <c r="E1745" s="150"/>
      <c r="F1745" s="151" t="s">
        <v>1572</v>
      </c>
      <c r="H1745" s="152">
        <v>28.5</v>
      </c>
      <c r="L1745" s="149"/>
      <c r="M1745" s="153"/>
      <c r="T1745" s="154"/>
      <c r="AT1745" s="150" t="s">
        <v>346</v>
      </c>
      <c r="AU1745" s="150" t="s">
        <v>90</v>
      </c>
      <c r="AV1745" s="148" t="s">
        <v>90</v>
      </c>
      <c r="AW1745" s="148" t="s">
        <v>33</v>
      </c>
      <c r="AX1745" s="148" t="s">
        <v>80</v>
      </c>
      <c r="AY1745" s="150" t="s">
        <v>337</v>
      </c>
    </row>
    <row r="1746" spans="2:51" s="141" customFormat="1" x14ac:dyDescent="0.2">
      <c r="B1746" s="142"/>
      <c r="D1746" s="143" t="s">
        <v>346</v>
      </c>
      <c r="E1746" s="144"/>
      <c r="F1746" s="145" t="s">
        <v>1511</v>
      </c>
      <c r="H1746" s="144"/>
      <c r="L1746" s="142"/>
      <c r="M1746" s="146"/>
      <c r="T1746" s="147"/>
      <c r="AT1746" s="144" t="s">
        <v>346</v>
      </c>
      <c r="AU1746" s="144" t="s">
        <v>90</v>
      </c>
      <c r="AV1746" s="141" t="s">
        <v>87</v>
      </c>
      <c r="AW1746" s="141" t="s">
        <v>33</v>
      </c>
      <c r="AX1746" s="141" t="s">
        <v>80</v>
      </c>
      <c r="AY1746" s="144" t="s">
        <v>337</v>
      </c>
    </row>
    <row r="1747" spans="2:51" s="148" customFormat="1" x14ac:dyDescent="0.2">
      <c r="B1747" s="149"/>
      <c r="D1747" s="143" t="s">
        <v>346</v>
      </c>
      <c r="E1747" s="150"/>
      <c r="F1747" s="151" t="s">
        <v>1573</v>
      </c>
      <c r="H1747" s="152">
        <v>31.5</v>
      </c>
      <c r="L1747" s="149"/>
      <c r="M1747" s="153"/>
      <c r="T1747" s="154"/>
      <c r="AT1747" s="150" t="s">
        <v>346</v>
      </c>
      <c r="AU1747" s="150" t="s">
        <v>90</v>
      </c>
      <c r="AV1747" s="148" t="s">
        <v>90</v>
      </c>
      <c r="AW1747" s="148" t="s">
        <v>33</v>
      </c>
      <c r="AX1747" s="148" t="s">
        <v>80</v>
      </c>
      <c r="AY1747" s="150" t="s">
        <v>337</v>
      </c>
    </row>
    <row r="1748" spans="2:51" s="141" customFormat="1" x14ac:dyDescent="0.2">
      <c r="B1748" s="142"/>
      <c r="D1748" s="143" t="s">
        <v>346</v>
      </c>
      <c r="E1748" s="144"/>
      <c r="F1748" s="145" t="s">
        <v>1513</v>
      </c>
      <c r="H1748" s="144"/>
      <c r="L1748" s="142"/>
      <c r="M1748" s="146"/>
      <c r="T1748" s="147"/>
      <c r="AT1748" s="144" t="s">
        <v>346</v>
      </c>
      <c r="AU1748" s="144" t="s">
        <v>90</v>
      </c>
      <c r="AV1748" s="141" t="s">
        <v>87</v>
      </c>
      <c r="AW1748" s="141" t="s">
        <v>33</v>
      </c>
      <c r="AX1748" s="141" t="s">
        <v>80</v>
      </c>
      <c r="AY1748" s="144" t="s">
        <v>337</v>
      </c>
    </row>
    <row r="1749" spans="2:51" s="148" customFormat="1" x14ac:dyDescent="0.2">
      <c r="B1749" s="149"/>
      <c r="D1749" s="143" t="s">
        <v>346</v>
      </c>
      <c r="E1749" s="150"/>
      <c r="F1749" s="151" t="s">
        <v>1574</v>
      </c>
      <c r="H1749" s="152">
        <v>24</v>
      </c>
      <c r="L1749" s="149"/>
      <c r="M1749" s="153"/>
      <c r="T1749" s="154"/>
      <c r="AT1749" s="150" t="s">
        <v>346</v>
      </c>
      <c r="AU1749" s="150" t="s">
        <v>90</v>
      </c>
      <c r="AV1749" s="148" t="s">
        <v>90</v>
      </c>
      <c r="AW1749" s="148" t="s">
        <v>33</v>
      </c>
      <c r="AX1749" s="148" t="s">
        <v>80</v>
      </c>
      <c r="AY1749" s="150" t="s">
        <v>337</v>
      </c>
    </row>
    <row r="1750" spans="2:51" s="141" customFormat="1" x14ac:dyDescent="0.2">
      <c r="B1750" s="142"/>
      <c r="D1750" s="143" t="s">
        <v>346</v>
      </c>
      <c r="E1750" s="144"/>
      <c r="F1750" s="145" t="s">
        <v>1515</v>
      </c>
      <c r="H1750" s="144"/>
      <c r="L1750" s="142"/>
      <c r="M1750" s="146"/>
      <c r="T1750" s="147"/>
      <c r="AT1750" s="144" t="s">
        <v>346</v>
      </c>
      <c r="AU1750" s="144" t="s">
        <v>90</v>
      </c>
      <c r="AV1750" s="141" t="s">
        <v>87</v>
      </c>
      <c r="AW1750" s="141" t="s">
        <v>33</v>
      </c>
      <c r="AX1750" s="141" t="s">
        <v>80</v>
      </c>
      <c r="AY1750" s="144" t="s">
        <v>337</v>
      </c>
    </row>
    <row r="1751" spans="2:51" s="148" customFormat="1" x14ac:dyDescent="0.2">
      <c r="B1751" s="149"/>
      <c r="D1751" s="143" t="s">
        <v>346</v>
      </c>
      <c r="E1751" s="150"/>
      <c r="F1751" s="151" t="s">
        <v>1573</v>
      </c>
      <c r="H1751" s="152">
        <v>31.5</v>
      </c>
      <c r="L1751" s="149"/>
      <c r="M1751" s="153"/>
      <c r="T1751" s="154"/>
      <c r="AT1751" s="150" t="s">
        <v>346</v>
      </c>
      <c r="AU1751" s="150" t="s">
        <v>90</v>
      </c>
      <c r="AV1751" s="148" t="s">
        <v>90</v>
      </c>
      <c r="AW1751" s="148" t="s">
        <v>33</v>
      </c>
      <c r="AX1751" s="148" t="s">
        <v>80</v>
      </c>
      <c r="AY1751" s="150" t="s">
        <v>337</v>
      </c>
    </row>
    <row r="1752" spans="2:51" s="141" customFormat="1" x14ac:dyDescent="0.2">
      <c r="B1752" s="142"/>
      <c r="D1752" s="143" t="s">
        <v>346</v>
      </c>
      <c r="E1752" s="144"/>
      <c r="F1752" s="145" t="s">
        <v>1516</v>
      </c>
      <c r="H1752" s="144"/>
      <c r="L1752" s="142"/>
      <c r="M1752" s="146"/>
      <c r="T1752" s="147"/>
      <c r="AT1752" s="144" t="s">
        <v>346</v>
      </c>
      <c r="AU1752" s="144" t="s">
        <v>90</v>
      </c>
      <c r="AV1752" s="141" t="s">
        <v>87</v>
      </c>
      <c r="AW1752" s="141" t="s">
        <v>33</v>
      </c>
      <c r="AX1752" s="141" t="s">
        <v>80</v>
      </c>
      <c r="AY1752" s="144" t="s">
        <v>337</v>
      </c>
    </row>
    <row r="1753" spans="2:51" s="148" customFormat="1" x14ac:dyDescent="0.2">
      <c r="B1753" s="149"/>
      <c r="D1753" s="143" t="s">
        <v>346</v>
      </c>
      <c r="E1753" s="150"/>
      <c r="F1753" s="151" t="s">
        <v>1575</v>
      </c>
      <c r="H1753" s="152">
        <v>26.4</v>
      </c>
      <c r="L1753" s="149"/>
      <c r="M1753" s="153"/>
      <c r="T1753" s="154"/>
      <c r="AT1753" s="150" t="s">
        <v>346</v>
      </c>
      <c r="AU1753" s="150" t="s">
        <v>90</v>
      </c>
      <c r="AV1753" s="148" t="s">
        <v>90</v>
      </c>
      <c r="AW1753" s="148" t="s">
        <v>33</v>
      </c>
      <c r="AX1753" s="148" t="s">
        <v>80</v>
      </c>
      <c r="AY1753" s="150" t="s">
        <v>337</v>
      </c>
    </row>
    <row r="1754" spans="2:51" s="141" customFormat="1" x14ac:dyDescent="0.2">
      <c r="B1754" s="142"/>
      <c r="D1754" s="143" t="s">
        <v>346</v>
      </c>
      <c r="E1754" s="144"/>
      <c r="F1754" s="145" t="s">
        <v>1517</v>
      </c>
      <c r="H1754" s="144"/>
      <c r="L1754" s="142"/>
      <c r="M1754" s="146"/>
      <c r="T1754" s="147"/>
      <c r="AT1754" s="144" t="s">
        <v>346</v>
      </c>
      <c r="AU1754" s="144" t="s">
        <v>90</v>
      </c>
      <c r="AV1754" s="141" t="s">
        <v>87</v>
      </c>
      <c r="AW1754" s="141" t="s">
        <v>33</v>
      </c>
      <c r="AX1754" s="141" t="s">
        <v>80</v>
      </c>
      <c r="AY1754" s="144" t="s">
        <v>337</v>
      </c>
    </row>
    <row r="1755" spans="2:51" s="148" customFormat="1" x14ac:dyDescent="0.2">
      <c r="B1755" s="149"/>
      <c r="D1755" s="143" t="s">
        <v>346</v>
      </c>
      <c r="E1755" s="150"/>
      <c r="F1755" s="151" t="s">
        <v>1573</v>
      </c>
      <c r="H1755" s="152">
        <v>31.5</v>
      </c>
      <c r="L1755" s="149"/>
      <c r="M1755" s="153"/>
      <c r="T1755" s="154"/>
      <c r="AT1755" s="150" t="s">
        <v>346</v>
      </c>
      <c r="AU1755" s="150" t="s">
        <v>90</v>
      </c>
      <c r="AV1755" s="148" t="s">
        <v>90</v>
      </c>
      <c r="AW1755" s="148" t="s">
        <v>33</v>
      </c>
      <c r="AX1755" s="148" t="s">
        <v>80</v>
      </c>
      <c r="AY1755" s="150" t="s">
        <v>337</v>
      </c>
    </row>
    <row r="1756" spans="2:51" s="141" customFormat="1" x14ac:dyDescent="0.2">
      <c r="B1756" s="142"/>
      <c r="D1756" s="143" t="s">
        <v>346</v>
      </c>
      <c r="E1756" s="144"/>
      <c r="F1756" s="145" t="s">
        <v>1518</v>
      </c>
      <c r="H1756" s="144"/>
      <c r="L1756" s="142"/>
      <c r="M1756" s="146"/>
      <c r="T1756" s="147"/>
      <c r="AT1756" s="144" t="s">
        <v>346</v>
      </c>
      <c r="AU1756" s="144" t="s">
        <v>90</v>
      </c>
      <c r="AV1756" s="141" t="s">
        <v>87</v>
      </c>
      <c r="AW1756" s="141" t="s">
        <v>33</v>
      </c>
      <c r="AX1756" s="141" t="s">
        <v>80</v>
      </c>
      <c r="AY1756" s="144" t="s">
        <v>337</v>
      </c>
    </row>
    <row r="1757" spans="2:51" s="148" customFormat="1" x14ac:dyDescent="0.2">
      <c r="B1757" s="149"/>
      <c r="D1757" s="143" t="s">
        <v>346</v>
      </c>
      <c r="E1757" s="150"/>
      <c r="F1757" s="151" t="s">
        <v>1574</v>
      </c>
      <c r="H1757" s="152">
        <v>24</v>
      </c>
      <c r="L1757" s="149"/>
      <c r="M1757" s="153"/>
      <c r="T1757" s="154"/>
      <c r="AT1757" s="150" t="s">
        <v>346</v>
      </c>
      <c r="AU1757" s="150" t="s">
        <v>90</v>
      </c>
      <c r="AV1757" s="148" t="s">
        <v>90</v>
      </c>
      <c r="AW1757" s="148" t="s">
        <v>33</v>
      </c>
      <c r="AX1757" s="148" t="s">
        <v>80</v>
      </c>
      <c r="AY1757" s="150" t="s">
        <v>337</v>
      </c>
    </row>
    <row r="1758" spans="2:51" s="141" customFormat="1" x14ac:dyDescent="0.2">
      <c r="B1758" s="142"/>
      <c r="D1758" s="143" t="s">
        <v>346</v>
      </c>
      <c r="E1758" s="144"/>
      <c r="F1758" s="145" t="s">
        <v>1519</v>
      </c>
      <c r="H1758" s="144"/>
      <c r="L1758" s="142"/>
      <c r="M1758" s="146"/>
      <c r="T1758" s="147"/>
      <c r="AT1758" s="144" t="s">
        <v>346</v>
      </c>
      <c r="AU1758" s="144" t="s">
        <v>90</v>
      </c>
      <c r="AV1758" s="141" t="s">
        <v>87</v>
      </c>
      <c r="AW1758" s="141" t="s">
        <v>33</v>
      </c>
      <c r="AX1758" s="141" t="s">
        <v>80</v>
      </c>
      <c r="AY1758" s="144" t="s">
        <v>337</v>
      </c>
    </row>
    <row r="1759" spans="2:51" s="148" customFormat="1" x14ac:dyDescent="0.2">
      <c r="B1759" s="149"/>
      <c r="D1759" s="143" t="s">
        <v>346</v>
      </c>
      <c r="E1759" s="150"/>
      <c r="F1759" s="151" t="s">
        <v>1573</v>
      </c>
      <c r="H1759" s="152">
        <v>31.5</v>
      </c>
      <c r="L1759" s="149"/>
      <c r="M1759" s="153"/>
      <c r="T1759" s="154"/>
      <c r="AT1759" s="150" t="s">
        <v>346</v>
      </c>
      <c r="AU1759" s="150" t="s">
        <v>90</v>
      </c>
      <c r="AV1759" s="148" t="s">
        <v>90</v>
      </c>
      <c r="AW1759" s="148" t="s">
        <v>33</v>
      </c>
      <c r="AX1759" s="148" t="s">
        <v>80</v>
      </c>
      <c r="AY1759" s="150" t="s">
        <v>337</v>
      </c>
    </row>
    <row r="1760" spans="2:51" s="141" customFormat="1" x14ac:dyDescent="0.2">
      <c r="B1760" s="142"/>
      <c r="D1760" s="143" t="s">
        <v>346</v>
      </c>
      <c r="E1760" s="144"/>
      <c r="F1760" s="145" t="s">
        <v>1520</v>
      </c>
      <c r="H1760" s="144"/>
      <c r="L1760" s="142"/>
      <c r="M1760" s="146"/>
      <c r="T1760" s="147"/>
      <c r="AT1760" s="144" t="s">
        <v>346</v>
      </c>
      <c r="AU1760" s="144" t="s">
        <v>90</v>
      </c>
      <c r="AV1760" s="141" t="s">
        <v>87</v>
      </c>
      <c r="AW1760" s="141" t="s">
        <v>33</v>
      </c>
      <c r="AX1760" s="141" t="s">
        <v>80</v>
      </c>
      <c r="AY1760" s="144" t="s">
        <v>337</v>
      </c>
    </row>
    <row r="1761" spans="2:65" s="148" customFormat="1" x14ac:dyDescent="0.2">
      <c r="B1761" s="149"/>
      <c r="D1761" s="143" t="s">
        <v>346</v>
      </c>
      <c r="E1761" s="150"/>
      <c r="F1761" s="151" t="s">
        <v>1574</v>
      </c>
      <c r="H1761" s="152">
        <v>24</v>
      </c>
      <c r="L1761" s="149"/>
      <c r="M1761" s="153"/>
      <c r="T1761" s="154"/>
      <c r="AT1761" s="150" t="s">
        <v>346</v>
      </c>
      <c r="AU1761" s="150" t="s">
        <v>90</v>
      </c>
      <c r="AV1761" s="148" t="s">
        <v>90</v>
      </c>
      <c r="AW1761" s="148" t="s">
        <v>33</v>
      </c>
      <c r="AX1761" s="148" t="s">
        <v>80</v>
      </c>
      <c r="AY1761" s="150" t="s">
        <v>337</v>
      </c>
    </row>
    <row r="1762" spans="2:65" s="141" customFormat="1" x14ac:dyDescent="0.2">
      <c r="B1762" s="142"/>
      <c r="D1762" s="143" t="s">
        <v>346</v>
      </c>
      <c r="E1762" s="144"/>
      <c r="F1762" s="145" t="s">
        <v>1521</v>
      </c>
      <c r="H1762" s="144"/>
      <c r="L1762" s="142"/>
      <c r="M1762" s="146"/>
      <c r="T1762" s="147"/>
      <c r="AT1762" s="144" t="s">
        <v>346</v>
      </c>
      <c r="AU1762" s="144" t="s">
        <v>90</v>
      </c>
      <c r="AV1762" s="141" t="s">
        <v>87</v>
      </c>
      <c r="AW1762" s="141" t="s">
        <v>33</v>
      </c>
      <c r="AX1762" s="141" t="s">
        <v>80</v>
      </c>
      <c r="AY1762" s="144" t="s">
        <v>337</v>
      </c>
    </row>
    <row r="1763" spans="2:65" s="148" customFormat="1" x14ac:dyDescent="0.2">
      <c r="B1763" s="149"/>
      <c r="D1763" s="143" t="s">
        <v>346</v>
      </c>
      <c r="E1763" s="150"/>
      <c r="F1763" s="151" t="s">
        <v>1573</v>
      </c>
      <c r="H1763" s="152">
        <v>31.5</v>
      </c>
      <c r="L1763" s="149"/>
      <c r="M1763" s="153"/>
      <c r="T1763" s="154"/>
      <c r="AT1763" s="150" t="s">
        <v>346</v>
      </c>
      <c r="AU1763" s="150" t="s">
        <v>90</v>
      </c>
      <c r="AV1763" s="148" t="s">
        <v>90</v>
      </c>
      <c r="AW1763" s="148" t="s">
        <v>33</v>
      </c>
      <c r="AX1763" s="148" t="s">
        <v>80</v>
      </c>
      <c r="AY1763" s="150" t="s">
        <v>337</v>
      </c>
    </row>
    <row r="1764" spans="2:65" s="172" customFormat="1" x14ac:dyDescent="0.2">
      <c r="B1764" s="173"/>
      <c r="D1764" s="143" t="s">
        <v>346</v>
      </c>
      <c r="E1764" s="174" t="s">
        <v>222</v>
      </c>
      <c r="F1764" s="175" t="s">
        <v>609</v>
      </c>
      <c r="H1764" s="176">
        <v>284.39999999999998</v>
      </c>
      <c r="L1764" s="173"/>
      <c r="M1764" s="177"/>
      <c r="T1764" s="178"/>
      <c r="AT1764" s="174" t="s">
        <v>346</v>
      </c>
      <c r="AU1764" s="174" t="s">
        <v>90</v>
      </c>
      <c r="AV1764" s="172" t="s">
        <v>113</v>
      </c>
      <c r="AW1764" s="172" t="s">
        <v>33</v>
      </c>
      <c r="AX1764" s="172" t="s">
        <v>87</v>
      </c>
      <c r="AY1764" s="174" t="s">
        <v>337</v>
      </c>
    </row>
    <row r="1765" spans="2:65" s="16" customFormat="1" ht="24.2" customHeight="1" x14ac:dyDescent="0.2">
      <c r="B1765" s="17"/>
      <c r="C1765" s="128">
        <v>144</v>
      </c>
      <c r="D1765" s="128" t="s">
        <v>339</v>
      </c>
      <c r="E1765" s="129" t="s">
        <v>1577</v>
      </c>
      <c r="F1765" s="130" t="s">
        <v>1578</v>
      </c>
      <c r="G1765" s="131" t="s">
        <v>724</v>
      </c>
      <c r="H1765" s="132">
        <v>284.39999999999998</v>
      </c>
      <c r="I1765" s="133"/>
      <c r="J1765" s="134">
        <f>ROUND(I1765*H1765,2)</f>
        <v>0</v>
      </c>
      <c r="K1765" s="130" t="s">
        <v>343</v>
      </c>
      <c r="L1765" s="17"/>
      <c r="M1765" s="135"/>
      <c r="N1765" s="136" t="s">
        <v>45</v>
      </c>
      <c r="P1765" s="137">
        <f>O1765*H1765</f>
        <v>0</v>
      </c>
      <c r="Q1765" s="137">
        <v>1.0200000000000001E-3</v>
      </c>
      <c r="R1765" s="137">
        <f>Q1765*H1765</f>
        <v>0.29008800000000001</v>
      </c>
      <c r="S1765" s="137">
        <v>0</v>
      </c>
      <c r="T1765" s="138">
        <f>S1765*H1765</f>
        <v>0</v>
      </c>
      <c r="AR1765" s="139" t="s">
        <v>496</v>
      </c>
      <c r="AT1765" s="139" t="s">
        <v>339</v>
      </c>
      <c r="AU1765" s="139" t="s">
        <v>90</v>
      </c>
      <c r="AY1765" s="2" t="s">
        <v>337</v>
      </c>
      <c r="BE1765" s="140">
        <f>IF(N1765="základní",J1765,0)</f>
        <v>0</v>
      </c>
      <c r="BF1765" s="140">
        <f>IF(N1765="snížená",J1765,0)</f>
        <v>0</v>
      </c>
      <c r="BG1765" s="140">
        <f>IF(N1765="zákl. přenesená",J1765,0)</f>
        <v>0</v>
      </c>
      <c r="BH1765" s="140">
        <f>IF(N1765="sníž. přenesená",J1765,0)</f>
        <v>0</v>
      </c>
      <c r="BI1765" s="140">
        <f>IF(N1765="nulová",J1765,0)</f>
        <v>0</v>
      </c>
      <c r="BJ1765" s="2" t="s">
        <v>87</v>
      </c>
      <c r="BK1765" s="140">
        <f>ROUND(I1765*H1765,2)</f>
        <v>0</v>
      </c>
      <c r="BL1765" s="2" t="s">
        <v>496</v>
      </c>
      <c r="BM1765" s="139" t="s">
        <v>1579</v>
      </c>
    </row>
    <row r="1766" spans="2:65" s="16" customFormat="1" ht="21.75" customHeight="1" x14ac:dyDescent="0.2">
      <c r="B1766" s="17"/>
      <c r="C1766" s="128">
        <v>145</v>
      </c>
      <c r="D1766" s="128" t="s">
        <v>339</v>
      </c>
      <c r="E1766" s="129" t="s">
        <v>1580</v>
      </c>
      <c r="F1766" s="130" t="s">
        <v>1581</v>
      </c>
      <c r="G1766" s="131" t="s">
        <v>724</v>
      </c>
      <c r="H1766" s="132">
        <v>926.94799999999998</v>
      </c>
      <c r="I1766" s="133"/>
      <c r="J1766" s="134">
        <f>ROUND(I1766*H1766,2)</f>
        <v>0</v>
      </c>
      <c r="K1766" s="130" t="s">
        <v>343</v>
      </c>
      <c r="L1766" s="17"/>
      <c r="M1766" s="135"/>
      <c r="N1766" s="136" t="s">
        <v>45</v>
      </c>
      <c r="P1766" s="137">
        <f>O1766*H1766</f>
        <v>0</v>
      </c>
      <c r="Q1766" s="137">
        <v>5.8E-4</v>
      </c>
      <c r="R1766" s="137">
        <f>Q1766*H1766</f>
        <v>0.53762984000000003</v>
      </c>
      <c r="S1766" s="137">
        <v>0</v>
      </c>
      <c r="T1766" s="138">
        <f>S1766*H1766</f>
        <v>0</v>
      </c>
      <c r="AR1766" s="139" t="s">
        <v>496</v>
      </c>
      <c r="AT1766" s="139" t="s">
        <v>339</v>
      </c>
      <c r="AU1766" s="139" t="s">
        <v>90</v>
      </c>
      <c r="AY1766" s="2" t="s">
        <v>337</v>
      </c>
      <c r="BE1766" s="140">
        <f>IF(N1766="základní",J1766,0)</f>
        <v>0</v>
      </c>
      <c r="BF1766" s="140">
        <f>IF(N1766="snížená",J1766,0)</f>
        <v>0</v>
      </c>
      <c r="BG1766" s="140">
        <f>IF(N1766="zákl. přenesená",J1766,0)</f>
        <v>0</v>
      </c>
      <c r="BH1766" s="140">
        <f>IF(N1766="sníž. přenesená",J1766,0)</f>
        <v>0</v>
      </c>
      <c r="BI1766" s="140">
        <f>IF(N1766="nulová",J1766,0)</f>
        <v>0</v>
      </c>
      <c r="BJ1766" s="2" t="s">
        <v>87</v>
      </c>
      <c r="BK1766" s="140">
        <f>ROUND(I1766*H1766,2)</f>
        <v>0</v>
      </c>
      <c r="BL1766" s="2" t="s">
        <v>496</v>
      </c>
      <c r="BM1766" s="139" t="s">
        <v>1582</v>
      </c>
    </row>
    <row r="1767" spans="2:65" s="141" customFormat="1" ht="22.5" x14ac:dyDescent="0.2">
      <c r="B1767" s="142"/>
      <c r="D1767" s="143" t="s">
        <v>346</v>
      </c>
      <c r="E1767" s="144"/>
      <c r="F1767" s="145" t="s">
        <v>1583</v>
      </c>
      <c r="H1767" s="144"/>
      <c r="L1767" s="142"/>
      <c r="M1767" s="146"/>
      <c r="T1767" s="147"/>
      <c r="AT1767" s="144" t="s">
        <v>346</v>
      </c>
      <c r="AU1767" s="144" t="s">
        <v>90</v>
      </c>
      <c r="AV1767" s="141" t="s">
        <v>87</v>
      </c>
      <c r="AW1767" s="141" t="s">
        <v>33</v>
      </c>
      <c r="AX1767" s="141" t="s">
        <v>80</v>
      </c>
      <c r="AY1767" s="144" t="s">
        <v>337</v>
      </c>
    </row>
    <row r="1768" spans="2:65" s="141" customFormat="1" x14ac:dyDescent="0.2">
      <c r="B1768" s="142"/>
      <c r="D1768" s="143" t="s">
        <v>346</v>
      </c>
      <c r="E1768" s="144"/>
      <c r="F1768" s="145" t="s">
        <v>1584</v>
      </c>
      <c r="H1768" s="144"/>
      <c r="L1768" s="142"/>
      <c r="M1768" s="146"/>
      <c r="T1768" s="147"/>
      <c r="AT1768" s="144" t="s">
        <v>346</v>
      </c>
      <c r="AU1768" s="144" t="s">
        <v>90</v>
      </c>
      <c r="AV1768" s="141" t="s">
        <v>87</v>
      </c>
      <c r="AW1768" s="141" t="s">
        <v>33</v>
      </c>
      <c r="AX1768" s="141" t="s">
        <v>80</v>
      </c>
      <c r="AY1768" s="144" t="s">
        <v>337</v>
      </c>
    </row>
    <row r="1769" spans="2:65" s="148" customFormat="1" x14ac:dyDescent="0.2">
      <c r="B1769" s="149"/>
      <c r="D1769" s="143" t="s">
        <v>346</v>
      </c>
      <c r="E1769" s="150"/>
      <c r="F1769" s="151" t="s">
        <v>1585</v>
      </c>
      <c r="H1769" s="152">
        <v>23.8</v>
      </c>
      <c r="L1769" s="149"/>
      <c r="M1769" s="153"/>
      <c r="T1769" s="154"/>
      <c r="AT1769" s="150" t="s">
        <v>346</v>
      </c>
      <c r="AU1769" s="150" t="s">
        <v>90</v>
      </c>
      <c r="AV1769" s="148" t="s">
        <v>90</v>
      </c>
      <c r="AW1769" s="148" t="s">
        <v>33</v>
      </c>
      <c r="AX1769" s="148" t="s">
        <v>80</v>
      </c>
      <c r="AY1769" s="150" t="s">
        <v>337</v>
      </c>
    </row>
    <row r="1770" spans="2:65" s="148" customFormat="1" x14ac:dyDescent="0.2">
      <c r="B1770" s="149"/>
      <c r="D1770" s="143" t="s">
        <v>346</v>
      </c>
      <c r="E1770" s="150"/>
      <c r="F1770" s="151" t="s">
        <v>1586</v>
      </c>
      <c r="H1770" s="152">
        <v>-1</v>
      </c>
      <c r="L1770" s="149"/>
      <c r="M1770" s="153"/>
      <c r="T1770" s="154"/>
      <c r="AT1770" s="150" t="s">
        <v>346</v>
      </c>
      <c r="AU1770" s="150" t="s">
        <v>90</v>
      </c>
      <c r="AV1770" s="148" t="s">
        <v>90</v>
      </c>
      <c r="AW1770" s="148" t="s">
        <v>33</v>
      </c>
      <c r="AX1770" s="148" t="s">
        <v>80</v>
      </c>
      <c r="AY1770" s="150" t="s">
        <v>337</v>
      </c>
    </row>
    <row r="1771" spans="2:65" s="148" customFormat="1" x14ac:dyDescent="0.2">
      <c r="B1771" s="149"/>
      <c r="D1771" s="143" t="s">
        <v>346</v>
      </c>
      <c r="E1771" s="150"/>
      <c r="F1771" s="151" t="s">
        <v>1587</v>
      </c>
      <c r="H1771" s="152">
        <v>7.15</v>
      </c>
      <c r="L1771" s="149"/>
      <c r="M1771" s="153"/>
      <c r="T1771" s="154"/>
      <c r="AT1771" s="150" t="s">
        <v>346</v>
      </c>
      <c r="AU1771" s="150" t="s">
        <v>90</v>
      </c>
      <c r="AV1771" s="148" t="s">
        <v>90</v>
      </c>
      <c r="AW1771" s="148" t="s">
        <v>33</v>
      </c>
      <c r="AX1771" s="148" t="s">
        <v>80</v>
      </c>
      <c r="AY1771" s="150" t="s">
        <v>337</v>
      </c>
    </row>
    <row r="1772" spans="2:65" s="148" customFormat="1" x14ac:dyDescent="0.2">
      <c r="B1772" s="149"/>
      <c r="D1772" s="143" t="s">
        <v>346</v>
      </c>
      <c r="E1772" s="150"/>
      <c r="F1772" s="151" t="s">
        <v>1588</v>
      </c>
      <c r="H1772" s="152">
        <v>-0.9</v>
      </c>
      <c r="L1772" s="149"/>
      <c r="M1772" s="153"/>
      <c r="T1772" s="154"/>
      <c r="AT1772" s="150" t="s">
        <v>346</v>
      </c>
      <c r="AU1772" s="150" t="s">
        <v>90</v>
      </c>
      <c r="AV1772" s="148" t="s">
        <v>90</v>
      </c>
      <c r="AW1772" s="148" t="s">
        <v>33</v>
      </c>
      <c r="AX1772" s="148" t="s">
        <v>80</v>
      </c>
      <c r="AY1772" s="150" t="s">
        <v>337</v>
      </c>
    </row>
    <row r="1773" spans="2:65" s="148" customFormat="1" x14ac:dyDescent="0.2">
      <c r="B1773" s="149"/>
      <c r="D1773" s="143" t="s">
        <v>346</v>
      </c>
      <c r="E1773" s="150"/>
      <c r="F1773" s="151" t="s">
        <v>1589</v>
      </c>
      <c r="H1773" s="152">
        <v>18.75</v>
      </c>
      <c r="L1773" s="149"/>
      <c r="M1773" s="153"/>
      <c r="T1773" s="154"/>
      <c r="AT1773" s="150" t="s">
        <v>346</v>
      </c>
      <c r="AU1773" s="150" t="s">
        <v>90</v>
      </c>
      <c r="AV1773" s="148" t="s">
        <v>90</v>
      </c>
      <c r="AW1773" s="148" t="s">
        <v>33</v>
      </c>
      <c r="AX1773" s="148" t="s">
        <v>80</v>
      </c>
      <c r="AY1773" s="150" t="s">
        <v>337</v>
      </c>
    </row>
    <row r="1774" spans="2:65" s="148" customFormat="1" x14ac:dyDescent="0.2">
      <c r="B1774" s="149"/>
      <c r="D1774" s="143" t="s">
        <v>346</v>
      </c>
      <c r="E1774" s="150"/>
      <c r="F1774" s="151" t="s">
        <v>1590</v>
      </c>
      <c r="H1774" s="152">
        <v>-1.6</v>
      </c>
      <c r="L1774" s="149"/>
      <c r="M1774" s="153"/>
      <c r="T1774" s="154"/>
      <c r="AT1774" s="150" t="s">
        <v>346</v>
      </c>
      <c r="AU1774" s="150" t="s">
        <v>90</v>
      </c>
      <c r="AV1774" s="148" t="s">
        <v>90</v>
      </c>
      <c r="AW1774" s="148" t="s">
        <v>33</v>
      </c>
      <c r="AX1774" s="148" t="s">
        <v>80</v>
      </c>
      <c r="AY1774" s="150" t="s">
        <v>337</v>
      </c>
    </row>
    <row r="1775" spans="2:65" s="148" customFormat="1" x14ac:dyDescent="0.2">
      <c r="B1775" s="149"/>
      <c r="D1775" s="143" t="s">
        <v>346</v>
      </c>
      <c r="E1775" s="150"/>
      <c r="F1775" s="151" t="s">
        <v>1591</v>
      </c>
      <c r="H1775" s="152">
        <v>101.74</v>
      </c>
      <c r="L1775" s="149"/>
      <c r="M1775" s="153"/>
      <c r="T1775" s="154"/>
      <c r="AT1775" s="150" t="s">
        <v>346</v>
      </c>
      <c r="AU1775" s="150" t="s">
        <v>90</v>
      </c>
      <c r="AV1775" s="148" t="s">
        <v>90</v>
      </c>
      <c r="AW1775" s="148" t="s">
        <v>33</v>
      </c>
      <c r="AX1775" s="148" t="s">
        <v>80</v>
      </c>
      <c r="AY1775" s="150" t="s">
        <v>337</v>
      </c>
    </row>
    <row r="1776" spans="2:65" s="148" customFormat="1" x14ac:dyDescent="0.2">
      <c r="B1776" s="149"/>
      <c r="D1776" s="143" t="s">
        <v>346</v>
      </c>
      <c r="E1776" s="150"/>
      <c r="F1776" s="151" t="s">
        <v>1592</v>
      </c>
      <c r="H1776" s="152">
        <v>-11.9</v>
      </c>
      <c r="L1776" s="149"/>
      <c r="M1776" s="153"/>
      <c r="T1776" s="154"/>
      <c r="AT1776" s="150" t="s">
        <v>346</v>
      </c>
      <c r="AU1776" s="150" t="s">
        <v>90</v>
      </c>
      <c r="AV1776" s="148" t="s">
        <v>90</v>
      </c>
      <c r="AW1776" s="148" t="s">
        <v>33</v>
      </c>
      <c r="AX1776" s="148" t="s">
        <v>80</v>
      </c>
      <c r="AY1776" s="150" t="s">
        <v>337</v>
      </c>
    </row>
    <row r="1777" spans="2:51" s="148" customFormat="1" x14ac:dyDescent="0.2">
      <c r="B1777" s="149"/>
      <c r="D1777" s="143" t="s">
        <v>346</v>
      </c>
      <c r="E1777" s="150"/>
      <c r="F1777" s="151" t="s">
        <v>1593</v>
      </c>
      <c r="H1777" s="152">
        <v>27.7</v>
      </c>
      <c r="L1777" s="149"/>
      <c r="M1777" s="153"/>
      <c r="T1777" s="154"/>
      <c r="AT1777" s="150" t="s">
        <v>346</v>
      </c>
      <c r="AU1777" s="150" t="s">
        <v>90</v>
      </c>
      <c r="AV1777" s="148" t="s">
        <v>90</v>
      </c>
      <c r="AW1777" s="148" t="s">
        <v>33</v>
      </c>
      <c r="AX1777" s="148" t="s">
        <v>80</v>
      </c>
      <c r="AY1777" s="150" t="s">
        <v>337</v>
      </c>
    </row>
    <row r="1778" spans="2:51" s="148" customFormat="1" x14ac:dyDescent="0.2">
      <c r="B1778" s="149"/>
      <c r="D1778" s="143" t="s">
        <v>346</v>
      </c>
      <c r="E1778" s="150"/>
      <c r="F1778" s="151" t="s">
        <v>1594</v>
      </c>
      <c r="H1778" s="152">
        <v>-1.6</v>
      </c>
      <c r="L1778" s="149"/>
      <c r="M1778" s="153"/>
      <c r="T1778" s="154"/>
      <c r="AT1778" s="150" t="s">
        <v>346</v>
      </c>
      <c r="AU1778" s="150" t="s">
        <v>90</v>
      </c>
      <c r="AV1778" s="148" t="s">
        <v>90</v>
      </c>
      <c r="AW1778" s="148" t="s">
        <v>33</v>
      </c>
      <c r="AX1778" s="148" t="s">
        <v>80</v>
      </c>
      <c r="AY1778" s="150" t="s">
        <v>337</v>
      </c>
    </row>
    <row r="1779" spans="2:51" s="148" customFormat="1" x14ac:dyDescent="0.2">
      <c r="B1779" s="149"/>
      <c r="D1779" s="143" t="s">
        <v>346</v>
      </c>
      <c r="E1779" s="150"/>
      <c r="F1779" s="151" t="s">
        <v>1595</v>
      </c>
      <c r="H1779" s="152">
        <v>-5.0999999999999996</v>
      </c>
      <c r="L1779" s="149"/>
      <c r="M1779" s="153"/>
      <c r="T1779" s="154"/>
      <c r="AT1779" s="150" t="s">
        <v>346</v>
      </c>
      <c r="AU1779" s="150" t="s">
        <v>90</v>
      </c>
      <c r="AV1779" s="148" t="s">
        <v>90</v>
      </c>
      <c r="AW1779" s="148" t="s">
        <v>33</v>
      </c>
      <c r="AX1779" s="148" t="s">
        <v>80</v>
      </c>
      <c r="AY1779" s="150" t="s">
        <v>337</v>
      </c>
    </row>
    <row r="1780" spans="2:51" s="148" customFormat="1" x14ac:dyDescent="0.2">
      <c r="B1780" s="149"/>
      <c r="D1780" s="143" t="s">
        <v>346</v>
      </c>
      <c r="E1780" s="150"/>
      <c r="F1780" s="151" t="s">
        <v>1596</v>
      </c>
      <c r="H1780" s="152">
        <v>16.2</v>
      </c>
      <c r="L1780" s="149"/>
      <c r="M1780" s="153"/>
      <c r="T1780" s="154"/>
      <c r="AT1780" s="150" t="s">
        <v>346</v>
      </c>
      <c r="AU1780" s="150" t="s">
        <v>90</v>
      </c>
      <c r="AV1780" s="148" t="s">
        <v>90</v>
      </c>
      <c r="AW1780" s="148" t="s">
        <v>33</v>
      </c>
      <c r="AX1780" s="148" t="s">
        <v>80</v>
      </c>
      <c r="AY1780" s="150" t="s">
        <v>337</v>
      </c>
    </row>
    <row r="1781" spans="2:51" s="148" customFormat="1" x14ac:dyDescent="0.2">
      <c r="B1781" s="149"/>
      <c r="D1781" s="143" t="s">
        <v>346</v>
      </c>
      <c r="E1781" s="150"/>
      <c r="F1781" s="151" t="s">
        <v>1597</v>
      </c>
      <c r="H1781" s="152">
        <v>-5.4660000000000002</v>
      </c>
      <c r="L1781" s="149"/>
      <c r="M1781" s="153"/>
      <c r="T1781" s="154"/>
      <c r="AT1781" s="150" t="s">
        <v>346</v>
      </c>
      <c r="AU1781" s="150" t="s">
        <v>90</v>
      </c>
      <c r="AV1781" s="148" t="s">
        <v>90</v>
      </c>
      <c r="AW1781" s="148" t="s">
        <v>33</v>
      </c>
      <c r="AX1781" s="148" t="s">
        <v>80</v>
      </c>
      <c r="AY1781" s="150" t="s">
        <v>337</v>
      </c>
    </row>
    <row r="1782" spans="2:51" s="148" customFormat="1" x14ac:dyDescent="0.2">
      <c r="B1782" s="149"/>
      <c r="D1782" s="143" t="s">
        <v>346</v>
      </c>
      <c r="E1782" s="150"/>
      <c r="F1782" s="151" t="s">
        <v>1598</v>
      </c>
      <c r="H1782" s="152">
        <v>72.900000000000006</v>
      </c>
      <c r="L1782" s="149"/>
      <c r="M1782" s="153"/>
      <c r="T1782" s="154"/>
      <c r="AT1782" s="150" t="s">
        <v>346</v>
      </c>
      <c r="AU1782" s="150" t="s">
        <v>90</v>
      </c>
      <c r="AV1782" s="148" t="s">
        <v>90</v>
      </c>
      <c r="AW1782" s="148" t="s">
        <v>33</v>
      </c>
      <c r="AX1782" s="148" t="s">
        <v>80</v>
      </c>
      <c r="AY1782" s="150" t="s">
        <v>337</v>
      </c>
    </row>
    <row r="1783" spans="2:51" s="148" customFormat="1" x14ac:dyDescent="0.2">
      <c r="B1783" s="149"/>
      <c r="D1783" s="143" t="s">
        <v>346</v>
      </c>
      <c r="E1783" s="150"/>
      <c r="F1783" s="151" t="s">
        <v>1599</v>
      </c>
      <c r="H1783" s="152">
        <v>-5.8</v>
      </c>
      <c r="L1783" s="149"/>
      <c r="M1783" s="153"/>
      <c r="T1783" s="154"/>
      <c r="AT1783" s="150" t="s">
        <v>346</v>
      </c>
      <c r="AU1783" s="150" t="s">
        <v>90</v>
      </c>
      <c r="AV1783" s="148" t="s">
        <v>90</v>
      </c>
      <c r="AW1783" s="148" t="s">
        <v>33</v>
      </c>
      <c r="AX1783" s="148" t="s">
        <v>80</v>
      </c>
      <c r="AY1783" s="150" t="s">
        <v>337</v>
      </c>
    </row>
    <row r="1784" spans="2:51" s="148" customFormat="1" x14ac:dyDescent="0.2">
      <c r="B1784" s="149"/>
      <c r="D1784" s="143" t="s">
        <v>346</v>
      </c>
      <c r="E1784" s="150"/>
      <c r="F1784" s="151" t="s">
        <v>1600</v>
      </c>
      <c r="H1784" s="152">
        <v>20.149999999999999</v>
      </c>
      <c r="L1784" s="149"/>
      <c r="M1784" s="153"/>
      <c r="T1784" s="154"/>
      <c r="AT1784" s="150" t="s">
        <v>346</v>
      </c>
      <c r="AU1784" s="150" t="s">
        <v>90</v>
      </c>
      <c r="AV1784" s="148" t="s">
        <v>90</v>
      </c>
      <c r="AW1784" s="148" t="s">
        <v>33</v>
      </c>
      <c r="AX1784" s="148" t="s">
        <v>80</v>
      </c>
      <c r="AY1784" s="150" t="s">
        <v>337</v>
      </c>
    </row>
    <row r="1785" spans="2:51" s="148" customFormat="1" x14ac:dyDescent="0.2">
      <c r="B1785" s="149"/>
      <c r="D1785" s="143" t="s">
        <v>346</v>
      </c>
      <c r="E1785" s="150"/>
      <c r="F1785" s="151" t="s">
        <v>1601</v>
      </c>
      <c r="H1785" s="152">
        <v>-0.8</v>
      </c>
      <c r="L1785" s="149"/>
      <c r="M1785" s="153"/>
      <c r="T1785" s="154"/>
      <c r="AT1785" s="150" t="s">
        <v>346</v>
      </c>
      <c r="AU1785" s="150" t="s">
        <v>90</v>
      </c>
      <c r="AV1785" s="148" t="s">
        <v>90</v>
      </c>
      <c r="AW1785" s="148" t="s">
        <v>33</v>
      </c>
      <c r="AX1785" s="148" t="s">
        <v>80</v>
      </c>
      <c r="AY1785" s="150" t="s">
        <v>337</v>
      </c>
    </row>
    <row r="1786" spans="2:51" s="148" customFormat="1" x14ac:dyDescent="0.2">
      <c r="B1786" s="149"/>
      <c r="D1786" s="143" t="s">
        <v>346</v>
      </c>
      <c r="E1786" s="150"/>
      <c r="F1786" s="151" t="s">
        <v>1602</v>
      </c>
      <c r="H1786" s="152">
        <v>20.5</v>
      </c>
      <c r="L1786" s="149"/>
      <c r="M1786" s="153"/>
      <c r="T1786" s="154"/>
      <c r="AT1786" s="150" t="s">
        <v>346</v>
      </c>
      <c r="AU1786" s="150" t="s">
        <v>90</v>
      </c>
      <c r="AV1786" s="148" t="s">
        <v>90</v>
      </c>
      <c r="AW1786" s="148" t="s">
        <v>33</v>
      </c>
      <c r="AX1786" s="148" t="s">
        <v>80</v>
      </c>
      <c r="AY1786" s="150" t="s">
        <v>337</v>
      </c>
    </row>
    <row r="1787" spans="2:51" s="148" customFormat="1" x14ac:dyDescent="0.2">
      <c r="B1787" s="149"/>
      <c r="D1787" s="143" t="s">
        <v>346</v>
      </c>
      <c r="E1787" s="150"/>
      <c r="F1787" s="151" t="s">
        <v>1603</v>
      </c>
      <c r="H1787" s="152">
        <v>-4.5</v>
      </c>
      <c r="L1787" s="149"/>
      <c r="M1787" s="153"/>
      <c r="T1787" s="154"/>
      <c r="AT1787" s="150" t="s">
        <v>346</v>
      </c>
      <c r="AU1787" s="150" t="s">
        <v>90</v>
      </c>
      <c r="AV1787" s="148" t="s">
        <v>90</v>
      </c>
      <c r="AW1787" s="148" t="s">
        <v>33</v>
      </c>
      <c r="AX1787" s="148" t="s">
        <v>80</v>
      </c>
      <c r="AY1787" s="150" t="s">
        <v>337</v>
      </c>
    </row>
    <row r="1788" spans="2:51" s="148" customFormat="1" x14ac:dyDescent="0.2">
      <c r="B1788" s="149"/>
      <c r="D1788" s="143" t="s">
        <v>346</v>
      </c>
      <c r="E1788" s="150"/>
      <c r="F1788" s="151" t="s">
        <v>1604</v>
      </c>
      <c r="H1788" s="152">
        <v>-5.7</v>
      </c>
      <c r="L1788" s="149"/>
      <c r="M1788" s="153"/>
      <c r="T1788" s="154"/>
      <c r="AT1788" s="150" t="s">
        <v>346</v>
      </c>
      <c r="AU1788" s="150" t="s">
        <v>90</v>
      </c>
      <c r="AV1788" s="148" t="s">
        <v>90</v>
      </c>
      <c r="AW1788" s="148" t="s">
        <v>33</v>
      </c>
      <c r="AX1788" s="148" t="s">
        <v>80</v>
      </c>
      <c r="AY1788" s="150" t="s">
        <v>337</v>
      </c>
    </row>
    <row r="1789" spans="2:51" s="148" customFormat="1" x14ac:dyDescent="0.2">
      <c r="B1789" s="149"/>
      <c r="D1789" s="143" t="s">
        <v>346</v>
      </c>
      <c r="E1789" s="150"/>
      <c r="F1789" s="151" t="s">
        <v>1605</v>
      </c>
      <c r="H1789" s="152">
        <v>32.21</v>
      </c>
      <c r="L1789" s="149"/>
      <c r="M1789" s="153"/>
      <c r="T1789" s="154"/>
      <c r="AT1789" s="150" t="s">
        <v>346</v>
      </c>
      <c r="AU1789" s="150" t="s">
        <v>90</v>
      </c>
      <c r="AV1789" s="148" t="s">
        <v>90</v>
      </c>
      <c r="AW1789" s="148" t="s">
        <v>33</v>
      </c>
      <c r="AX1789" s="148" t="s">
        <v>80</v>
      </c>
      <c r="AY1789" s="150" t="s">
        <v>337</v>
      </c>
    </row>
    <row r="1790" spans="2:51" s="148" customFormat="1" x14ac:dyDescent="0.2">
      <c r="B1790" s="149"/>
      <c r="D1790" s="143" t="s">
        <v>346</v>
      </c>
      <c r="E1790" s="150"/>
      <c r="F1790" s="151" t="s">
        <v>1606</v>
      </c>
      <c r="H1790" s="152">
        <v>-1.4</v>
      </c>
      <c r="L1790" s="149"/>
      <c r="M1790" s="153"/>
      <c r="T1790" s="154"/>
      <c r="AT1790" s="150" t="s">
        <v>346</v>
      </c>
      <c r="AU1790" s="150" t="s">
        <v>90</v>
      </c>
      <c r="AV1790" s="148" t="s">
        <v>90</v>
      </c>
      <c r="AW1790" s="148" t="s">
        <v>33</v>
      </c>
      <c r="AX1790" s="148" t="s">
        <v>80</v>
      </c>
      <c r="AY1790" s="150" t="s">
        <v>337</v>
      </c>
    </row>
    <row r="1791" spans="2:51" s="148" customFormat="1" x14ac:dyDescent="0.2">
      <c r="B1791" s="149"/>
      <c r="D1791" s="143" t="s">
        <v>346</v>
      </c>
      <c r="E1791" s="150"/>
      <c r="F1791" s="151" t="s">
        <v>1607</v>
      </c>
      <c r="H1791" s="152">
        <v>19.61</v>
      </c>
      <c r="L1791" s="149"/>
      <c r="M1791" s="153"/>
      <c r="T1791" s="154"/>
      <c r="AT1791" s="150" t="s">
        <v>346</v>
      </c>
      <c r="AU1791" s="150" t="s">
        <v>90</v>
      </c>
      <c r="AV1791" s="148" t="s">
        <v>90</v>
      </c>
      <c r="AW1791" s="148" t="s">
        <v>33</v>
      </c>
      <c r="AX1791" s="148" t="s">
        <v>80</v>
      </c>
      <c r="AY1791" s="150" t="s">
        <v>337</v>
      </c>
    </row>
    <row r="1792" spans="2:51" s="148" customFormat="1" x14ac:dyDescent="0.2">
      <c r="B1792" s="149"/>
      <c r="D1792" s="143" t="s">
        <v>346</v>
      </c>
      <c r="E1792" s="150"/>
      <c r="F1792" s="151" t="s">
        <v>1606</v>
      </c>
      <c r="H1792" s="152">
        <v>-1.4</v>
      </c>
      <c r="L1792" s="149"/>
      <c r="M1792" s="153"/>
      <c r="T1792" s="154"/>
      <c r="AT1792" s="150" t="s">
        <v>346</v>
      </c>
      <c r="AU1792" s="150" t="s">
        <v>90</v>
      </c>
      <c r="AV1792" s="148" t="s">
        <v>90</v>
      </c>
      <c r="AW1792" s="148" t="s">
        <v>33</v>
      </c>
      <c r="AX1792" s="148" t="s">
        <v>80</v>
      </c>
      <c r="AY1792" s="150" t="s">
        <v>337</v>
      </c>
    </row>
    <row r="1793" spans="2:51" s="148" customFormat="1" x14ac:dyDescent="0.2">
      <c r="B1793" s="149"/>
      <c r="D1793" s="143" t="s">
        <v>346</v>
      </c>
      <c r="E1793" s="150"/>
      <c r="F1793" s="151" t="s">
        <v>1608</v>
      </c>
      <c r="H1793" s="152">
        <v>-6</v>
      </c>
      <c r="L1793" s="149"/>
      <c r="M1793" s="153"/>
      <c r="T1793" s="154"/>
      <c r="AT1793" s="150" t="s">
        <v>346</v>
      </c>
      <c r="AU1793" s="150" t="s">
        <v>90</v>
      </c>
      <c r="AV1793" s="148" t="s">
        <v>90</v>
      </c>
      <c r="AW1793" s="148" t="s">
        <v>33</v>
      </c>
      <c r="AX1793" s="148" t="s">
        <v>80</v>
      </c>
      <c r="AY1793" s="150" t="s">
        <v>337</v>
      </c>
    </row>
    <row r="1794" spans="2:51" s="148" customFormat="1" x14ac:dyDescent="0.2">
      <c r="B1794" s="149"/>
      <c r="D1794" s="143" t="s">
        <v>346</v>
      </c>
      <c r="E1794" s="150"/>
      <c r="F1794" s="151" t="s">
        <v>1609</v>
      </c>
      <c r="H1794" s="152">
        <v>25.975000000000001</v>
      </c>
      <c r="L1794" s="149"/>
      <c r="M1794" s="153"/>
      <c r="T1794" s="154"/>
      <c r="AT1794" s="150" t="s">
        <v>346</v>
      </c>
      <c r="AU1794" s="150" t="s">
        <v>90</v>
      </c>
      <c r="AV1794" s="148" t="s">
        <v>90</v>
      </c>
      <c r="AW1794" s="148" t="s">
        <v>33</v>
      </c>
      <c r="AX1794" s="148" t="s">
        <v>80</v>
      </c>
      <c r="AY1794" s="150" t="s">
        <v>337</v>
      </c>
    </row>
    <row r="1795" spans="2:51" s="148" customFormat="1" x14ac:dyDescent="0.2">
      <c r="B1795" s="149"/>
      <c r="D1795" s="143" t="s">
        <v>346</v>
      </c>
      <c r="E1795" s="150"/>
      <c r="F1795" s="151" t="s">
        <v>1610</v>
      </c>
      <c r="H1795" s="152">
        <v>-2.6</v>
      </c>
      <c r="L1795" s="149"/>
      <c r="M1795" s="153"/>
      <c r="T1795" s="154"/>
      <c r="AT1795" s="150" t="s">
        <v>346</v>
      </c>
      <c r="AU1795" s="150" t="s">
        <v>90</v>
      </c>
      <c r="AV1795" s="148" t="s">
        <v>90</v>
      </c>
      <c r="AW1795" s="148" t="s">
        <v>33</v>
      </c>
      <c r="AX1795" s="148" t="s">
        <v>80</v>
      </c>
      <c r="AY1795" s="150" t="s">
        <v>337</v>
      </c>
    </row>
    <row r="1796" spans="2:51" s="148" customFormat="1" x14ac:dyDescent="0.2">
      <c r="B1796" s="149"/>
      <c r="D1796" s="143" t="s">
        <v>346</v>
      </c>
      <c r="E1796" s="150"/>
      <c r="F1796" s="151" t="s">
        <v>1604</v>
      </c>
      <c r="H1796" s="152">
        <v>-5.7</v>
      </c>
      <c r="L1796" s="149"/>
      <c r="M1796" s="153"/>
      <c r="T1796" s="154"/>
      <c r="AT1796" s="150" t="s">
        <v>346</v>
      </c>
      <c r="AU1796" s="150" t="s">
        <v>90</v>
      </c>
      <c r="AV1796" s="148" t="s">
        <v>90</v>
      </c>
      <c r="AW1796" s="148" t="s">
        <v>33</v>
      </c>
      <c r="AX1796" s="148" t="s">
        <v>80</v>
      </c>
      <c r="AY1796" s="150" t="s">
        <v>337</v>
      </c>
    </row>
    <row r="1797" spans="2:51" s="148" customFormat="1" x14ac:dyDescent="0.2">
      <c r="B1797" s="149"/>
      <c r="D1797" s="143" t="s">
        <v>346</v>
      </c>
      <c r="E1797" s="150"/>
      <c r="F1797" s="151" t="s">
        <v>1611</v>
      </c>
      <c r="H1797" s="152">
        <v>15.4</v>
      </c>
      <c r="L1797" s="149"/>
      <c r="M1797" s="153"/>
      <c r="T1797" s="154"/>
      <c r="AT1797" s="150" t="s">
        <v>346</v>
      </c>
      <c r="AU1797" s="150" t="s">
        <v>90</v>
      </c>
      <c r="AV1797" s="148" t="s">
        <v>90</v>
      </c>
      <c r="AW1797" s="148" t="s">
        <v>33</v>
      </c>
      <c r="AX1797" s="148" t="s">
        <v>80</v>
      </c>
      <c r="AY1797" s="150" t="s">
        <v>337</v>
      </c>
    </row>
    <row r="1798" spans="2:51" s="148" customFormat="1" x14ac:dyDescent="0.2">
      <c r="B1798" s="149"/>
      <c r="D1798" s="143" t="s">
        <v>346</v>
      </c>
      <c r="E1798" s="150"/>
      <c r="F1798" s="151" t="s">
        <v>1612</v>
      </c>
      <c r="H1798" s="152">
        <v>-4.5999999999999996</v>
      </c>
      <c r="L1798" s="149"/>
      <c r="M1798" s="153"/>
      <c r="T1798" s="154"/>
      <c r="AT1798" s="150" t="s">
        <v>346</v>
      </c>
      <c r="AU1798" s="150" t="s">
        <v>90</v>
      </c>
      <c r="AV1798" s="148" t="s">
        <v>90</v>
      </c>
      <c r="AW1798" s="148" t="s">
        <v>33</v>
      </c>
      <c r="AX1798" s="148" t="s">
        <v>80</v>
      </c>
      <c r="AY1798" s="150" t="s">
        <v>337</v>
      </c>
    </row>
    <row r="1799" spans="2:51" s="148" customFormat="1" x14ac:dyDescent="0.2">
      <c r="B1799" s="149"/>
      <c r="D1799" s="143" t="s">
        <v>346</v>
      </c>
      <c r="E1799" s="150"/>
      <c r="F1799" s="151" t="s">
        <v>1613</v>
      </c>
      <c r="H1799" s="152">
        <v>72.381</v>
      </c>
      <c r="L1799" s="149"/>
      <c r="M1799" s="153"/>
      <c r="T1799" s="154"/>
      <c r="AT1799" s="150" t="s">
        <v>346</v>
      </c>
      <c r="AU1799" s="150" t="s">
        <v>90</v>
      </c>
      <c r="AV1799" s="148" t="s">
        <v>90</v>
      </c>
      <c r="AW1799" s="148" t="s">
        <v>33</v>
      </c>
      <c r="AX1799" s="148" t="s">
        <v>80</v>
      </c>
      <c r="AY1799" s="150" t="s">
        <v>337</v>
      </c>
    </row>
    <row r="1800" spans="2:51" s="148" customFormat="1" x14ac:dyDescent="0.2">
      <c r="B1800" s="149"/>
      <c r="D1800" s="143" t="s">
        <v>346</v>
      </c>
      <c r="E1800" s="150"/>
      <c r="F1800" s="151" t="s">
        <v>1614</v>
      </c>
      <c r="H1800" s="152">
        <v>-6.6</v>
      </c>
      <c r="L1800" s="149"/>
      <c r="M1800" s="153"/>
      <c r="T1800" s="154"/>
      <c r="AT1800" s="150" t="s">
        <v>346</v>
      </c>
      <c r="AU1800" s="150" t="s">
        <v>90</v>
      </c>
      <c r="AV1800" s="148" t="s">
        <v>90</v>
      </c>
      <c r="AW1800" s="148" t="s">
        <v>33</v>
      </c>
      <c r="AX1800" s="148" t="s">
        <v>80</v>
      </c>
      <c r="AY1800" s="150" t="s">
        <v>337</v>
      </c>
    </row>
    <row r="1801" spans="2:51" s="148" customFormat="1" x14ac:dyDescent="0.2">
      <c r="B1801" s="149"/>
      <c r="D1801" s="143" t="s">
        <v>346</v>
      </c>
      <c r="E1801" s="150"/>
      <c r="F1801" s="151" t="s">
        <v>1615</v>
      </c>
      <c r="H1801" s="152">
        <v>20.149999999999999</v>
      </c>
      <c r="L1801" s="149"/>
      <c r="M1801" s="153"/>
      <c r="T1801" s="154"/>
      <c r="AT1801" s="150" t="s">
        <v>346</v>
      </c>
      <c r="AU1801" s="150" t="s">
        <v>90</v>
      </c>
      <c r="AV1801" s="148" t="s">
        <v>90</v>
      </c>
      <c r="AW1801" s="148" t="s">
        <v>33</v>
      </c>
      <c r="AX1801" s="148" t="s">
        <v>80</v>
      </c>
      <c r="AY1801" s="150" t="s">
        <v>337</v>
      </c>
    </row>
    <row r="1802" spans="2:51" s="148" customFormat="1" x14ac:dyDescent="0.2">
      <c r="B1802" s="149"/>
      <c r="D1802" s="143" t="s">
        <v>346</v>
      </c>
      <c r="E1802" s="150"/>
      <c r="F1802" s="151" t="s">
        <v>1601</v>
      </c>
      <c r="H1802" s="152">
        <v>-0.8</v>
      </c>
      <c r="L1802" s="149"/>
      <c r="M1802" s="153"/>
      <c r="T1802" s="154"/>
      <c r="AT1802" s="150" t="s">
        <v>346</v>
      </c>
      <c r="AU1802" s="150" t="s">
        <v>90</v>
      </c>
      <c r="AV1802" s="148" t="s">
        <v>90</v>
      </c>
      <c r="AW1802" s="148" t="s">
        <v>33</v>
      </c>
      <c r="AX1802" s="148" t="s">
        <v>80</v>
      </c>
      <c r="AY1802" s="150" t="s">
        <v>337</v>
      </c>
    </row>
    <row r="1803" spans="2:51" s="148" customFormat="1" x14ac:dyDescent="0.2">
      <c r="B1803" s="149"/>
      <c r="D1803" s="143" t="s">
        <v>346</v>
      </c>
      <c r="E1803" s="150"/>
      <c r="F1803" s="151" t="s">
        <v>1616</v>
      </c>
      <c r="H1803" s="152">
        <v>15.66</v>
      </c>
      <c r="L1803" s="149"/>
      <c r="M1803" s="153"/>
      <c r="T1803" s="154"/>
      <c r="AT1803" s="150" t="s">
        <v>346</v>
      </c>
      <c r="AU1803" s="150" t="s">
        <v>90</v>
      </c>
      <c r="AV1803" s="148" t="s">
        <v>90</v>
      </c>
      <c r="AW1803" s="148" t="s">
        <v>33</v>
      </c>
      <c r="AX1803" s="148" t="s">
        <v>80</v>
      </c>
      <c r="AY1803" s="150" t="s">
        <v>337</v>
      </c>
    </row>
    <row r="1804" spans="2:51" s="148" customFormat="1" x14ac:dyDescent="0.2">
      <c r="B1804" s="149"/>
      <c r="D1804" s="143" t="s">
        <v>346</v>
      </c>
      <c r="E1804" s="150"/>
      <c r="F1804" s="151" t="s">
        <v>1617</v>
      </c>
      <c r="H1804" s="152">
        <v>-5</v>
      </c>
      <c r="L1804" s="149"/>
      <c r="M1804" s="153"/>
      <c r="T1804" s="154"/>
      <c r="AT1804" s="150" t="s">
        <v>346</v>
      </c>
      <c r="AU1804" s="150" t="s">
        <v>90</v>
      </c>
      <c r="AV1804" s="148" t="s">
        <v>90</v>
      </c>
      <c r="AW1804" s="148" t="s">
        <v>33</v>
      </c>
      <c r="AX1804" s="148" t="s">
        <v>80</v>
      </c>
      <c r="AY1804" s="150" t="s">
        <v>337</v>
      </c>
    </row>
    <row r="1805" spans="2:51" s="148" customFormat="1" x14ac:dyDescent="0.2">
      <c r="B1805" s="149"/>
      <c r="D1805" s="143" t="s">
        <v>346</v>
      </c>
      <c r="E1805" s="150"/>
      <c r="F1805" s="151" t="s">
        <v>1618</v>
      </c>
      <c r="H1805" s="152">
        <v>19.41</v>
      </c>
      <c r="L1805" s="149"/>
      <c r="M1805" s="153"/>
      <c r="T1805" s="154"/>
      <c r="AT1805" s="150" t="s">
        <v>346</v>
      </c>
      <c r="AU1805" s="150" t="s">
        <v>90</v>
      </c>
      <c r="AV1805" s="148" t="s">
        <v>90</v>
      </c>
      <c r="AW1805" s="148" t="s">
        <v>33</v>
      </c>
      <c r="AX1805" s="148" t="s">
        <v>80</v>
      </c>
      <c r="AY1805" s="150" t="s">
        <v>337</v>
      </c>
    </row>
    <row r="1806" spans="2:51" s="148" customFormat="1" x14ac:dyDescent="0.2">
      <c r="B1806" s="149"/>
      <c r="D1806" s="143" t="s">
        <v>346</v>
      </c>
      <c r="E1806" s="150"/>
      <c r="F1806" s="151" t="s">
        <v>1606</v>
      </c>
      <c r="H1806" s="152">
        <v>-1.4</v>
      </c>
      <c r="L1806" s="149"/>
      <c r="M1806" s="153"/>
      <c r="T1806" s="154"/>
      <c r="AT1806" s="150" t="s">
        <v>346</v>
      </c>
      <c r="AU1806" s="150" t="s">
        <v>90</v>
      </c>
      <c r="AV1806" s="148" t="s">
        <v>90</v>
      </c>
      <c r="AW1806" s="148" t="s">
        <v>33</v>
      </c>
      <c r="AX1806" s="148" t="s">
        <v>80</v>
      </c>
      <c r="AY1806" s="150" t="s">
        <v>337</v>
      </c>
    </row>
    <row r="1807" spans="2:51" s="148" customFormat="1" x14ac:dyDescent="0.2">
      <c r="B1807" s="149"/>
      <c r="D1807" s="143" t="s">
        <v>346</v>
      </c>
      <c r="E1807" s="150"/>
      <c r="F1807" s="151" t="s">
        <v>1608</v>
      </c>
      <c r="H1807" s="152">
        <v>-6</v>
      </c>
      <c r="L1807" s="149"/>
      <c r="M1807" s="153"/>
      <c r="T1807" s="154"/>
      <c r="AT1807" s="150" t="s">
        <v>346</v>
      </c>
      <c r="AU1807" s="150" t="s">
        <v>90</v>
      </c>
      <c r="AV1807" s="148" t="s">
        <v>90</v>
      </c>
      <c r="AW1807" s="148" t="s">
        <v>33</v>
      </c>
      <c r="AX1807" s="148" t="s">
        <v>80</v>
      </c>
      <c r="AY1807" s="150" t="s">
        <v>337</v>
      </c>
    </row>
    <row r="1808" spans="2:51" s="148" customFormat="1" x14ac:dyDescent="0.2">
      <c r="B1808" s="149"/>
      <c r="D1808" s="143" t="s">
        <v>346</v>
      </c>
      <c r="E1808" s="150"/>
      <c r="F1808" s="151" t="s">
        <v>1619</v>
      </c>
      <c r="H1808" s="152">
        <v>25.975000000000001</v>
      </c>
      <c r="L1808" s="149"/>
      <c r="M1808" s="153"/>
      <c r="T1808" s="154"/>
      <c r="AT1808" s="150" t="s">
        <v>346</v>
      </c>
      <c r="AU1808" s="150" t="s">
        <v>90</v>
      </c>
      <c r="AV1808" s="148" t="s">
        <v>90</v>
      </c>
      <c r="AW1808" s="148" t="s">
        <v>33</v>
      </c>
      <c r="AX1808" s="148" t="s">
        <v>80</v>
      </c>
      <c r="AY1808" s="150" t="s">
        <v>337</v>
      </c>
    </row>
    <row r="1809" spans="2:51" s="148" customFormat="1" x14ac:dyDescent="0.2">
      <c r="B1809" s="149"/>
      <c r="D1809" s="143" t="s">
        <v>346</v>
      </c>
      <c r="E1809" s="150"/>
      <c r="F1809" s="151" t="s">
        <v>1620</v>
      </c>
      <c r="H1809" s="152">
        <v>1</v>
      </c>
      <c r="L1809" s="149"/>
      <c r="M1809" s="153"/>
      <c r="T1809" s="154"/>
      <c r="AT1809" s="150" t="s">
        <v>346</v>
      </c>
      <c r="AU1809" s="150" t="s">
        <v>90</v>
      </c>
      <c r="AV1809" s="148" t="s">
        <v>90</v>
      </c>
      <c r="AW1809" s="148" t="s">
        <v>33</v>
      </c>
      <c r="AX1809" s="148" t="s">
        <v>80</v>
      </c>
      <c r="AY1809" s="150" t="s">
        <v>337</v>
      </c>
    </row>
    <row r="1810" spans="2:51" s="148" customFormat="1" x14ac:dyDescent="0.2">
      <c r="B1810" s="149"/>
      <c r="D1810" s="143" t="s">
        <v>346</v>
      </c>
      <c r="E1810" s="150"/>
      <c r="F1810" s="151" t="s">
        <v>1604</v>
      </c>
      <c r="H1810" s="152">
        <v>-5.7</v>
      </c>
      <c r="L1810" s="149"/>
      <c r="M1810" s="153"/>
      <c r="T1810" s="154"/>
      <c r="AT1810" s="150" t="s">
        <v>346</v>
      </c>
      <c r="AU1810" s="150" t="s">
        <v>90</v>
      </c>
      <c r="AV1810" s="148" t="s">
        <v>90</v>
      </c>
      <c r="AW1810" s="148" t="s">
        <v>33</v>
      </c>
      <c r="AX1810" s="148" t="s">
        <v>80</v>
      </c>
      <c r="AY1810" s="150" t="s">
        <v>337</v>
      </c>
    </row>
    <row r="1811" spans="2:51" s="148" customFormat="1" x14ac:dyDescent="0.2">
      <c r="B1811" s="149"/>
      <c r="D1811" s="143" t="s">
        <v>346</v>
      </c>
      <c r="E1811" s="150"/>
      <c r="F1811" s="151" t="s">
        <v>1621</v>
      </c>
      <c r="H1811" s="152">
        <v>15.4</v>
      </c>
      <c r="L1811" s="149"/>
      <c r="M1811" s="153"/>
      <c r="T1811" s="154"/>
      <c r="AT1811" s="150" t="s">
        <v>346</v>
      </c>
      <c r="AU1811" s="150" t="s">
        <v>90</v>
      </c>
      <c r="AV1811" s="148" t="s">
        <v>90</v>
      </c>
      <c r="AW1811" s="148" t="s">
        <v>33</v>
      </c>
      <c r="AX1811" s="148" t="s">
        <v>80</v>
      </c>
      <c r="AY1811" s="150" t="s">
        <v>337</v>
      </c>
    </row>
    <row r="1812" spans="2:51" s="148" customFormat="1" x14ac:dyDescent="0.2">
      <c r="B1812" s="149"/>
      <c r="D1812" s="143" t="s">
        <v>346</v>
      </c>
      <c r="E1812" s="150"/>
      <c r="F1812" s="151" t="s">
        <v>1612</v>
      </c>
      <c r="H1812" s="152">
        <v>-4.5999999999999996</v>
      </c>
      <c r="L1812" s="149"/>
      <c r="M1812" s="153"/>
      <c r="T1812" s="154"/>
      <c r="AT1812" s="150" t="s">
        <v>346</v>
      </c>
      <c r="AU1812" s="150" t="s">
        <v>90</v>
      </c>
      <c r="AV1812" s="148" t="s">
        <v>90</v>
      </c>
      <c r="AW1812" s="148" t="s">
        <v>33</v>
      </c>
      <c r="AX1812" s="148" t="s">
        <v>80</v>
      </c>
      <c r="AY1812" s="150" t="s">
        <v>337</v>
      </c>
    </row>
    <row r="1813" spans="2:51" s="148" customFormat="1" x14ac:dyDescent="0.2">
      <c r="B1813" s="149"/>
      <c r="D1813" s="143" t="s">
        <v>346</v>
      </c>
      <c r="E1813" s="150"/>
      <c r="F1813" s="151" t="s">
        <v>1622</v>
      </c>
      <c r="H1813" s="152">
        <v>72.381</v>
      </c>
      <c r="L1813" s="149"/>
      <c r="M1813" s="153"/>
      <c r="T1813" s="154"/>
      <c r="AT1813" s="150" t="s">
        <v>346</v>
      </c>
      <c r="AU1813" s="150" t="s">
        <v>90</v>
      </c>
      <c r="AV1813" s="148" t="s">
        <v>90</v>
      </c>
      <c r="AW1813" s="148" t="s">
        <v>33</v>
      </c>
      <c r="AX1813" s="148" t="s">
        <v>80</v>
      </c>
      <c r="AY1813" s="150" t="s">
        <v>337</v>
      </c>
    </row>
    <row r="1814" spans="2:51" s="148" customFormat="1" x14ac:dyDescent="0.2">
      <c r="B1814" s="149"/>
      <c r="D1814" s="143" t="s">
        <v>346</v>
      </c>
      <c r="E1814" s="150"/>
      <c r="F1814" s="151" t="s">
        <v>1614</v>
      </c>
      <c r="H1814" s="152">
        <v>-6.6</v>
      </c>
      <c r="L1814" s="149"/>
      <c r="M1814" s="153"/>
      <c r="T1814" s="154"/>
      <c r="AT1814" s="150" t="s">
        <v>346</v>
      </c>
      <c r="AU1814" s="150" t="s">
        <v>90</v>
      </c>
      <c r="AV1814" s="148" t="s">
        <v>90</v>
      </c>
      <c r="AW1814" s="148" t="s">
        <v>33</v>
      </c>
      <c r="AX1814" s="148" t="s">
        <v>80</v>
      </c>
      <c r="AY1814" s="150" t="s">
        <v>337</v>
      </c>
    </row>
    <row r="1815" spans="2:51" s="148" customFormat="1" x14ac:dyDescent="0.2">
      <c r="B1815" s="149"/>
      <c r="D1815" s="143" t="s">
        <v>346</v>
      </c>
      <c r="E1815" s="150"/>
      <c r="F1815" s="151" t="s">
        <v>1623</v>
      </c>
      <c r="H1815" s="152">
        <v>20.149999999999999</v>
      </c>
      <c r="L1815" s="149"/>
      <c r="M1815" s="153"/>
      <c r="T1815" s="154"/>
      <c r="AT1815" s="150" t="s">
        <v>346</v>
      </c>
      <c r="AU1815" s="150" t="s">
        <v>90</v>
      </c>
      <c r="AV1815" s="148" t="s">
        <v>90</v>
      </c>
      <c r="AW1815" s="148" t="s">
        <v>33</v>
      </c>
      <c r="AX1815" s="148" t="s">
        <v>80</v>
      </c>
      <c r="AY1815" s="150" t="s">
        <v>337</v>
      </c>
    </row>
    <row r="1816" spans="2:51" s="148" customFormat="1" x14ac:dyDescent="0.2">
      <c r="B1816" s="149"/>
      <c r="D1816" s="143" t="s">
        <v>346</v>
      </c>
      <c r="E1816" s="150"/>
      <c r="F1816" s="151" t="s">
        <v>1601</v>
      </c>
      <c r="H1816" s="152">
        <v>-0.8</v>
      </c>
      <c r="L1816" s="149"/>
      <c r="M1816" s="153"/>
      <c r="T1816" s="154"/>
      <c r="AT1816" s="150" t="s">
        <v>346</v>
      </c>
      <c r="AU1816" s="150" t="s">
        <v>90</v>
      </c>
      <c r="AV1816" s="148" t="s">
        <v>90</v>
      </c>
      <c r="AW1816" s="148" t="s">
        <v>33</v>
      </c>
      <c r="AX1816" s="148" t="s">
        <v>80</v>
      </c>
      <c r="AY1816" s="150" t="s">
        <v>337</v>
      </c>
    </row>
    <row r="1817" spans="2:51" s="148" customFormat="1" x14ac:dyDescent="0.2">
      <c r="B1817" s="149"/>
      <c r="D1817" s="143" t="s">
        <v>346</v>
      </c>
      <c r="E1817" s="150"/>
      <c r="F1817" s="151" t="s">
        <v>1624</v>
      </c>
      <c r="H1817" s="152">
        <v>23.85</v>
      </c>
      <c r="L1817" s="149"/>
      <c r="M1817" s="153"/>
      <c r="T1817" s="154"/>
      <c r="AT1817" s="150" t="s">
        <v>346</v>
      </c>
      <c r="AU1817" s="150" t="s">
        <v>90</v>
      </c>
      <c r="AV1817" s="148" t="s">
        <v>90</v>
      </c>
      <c r="AW1817" s="148" t="s">
        <v>33</v>
      </c>
      <c r="AX1817" s="148" t="s">
        <v>80</v>
      </c>
      <c r="AY1817" s="150" t="s">
        <v>337</v>
      </c>
    </row>
    <row r="1818" spans="2:51" s="148" customFormat="1" x14ac:dyDescent="0.2">
      <c r="B1818" s="149"/>
      <c r="D1818" s="143" t="s">
        <v>346</v>
      </c>
      <c r="E1818" s="150"/>
      <c r="F1818" s="151" t="s">
        <v>1625</v>
      </c>
      <c r="H1818" s="152">
        <v>-3.9</v>
      </c>
      <c r="L1818" s="149"/>
      <c r="M1818" s="153"/>
      <c r="T1818" s="154"/>
      <c r="AT1818" s="150" t="s">
        <v>346</v>
      </c>
      <c r="AU1818" s="150" t="s">
        <v>90</v>
      </c>
      <c r="AV1818" s="148" t="s">
        <v>90</v>
      </c>
      <c r="AW1818" s="148" t="s">
        <v>33</v>
      </c>
      <c r="AX1818" s="148" t="s">
        <v>80</v>
      </c>
      <c r="AY1818" s="150" t="s">
        <v>337</v>
      </c>
    </row>
    <row r="1819" spans="2:51" s="148" customFormat="1" x14ac:dyDescent="0.2">
      <c r="B1819" s="149"/>
      <c r="D1819" s="143" t="s">
        <v>346</v>
      </c>
      <c r="E1819" s="150"/>
      <c r="F1819" s="151" t="s">
        <v>1608</v>
      </c>
      <c r="H1819" s="152">
        <v>-6</v>
      </c>
      <c r="L1819" s="149"/>
      <c r="M1819" s="153"/>
      <c r="T1819" s="154"/>
      <c r="AT1819" s="150" t="s">
        <v>346</v>
      </c>
      <c r="AU1819" s="150" t="s">
        <v>90</v>
      </c>
      <c r="AV1819" s="148" t="s">
        <v>90</v>
      </c>
      <c r="AW1819" s="148" t="s">
        <v>33</v>
      </c>
      <c r="AX1819" s="148" t="s">
        <v>80</v>
      </c>
      <c r="AY1819" s="150" t="s">
        <v>337</v>
      </c>
    </row>
    <row r="1820" spans="2:51" s="148" customFormat="1" x14ac:dyDescent="0.2">
      <c r="B1820" s="149"/>
      <c r="D1820" s="143" t="s">
        <v>346</v>
      </c>
      <c r="E1820" s="150"/>
      <c r="F1820" s="151" t="s">
        <v>1626</v>
      </c>
      <c r="H1820" s="152">
        <v>9.75</v>
      </c>
      <c r="L1820" s="149"/>
      <c r="M1820" s="153"/>
      <c r="T1820" s="154"/>
      <c r="AT1820" s="150" t="s">
        <v>346</v>
      </c>
      <c r="AU1820" s="150" t="s">
        <v>90</v>
      </c>
      <c r="AV1820" s="148" t="s">
        <v>90</v>
      </c>
      <c r="AW1820" s="148" t="s">
        <v>33</v>
      </c>
      <c r="AX1820" s="148" t="s">
        <v>80</v>
      </c>
      <c r="AY1820" s="150" t="s">
        <v>337</v>
      </c>
    </row>
    <row r="1821" spans="2:51" s="148" customFormat="1" x14ac:dyDescent="0.2">
      <c r="B1821" s="149"/>
      <c r="D1821" s="143" t="s">
        <v>346</v>
      </c>
      <c r="E1821" s="150"/>
      <c r="F1821" s="151" t="s">
        <v>1601</v>
      </c>
      <c r="H1821" s="152">
        <v>-0.8</v>
      </c>
      <c r="L1821" s="149"/>
      <c r="M1821" s="153"/>
      <c r="T1821" s="154"/>
      <c r="AT1821" s="150" t="s">
        <v>346</v>
      </c>
      <c r="AU1821" s="150" t="s">
        <v>90</v>
      </c>
      <c r="AV1821" s="148" t="s">
        <v>90</v>
      </c>
      <c r="AW1821" s="148" t="s">
        <v>33</v>
      </c>
      <c r="AX1821" s="148" t="s">
        <v>80</v>
      </c>
      <c r="AY1821" s="150" t="s">
        <v>337</v>
      </c>
    </row>
    <row r="1822" spans="2:51" s="148" customFormat="1" x14ac:dyDescent="0.2">
      <c r="B1822" s="149"/>
      <c r="D1822" s="143" t="s">
        <v>346</v>
      </c>
      <c r="E1822" s="150"/>
      <c r="F1822" s="151" t="s">
        <v>1627</v>
      </c>
      <c r="H1822" s="152">
        <v>26.2</v>
      </c>
      <c r="L1822" s="149"/>
      <c r="M1822" s="153"/>
      <c r="T1822" s="154"/>
      <c r="AT1822" s="150" t="s">
        <v>346</v>
      </c>
      <c r="AU1822" s="150" t="s">
        <v>90</v>
      </c>
      <c r="AV1822" s="148" t="s">
        <v>90</v>
      </c>
      <c r="AW1822" s="148" t="s">
        <v>33</v>
      </c>
      <c r="AX1822" s="148" t="s">
        <v>80</v>
      </c>
      <c r="AY1822" s="150" t="s">
        <v>337</v>
      </c>
    </row>
    <row r="1823" spans="2:51" s="148" customFormat="1" x14ac:dyDescent="0.2">
      <c r="B1823" s="149"/>
      <c r="D1823" s="143" t="s">
        <v>346</v>
      </c>
      <c r="E1823" s="150"/>
      <c r="F1823" s="151" t="s">
        <v>1610</v>
      </c>
      <c r="H1823" s="152">
        <v>-2.6</v>
      </c>
      <c r="L1823" s="149"/>
      <c r="M1823" s="153"/>
      <c r="T1823" s="154"/>
      <c r="AT1823" s="150" t="s">
        <v>346</v>
      </c>
      <c r="AU1823" s="150" t="s">
        <v>90</v>
      </c>
      <c r="AV1823" s="148" t="s">
        <v>90</v>
      </c>
      <c r="AW1823" s="148" t="s">
        <v>33</v>
      </c>
      <c r="AX1823" s="148" t="s">
        <v>80</v>
      </c>
      <c r="AY1823" s="150" t="s">
        <v>337</v>
      </c>
    </row>
    <row r="1824" spans="2:51" s="148" customFormat="1" x14ac:dyDescent="0.2">
      <c r="B1824" s="149"/>
      <c r="D1824" s="143" t="s">
        <v>346</v>
      </c>
      <c r="E1824" s="150"/>
      <c r="F1824" s="151" t="s">
        <v>1604</v>
      </c>
      <c r="H1824" s="152">
        <v>-5.7</v>
      </c>
      <c r="L1824" s="149"/>
      <c r="M1824" s="153"/>
      <c r="T1824" s="154"/>
      <c r="AT1824" s="150" t="s">
        <v>346</v>
      </c>
      <c r="AU1824" s="150" t="s">
        <v>90</v>
      </c>
      <c r="AV1824" s="148" t="s">
        <v>90</v>
      </c>
      <c r="AW1824" s="148" t="s">
        <v>33</v>
      </c>
      <c r="AX1824" s="148" t="s">
        <v>80</v>
      </c>
      <c r="AY1824" s="150" t="s">
        <v>337</v>
      </c>
    </row>
    <row r="1825" spans="2:51" s="148" customFormat="1" x14ac:dyDescent="0.2">
      <c r="B1825" s="149"/>
      <c r="D1825" s="143" t="s">
        <v>346</v>
      </c>
      <c r="E1825" s="150"/>
      <c r="F1825" s="151" t="s">
        <v>1628</v>
      </c>
      <c r="H1825" s="152">
        <v>15.4</v>
      </c>
      <c r="L1825" s="149"/>
      <c r="M1825" s="153"/>
      <c r="T1825" s="154"/>
      <c r="AT1825" s="150" t="s">
        <v>346</v>
      </c>
      <c r="AU1825" s="150" t="s">
        <v>90</v>
      </c>
      <c r="AV1825" s="148" t="s">
        <v>90</v>
      </c>
      <c r="AW1825" s="148" t="s">
        <v>33</v>
      </c>
      <c r="AX1825" s="148" t="s">
        <v>80</v>
      </c>
      <c r="AY1825" s="150" t="s">
        <v>337</v>
      </c>
    </row>
    <row r="1826" spans="2:51" s="148" customFormat="1" x14ac:dyDescent="0.2">
      <c r="B1826" s="149"/>
      <c r="D1826" s="143" t="s">
        <v>346</v>
      </c>
      <c r="E1826" s="150"/>
      <c r="F1826" s="151" t="s">
        <v>1612</v>
      </c>
      <c r="H1826" s="152">
        <v>-4.5999999999999996</v>
      </c>
      <c r="L1826" s="149"/>
      <c r="M1826" s="153"/>
      <c r="T1826" s="154"/>
      <c r="AT1826" s="150" t="s">
        <v>346</v>
      </c>
      <c r="AU1826" s="150" t="s">
        <v>90</v>
      </c>
      <c r="AV1826" s="148" t="s">
        <v>90</v>
      </c>
      <c r="AW1826" s="148" t="s">
        <v>33</v>
      </c>
      <c r="AX1826" s="148" t="s">
        <v>80</v>
      </c>
      <c r="AY1826" s="150" t="s">
        <v>337</v>
      </c>
    </row>
    <row r="1827" spans="2:51" s="148" customFormat="1" x14ac:dyDescent="0.2">
      <c r="B1827" s="149"/>
      <c r="D1827" s="143" t="s">
        <v>346</v>
      </c>
      <c r="E1827" s="150"/>
      <c r="F1827" s="151" t="s">
        <v>1629</v>
      </c>
      <c r="H1827" s="152">
        <v>72.381</v>
      </c>
      <c r="L1827" s="149"/>
      <c r="M1827" s="153"/>
      <c r="T1827" s="154"/>
      <c r="AT1827" s="150" t="s">
        <v>346</v>
      </c>
      <c r="AU1827" s="150" t="s">
        <v>90</v>
      </c>
      <c r="AV1827" s="148" t="s">
        <v>90</v>
      </c>
      <c r="AW1827" s="148" t="s">
        <v>33</v>
      </c>
      <c r="AX1827" s="148" t="s">
        <v>80</v>
      </c>
      <c r="AY1827" s="150" t="s">
        <v>337</v>
      </c>
    </row>
    <row r="1828" spans="2:51" s="148" customFormat="1" x14ac:dyDescent="0.2">
      <c r="B1828" s="149"/>
      <c r="D1828" s="143" t="s">
        <v>346</v>
      </c>
      <c r="E1828" s="150"/>
      <c r="F1828" s="151" t="s">
        <v>1614</v>
      </c>
      <c r="H1828" s="152">
        <v>-6.6</v>
      </c>
      <c r="L1828" s="149"/>
      <c r="M1828" s="153"/>
      <c r="T1828" s="154"/>
      <c r="AT1828" s="150" t="s">
        <v>346</v>
      </c>
      <c r="AU1828" s="150" t="s">
        <v>90</v>
      </c>
      <c r="AV1828" s="148" t="s">
        <v>90</v>
      </c>
      <c r="AW1828" s="148" t="s">
        <v>33</v>
      </c>
      <c r="AX1828" s="148" t="s">
        <v>80</v>
      </c>
      <c r="AY1828" s="150" t="s">
        <v>337</v>
      </c>
    </row>
    <row r="1829" spans="2:51" s="148" customFormat="1" x14ac:dyDescent="0.2">
      <c r="B1829" s="149"/>
      <c r="D1829" s="143" t="s">
        <v>346</v>
      </c>
      <c r="E1829" s="150"/>
      <c r="F1829" s="151" t="s">
        <v>1630</v>
      </c>
      <c r="H1829" s="152">
        <v>20.149999999999999</v>
      </c>
      <c r="L1829" s="149"/>
      <c r="M1829" s="153"/>
      <c r="T1829" s="154"/>
      <c r="AT1829" s="150" t="s">
        <v>346</v>
      </c>
      <c r="AU1829" s="150" t="s">
        <v>90</v>
      </c>
      <c r="AV1829" s="148" t="s">
        <v>90</v>
      </c>
      <c r="AW1829" s="148" t="s">
        <v>33</v>
      </c>
      <c r="AX1829" s="148" t="s">
        <v>80</v>
      </c>
      <c r="AY1829" s="150" t="s">
        <v>337</v>
      </c>
    </row>
    <row r="1830" spans="2:51" s="148" customFormat="1" x14ac:dyDescent="0.2">
      <c r="B1830" s="149"/>
      <c r="D1830" s="143" t="s">
        <v>346</v>
      </c>
      <c r="E1830" s="150"/>
      <c r="F1830" s="151" t="s">
        <v>1631</v>
      </c>
      <c r="H1830" s="152">
        <v>-0.8</v>
      </c>
      <c r="L1830" s="149"/>
      <c r="M1830" s="153"/>
      <c r="T1830" s="154"/>
      <c r="AT1830" s="150" t="s">
        <v>346</v>
      </c>
      <c r="AU1830" s="150" t="s">
        <v>90</v>
      </c>
      <c r="AV1830" s="148" t="s">
        <v>90</v>
      </c>
      <c r="AW1830" s="148" t="s">
        <v>33</v>
      </c>
      <c r="AX1830" s="148" t="s">
        <v>80</v>
      </c>
      <c r="AY1830" s="150" t="s">
        <v>337</v>
      </c>
    </row>
    <row r="1831" spans="2:51" s="148" customFormat="1" x14ac:dyDescent="0.2">
      <c r="B1831" s="149"/>
      <c r="D1831" s="143" t="s">
        <v>346</v>
      </c>
      <c r="E1831" s="150"/>
      <c r="F1831" s="151" t="s">
        <v>1632</v>
      </c>
      <c r="H1831" s="152">
        <v>23.85</v>
      </c>
      <c r="L1831" s="149"/>
      <c r="M1831" s="153"/>
      <c r="T1831" s="154"/>
      <c r="AT1831" s="150" t="s">
        <v>346</v>
      </c>
      <c r="AU1831" s="150" t="s">
        <v>90</v>
      </c>
      <c r="AV1831" s="148" t="s">
        <v>90</v>
      </c>
      <c r="AW1831" s="148" t="s">
        <v>33</v>
      </c>
      <c r="AX1831" s="148" t="s">
        <v>80</v>
      </c>
      <c r="AY1831" s="150" t="s">
        <v>337</v>
      </c>
    </row>
    <row r="1832" spans="2:51" s="148" customFormat="1" x14ac:dyDescent="0.2">
      <c r="B1832" s="149"/>
      <c r="D1832" s="143" t="s">
        <v>346</v>
      </c>
      <c r="E1832" s="150"/>
      <c r="F1832" s="151" t="s">
        <v>1633</v>
      </c>
      <c r="H1832" s="152">
        <v>-2.2999999999999998</v>
      </c>
      <c r="L1832" s="149"/>
      <c r="M1832" s="153"/>
      <c r="T1832" s="154"/>
      <c r="AT1832" s="150" t="s">
        <v>346</v>
      </c>
      <c r="AU1832" s="150" t="s">
        <v>90</v>
      </c>
      <c r="AV1832" s="148" t="s">
        <v>90</v>
      </c>
      <c r="AW1832" s="148" t="s">
        <v>33</v>
      </c>
      <c r="AX1832" s="148" t="s">
        <v>80</v>
      </c>
      <c r="AY1832" s="150" t="s">
        <v>337</v>
      </c>
    </row>
    <row r="1833" spans="2:51" s="148" customFormat="1" x14ac:dyDescent="0.2">
      <c r="B1833" s="149"/>
      <c r="D1833" s="143" t="s">
        <v>346</v>
      </c>
      <c r="E1833" s="150"/>
      <c r="F1833" s="151" t="s">
        <v>1608</v>
      </c>
      <c r="H1833" s="152">
        <v>-6</v>
      </c>
      <c r="L1833" s="149"/>
      <c r="M1833" s="153"/>
      <c r="T1833" s="154"/>
      <c r="AT1833" s="150" t="s">
        <v>346</v>
      </c>
      <c r="AU1833" s="150" t="s">
        <v>90</v>
      </c>
      <c r="AV1833" s="148" t="s">
        <v>90</v>
      </c>
      <c r="AW1833" s="148" t="s">
        <v>33</v>
      </c>
      <c r="AX1833" s="148" t="s">
        <v>80</v>
      </c>
      <c r="AY1833" s="150" t="s">
        <v>337</v>
      </c>
    </row>
    <row r="1834" spans="2:51" s="148" customFormat="1" x14ac:dyDescent="0.2">
      <c r="B1834" s="149"/>
      <c r="D1834" s="143" t="s">
        <v>346</v>
      </c>
      <c r="E1834" s="150"/>
      <c r="F1834" s="151" t="s">
        <v>1634</v>
      </c>
      <c r="H1834" s="152">
        <v>12.2</v>
      </c>
      <c r="L1834" s="149"/>
      <c r="M1834" s="153"/>
      <c r="T1834" s="154"/>
      <c r="AT1834" s="150" t="s">
        <v>346</v>
      </c>
      <c r="AU1834" s="150" t="s">
        <v>90</v>
      </c>
      <c r="AV1834" s="148" t="s">
        <v>90</v>
      </c>
      <c r="AW1834" s="148" t="s">
        <v>33</v>
      </c>
      <c r="AX1834" s="148" t="s">
        <v>80</v>
      </c>
      <c r="AY1834" s="150" t="s">
        <v>337</v>
      </c>
    </row>
    <row r="1835" spans="2:51" s="148" customFormat="1" x14ac:dyDescent="0.2">
      <c r="B1835" s="149"/>
      <c r="D1835" s="143" t="s">
        <v>346</v>
      </c>
      <c r="E1835" s="150"/>
      <c r="F1835" s="151" t="s">
        <v>1588</v>
      </c>
      <c r="H1835" s="152">
        <v>-0.9</v>
      </c>
      <c r="L1835" s="149"/>
      <c r="M1835" s="153"/>
      <c r="T1835" s="154"/>
      <c r="AT1835" s="150" t="s">
        <v>346</v>
      </c>
      <c r="AU1835" s="150" t="s">
        <v>90</v>
      </c>
      <c r="AV1835" s="148" t="s">
        <v>90</v>
      </c>
      <c r="AW1835" s="148" t="s">
        <v>33</v>
      </c>
      <c r="AX1835" s="148" t="s">
        <v>80</v>
      </c>
      <c r="AY1835" s="150" t="s">
        <v>337</v>
      </c>
    </row>
    <row r="1836" spans="2:51" s="148" customFormat="1" x14ac:dyDescent="0.2">
      <c r="B1836" s="149"/>
      <c r="D1836" s="143" t="s">
        <v>346</v>
      </c>
      <c r="E1836" s="150"/>
      <c r="F1836" s="151" t="s">
        <v>1635</v>
      </c>
      <c r="H1836" s="152">
        <v>26.4</v>
      </c>
      <c r="L1836" s="149"/>
      <c r="M1836" s="153"/>
      <c r="T1836" s="154"/>
      <c r="AT1836" s="150" t="s">
        <v>346</v>
      </c>
      <c r="AU1836" s="150" t="s">
        <v>90</v>
      </c>
      <c r="AV1836" s="148" t="s">
        <v>90</v>
      </c>
      <c r="AW1836" s="148" t="s">
        <v>33</v>
      </c>
      <c r="AX1836" s="148" t="s">
        <v>80</v>
      </c>
      <c r="AY1836" s="150" t="s">
        <v>337</v>
      </c>
    </row>
    <row r="1837" spans="2:51" s="148" customFormat="1" x14ac:dyDescent="0.2">
      <c r="B1837" s="149"/>
      <c r="D1837" s="143" t="s">
        <v>346</v>
      </c>
      <c r="E1837" s="150"/>
      <c r="F1837" s="151" t="s">
        <v>1610</v>
      </c>
      <c r="H1837" s="152">
        <v>-2.6</v>
      </c>
      <c r="L1837" s="149"/>
      <c r="M1837" s="153"/>
      <c r="T1837" s="154"/>
      <c r="AT1837" s="150" t="s">
        <v>346</v>
      </c>
      <c r="AU1837" s="150" t="s">
        <v>90</v>
      </c>
      <c r="AV1837" s="148" t="s">
        <v>90</v>
      </c>
      <c r="AW1837" s="148" t="s">
        <v>33</v>
      </c>
      <c r="AX1837" s="148" t="s">
        <v>80</v>
      </c>
      <c r="AY1837" s="150" t="s">
        <v>337</v>
      </c>
    </row>
    <row r="1838" spans="2:51" s="148" customFormat="1" x14ac:dyDescent="0.2">
      <c r="B1838" s="149"/>
      <c r="D1838" s="143" t="s">
        <v>346</v>
      </c>
      <c r="E1838" s="150"/>
      <c r="F1838" s="151" t="s">
        <v>1604</v>
      </c>
      <c r="H1838" s="152">
        <v>-5.7</v>
      </c>
      <c r="L1838" s="149"/>
      <c r="M1838" s="153"/>
      <c r="T1838" s="154"/>
      <c r="AT1838" s="150" t="s">
        <v>346</v>
      </c>
      <c r="AU1838" s="150" t="s">
        <v>90</v>
      </c>
      <c r="AV1838" s="148" t="s">
        <v>90</v>
      </c>
      <c r="AW1838" s="148" t="s">
        <v>33</v>
      </c>
      <c r="AX1838" s="148" t="s">
        <v>80</v>
      </c>
      <c r="AY1838" s="150" t="s">
        <v>337</v>
      </c>
    </row>
    <row r="1839" spans="2:51" s="148" customFormat="1" x14ac:dyDescent="0.2">
      <c r="B1839" s="149"/>
      <c r="D1839" s="143" t="s">
        <v>346</v>
      </c>
      <c r="E1839" s="150"/>
      <c r="F1839" s="151" t="s">
        <v>1636</v>
      </c>
      <c r="H1839" s="152">
        <v>16.09</v>
      </c>
      <c r="L1839" s="149"/>
      <c r="M1839" s="153"/>
      <c r="T1839" s="154"/>
      <c r="AT1839" s="150" t="s">
        <v>346</v>
      </c>
      <c r="AU1839" s="150" t="s">
        <v>90</v>
      </c>
      <c r="AV1839" s="148" t="s">
        <v>90</v>
      </c>
      <c r="AW1839" s="148" t="s">
        <v>33</v>
      </c>
      <c r="AX1839" s="148" t="s">
        <v>80</v>
      </c>
      <c r="AY1839" s="150" t="s">
        <v>337</v>
      </c>
    </row>
    <row r="1840" spans="2:51" s="148" customFormat="1" x14ac:dyDescent="0.2">
      <c r="B1840" s="149"/>
      <c r="D1840" s="143" t="s">
        <v>346</v>
      </c>
      <c r="E1840" s="150"/>
      <c r="F1840" s="151" t="s">
        <v>1637</v>
      </c>
      <c r="H1840" s="152">
        <v>-2.9</v>
      </c>
      <c r="L1840" s="149"/>
      <c r="M1840" s="153"/>
      <c r="T1840" s="154"/>
      <c r="AT1840" s="150" t="s">
        <v>346</v>
      </c>
      <c r="AU1840" s="150" t="s">
        <v>90</v>
      </c>
      <c r="AV1840" s="148" t="s">
        <v>90</v>
      </c>
      <c r="AW1840" s="148" t="s">
        <v>33</v>
      </c>
      <c r="AX1840" s="148" t="s">
        <v>80</v>
      </c>
      <c r="AY1840" s="150" t="s">
        <v>337</v>
      </c>
    </row>
    <row r="1841" spans="2:51" s="148" customFormat="1" x14ac:dyDescent="0.2">
      <c r="B1841" s="149"/>
      <c r="D1841" s="143" t="s">
        <v>346</v>
      </c>
      <c r="E1841" s="150"/>
      <c r="F1841" s="151" t="s">
        <v>1638</v>
      </c>
      <c r="H1841" s="152">
        <v>72.59</v>
      </c>
      <c r="L1841" s="149"/>
      <c r="M1841" s="153"/>
      <c r="T1841" s="154"/>
      <c r="AT1841" s="150" t="s">
        <v>346</v>
      </c>
      <c r="AU1841" s="150" t="s">
        <v>90</v>
      </c>
      <c r="AV1841" s="148" t="s">
        <v>90</v>
      </c>
      <c r="AW1841" s="148" t="s">
        <v>33</v>
      </c>
      <c r="AX1841" s="148" t="s">
        <v>80</v>
      </c>
      <c r="AY1841" s="150" t="s">
        <v>337</v>
      </c>
    </row>
    <row r="1842" spans="2:51" s="148" customFormat="1" x14ac:dyDescent="0.2">
      <c r="B1842" s="149"/>
      <c r="D1842" s="143" t="s">
        <v>346</v>
      </c>
      <c r="E1842" s="150"/>
      <c r="F1842" s="151" t="s">
        <v>1639</v>
      </c>
      <c r="H1842" s="152">
        <v>-6.6</v>
      </c>
      <c r="L1842" s="149"/>
      <c r="M1842" s="153"/>
      <c r="T1842" s="154"/>
      <c r="AT1842" s="150" t="s">
        <v>346</v>
      </c>
      <c r="AU1842" s="150" t="s">
        <v>90</v>
      </c>
      <c r="AV1842" s="148" t="s">
        <v>90</v>
      </c>
      <c r="AW1842" s="148" t="s">
        <v>33</v>
      </c>
      <c r="AX1842" s="148" t="s">
        <v>80</v>
      </c>
      <c r="AY1842" s="150" t="s">
        <v>337</v>
      </c>
    </row>
    <row r="1843" spans="2:51" s="148" customFormat="1" x14ac:dyDescent="0.2">
      <c r="B1843" s="149"/>
      <c r="D1843" s="143" t="s">
        <v>346</v>
      </c>
      <c r="E1843" s="150"/>
      <c r="F1843" s="151" t="s">
        <v>1640</v>
      </c>
      <c r="H1843" s="152">
        <v>16.190000000000001</v>
      </c>
      <c r="L1843" s="149"/>
      <c r="M1843" s="153"/>
      <c r="T1843" s="154"/>
      <c r="AT1843" s="150" t="s">
        <v>346</v>
      </c>
      <c r="AU1843" s="150" t="s">
        <v>90</v>
      </c>
      <c r="AV1843" s="148" t="s">
        <v>90</v>
      </c>
      <c r="AW1843" s="148" t="s">
        <v>33</v>
      </c>
      <c r="AX1843" s="148" t="s">
        <v>80</v>
      </c>
      <c r="AY1843" s="150" t="s">
        <v>337</v>
      </c>
    </row>
    <row r="1844" spans="2:51" s="148" customFormat="1" x14ac:dyDescent="0.2">
      <c r="B1844" s="149"/>
      <c r="D1844" s="143" t="s">
        <v>346</v>
      </c>
      <c r="E1844" s="150"/>
      <c r="F1844" s="151" t="s">
        <v>1641</v>
      </c>
      <c r="H1844" s="152">
        <v>-0.9</v>
      </c>
      <c r="L1844" s="149"/>
      <c r="M1844" s="153"/>
      <c r="T1844" s="154"/>
      <c r="AT1844" s="150" t="s">
        <v>346</v>
      </c>
      <c r="AU1844" s="150" t="s">
        <v>90</v>
      </c>
      <c r="AV1844" s="148" t="s">
        <v>90</v>
      </c>
      <c r="AW1844" s="148" t="s">
        <v>33</v>
      </c>
      <c r="AX1844" s="148" t="s">
        <v>80</v>
      </c>
      <c r="AY1844" s="150" t="s">
        <v>337</v>
      </c>
    </row>
    <row r="1845" spans="2:51" s="148" customFormat="1" x14ac:dyDescent="0.2">
      <c r="B1845" s="149"/>
      <c r="D1845" s="143" t="s">
        <v>346</v>
      </c>
      <c r="E1845" s="150"/>
      <c r="F1845" s="151" t="s">
        <v>1642</v>
      </c>
      <c r="H1845" s="152">
        <v>18.25</v>
      </c>
      <c r="L1845" s="149"/>
      <c r="M1845" s="153"/>
      <c r="T1845" s="154"/>
      <c r="AT1845" s="150" t="s">
        <v>346</v>
      </c>
      <c r="AU1845" s="150" t="s">
        <v>90</v>
      </c>
      <c r="AV1845" s="148" t="s">
        <v>90</v>
      </c>
      <c r="AW1845" s="148" t="s">
        <v>33</v>
      </c>
      <c r="AX1845" s="148" t="s">
        <v>80</v>
      </c>
      <c r="AY1845" s="150" t="s">
        <v>337</v>
      </c>
    </row>
    <row r="1846" spans="2:51" s="148" customFormat="1" x14ac:dyDescent="0.2">
      <c r="B1846" s="149"/>
      <c r="D1846" s="143" t="s">
        <v>346</v>
      </c>
      <c r="E1846" s="150"/>
      <c r="F1846" s="151" t="s">
        <v>1601</v>
      </c>
      <c r="H1846" s="152">
        <v>-0.8</v>
      </c>
      <c r="L1846" s="149"/>
      <c r="M1846" s="153"/>
      <c r="T1846" s="154"/>
      <c r="AT1846" s="150" t="s">
        <v>346</v>
      </c>
      <c r="AU1846" s="150" t="s">
        <v>90</v>
      </c>
      <c r="AV1846" s="148" t="s">
        <v>90</v>
      </c>
      <c r="AW1846" s="148" t="s">
        <v>33</v>
      </c>
      <c r="AX1846" s="148" t="s">
        <v>80</v>
      </c>
      <c r="AY1846" s="150" t="s">
        <v>337</v>
      </c>
    </row>
    <row r="1847" spans="2:51" s="172" customFormat="1" x14ac:dyDescent="0.2">
      <c r="B1847" s="173"/>
      <c r="D1847" s="143" t="s">
        <v>346</v>
      </c>
      <c r="E1847" s="174" t="s">
        <v>179</v>
      </c>
      <c r="F1847" s="175" t="s">
        <v>609</v>
      </c>
      <c r="H1847" s="176">
        <v>854.62699999999995</v>
      </c>
      <c r="L1847" s="173"/>
      <c r="M1847" s="177"/>
      <c r="T1847" s="178"/>
      <c r="AT1847" s="174" t="s">
        <v>346</v>
      </c>
      <c r="AU1847" s="174" t="s">
        <v>90</v>
      </c>
      <c r="AV1847" s="172" t="s">
        <v>113</v>
      </c>
      <c r="AW1847" s="172" t="s">
        <v>33</v>
      </c>
      <c r="AX1847" s="172" t="s">
        <v>80</v>
      </c>
      <c r="AY1847" s="174" t="s">
        <v>337</v>
      </c>
    </row>
    <row r="1848" spans="2:51" s="141" customFormat="1" x14ac:dyDescent="0.2">
      <c r="B1848" s="142"/>
      <c r="D1848" s="143" t="s">
        <v>346</v>
      </c>
      <c r="E1848" s="144"/>
      <c r="F1848" s="145" t="s">
        <v>1643</v>
      </c>
      <c r="H1848" s="144"/>
      <c r="L1848" s="142"/>
      <c r="M1848" s="146"/>
      <c r="T1848" s="147"/>
      <c r="AT1848" s="144" t="s">
        <v>346</v>
      </c>
      <c r="AU1848" s="144" t="s">
        <v>90</v>
      </c>
      <c r="AV1848" s="141" t="s">
        <v>87</v>
      </c>
      <c r="AW1848" s="141" t="s">
        <v>33</v>
      </c>
      <c r="AX1848" s="141" t="s">
        <v>80</v>
      </c>
      <c r="AY1848" s="144" t="s">
        <v>337</v>
      </c>
    </row>
    <row r="1849" spans="2:51" s="141" customFormat="1" x14ac:dyDescent="0.2">
      <c r="B1849" s="142"/>
      <c r="D1849" s="143" t="s">
        <v>346</v>
      </c>
      <c r="E1849" s="144"/>
      <c r="F1849" s="145" t="s">
        <v>1644</v>
      </c>
      <c r="H1849" s="144"/>
      <c r="L1849" s="142"/>
      <c r="M1849" s="146"/>
      <c r="T1849" s="147"/>
      <c r="AT1849" s="144" t="s">
        <v>346</v>
      </c>
      <c r="AU1849" s="144" t="s">
        <v>90</v>
      </c>
      <c r="AV1849" s="141" t="s">
        <v>87</v>
      </c>
      <c r="AW1849" s="141" t="s">
        <v>33</v>
      </c>
      <c r="AX1849" s="141" t="s">
        <v>80</v>
      </c>
      <c r="AY1849" s="144" t="s">
        <v>337</v>
      </c>
    </row>
    <row r="1850" spans="2:51" s="141" customFormat="1" x14ac:dyDescent="0.2">
      <c r="B1850" s="142"/>
      <c r="D1850" s="143" t="s">
        <v>346</v>
      </c>
      <c r="E1850" s="144"/>
      <c r="F1850" s="145" t="s">
        <v>1645</v>
      </c>
      <c r="H1850" s="144"/>
      <c r="L1850" s="142"/>
      <c r="M1850" s="146"/>
      <c r="T1850" s="147"/>
      <c r="AT1850" s="144" t="s">
        <v>346</v>
      </c>
      <c r="AU1850" s="144" t="s">
        <v>90</v>
      </c>
      <c r="AV1850" s="141" t="s">
        <v>87</v>
      </c>
      <c r="AW1850" s="141" t="s">
        <v>33</v>
      </c>
      <c r="AX1850" s="141" t="s">
        <v>80</v>
      </c>
      <c r="AY1850" s="144" t="s">
        <v>337</v>
      </c>
    </row>
    <row r="1851" spans="2:51" s="141" customFormat="1" x14ac:dyDescent="0.2">
      <c r="B1851" s="142"/>
      <c r="D1851" s="143" t="s">
        <v>346</v>
      </c>
      <c r="E1851" s="144"/>
      <c r="F1851" s="145" t="s">
        <v>1646</v>
      </c>
      <c r="H1851" s="144"/>
      <c r="L1851" s="142"/>
      <c r="M1851" s="146"/>
      <c r="T1851" s="147"/>
      <c r="AT1851" s="144" t="s">
        <v>346</v>
      </c>
      <c r="AU1851" s="144" t="s">
        <v>90</v>
      </c>
      <c r="AV1851" s="141" t="s">
        <v>87</v>
      </c>
      <c r="AW1851" s="141" t="s">
        <v>33</v>
      </c>
      <c r="AX1851" s="141" t="s">
        <v>80</v>
      </c>
      <c r="AY1851" s="144" t="s">
        <v>337</v>
      </c>
    </row>
    <row r="1852" spans="2:51" s="148" customFormat="1" x14ac:dyDescent="0.2">
      <c r="B1852" s="149"/>
      <c r="D1852" s="143" t="s">
        <v>346</v>
      </c>
      <c r="E1852" s="150"/>
      <c r="F1852" s="151" t="s">
        <v>1647</v>
      </c>
      <c r="H1852" s="152">
        <v>1.5</v>
      </c>
      <c r="L1852" s="149"/>
      <c r="M1852" s="153"/>
      <c r="T1852" s="154"/>
      <c r="AT1852" s="150" t="s">
        <v>346</v>
      </c>
      <c r="AU1852" s="150" t="s">
        <v>90</v>
      </c>
      <c r="AV1852" s="148" t="s">
        <v>90</v>
      </c>
      <c r="AW1852" s="148" t="s">
        <v>33</v>
      </c>
      <c r="AX1852" s="148" t="s">
        <v>80</v>
      </c>
      <c r="AY1852" s="150" t="s">
        <v>337</v>
      </c>
    </row>
    <row r="1853" spans="2:51" s="148" customFormat="1" x14ac:dyDescent="0.2">
      <c r="B1853" s="149"/>
      <c r="D1853" s="143" t="s">
        <v>346</v>
      </c>
      <c r="E1853" s="150"/>
      <c r="F1853" s="151" t="s">
        <v>1648</v>
      </c>
      <c r="H1853" s="152">
        <v>-0.7</v>
      </c>
      <c r="L1853" s="149"/>
      <c r="M1853" s="153"/>
      <c r="T1853" s="154"/>
      <c r="AT1853" s="150" t="s">
        <v>346</v>
      </c>
      <c r="AU1853" s="150" t="s">
        <v>90</v>
      </c>
      <c r="AV1853" s="148" t="s">
        <v>90</v>
      </c>
      <c r="AW1853" s="148" t="s">
        <v>33</v>
      </c>
      <c r="AX1853" s="148" t="s">
        <v>80</v>
      </c>
      <c r="AY1853" s="150" t="s">
        <v>337</v>
      </c>
    </row>
    <row r="1854" spans="2:51" s="148" customFormat="1" x14ac:dyDescent="0.2">
      <c r="B1854" s="149"/>
      <c r="D1854" s="143" t="s">
        <v>346</v>
      </c>
      <c r="E1854" s="150"/>
      <c r="F1854" s="151" t="s">
        <v>1649</v>
      </c>
      <c r="H1854" s="152">
        <v>5.75</v>
      </c>
      <c r="L1854" s="149"/>
      <c r="M1854" s="153"/>
      <c r="T1854" s="154"/>
      <c r="AT1854" s="150" t="s">
        <v>346</v>
      </c>
      <c r="AU1854" s="150" t="s">
        <v>90</v>
      </c>
      <c r="AV1854" s="148" t="s">
        <v>90</v>
      </c>
      <c r="AW1854" s="148" t="s">
        <v>33</v>
      </c>
      <c r="AX1854" s="148" t="s">
        <v>80</v>
      </c>
      <c r="AY1854" s="150" t="s">
        <v>337</v>
      </c>
    </row>
    <row r="1855" spans="2:51" s="148" customFormat="1" x14ac:dyDescent="0.2">
      <c r="B1855" s="149"/>
      <c r="D1855" s="143" t="s">
        <v>346</v>
      </c>
      <c r="E1855" s="150"/>
      <c r="F1855" s="151" t="s">
        <v>1601</v>
      </c>
      <c r="H1855" s="152">
        <v>-0.8</v>
      </c>
      <c r="L1855" s="149"/>
      <c r="M1855" s="153"/>
      <c r="T1855" s="154"/>
      <c r="AT1855" s="150" t="s">
        <v>346</v>
      </c>
      <c r="AU1855" s="150" t="s">
        <v>90</v>
      </c>
      <c r="AV1855" s="148" t="s">
        <v>90</v>
      </c>
      <c r="AW1855" s="148" t="s">
        <v>33</v>
      </c>
      <c r="AX1855" s="148" t="s">
        <v>80</v>
      </c>
      <c r="AY1855" s="150" t="s">
        <v>337</v>
      </c>
    </row>
    <row r="1856" spans="2:51" s="148" customFormat="1" x14ac:dyDescent="0.2">
      <c r="B1856" s="149"/>
      <c r="D1856" s="143" t="s">
        <v>346</v>
      </c>
      <c r="E1856" s="150"/>
      <c r="F1856" s="151" t="s">
        <v>1650</v>
      </c>
      <c r="H1856" s="152">
        <v>8.7449999999999992</v>
      </c>
      <c r="L1856" s="149"/>
      <c r="M1856" s="153"/>
      <c r="T1856" s="154"/>
      <c r="AT1856" s="150" t="s">
        <v>346</v>
      </c>
      <c r="AU1856" s="150" t="s">
        <v>90</v>
      </c>
      <c r="AV1856" s="148" t="s">
        <v>90</v>
      </c>
      <c r="AW1856" s="148" t="s">
        <v>33</v>
      </c>
      <c r="AX1856" s="148" t="s">
        <v>80</v>
      </c>
      <c r="AY1856" s="150" t="s">
        <v>337</v>
      </c>
    </row>
    <row r="1857" spans="2:51" s="148" customFormat="1" x14ac:dyDescent="0.2">
      <c r="B1857" s="149"/>
      <c r="D1857" s="143" t="s">
        <v>346</v>
      </c>
      <c r="E1857" s="150"/>
      <c r="F1857" s="151" t="s">
        <v>1601</v>
      </c>
      <c r="H1857" s="152">
        <v>-0.8</v>
      </c>
      <c r="L1857" s="149"/>
      <c r="M1857" s="153"/>
      <c r="T1857" s="154"/>
      <c r="AT1857" s="150" t="s">
        <v>346</v>
      </c>
      <c r="AU1857" s="150" t="s">
        <v>90</v>
      </c>
      <c r="AV1857" s="148" t="s">
        <v>90</v>
      </c>
      <c r="AW1857" s="148" t="s">
        <v>33</v>
      </c>
      <c r="AX1857" s="148" t="s">
        <v>80</v>
      </c>
      <c r="AY1857" s="150" t="s">
        <v>337</v>
      </c>
    </row>
    <row r="1858" spans="2:51" s="148" customFormat="1" x14ac:dyDescent="0.2">
      <c r="B1858" s="149"/>
      <c r="D1858" s="143" t="s">
        <v>346</v>
      </c>
      <c r="E1858" s="150"/>
      <c r="F1858" s="151" t="s">
        <v>1651</v>
      </c>
      <c r="H1858" s="152">
        <v>4.33</v>
      </c>
      <c r="L1858" s="149"/>
      <c r="M1858" s="153"/>
      <c r="T1858" s="154"/>
      <c r="AT1858" s="150" t="s">
        <v>346</v>
      </c>
      <c r="AU1858" s="150" t="s">
        <v>90</v>
      </c>
      <c r="AV1858" s="148" t="s">
        <v>90</v>
      </c>
      <c r="AW1858" s="148" t="s">
        <v>33</v>
      </c>
      <c r="AX1858" s="148" t="s">
        <v>80</v>
      </c>
      <c r="AY1858" s="150" t="s">
        <v>337</v>
      </c>
    </row>
    <row r="1859" spans="2:51" s="148" customFormat="1" x14ac:dyDescent="0.2">
      <c r="B1859" s="149"/>
      <c r="D1859" s="143" t="s">
        <v>346</v>
      </c>
      <c r="E1859" s="150"/>
      <c r="F1859" s="151" t="s">
        <v>1652</v>
      </c>
      <c r="H1859" s="152">
        <v>-2.1</v>
      </c>
      <c r="L1859" s="149"/>
      <c r="M1859" s="153"/>
      <c r="T1859" s="154"/>
      <c r="AT1859" s="150" t="s">
        <v>346</v>
      </c>
      <c r="AU1859" s="150" t="s">
        <v>90</v>
      </c>
      <c r="AV1859" s="148" t="s">
        <v>90</v>
      </c>
      <c r="AW1859" s="148" t="s">
        <v>33</v>
      </c>
      <c r="AX1859" s="148" t="s">
        <v>80</v>
      </c>
      <c r="AY1859" s="150" t="s">
        <v>337</v>
      </c>
    </row>
    <row r="1860" spans="2:51" s="148" customFormat="1" x14ac:dyDescent="0.2">
      <c r="B1860" s="149"/>
      <c r="D1860" s="143" t="s">
        <v>346</v>
      </c>
      <c r="E1860" s="150"/>
      <c r="F1860" s="151" t="s">
        <v>1653</v>
      </c>
      <c r="H1860" s="152">
        <v>13.3</v>
      </c>
      <c r="L1860" s="149"/>
      <c r="M1860" s="153"/>
      <c r="T1860" s="154"/>
      <c r="AT1860" s="150" t="s">
        <v>346</v>
      </c>
      <c r="AU1860" s="150" t="s">
        <v>90</v>
      </c>
      <c r="AV1860" s="148" t="s">
        <v>90</v>
      </c>
      <c r="AW1860" s="148" t="s">
        <v>33</v>
      </c>
      <c r="AX1860" s="148" t="s">
        <v>80</v>
      </c>
      <c r="AY1860" s="150" t="s">
        <v>337</v>
      </c>
    </row>
    <row r="1861" spans="2:51" s="148" customFormat="1" x14ac:dyDescent="0.2">
      <c r="B1861" s="149"/>
      <c r="D1861" s="143" t="s">
        <v>346</v>
      </c>
      <c r="E1861" s="150"/>
      <c r="F1861" s="151" t="s">
        <v>1601</v>
      </c>
      <c r="H1861" s="152">
        <v>-0.8</v>
      </c>
      <c r="L1861" s="149"/>
      <c r="M1861" s="153"/>
      <c r="T1861" s="154"/>
      <c r="AT1861" s="150" t="s">
        <v>346</v>
      </c>
      <c r="AU1861" s="150" t="s">
        <v>90</v>
      </c>
      <c r="AV1861" s="148" t="s">
        <v>90</v>
      </c>
      <c r="AW1861" s="148" t="s">
        <v>33</v>
      </c>
      <c r="AX1861" s="148" t="s">
        <v>80</v>
      </c>
      <c r="AY1861" s="150" t="s">
        <v>337</v>
      </c>
    </row>
    <row r="1862" spans="2:51" s="148" customFormat="1" x14ac:dyDescent="0.2">
      <c r="B1862" s="149"/>
      <c r="D1862" s="143" t="s">
        <v>346</v>
      </c>
      <c r="E1862" s="150"/>
      <c r="F1862" s="151" t="s">
        <v>1654</v>
      </c>
      <c r="H1862" s="152">
        <v>7.1</v>
      </c>
      <c r="L1862" s="149"/>
      <c r="M1862" s="153"/>
      <c r="T1862" s="154"/>
      <c r="AT1862" s="150" t="s">
        <v>346</v>
      </c>
      <c r="AU1862" s="150" t="s">
        <v>90</v>
      </c>
      <c r="AV1862" s="148" t="s">
        <v>90</v>
      </c>
      <c r="AW1862" s="148" t="s">
        <v>33</v>
      </c>
      <c r="AX1862" s="148" t="s">
        <v>80</v>
      </c>
      <c r="AY1862" s="150" t="s">
        <v>337</v>
      </c>
    </row>
    <row r="1863" spans="2:51" s="148" customFormat="1" x14ac:dyDescent="0.2">
      <c r="B1863" s="149"/>
      <c r="D1863" s="143" t="s">
        <v>346</v>
      </c>
      <c r="E1863" s="150"/>
      <c r="F1863" s="151" t="s">
        <v>1601</v>
      </c>
      <c r="H1863" s="152">
        <v>-0.8</v>
      </c>
      <c r="L1863" s="149"/>
      <c r="M1863" s="153"/>
      <c r="T1863" s="154"/>
      <c r="AT1863" s="150" t="s">
        <v>346</v>
      </c>
      <c r="AU1863" s="150" t="s">
        <v>90</v>
      </c>
      <c r="AV1863" s="148" t="s">
        <v>90</v>
      </c>
      <c r="AW1863" s="148" t="s">
        <v>33</v>
      </c>
      <c r="AX1863" s="148" t="s">
        <v>80</v>
      </c>
      <c r="AY1863" s="150" t="s">
        <v>337</v>
      </c>
    </row>
    <row r="1864" spans="2:51" s="148" customFormat="1" x14ac:dyDescent="0.2">
      <c r="B1864" s="149"/>
      <c r="D1864" s="143" t="s">
        <v>346</v>
      </c>
      <c r="E1864" s="150"/>
      <c r="F1864" s="151" t="s">
        <v>1655</v>
      </c>
      <c r="H1864" s="152">
        <v>13.348000000000001</v>
      </c>
      <c r="L1864" s="149"/>
      <c r="M1864" s="153"/>
      <c r="T1864" s="154"/>
      <c r="AT1864" s="150" t="s">
        <v>346</v>
      </c>
      <c r="AU1864" s="150" t="s">
        <v>90</v>
      </c>
      <c r="AV1864" s="148" t="s">
        <v>90</v>
      </c>
      <c r="AW1864" s="148" t="s">
        <v>33</v>
      </c>
      <c r="AX1864" s="148" t="s">
        <v>80</v>
      </c>
      <c r="AY1864" s="150" t="s">
        <v>337</v>
      </c>
    </row>
    <row r="1865" spans="2:51" s="148" customFormat="1" x14ac:dyDescent="0.2">
      <c r="B1865" s="149"/>
      <c r="D1865" s="143" t="s">
        <v>346</v>
      </c>
      <c r="E1865" s="150"/>
      <c r="F1865" s="151" t="s">
        <v>1601</v>
      </c>
      <c r="H1865" s="152">
        <v>-0.8</v>
      </c>
      <c r="L1865" s="149"/>
      <c r="M1865" s="153"/>
      <c r="T1865" s="154"/>
      <c r="AT1865" s="150" t="s">
        <v>346</v>
      </c>
      <c r="AU1865" s="150" t="s">
        <v>90</v>
      </c>
      <c r="AV1865" s="148" t="s">
        <v>90</v>
      </c>
      <c r="AW1865" s="148" t="s">
        <v>33</v>
      </c>
      <c r="AX1865" s="148" t="s">
        <v>80</v>
      </c>
      <c r="AY1865" s="150" t="s">
        <v>337</v>
      </c>
    </row>
    <row r="1866" spans="2:51" s="148" customFormat="1" x14ac:dyDescent="0.2">
      <c r="B1866" s="149"/>
      <c r="D1866" s="143" t="s">
        <v>346</v>
      </c>
      <c r="E1866" s="150"/>
      <c r="F1866" s="151" t="s">
        <v>1656</v>
      </c>
      <c r="H1866" s="152">
        <v>1.3</v>
      </c>
      <c r="L1866" s="149"/>
      <c r="M1866" s="153"/>
      <c r="T1866" s="154"/>
      <c r="AT1866" s="150" t="s">
        <v>346</v>
      </c>
      <c r="AU1866" s="150" t="s">
        <v>90</v>
      </c>
      <c r="AV1866" s="148" t="s">
        <v>90</v>
      </c>
      <c r="AW1866" s="148" t="s">
        <v>33</v>
      </c>
      <c r="AX1866" s="148" t="s">
        <v>80</v>
      </c>
      <c r="AY1866" s="150" t="s">
        <v>337</v>
      </c>
    </row>
    <row r="1867" spans="2:51" s="148" customFormat="1" x14ac:dyDescent="0.2">
      <c r="B1867" s="149"/>
      <c r="D1867" s="143" t="s">
        <v>346</v>
      </c>
      <c r="E1867" s="150"/>
      <c r="F1867" s="151" t="s">
        <v>1657</v>
      </c>
      <c r="H1867" s="152">
        <v>1.4</v>
      </c>
      <c r="L1867" s="149"/>
      <c r="M1867" s="153"/>
      <c r="T1867" s="154"/>
      <c r="AT1867" s="150" t="s">
        <v>346</v>
      </c>
      <c r="AU1867" s="150" t="s">
        <v>90</v>
      </c>
      <c r="AV1867" s="148" t="s">
        <v>90</v>
      </c>
      <c r="AW1867" s="148" t="s">
        <v>33</v>
      </c>
      <c r="AX1867" s="148" t="s">
        <v>80</v>
      </c>
      <c r="AY1867" s="150" t="s">
        <v>337</v>
      </c>
    </row>
    <row r="1868" spans="2:51" s="148" customFormat="1" x14ac:dyDescent="0.2">
      <c r="B1868" s="149"/>
      <c r="D1868" s="143" t="s">
        <v>346</v>
      </c>
      <c r="E1868" s="150"/>
      <c r="F1868" s="151" t="s">
        <v>1658</v>
      </c>
      <c r="H1868" s="152">
        <v>1.5</v>
      </c>
      <c r="L1868" s="149"/>
      <c r="M1868" s="153"/>
      <c r="T1868" s="154"/>
      <c r="AT1868" s="150" t="s">
        <v>346</v>
      </c>
      <c r="AU1868" s="150" t="s">
        <v>90</v>
      </c>
      <c r="AV1868" s="148" t="s">
        <v>90</v>
      </c>
      <c r="AW1868" s="148" t="s">
        <v>33</v>
      </c>
      <c r="AX1868" s="148" t="s">
        <v>80</v>
      </c>
      <c r="AY1868" s="150" t="s">
        <v>337</v>
      </c>
    </row>
    <row r="1869" spans="2:51" s="148" customFormat="1" x14ac:dyDescent="0.2">
      <c r="B1869" s="149"/>
      <c r="D1869" s="143" t="s">
        <v>346</v>
      </c>
      <c r="E1869" s="150"/>
      <c r="F1869" s="151" t="s">
        <v>1659</v>
      </c>
      <c r="H1869" s="152">
        <v>0.8</v>
      </c>
      <c r="L1869" s="149"/>
      <c r="M1869" s="153"/>
      <c r="T1869" s="154"/>
      <c r="AT1869" s="150" t="s">
        <v>346</v>
      </c>
      <c r="AU1869" s="150" t="s">
        <v>90</v>
      </c>
      <c r="AV1869" s="148" t="s">
        <v>90</v>
      </c>
      <c r="AW1869" s="148" t="s">
        <v>33</v>
      </c>
      <c r="AX1869" s="148" t="s">
        <v>80</v>
      </c>
      <c r="AY1869" s="150" t="s">
        <v>337</v>
      </c>
    </row>
    <row r="1870" spans="2:51" s="148" customFormat="1" x14ac:dyDescent="0.2">
      <c r="B1870" s="149"/>
      <c r="D1870" s="143" t="s">
        <v>346</v>
      </c>
      <c r="E1870" s="150"/>
      <c r="F1870" s="151" t="s">
        <v>1660</v>
      </c>
      <c r="H1870" s="152">
        <v>13.348000000000001</v>
      </c>
      <c r="L1870" s="149"/>
      <c r="M1870" s="153"/>
      <c r="T1870" s="154"/>
      <c r="AT1870" s="150" t="s">
        <v>346</v>
      </c>
      <c r="AU1870" s="150" t="s">
        <v>90</v>
      </c>
      <c r="AV1870" s="148" t="s">
        <v>90</v>
      </c>
      <c r="AW1870" s="148" t="s">
        <v>33</v>
      </c>
      <c r="AX1870" s="148" t="s">
        <v>80</v>
      </c>
      <c r="AY1870" s="150" t="s">
        <v>337</v>
      </c>
    </row>
    <row r="1871" spans="2:51" s="148" customFormat="1" x14ac:dyDescent="0.2">
      <c r="B1871" s="149"/>
      <c r="D1871" s="143" t="s">
        <v>346</v>
      </c>
      <c r="E1871" s="150"/>
      <c r="F1871" s="151" t="s">
        <v>1601</v>
      </c>
      <c r="H1871" s="152">
        <v>-0.8</v>
      </c>
      <c r="L1871" s="149"/>
      <c r="M1871" s="153"/>
      <c r="T1871" s="154"/>
      <c r="AT1871" s="150" t="s">
        <v>346</v>
      </c>
      <c r="AU1871" s="150" t="s">
        <v>90</v>
      </c>
      <c r="AV1871" s="148" t="s">
        <v>90</v>
      </c>
      <c r="AW1871" s="148" t="s">
        <v>33</v>
      </c>
      <c r="AX1871" s="148" t="s">
        <v>80</v>
      </c>
      <c r="AY1871" s="150" t="s">
        <v>337</v>
      </c>
    </row>
    <row r="1872" spans="2:51" s="148" customFormat="1" x14ac:dyDescent="0.2">
      <c r="B1872" s="149"/>
      <c r="D1872" s="143" t="s">
        <v>346</v>
      </c>
      <c r="E1872" s="150"/>
      <c r="F1872" s="151" t="s">
        <v>1661</v>
      </c>
      <c r="H1872" s="152">
        <v>1.2</v>
      </c>
      <c r="L1872" s="149"/>
      <c r="M1872" s="153"/>
      <c r="T1872" s="154"/>
      <c r="AT1872" s="150" t="s">
        <v>346</v>
      </c>
      <c r="AU1872" s="150" t="s">
        <v>90</v>
      </c>
      <c r="AV1872" s="148" t="s">
        <v>90</v>
      </c>
      <c r="AW1872" s="148" t="s">
        <v>33</v>
      </c>
      <c r="AX1872" s="148" t="s">
        <v>80</v>
      </c>
      <c r="AY1872" s="150" t="s">
        <v>337</v>
      </c>
    </row>
    <row r="1873" spans="2:65" s="148" customFormat="1" x14ac:dyDescent="0.2">
      <c r="B1873" s="149"/>
      <c r="D1873" s="143" t="s">
        <v>346</v>
      </c>
      <c r="E1873" s="150"/>
      <c r="F1873" s="151" t="s">
        <v>1662</v>
      </c>
      <c r="H1873" s="152">
        <v>7.1</v>
      </c>
      <c r="L1873" s="149"/>
      <c r="M1873" s="153"/>
      <c r="T1873" s="154"/>
      <c r="AT1873" s="150" t="s">
        <v>346</v>
      </c>
      <c r="AU1873" s="150" t="s">
        <v>90</v>
      </c>
      <c r="AV1873" s="148" t="s">
        <v>90</v>
      </c>
      <c r="AW1873" s="148" t="s">
        <v>33</v>
      </c>
      <c r="AX1873" s="148" t="s">
        <v>80</v>
      </c>
      <c r="AY1873" s="150" t="s">
        <v>337</v>
      </c>
    </row>
    <row r="1874" spans="2:65" s="148" customFormat="1" x14ac:dyDescent="0.2">
      <c r="B1874" s="149"/>
      <c r="D1874" s="143" t="s">
        <v>346</v>
      </c>
      <c r="E1874" s="150"/>
      <c r="F1874" s="151" t="s">
        <v>1601</v>
      </c>
      <c r="H1874" s="152">
        <v>-0.8</v>
      </c>
      <c r="L1874" s="149"/>
      <c r="M1874" s="153"/>
      <c r="T1874" s="154"/>
      <c r="AT1874" s="150" t="s">
        <v>346</v>
      </c>
      <c r="AU1874" s="150" t="s">
        <v>90</v>
      </c>
      <c r="AV1874" s="148" t="s">
        <v>90</v>
      </c>
      <c r="AW1874" s="148" t="s">
        <v>33</v>
      </c>
      <c r="AX1874" s="148" t="s">
        <v>80</v>
      </c>
      <c r="AY1874" s="150" t="s">
        <v>337</v>
      </c>
    </row>
    <row r="1875" spans="2:65" s="172" customFormat="1" x14ac:dyDescent="0.2">
      <c r="B1875" s="173"/>
      <c r="D1875" s="143" t="s">
        <v>346</v>
      </c>
      <c r="E1875" s="174" t="s">
        <v>188</v>
      </c>
      <c r="F1875" s="175" t="s">
        <v>609</v>
      </c>
      <c r="H1875" s="176">
        <v>72.320999999999998</v>
      </c>
      <c r="L1875" s="173"/>
      <c r="M1875" s="177"/>
      <c r="T1875" s="178"/>
      <c r="AT1875" s="174" t="s">
        <v>346</v>
      </c>
      <c r="AU1875" s="174" t="s">
        <v>90</v>
      </c>
      <c r="AV1875" s="172" t="s">
        <v>113</v>
      </c>
      <c r="AW1875" s="172" t="s">
        <v>33</v>
      </c>
      <c r="AX1875" s="172" t="s">
        <v>80</v>
      </c>
      <c r="AY1875" s="174" t="s">
        <v>337</v>
      </c>
    </row>
    <row r="1876" spans="2:65" s="155" customFormat="1" x14ac:dyDescent="0.2">
      <c r="B1876" s="156"/>
      <c r="D1876" s="143" t="s">
        <v>346</v>
      </c>
      <c r="E1876" s="157"/>
      <c r="F1876" s="158" t="s">
        <v>351</v>
      </c>
      <c r="H1876" s="159">
        <v>926.94799999999998</v>
      </c>
      <c r="L1876" s="156"/>
      <c r="M1876" s="160"/>
      <c r="T1876" s="161"/>
      <c r="AT1876" s="157" t="s">
        <v>346</v>
      </c>
      <c r="AU1876" s="157" t="s">
        <v>90</v>
      </c>
      <c r="AV1876" s="155" t="s">
        <v>344</v>
      </c>
      <c r="AW1876" s="155" t="s">
        <v>33</v>
      </c>
      <c r="AX1876" s="155" t="s">
        <v>87</v>
      </c>
      <c r="AY1876" s="157" t="s">
        <v>337</v>
      </c>
    </row>
    <row r="1877" spans="2:65" s="16" customFormat="1" ht="16.5" customHeight="1" x14ac:dyDescent="0.2">
      <c r="B1877" s="17"/>
      <c r="C1877" s="128">
        <v>146</v>
      </c>
      <c r="D1877" s="162" t="s">
        <v>519</v>
      </c>
      <c r="E1877" s="163" t="s">
        <v>1664</v>
      </c>
      <c r="F1877" s="164" t="s">
        <v>1665</v>
      </c>
      <c r="G1877" s="165" t="s">
        <v>724</v>
      </c>
      <c r="H1877" s="166">
        <v>940.09</v>
      </c>
      <c r="I1877" s="167"/>
      <c r="J1877" s="168">
        <f>ROUND(I1877*H1877,2)</f>
        <v>0</v>
      </c>
      <c r="K1877" s="164"/>
      <c r="L1877" s="169"/>
      <c r="M1877" s="170"/>
      <c r="N1877" s="171" t="s">
        <v>45</v>
      </c>
      <c r="P1877" s="137">
        <f>O1877*H1877</f>
        <v>0</v>
      </c>
      <c r="Q1877" s="137">
        <v>2.64E-3</v>
      </c>
      <c r="R1877" s="137">
        <f>Q1877*H1877</f>
        <v>2.4818376</v>
      </c>
      <c r="S1877" s="137">
        <v>0</v>
      </c>
      <c r="T1877" s="138">
        <f>S1877*H1877</f>
        <v>0</v>
      </c>
      <c r="AR1877" s="139" t="s">
        <v>621</v>
      </c>
      <c r="AT1877" s="139" t="s">
        <v>519</v>
      </c>
      <c r="AU1877" s="139" t="s">
        <v>90</v>
      </c>
      <c r="AY1877" s="2" t="s">
        <v>337</v>
      </c>
      <c r="BE1877" s="140">
        <f>IF(N1877="základní",J1877,0)</f>
        <v>0</v>
      </c>
      <c r="BF1877" s="140">
        <f>IF(N1877="snížená",J1877,0)</f>
        <v>0</v>
      </c>
      <c r="BG1877" s="140">
        <f>IF(N1877="zákl. přenesená",J1877,0)</f>
        <v>0</v>
      </c>
      <c r="BH1877" s="140">
        <f>IF(N1877="sníž. přenesená",J1877,0)</f>
        <v>0</v>
      </c>
      <c r="BI1877" s="140">
        <f>IF(N1877="nulová",J1877,0)</f>
        <v>0</v>
      </c>
      <c r="BJ1877" s="2" t="s">
        <v>87</v>
      </c>
      <c r="BK1877" s="140">
        <f>ROUND(I1877*H1877,2)</f>
        <v>0</v>
      </c>
      <c r="BL1877" s="2" t="s">
        <v>496</v>
      </c>
      <c r="BM1877" s="139" t="s">
        <v>1666</v>
      </c>
    </row>
    <row r="1878" spans="2:65" s="148" customFormat="1" x14ac:dyDescent="0.2">
      <c r="B1878" s="149"/>
      <c r="D1878" s="143" t="s">
        <v>346</v>
      </c>
      <c r="E1878" s="150"/>
      <c r="F1878" s="151" t="s">
        <v>179</v>
      </c>
      <c r="H1878" s="152">
        <v>854.62699999999995</v>
      </c>
      <c r="L1878" s="149"/>
      <c r="M1878" s="153"/>
      <c r="T1878" s="154"/>
      <c r="AT1878" s="150" t="s">
        <v>346</v>
      </c>
      <c r="AU1878" s="150" t="s">
        <v>90</v>
      </c>
      <c r="AV1878" s="148" t="s">
        <v>90</v>
      </c>
      <c r="AW1878" s="148" t="s">
        <v>33</v>
      </c>
      <c r="AX1878" s="148" t="s">
        <v>87</v>
      </c>
      <c r="AY1878" s="150" t="s">
        <v>337</v>
      </c>
    </row>
    <row r="1879" spans="2:65" s="148" customFormat="1" x14ac:dyDescent="0.2">
      <c r="B1879" s="149"/>
      <c r="D1879" s="143" t="s">
        <v>346</v>
      </c>
      <c r="F1879" s="151" t="s">
        <v>1667</v>
      </c>
      <c r="H1879" s="152">
        <v>940.09</v>
      </c>
      <c r="L1879" s="149"/>
      <c r="M1879" s="153"/>
      <c r="T1879" s="154"/>
      <c r="AT1879" s="150" t="s">
        <v>346</v>
      </c>
      <c r="AU1879" s="150" t="s">
        <v>90</v>
      </c>
      <c r="AV1879" s="148" t="s">
        <v>90</v>
      </c>
      <c r="AW1879" s="148" t="s">
        <v>3</v>
      </c>
      <c r="AX1879" s="148" t="s">
        <v>87</v>
      </c>
      <c r="AY1879" s="150" t="s">
        <v>337</v>
      </c>
    </row>
    <row r="1880" spans="2:65" s="16" customFormat="1" ht="16.5" customHeight="1" x14ac:dyDescent="0.2">
      <c r="B1880" s="17"/>
      <c r="C1880" s="128">
        <v>147</v>
      </c>
      <c r="D1880" s="162" t="s">
        <v>519</v>
      </c>
      <c r="E1880" s="163" t="s">
        <v>1668</v>
      </c>
      <c r="F1880" s="164" t="s">
        <v>1669</v>
      </c>
      <c r="G1880" s="165" t="s">
        <v>724</v>
      </c>
      <c r="H1880" s="166">
        <v>79.552999999999997</v>
      </c>
      <c r="I1880" s="167"/>
      <c r="J1880" s="168">
        <f>ROUND(I1880*H1880,2)</f>
        <v>0</v>
      </c>
      <c r="K1880" s="164"/>
      <c r="L1880" s="169"/>
      <c r="M1880" s="170"/>
      <c r="N1880" s="171" t="s">
        <v>45</v>
      </c>
      <c r="P1880" s="137">
        <f>O1880*H1880</f>
        <v>0</v>
      </c>
      <c r="Q1880" s="137">
        <v>2.64E-3</v>
      </c>
      <c r="R1880" s="137">
        <f>Q1880*H1880</f>
        <v>0.21001992</v>
      </c>
      <c r="S1880" s="137">
        <v>0</v>
      </c>
      <c r="T1880" s="138">
        <f>S1880*H1880</f>
        <v>0</v>
      </c>
      <c r="AR1880" s="139" t="s">
        <v>621</v>
      </c>
      <c r="AT1880" s="139" t="s">
        <v>519</v>
      </c>
      <c r="AU1880" s="139" t="s">
        <v>90</v>
      </c>
      <c r="AY1880" s="2" t="s">
        <v>337</v>
      </c>
      <c r="BE1880" s="140">
        <f>IF(N1880="základní",J1880,0)</f>
        <v>0</v>
      </c>
      <c r="BF1880" s="140">
        <f>IF(N1880="snížená",J1880,0)</f>
        <v>0</v>
      </c>
      <c r="BG1880" s="140">
        <f>IF(N1880="zákl. přenesená",J1880,0)</f>
        <v>0</v>
      </c>
      <c r="BH1880" s="140">
        <f>IF(N1880="sníž. přenesená",J1880,0)</f>
        <v>0</v>
      </c>
      <c r="BI1880" s="140">
        <f>IF(N1880="nulová",J1880,0)</f>
        <v>0</v>
      </c>
      <c r="BJ1880" s="2" t="s">
        <v>87</v>
      </c>
      <c r="BK1880" s="140">
        <f>ROUND(I1880*H1880,2)</f>
        <v>0</v>
      </c>
      <c r="BL1880" s="2" t="s">
        <v>496</v>
      </c>
      <c r="BM1880" s="139" t="s">
        <v>1670</v>
      </c>
    </row>
    <row r="1881" spans="2:65" s="148" customFormat="1" x14ac:dyDescent="0.2">
      <c r="B1881" s="149"/>
      <c r="D1881" s="143" t="s">
        <v>346</v>
      </c>
      <c r="E1881" s="150"/>
      <c r="F1881" s="151" t="s">
        <v>188</v>
      </c>
      <c r="H1881" s="152">
        <v>72.320999999999998</v>
      </c>
      <c r="L1881" s="149"/>
      <c r="M1881" s="153"/>
      <c r="T1881" s="154"/>
      <c r="AT1881" s="150" t="s">
        <v>346</v>
      </c>
      <c r="AU1881" s="150" t="s">
        <v>90</v>
      </c>
      <c r="AV1881" s="148" t="s">
        <v>90</v>
      </c>
      <c r="AW1881" s="148" t="s">
        <v>33</v>
      </c>
      <c r="AX1881" s="148" t="s">
        <v>87</v>
      </c>
      <c r="AY1881" s="150" t="s">
        <v>337</v>
      </c>
    </row>
    <row r="1882" spans="2:65" s="148" customFormat="1" x14ac:dyDescent="0.2">
      <c r="B1882" s="149"/>
      <c r="D1882" s="143" t="s">
        <v>346</v>
      </c>
      <c r="F1882" s="151" t="s">
        <v>1671</v>
      </c>
      <c r="H1882" s="152">
        <v>79.552999999999997</v>
      </c>
      <c r="L1882" s="149"/>
      <c r="M1882" s="153"/>
      <c r="T1882" s="154"/>
      <c r="AT1882" s="150" t="s">
        <v>346</v>
      </c>
      <c r="AU1882" s="150" t="s">
        <v>90</v>
      </c>
      <c r="AV1882" s="148" t="s">
        <v>90</v>
      </c>
      <c r="AW1882" s="148" t="s">
        <v>3</v>
      </c>
      <c r="AX1882" s="148" t="s">
        <v>87</v>
      </c>
      <c r="AY1882" s="150" t="s">
        <v>337</v>
      </c>
    </row>
    <row r="1883" spans="2:65" s="16" customFormat="1" ht="24.2" customHeight="1" x14ac:dyDescent="0.2">
      <c r="B1883" s="17"/>
      <c r="C1883" s="128">
        <v>148</v>
      </c>
      <c r="D1883" s="128" t="s">
        <v>339</v>
      </c>
      <c r="E1883" s="129" t="s">
        <v>1673</v>
      </c>
      <c r="F1883" s="130" t="s">
        <v>1674</v>
      </c>
      <c r="G1883" s="131" t="s">
        <v>724</v>
      </c>
      <c r="H1883" s="132">
        <v>70.5</v>
      </c>
      <c r="I1883" s="133"/>
      <c r="J1883" s="134">
        <f>ROUND(I1883*H1883,2)</f>
        <v>0</v>
      </c>
      <c r="K1883" s="130" t="s">
        <v>343</v>
      </c>
      <c r="L1883" s="17"/>
      <c r="M1883" s="135"/>
      <c r="N1883" s="136" t="s">
        <v>45</v>
      </c>
      <c r="P1883" s="137">
        <f>O1883*H1883</f>
        <v>0</v>
      </c>
      <c r="Q1883" s="137">
        <v>4.2999999999999999E-4</v>
      </c>
      <c r="R1883" s="137">
        <f>Q1883*H1883</f>
        <v>3.0314999999999998E-2</v>
      </c>
      <c r="S1883" s="137">
        <v>0</v>
      </c>
      <c r="T1883" s="138">
        <f>S1883*H1883</f>
        <v>0</v>
      </c>
      <c r="AR1883" s="139" t="s">
        <v>496</v>
      </c>
      <c r="AT1883" s="139" t="s">
        <v>339</v>
      </c>
      <c r="AU1883" s="139" t="s">
        <v>90</v>
      </c>
      <c r="AY1883" s="2" t="s">
        <v>337</v>
      </c>
      <c r="BE1883" s="140">
        <f>IF(N1883="základní",J1883,0)</f>
        <v>0</v>
      </c>
      <c r="BF1883" s="140">
        <f>IF(N1883="snížená",J1883,0)</f>
        <v>0</v>
      </c>
      <c r="BG1883" s="140">
        <f>IF(N1883="zákl. přenesená",J1883,0)</f>
        <v>0</v>
      </c>
      <c r="BH1883" s="140">
        <f>IF(N1883="sníž. přenesená",J1883,0)</f>
        <v>0</v>
      </c>
      <c r="BI1883" s="140">
        <f>IF(N1883="nulová",J1883,0)</f>
        <v>0</v>
      </c>
      <c r="BJ1883" s="2" t="s">
        <v>87</v>
      </c>
      <c r="BK1883" s="140">
        <f>ROUND(I1883*H1883,2)</f>
        <v>0</v>
      </c>
      <c r="BL1883" s="2" t="s">
        <v>496</v>
      </c>
      <c r="BM1883" s="139" t="s">
        <v>1675</v>
      </c>
    </row>
    <row r="1884" spans="2:65" s="141" customFormat="1" x14ac:dyDescent="0.2">
      <c r="B1884" s="142"/>
      <c r="D1884" s="143" t="s">
        <v>346</v>
      </c>
      <c r="E1884" s="144"/>
      <c r="F1884" s="145" t="s">
        <v>1571</v>
      </c>
      <c r="H1884" s="144"/>
      <c r="L1884" s="142"/>
      <c r="M1884" s="146"/>
      <c r="T1884" s="147"/>
      <c r="AT1884" s="144" t="s">
        <v>346</v>
      </c>
      <c r="AU1884" s="144" t="s">
        <v>90</v>
      </c>
      <c r="AV1884" s="141" t="s">
        <v>87</v>
      </c>
      <c r="AW1884" s="141" t="s">
        <v>33</v>
      </c>
      <c r="AX1884" s="141" t="s">
        <v>80</v>
      </c>
      <c r="AY1884" s="144" t="s">
        <v>337</v>
      </c>
    </row>
    <row r="1885" spans="2:65" s="141" customFormat="1" x14ac:dyDescent="0.2">
      <c r="B1885" s="142"/>
      <c r="D1885" s="143" t="s">
        <v>346</v>
      </c>
      <c r="E1885" s="144"/>
      <c r="F1885" s="145" t="s">
        <v>1509</v>
      </c>
      <c r="H1885" s="144"/>
      <c r="L1885" s="142"/>
      <c r="M1885" s="146"/>
      <c r="T1885" s="147"/>
      <c r="AT1885" s="144" t="s">
        <v>346</v>
      </c>
      <c r="AU1885" s="144" t="s">
        <v>90</v>
      </c>
      <c r="AV1885" s="141" t="s">
        <v>87</v>
      </c>
      <c r="AW1885" s="141" t="s">
        <v>33</v>
      </c>
      <c r="AX1885" s="141" t="s">
        <v>80</v>
      </c>
      <c r="AY1885" s="144" t="s">
        <v>337</v>
      </c>
    </row>
    <row r="1886" spans="2:65" s="148" customFormat="1" x14ac:dyDescent="0.2">
      <c r="B1886" s="149"/>
      <c r="D1886" s="143" t="s">
        <v>346</v>
      </c>
      <c r="E1886" s="150"/>
      <c r="F1886" s="151" t="s">
        <v>1676</v>
      </c>
      <c r="H1886" s="152">
        <v>6.1</v>
      </c>
      <c r="L1886" s="149"/>
      <c r="M1886" s="153"/>
      <c r="T1886" s="154"/>
      <c r="AT1886" s="150" t="s">
        <v>346</v>
      </c>
      <c r="AU1886" s="150" t="s">
        <v>90</v>
      </c>
      <c r="AV1886" s="148" t="s">
        <v>90</v>
      </c>
      <c r="AW1886" s="148" t="s">
        <v>33</v>
      </c>
      <c r="AX1886" s="148" t="s">
        <v>80</v>
      </c>
      <c r="AY1886" s="150" t="s">
        <v>337</v>
      </c>
    </row>
    <row r="1887" spans="2:65" s="141" customFormat="1" x14ac:dyDescent="0.2">
      <c r="B1887" s="142"/>
      <c r="D1887" s="143" t="s">
        <v>346</v>
      </c>
      <c r="E1887" s="144"/>
      <c r="F1887" s="145" t="s">
        <v>1511</v>
      </c>
      <c r="H1887" s="144"/>
      <c r="L1887" s="142"/>
      <c r="M1887" s="146"/>
      <c r="T1887" s="147"/>
      <c r="AT1887" s="144" t="s">
        <v>346</v>
      </c>
      <c r="AU1887" s="144" t="s">
        <v>90</v>
      </c>
      <c r="AV1887" s="141" t="s">
        <v>87</v>
      </c>
      <c r="AW1887" s="141" t="s">
        <v>33</v>
      </c>
      <c r="AX1887" s="141" t="s">
        <v>80</v>
      </c>
      <c r="AY1887" s="144" t="s">
        <v>337</v>
      </c>
    </row>
    <row r="1888" spans="2:65" s="148" customFormat="1" x14ac:dyDescent="0.2">
      <c r="B1888" s="149"/>
      <c r="D1888" s="143" t="s">
        <v>346</v>
      </c>
      <c r="E1888" s="150"/>
      <c r="F1888" s="151" t="s">
        <v>1677</v>
      </c>
      <c r="H1888" s="152">
        <v>6.8</v>
      </c>
      <c r="L1888" s="149"/>
      <c r="M1888" s="153"/>
      <c r="T1888" s="154"/>
      <c r="AT1888" s="150" t="s">
        <v>346</v>
      </c>
      <c r="AU1888" s="150" t="s">
        <v>90</v>
      </c>
      <c r="AV1888" s="148" t="s">
        <v>90</v>
      </c>
      <c r="AW1888" s="148" t="s">
        <v>33</v>
      </c>
      <c r="AX1888" s="148" t="s">
        <v>80</v>
      </c>
      <c r="AY1888" s="150" t="s">
        <v>337</v>
      </c>
    </row>
    <row r="1889" spans="2:51" s="141" customFormat="1" x14ac:dyDescent="0.2">
      <c r="B1889" s="142"/>
      <c r="D1889" s="143" t="s">
        <v>346</v>
      </c>
      <c r="E1889" s="144"/>
      <c r="F1889" s="145" t="s">
        <v>1513</v>
      </c>
      <c r="H1889" s="144"/>
      <c r="L1889" s="142"/>
      <c r="M1889" s="146"/>
      <c r="T1889" s="147"/>
      <c r="AT1889" s="144" t="s">
        <v>346</v>
      </c>
      <c r="AU1889" s="144" t="s">
        <v>90</v>
      </c>
      <c r="AV1889" s="141" t="s">
        <v>87</v>
      </c>
      <c r="AW1889" s="141" t="s">
        <v>33</v>
      </c>
      <c r="AX1889" s="141" t="s">
        <v>80</v>
      </c>
      <c r="AY1889" s="144" t="s">
        <v>337</v>
      </c>
    </row>
    <row r="1890" spans="2:51" s="148" customFormat="1" x14ac:dyDescent="0.2">
      <c r="B1890" s="149"/>
      <c r="D1890" s="143" t="s">
        <v>346</v>
      </c>
      <c r="E1890" s="150"/>
      <c r="F1890" s="151" t="s">
        <v>1678</v>
      </c>
      <c r="H1890" s="152">
        <v>7.6</v>
      </c>
      <c r="L1890" s="149"/>
      <c r="M1890" s="153"/>
      <c r="T1890" s="154"/>
      <c r="AT1890" s="150" t="s">
        <v>346</v>
      </c>
      <c r="AU1890" s="150" t="s">
        <v>90</v>
      </c>
      <c r="AV1890" s="148" t="s">
        <v>90</v>
      </c>
      <c r="AW1890" s="148" t="s">
        <v>33</v>
      </c>
      <c r="AX1890" s="148" t="s">
        <v>80</v>
      </c>
      <c r="AY1890" s="150" t="s">
        <v>337</v>
      </c>
    </row>
    <row r="1891" spans="2:51" s="141" customFormat="1" x14ac:dyDescent="0.2">
      <c r="B1891" s="142"/>
      <c r="D1891" s="143" t="s">
        <v>346</v>
      </c>
      <c r="E1891" s="144"/>
      <c r="F1891" s="145" t="s">
        <v>1515</v>
      </c>
      <c r="H1891" s="144"/>
      <c r="L1891" s="142"/>
      <c r="M1891" s="146"/>
      <c r="T1891" s="147"/>
      <c r="AT1891" s="144" t="s">
        <v>346</v>
      </c>
      <c r="AU1891" s="144" t="s">
        <v>90</v>
      </c>
      <c r="AV1891" s="141" t="s">
        <v>87</v>
      </c>
      <c r="AW1891" s="141" t="s">
        <v>33</v>
      </c>
      <c r="AX1891" s="141" t="s">
        <v>80</v>
      </c>
      <c r="AY1891" s="144" t="s">
        <v>337</v>
      </c>
    </row>
    <row r="1892" spans="2:51" s="148" customFormat="1" x14ac:dyDescent="0.2">
      <c r="B1892" s="149"/>
      <c r="D1892" s="143" t="s">
        <v>346</v>
      </c>
      <c r="E1892" s="150"/>
      <c r="F1892" s="151" t="s">
        <v>1677</v>
      </c>
      <c r="H1892" s="152">
        <v>6.8</v>
      </c>
      <c r="L1892" s="149"/>
      <c r="M1892" s="153"/>
      <c r="T1892" s="154"/>
      <c r="AT1892" s="150" t="s">
        <v>346</v>
      </c>
      <c r="AU1892" s="150" t="s">
        <v>90</v>
      </c>
      <c r="AV1892" s="148" t="s">
        <v>90</v>
      </c>
      <c r="AW1892" s="148" t="s">
        <v>33</v>
      </c>
      <c r="AX1892" s="148" t="s">
        <v>80</v>
      </c>
      <c r="AY1892" s="150" t="s">
        <v>337</v>
      </c>
    </row>
    <row r="1893" spans="2:51" s="141" customFormat="1" x14ac:dyDescent="0.2">
      <c r="B1893" s="142"/>
      <c r="D1893" s="143" t="s">
        <v>346</v>
      </c>
      <c r="E1893" s="144"/>
      <c r="F1893" s="145" t="s">
        <v>1516</v>
      </c>
      <c r="H1893" s="144"/>
      <c r="L1893" s="142"/>
      <c r="M1893" s="146"/>
      <c r="T1893" s="147"/>
      <c r="AT1893" s="144" t="s">
        <v>346</v>
      </c>
      <c r="AU1893" s="144" t="s">
        <v>90</v>
      </c>
      <c r="AV1893" s="141" t="s">
        <v>87</v>
      </c>
      <c r="AW1893" s="141" t="s">
        <v>33</v>
      </c>
      <c r="AX1893" s="141" t="s">
        <v>80</v>
      </c>
      <c r="AY1893" s="144" t="s">
        <v>337</v>
      </c>
    </row>
    <row r="1894" spans="2:51" s="148" customFormat="1" x14ac:dyDescent="0.2">
      <c r="B1894" s="149"/>
      <c r="D1894" s="143" t="s">
        <v>346</v>
      </c>
      <c r="E1894" s="150"/>
      <c r="F1894" s="151" t="s">
        <v>1678</v>
      </c>
      <c r="H1894" s="152">
        <v>7.6</v>
      </c>
      <c r="L1894" s="149"/>
      <c r="M1894" s="153"/>
      <c r="T1894" s="154"/>
      <c r="AT1894" s="150" t="s">
        <v>346</v>
      </c>
      <c r="AU1894" s="150" t="s">
        <v>90</v>
      </c>
      <c r="AV1894" s="148" t="s">
        <v>90</v>
      </c>
      <c r="AW1894" s="148" t="s">
        <v>33</v>
      </c>
      <c r="AX1894" s="148" t="s">
        <v>80</v>
      </c>
      <c r="AY1894" s="150" t="s">
        <v>337</v>
      </c>
    </row>
    <row r="1895" spans="2:51" s="141" customFormat="1" x14ac:dyDescent="0.2">
      <c r="B1895" s="142"/>
      <c r="D1895" s="143" t="s">
        <v>346</v>
      </c>
      <c r="E1895" s="144"/>
      <c r="F1895" s="145" t="s">
        <v>1517</v>
      </c>
      <c r="H1895" s="144"/>
      <c r="L1895" s="142"/>
      <c r="M1895" s="146"/>
      <c r="T1895" s="147"/>
      <c r="AT1895" s="144" t="s">
        <v>346</v>
      </c>
      <c r="AU1895" s="144" t="s">
        <v>90</v>
      </c>
      <c r="AV1895" s="141" t="s">
        <v>87</v>
      </c>
      <c r="AW1895" s="141" t="s">
        <v>33</v>
      </c>
      <c r="AX1895" s="141" t="s">
        <v>80</v>
      </c>
      <c r="AY1895" s="144" t="s">
        <v>337</v>
      </c>
    </row>
    <row r="1896" spans="2:51" s="148" customFormat="1" x14ac:dyDescent="0.2">
      <c r="B1896" s="149"/>
      <c r="D1896" s="143" t="s">
        <v>346</v>
      </c>
      <c r="E1896" s="150"/>
      <c r="F1896" s="151" t="s">
        <v>1677</v>
      </c>
      <c r="H1896" s="152">
        <v>6.8</v>
      </c>
      <c r="L1896" s="149"/>
      <c r="M1896" s="153"/>
      <c r="T1896" s="154"/>
      <c r="AT1896" s="150" t="s">
        <v>346</v>
      </c>
      <c r="AU1896" s="150" t="s">
        <v>90</v>
      </c>
      <c r="AV1896" s="148" t="s">
        <v>90</v>
      </c>
      <c r="AW1896" s="148" t="s">
        <v>33</v>
      </c>
      <c r="AX1896" s="148" t="s">
        <v>80</v>
      </c>
      <c r="AY1896" s="150" t="s">
        <v>337</v>
      </c>
    </row>
    <row r="1897" spans="2:51" s="141" customFormat="1" x14ac:dyDescent="0.2">
      <c r="B1897" s="142"/>
      <c r="D1897" s="143" t="s">
        <v>346</v>
      </c>
      <c r="E1897" s="144"/>
      <c r="F1897" s="145" t="s">
        <v>1518</v>
      </c>
      <c r="H1897" s="144"/>
      <c r="L1897" s="142"/>
      <c r="M1897" s="146"/>
      <c r="T1897" s="147"/>
      <c r="AT1897" s="144" t="s">
        <v>346</v>
      </c>
      <c r="AU1897" s="144" t="s">
        <v>90</v>
      </c>
      <c r="AV1897" s="141" t="s">
        <v>87</v>
      </c>
      <c r="AW1897" s="141" t="s">
        <v>33</v>
      </c>
      <c r="AX1897" s="141" t="s">
        <v>80</v>
      </c>
      <c r="AY1897" s="144" t="s">
        <v>337</v>
      </c>
    </row>
    <row r="1898" spans="2:51" s="148" customFormat="1" x14ac:dyDescent="0.2">
      <c r="B1898" s="149"/>
      <c r="D1898" s="143" t="s">
        <v>346</v>
      </c>
      <c r="E1898" s="150"/>
      <c r="F1898" s="151" t="s">
        <v>1678</v>
      </c>
      <c r="H1898" s="152">
        <v>7.6</v>
      </c>
      <c r="L1898" s="149"/>
      <c r="M1898" s="153"/>
      <c r="T1898" s="154"/>
      <c r="AT1898" s="150" t="s">
        <v>346</v>
      </c>
      <c r="AU1898" s="150" t="s">
        <v>90</v>
      </c>
      <c r="AV1898" s="148" t="s">
        <v>90</v>
      </c>
      <c r="AW1898" s="148" t="s">
        <v>33</v>
      </c>
      <c r="AX1898" s="148" t="s">
        <v>80</v>
      </c>
      <c r="AY1898" s="150" t="s">
        <v>337</v>
      </c>
    </row>
    <row r="1899" spans="2:51" s="141" customFormat="1" x14ac:dyDescent="0.2">
      <c r="B1899" s="142"/>
      <c r="D1899" s="143" t="s">
        <v>346</v>
      </c>
      <c r="E1899" s="144"/>
      <c r="F1899" s="145" t="s">
        <v>1519</v>
      </c>
      <c r="H1899" s="144"/>
      <c r="L1899" s="142"/>
      <c r="M1899" s="146"/>
      <c r="T1899" s="147"/>
      <c r="AT1899" s="144" t="s">
        <v>346</v>
      </c>
      <c r="AU1899" s="144" t="s">
        <v>90</v>
      </c>
      <c r="AV1899" s="141" t="s">
        <v>87</v>
      </c>
      <c r="AW1899" s="141" t="s">
        <v>33</v>
      </c>
      <c r="AX1899" s="141" t="s">
        <v>80</v>
      </c>
      <c r="AY1899" s="144" t="s">
        <v>337</v>
      </c>
    </row>
    <row r="1900" spans="2:51" s="148" customFormat="1" x14ac:dyDescent="0.2">
      <c r="B1900" s="149"/>
      <c r="D1900" s="143" t="s">
        <v>346</v>
      </c>
      <c r="E1900" s="150"/>
      <c r="F1900" s="151" t="s">
        <v>1677</v>
      </c>
      <c r="H1900" s="152">
        <v>6.8</v>
      </c>
      <c r="L1900" s="149"/>
      <c r="M1900" s="153"/>
      <c r="T1900" s="154"/>
      <c r="AT1900" s="150" t="s">
        <v>346</v>
      </c>
      <c r="AU1900" s="150" t="s">
        <v>90</v>
      </c>
      <c r="AV1900" s="148" t="s">
        <v>90</v>
      </c>
      <c r="AW1900" s="148" t="s">
        <v>33</v>
      </c>
      <c r="AX1900" s="148" t="s">
        <v>80</v>
      </c>
      <c r="AY1900" s="150" t="s">
        <v>337</v>
      </c>
    </row>
    <row r="1901" spans="2:51" s="141" customFormat="1" x14ac:dyDescent="0.2">
      <c r="B1901" s="142"/>
      <c r="D1901" s="143" t="s">
        <v>346</v>
      </c>
      <c r="E1901" s="144"/>
      <c r="F1901" s="145" t="s">
        <v>1520</v>
      </c>
      <c r="H1901" s="144"/>
      <c r="L1901" s="142"/>
      <c r="M1901" s="146"/>
      <c r="T1901" s="147"/>
      <c r="AT1901" s="144" t="s">
        <v>346</v>
      </c>
      <c r="AU1901" s="144" t="s">
        <v>90</v>
      </c>
      <c r="AV1901" s="141" t="s">
        <v>87</v>
      </c>
      <c r="AW1901" s="141" t="s">
        <v>33</v>
      </c>
      <c r="AX1901" s="141" t="s">
        <v>80</v>
      </c>
      <c r="AY1901" s="144" t="s">
        <v>337</v>
      </c>
    </row>
    <row r="1902" spans="2:51" s="148" customFormat="1" x14ac:dyDescent="0.2">
      <c r="B1902" s="149"/>
      <c r="D1902" s="143" t="s">
        <v>346</v>
      </c>
      <c r="E1902" s="150"/>
      <c r="F1902" s="151" t="s">
        <v>1678</v>
      </c>
      <c r="H1902" s="152">
        <v>7.6</v>
      </c>
      <c r="L1902" s="149"/>
      <c r="M1902" s="153"/>
      <c r="T1902" s="154"/>
      <c r="AT1902" s="150" t="s">
        <v>346</v>
      </c>
      <c r="AU1902" s="150" t="s">
        <v>90</v>
      </c>
      <c r="AV1902" s="148" t="s">
        <v>90</v>
      </c>
      <c r="AW1902" s="148" t="s">
        <v>33</v>
      </c>
      <c r="AX1902" s="148" t="s">
        <v>80</v>
      </c>
      <c r="AY1902" s="150" t="s">
        <v>337</v>
      </c>
    </row>
    <row r="1903" spans="2:51" s="141" customFormat="1" x14ac:dyDescent="0.2">
      <c r="B1903" s="142"/>
      <c r="D1903" s="143" t="s">
        <v>346</v>
      </c>
      <c r="E1903" s="144"/>
      <c r="F1903" s="145" t="s">
        <v>1521</v>
      </c>
      <c r="H1903" s="144"/>
      <c r="L1903" s="142"/>
      <c r="M1903" s="146"/>
      <c r="T1903" s="147"/>
      <c r="AT1903" s="144" t="s">
        <v>346</v>
      </c>
      <c r="AU1903" s="144" t="s">
        <v>90</v>
      </c>
      <c r="AV1903" s="141" t="s">
        <v>87</v>
      </c>
      <c r="AW1903" s="141" t="s">
        <v>33</v>
      </c>
      <c r="AX1903" s="141" t="s">
        <v>80</v>
      </c>
      <c r="AY1903" s="144" t="s">
        <v>337</v>
      </c>
    </row>
    <row r="1904" spans="2:51" s="148" customFormat="1" x14ac:dyDescent="0.2">
      <c r="B1904" s="149"/>
      <c r="D1904" s="143" t="s">
        <v>346</v>
      </c>
      <c r="E1904" s="150"/>
      <c r="F1904" s="151" t="s">
        <v>1677</v>
      </c>
      <c r="H1904" s="152">
        <v>6.8</v>
      </c>
      <c r="L1904" s="149"/>
      <c r="M1904" s="153"/>
      <c r="T1904" s="154"/>
      <c r="AT1904" s="150" t="s">
        <v>346</v>
      </c>
      <c r="AU1904" s="150" t="s">
        <v>90</v>
      </c>
      <c r="AV1904" s="148" t="s">
        <v>90</v>
      </c>
      <c r="AW1904" s="148" t="s">
        <v>33</v>
      </c>
      <c r="AX1904" s="148" t="s">
        <v>80</v>
      </c>
      <c r="AY1904" s="150" t="s">
        <v>337</v>
      </c>
    </row>
    <row r="1905" spans="2:65" s="172" customFormat="1" x14ac:dyDescent="0.2">
      <c r="B1905" s="173"/>
      <c r="D1905" s="143" t="s">
        <v>346</v>
      </c>
      <c r="E1905" s="174" t="s">
        <v>292</v>
      </c>
      <c r="F1905" s="175" t="s">
        <v>609</v>
      </c>
      <c r="H1905" s="176">
        <v>70.5</v>
      </c>
      <c r="L1905" s="173"/>
      <c r="M1905" s="177"/>
      <c r="T1905" s="178"/>
      <c r="AT1905" s="174" t="s">
        <v>346</v>
      </c>
      <c r="AU1905" s="174" t="s">
        <v>90</v>
      </c>
      <c r="AV1905" s="172" t="s">
        <v>113</v>
      </c>
      <c r="AW1905" s="172" t="s">
        <v>33</v>
      </c>
      <c r="AX1905" s="172" t="s">
        <v>87</v>
      </c>
      <c r="AY1905" s="174" t="s">
        <v>337</v>
      </c>
    </row>
    <row r="1906" spans="2:65" s="16" customFormat="1" ht="16.5" customHeight="1" x14ac:dyDescent="0.2">
      <c r="B1906" s="17"/>
      <c r="C1906" s="128">
        <v>149</v>
      </c>
      <c r="D1906" s="162" t="s">
        <v>519</v>
      </c>
      <c r="E1906" s="163" t="s">
        <v>1679</v>
      </c>
      <c r="F1906" s="164" t="s">
        <v>1680</v>
      </c>
      <c r="G1906" s="165" t="s">
        <v>724</v>
      </c>
      <c r="H1906" s="166">
        <v>77.55</v>
      </c>
      <c r="I1906" s="167"/>
      <c r="J1906" s="168">
        <f>ROUND(I1906*H1906,2)</f>
        <v>0</v>
      </c>
      <c r="K1906" s="164"/>
      <c r="L1906" s="169"/>
      <c r="M1906" s="170"/>
      <c r="N1906" s="171" t="s">
        <v>45</v>
      </c>
      <c r="P1906" s="137">
        <f>O1906*H1906</f>
        <v>0</v>
      </c>
      <c r="Q1906" s="137">
        <v>2.64E-3</v>
      </c>
      <c r="R1906" s="137">
        <f>Q1906*H1906</f>
        <v>0.204732</v>
      </c>
      <c r="S1906" s="137">
        <v>0</v>
      </c>
      <c r="T1906" s="138">
        <f>S1906*H1906</f>
        <v>0</v>
      </c>
      <c r="AR1906" s="139" t="s">
        <v>621</v>
      </c>
      <c r="AT1906" s="139" t="s">
        <v>519</v>
      </c>
      <c r="AU1906" s="139" t="s">
        <v>90</v>
      </c>
      <c r="AY1906" s="2" t="s">
        <v>337</v>
      </c>
      <c r="BE1906" s="140">
        <f>IF(N1906="základní",J1906,0)</f>
        <v>0</v>
      </c>
      <c r="BF1906" s="140">
        <f>IF(N1906="snížená",J1906,0)</f>
        <v>0</v>
      </c>
      <c r="BG1906" s="140">
        <f>IF(N1906="zákl. přenesená",J1906,0)</f>
        <v>0</v>
      </c>
      <c r="BH1906" s="140">
        <f>IF(N1906="sníž. přenesená",J1906,0)</f>
        <v>0</v>
      </c>
      <c r="BI1906" s="140">
        <f>IF(N1906="nulová",J1906,0)</f>
        <v>0</v>
      </c>
      <c r="BJ1906" s="2" t="s">
        <v>87</v>
      </c>
      <c r="BK1906" s="140">
        <f>ROUND(I1906*H1906,2)</f>
        <v>0</v>
      </c>
      <c r="BL1906" s="2" t="s">
        <v>496</v>
      </c>
      <c r="BM1906" s="139" t="s">
        <v>1681</v>
      </c>
    </row>
    <row r="1907" spans="2:65" s="148" customFormat="1" x14ac:dyDescent="0.2">
      <c r="B1907" s="149"/>
      <c r="D1907" s="143" t="s">
        <v>346</v>
      </c>
      <c r="F1907" s="151" t="s">
        <v>1682</v>
      </c>
      <c r="H1907" s="152">
        <v>77.55</v>
      </c>
      <c r="L1907" s="149"/>
      <c r="M1907" s="153"/>
      <c r="T1907" s="154"/>
      <c r="AT1907" s="150" t="s">
        <v>346</v>
      </c>
      <c r="AU1907" s="150" t="s">
        <v>90</v>
      </c>
      <c r="AV1907" s="148" t="s">
        <v>90</v>
      </c>
      <c r="AW1907" s="148" t="s">
        <v>3</v>
      </c>
      <c r="AX1907" s="148" t="s">
        <v>87</v>
      </c>
      <c r="AY1907" s="150" t="s">
        <v>337</v>
      </c>
    </row>
    <row r="1908" spans="2:65" s="16" customFormat="1" ht="21.75" customHeight="1" x14ac:dyDescent="0.2">
      <c r="B1908" s="17"/>
      <c r="C1908" s="128">
        <v>150</v>
      </c>
      <c r="D1908" s="128" t="s">
        <v>339</v>
      </c>
      <c r="E1908" s="129" t="s">
        <v>1684</v>
      </c>
      <c r="F1908" s="130" t="s">
        <v>1685</v>
      </c>
      <c r="G1908" s="131" t="s">
        <v>425</v>
      </c>
      <c r="H1908" s="132">
        <v>815.17</v>
      </c>
      <c r="I1908" s="133"/>
      <c r="J1908" s="134">
        <f>ROUND(I1908*H1908,2)</f>
        <v>0</v>
      </c>
      <c r="K1908" s="130" t="s">
        <v>343</v>
      </c>
      <c r="L1908" s="17"/>
      <c r="M1908" s="135"/>
      <c r="N1908" s="136" t="s">
        <v>45</v>
      </c>
      <c r="P1908" s="137">
        <f>O1908*H1908</f>
        <v>0</v>
      </c>
      <c r="Q1908" s="137">
        <v>8.9700000000000005E-3</v>
      </c>
      <c r="R1908" s="137">
        <f>Q1908*H1908</f>
        <v>7.3120748999999998</v>
      </c>
      <c r="S1908" s="137">
        <v>0</v>
      </c>
      <c r="T1908" s="138">
        <f>S1908*H1908</f>
        <v>0</v>
      </c>
      <c r="AR1908" s="139" t="s">
        <v>496</v>
      </c>
      <c r="AT1908" s="139" t="s">
        <v>339</v>
      </c>
      <c r="AU1908" s="139" t="s">
        <v>90</v>
      </c>
      <c r="AY1908" s="2" t="s">
        <v>337</v>
      </c>
      <c r="BE1908" s="140">
        <f>IF(N1908="základní",J1908,0)</f>
        <v>0</v>
      </c>
      <c r="BF1908" s="140">
        <f>IF(N1908="snížená",J1908,0)</f>
        <v>0</v>
      </c>
      <c r="BG1908" s="140">
        <f>IF(N1908="zákl. přenesená",J1908,0)</f>
        <v>0</v>
      </c>
      <c r="BH1908" s="140">
        <f>IF(N1908="sníž. přenesená",J1908,0)</f>
        <v>0</v>
      </c>
      <c r="BI1908" s="140">
        <f>IF(N1908="nulová",J1908,0)</f>
        <v>0</v>
      </c>
      <c r="BJ1908" s="2" t="s">
        <v>87</v>
      </c>
      <c r="BK1908" s="140">
        <f>ROUND(I1908*H1908,2)</f>
        <v>0</v>
      </c>
      <c r="BL1908" s="2" t="s">
        <v>496</v>
      </c>
      <c r="BM1908" s="139" t="s">
        <v>1686</v>
      </c>
    </row>
    <row r="1909" spans="2:65" s="141" customFormat="1" x14ac:dyDescent="0.2">
      <c r="B1909" s="142"/>
      <c r="D1909" s="143" t="s">
        <v>346</v>
      </c>
      <c r="E1909" s="144"/>
      <c r="F1909" s="145" t="s">
        <v>1687</v>
      </c>
      <c r="H1909" s="144"/>
      <c r="L1909" s="142"/>
      <c r="M1909" s="146"/>
      <c r="T1909" s="147"/>
      <c r="AT1909" s="144" t="s">
        <v>346</v>
      </c>
      <c r="AU1909" s="144" t="s">
        <v>90</v>
      </c>
      <c r="AV1909" s="141" t="s">
        <v>87</v>
      </c>
      <c r="AW1909" s="141" t="s">
        <v>33</v>
      </c>
      <c r="AX1909" s="141" t="s">
        <v>80</v>
      </c>
      <c r="AY1909" s="144" t="s">
        <v>337</v>
      </c>
    </row>
    <row r="1910" spans="2:65" s="141" customFormat="1" x14ac:dyDescent="0.2">
      <c r="B1910" s="142"/>
      <c r="D1910" s="143" t="s">
        <v>346</v>
      </c>
      <c r="E1910" s="144"/>
      <c r="F1910" s="145" t="s">
        <v>1688</v>
      </c>
      <c r="H1910" s="144"/>
      <c r="L1910" s="142"/>
      <c r="M1910" s="146"/>
      <c r="T1910" s="147"/>
      <c r="AT1910" s="144" t="s">
        <v>346</v>
      </c>
      <c r="AU1910" s="144" t="s">
        <v>90</v>
      </c>
      <c r="AV1910" s="141" t="s">
        <v>87</v>
      </c>
      <c r="AW1910" s="141" t="s">
        <v>33</v>
      </c>
      <c r="AX1910" s="141" t="s">
        <v>80</v>
      </c>
      <c r="AY1910" s="144" t="s">
        <v>337</v>
      </c>
    </row>
    <row r="1911" spans="2:65" s="148" customFormat="1" x14ac:dyDescent="0.2">
      <c r="B1911" s="149"/>
      <c r="D1911" s="143" t="s">
        <v>346</v>
      </c>
      <c r="E1911" s="150"/>
      <c r="F1911" s="151" t="s">
        <v>1689</v>
      </c>
      <c r="H1911" s="152">
        <v>900.49</v>
      </c>
      <c r="L1911" s="149"/>
      <c r="M1911" s="153"/>
      <c r="T1911" s="154"/>
      <c r="AT1911" s="150" t="s">
        <v>346</v>
      </c>
      <c r="AU1911" s="150" t="s">
        <v>90</v>
      </c>
      <c r="AV1911" s="148" t="s">
        <v>90</v>
      </c>
      <c r="AW1911" s="148" t="s">
        <v>33</v>
      </c>
      <c r="AX1911" s="148" t="s">
        <v>80</v>
      </c>
      <c r="AY1911" s="150" t="s">
        <v>337</v>
      </c>
    </row>
    <row r="1912" spans="2:65" s="141" customFormat="1" x14ac:dyDescent="0.2">
      <c r="B1912" s="142"/>
      <c r="D1912" s="143" t="s">
        <v>346</v>
      </c>
      <c r="E1912" s="144"/>
      <c r="F1912" s="145" t="s">
        <v>1690</v>
      </c>
      <c r="H1912" s="144"/>
      <c r="L1912" s="142"/>
      <c r="M1912" s="146"/>
      <c r="T1912" s="147"/>
      <c r="AT1912" s="144" t="s">
        <v>346</v>
      </c>
      <c r="AU1912" s="144" t="s">
        <v>90</v>
      </c>
      <c r="AV1912" s="141" t="s">
        <v>87</v>
      </c>
      <c r="AW1912" s="141" t="s">
        <v>33</v>
      </c>
      <c r="AX1912" s="141" t="s">
        <v>80</v>
      </c>
      <c r="AY1912" s="144" t="s">
        <v>337</v>
      </c>
    </row>
    <row r="1913" spans="2:65" s="148" customFormat="1" x14ac:dyDescent="0.2">
      <c r="B1913" s="149"/>
      <c r="D1913" s="143" t="s">
        <v>346</v>
      </c>
      <c r="E1913" s="150"/>
      <c r="F1913" s="151" t="s">
        <v>1691</v>
      </c>
      <c r="H1913" s="152">
        <v>-85.32</v>
      </c>
      <c r="L1913" s="149"/>
      <c r="M1913" s="153"/>
      <c r="T1913" s="154"/>
      <c r="AT1913" s="150" t="s">
        <v>346</v>
      </c>
      <c r="AU1913" s="150" t="s">
        <v>90</v>
      </c>
      <c r="AV1913" s="148" t="s">
        <v>90</v>
      </c>
      <c r="AW1913" s="148" t="s">
        <v>33</v>
      </c>
      <c r="AX1913" s="148" t="s">
        <v>80</v>
      </c>
      <c r="AY1913" s="150" t="s">
        <v>337</v>
      </c>
    </row>
    <row r="1914" spans="2:65" s="172" customFormat="1" x14ac:dyDescent="0.2">
      <c r="B1914" s="173"/>
      <c r="D1914" s="143" t="s">
        <v>346</v>
      </c>
      <c r="E1914" s="174" t="s">
        <v>177</v>
      </c>
      <c r="F1914" s="175" t="s">
        <v>609</v>
      </c>
      <c r="H1914" s="176">
        <v>815.17</v>
      </c>
      <c r="L1914" s="173"/>
      <c r="M1914" s="177"/>
      <c r="T1914" s="178"/>
      <c r="AT1914" s="174" t="s">
        <v>346</v>
      </c>
      <c r="AU1914" s="174" t="s">
        <v>90</v>
      </c>
      <c r="AV1914" s="172" t="s">
        <v>113</v>
      </c>
      <c r="AW1914" s="172" t="s">
        <v>33</v>
      </c>
      <c r="AX1914" s="172" t="s">
        <v>87</v>
      </c>
      <c r="AY1914" s="174" t="s">
        <v>337</v>
      </c>
    </row>
    <row r="1915" spans="2:65" s="16" customFormat="1" ht="24.2" customHeight="1" x14ac:dyDescent="0.2">
      <c r="B1915" s="17"/>
      <c r="C1915" s="128">
        <v>151</v>
      </c>
      <c r="D1915" s="162" t="s">
        <v>519</v>
      </c>
      <c r="E1915" s="163" t="s">
        <v>1692</v>
      </c>
      <c r="F1915" s="164" t="s">
        <v>1693</v>
      </c>
      <c r="G1915" s="165" t="s">
        <v>425</v>
      </c>
      <c r="H1915" s="166">
        <v>1089.528</v>
      </c>
      <c r="I1915" s="167"/>
      <c r="J1915" s="168">
        <f>ROUND(I1915*H1915,2)</f>
        <v>0</v>
      </c>
      <c r="K1915" s="164"/>
      <c r="L1915" s="169"/>
      <c r="M1915" s="170"/>
      <c r="N1915" s="171" t="s">
        <v>45</v>
      </c>
      <c r="P1915" s="137">
        <f>O1915*H1915</f>
        <v>0</v>
      </c>
      <c r="Q1915" s="137">
        <v>2.1999999999999999E-2</v>
      </c>
      <c r="R1915" s="137">
        <f>Q1915*H1915</f>
        <v>23.969615999999998</v>
      </c>
      <c r="S1915" s="137">
        <v>0</v>
      </c>
      <c r="T1915" s="138">
        <f>S1915*H1915</f>
        <v>0</v>
      </c>
      <c r="AR1915" s="139" t="s">
        <v>621</v>
      </c>
      <c r="AT1915" s="139" t="s">
        <v>519</v>
      </c>
      <c r="AU1915" s="139" t="s">
        <v>90</v>
      </c>
      <c r="AY1915" s="2" t="s">
        <v>337</v>
      </c>
      <c r="BE1915" s="140">
        <f>IF(N1915="základní",J1915,0)</f>
        <v>0</v>
      </c>
      <c r="BF1915" s="140">
        <f>IF(N1915="snížená",J1915,0)</f>
        <v>0</v>
      </c>
      <c r="BG1915" s="140">
        <f>IF(N1915="zákl. přenesená",J1915,0)</f>
        <v>0</v>
      </c>
      <c r="BH1915" s="140">
        <f>IF(N1915="sníž. přenesená",J1915,0)</f>
        <v>0</v>
      </c>
      <c r="BI1915" s="140">
        <f>IF(N1915="nulová",J1915,0)</f>
        <v>0</v>
      </c>
      <c r="BJ1915" s="2" t="s">
        <v>87</v>
      </c>
      <c r="BK1915" s="140">
        <f>ROUND(I1915*H1915,2)</f>
        <v>0</v>
      </c>
      <c r="BL1915" s="2" t="s">
        <v>496</v>
      </c>
      <c r="BM1915" s="139" t="s">
        <v>1694</v>
      </c>
    </row>
    <row r="1916" spans="2:65" s="148" customFormat="1" x14ac:dyDescent="0.2">
      <c r="B1916" s="149"/>
      <c r="D1916" s="143" t="s">
        <v>346</v>
      </c>
      <c r="E1916" s="150"/>
      <c r="F1916" s="151" t="s">
        <v>177</v>
      </c>
      <c r="H1916" s="152">
        <v>815.17</v>
      </c>
      <c r="L1916" s="149"/>
      <c r="M1916" s="153"/>
      <c r="T1916" s="154"/>
      <c r="AT1916" s="150" t="s">
        <v>346</v>
      </c>
      <c r="AU1916" s="150" t="s">
        <v>90</v>
      </c>
      <c r="AV1916" s="148" t="s">
        <v>90</v>
      </c>
      <c r="AW1916" s="148" t="s">
        <v>33</v>
      </c>
      <c r="AX1916" s="148" t="s">
        <v>80</v>
      </c>
      <c r="AY1916" s="150" t="s">
        <v>337</v>
      </c>
    </row>
    <row r="1917" spans="2:65" s="141" customFormat="1" x14ac:dyDescent="0.2">
      <c r="B1917" s="142"/>
      <c r="D1917" s="143" t="s">
        <v>346</v>
      </c>
      <c r="E1917" s="144"/>
      <c r="F1917" s="145" t="s">
        <v>1695</v>
      </c>
      <c r="H1917" s="144"/>
      <c r="L1917" s="142"/>
      <c r="M1917" s="146"/>
      <c r="T1917" s="147"/>
      <c r="AT1917" s="144" t="s">
        <v>346</v>
      </c>
      <c r="AU1917" s="144" t="s">
        <v>90</v>
      </c>
      <c r="AV1917" s="141" t="s">
        <v>87</v>
      </c>
      <c r="AW1917" s="141" t="s">
        <v>33</v>
      </c>
      <c r="AX1917" s="141" t="s">
        <v>80</v>
      </c>
      <c r="AY1917" s="144" t="s">
        <v>337</v>
      </c>
    </row>
    <row r="1918" spans="2:65" s="148" customFormat="1" x14ac:dyDescent="0.2">
      <c r="B1918" s="149"/>
      <c r="D1918" s="143" t="s">
        <v>346</v>
      </c>
      <c r="E1918" s="150"/>
      <c r="F1918" s="151" t="s">
        <v>1696</v>
      </c>
      <c r="H1918" s="152">
        <v>85.32</v>
      </c>
      <c r="L1918" s="149"/>
      <c r="M1918" s="153"/>
      <c r="T1918" s="154"/>
      <c r="AT1918" s="150" t="s">
        <v>346</v>
      </c>
      <c r="AU1918" s="150" t="s">
        <v>90</v>
      </c>
      <c r="AV1918" s="148" t="s">
        <v>90</v>
      </c>
      <c r="AW1918" s="148" t="s">
        <v>33</v>
      </c>
      <c r="AX1918" s="148" t="s">
        <v>80</v>
      </c>
      <c r="AY1918" s="150" t="s">
        <v>337</v>
      </c>
    </row>
    <row r="1919" spans="2:65" s="141" customFormat="1" x14ac:dyDescent="0.2">
      <c r="B1919" s="142"/>
      <c r="D1919" s="143" t="s">
        <v>346</v>
      </c>
      <c r="E1919" s="144"/>
      <c r="F1919" s="145" t="s">
        <v>1697</v>
      </c>
      <c r="H1919" s="144"/>
      <c r="L1919" s="142"/>
      <c r="M1919" s="146"/>
      <c r="T1919" s="147"/>
      <c r="AT1919" s="144" t="s">
        <v>346</v>
      </c>
      <c r="AU1919" s="144" t="s">
        <v>90</v>
      </c>
      <c r="AV1919" s="141" t="s">
        <v>87</v>
      </c>
      <c r="AW1919" s="141" t="s">
        <v>33</v>
      </c>
      <c r="AX1919" s="141" t="s">
        <v>80</v>
      </c>
      <c r="AY1919" s="144" t="s">
        <v>337</v>
      </c>
    </row>
    <row r="1920" spans="2:65" s="148" customFormat="1" x14ac:dyDescent="0.2">
      <c r="B1920" s="149"/>
      <c r="D1920" s="143" t="s">
        <v>346</v>
      </c>
      <c r="E1920" s="150"/>
      <c r="F1920" s="151" t="s">
        <v>1698</v>
      </c>
      <c r="H1920" s="152">
        <v>46.926000000000002</v>
      </c>
      <c r="L1920" s="149"/>
      <c r="M1920" s="153"/>
      <c r="T1920" s="154"/>
      <c r="AT1920" s="150" t="s">
        <v>346</v>
      </c>
      <c r="AU1920" s="150" t="s">
        <v>90</v>
      </c>
      <c r="AV1920" s="148" t="s">
        <v>90</v>
      </c>
      <c r="AW1920" s="148" t="s">
        <v>33</v>
      </c>
      <c r="AX1920" s="148" t="s">
        <v>80</v>
      </c>
      <c r="AY1920" s="150" t="s">
        <v>337</v>
      </c>
    </row>
    <row r="1921" spans="2:65" s="141" customFormat="1" ht="22.5" x14ac:dyDescent="0.2">
      <c r="B1921" s="142"/>
      <c r="D1921" s="143" t="s">
        <v>346</v>
      </c>
      <c r="E1921" s="144"/>
      <c r="F1921" s="145" t="s">
        <v>1699</v>
      </c>
      <c r="H1921" s="144"/>
      <c r="L1921" s="142"/>
      <c r="M1921" s="146"/>
      <c r="T1921" s="147"/>
      <c r="AT1921" s="144" t="s">
        <v>346</v>
      </c>
      <c r="AU1921" s="144" t="s">
        <v>90</v>
      </c>
      <c r="AV1921" s="141" t="s">
        <v>87</v>
      </c>
      <c r="AW1921" s="141" t="s">
        <v>33</v>
      </c>
      <c r="AX1921" s="141" t="s">
        <v>80</v>
      </c>
      <c r="AY1921" s="144" t="s">
        <v>337</v>
      </c>
    </row>
    <row r="1922" spans="2:65" s="155" customFormat="1" x14ac:dyDescent="0.2">
      <c r="B1922" s="156"/>
      <c r="D1922" s="143" t="s">
        <v>346</v>
      </c>
      <c r="E1922" s="157"/>
      <c r="F1922" s="158" t="s">
        <v>351</v>
      </c>
      <c r="H1922" s="159">
        <v>947.41600000000005</v>
      </c>
      <c r="L1922" s="156"/>
      <c r="M1922" s="160"/>
      <c r="T1922" s="161"/>
      <c r="AT1922" s="157" t="s">
        <v>346</v>
      </c>
      <c r="AU1922" s="157" t="s">
        <v>90</v>
      </c>
      <c r="AV1922" s="155" t="s">
        <v>344</v>
      </c>
      <c r="AW1922" s="155" t="s">
        <v>33</v>
      </c>
      <c r="AX1922" s="155" t="s">
        <v>87</v>
      </c>
      <c r="AY1922" s="157" t="s">
        <v>337</v>
      </c>
    </row>
    <row r="1923" spans="2:65" s="148" customFormat="1" x14ac:dyDescent="0.2">
      <c r="B1923" s="149"/>
      <c r="D1923" s="143" t="s">
        <v>346</v>
      </c>
      <c r="F1923" s="151" t="s">
        <v>1700</v>
      </c>
      <c r="H1923" s="152">
        <v>1089.528</v>
      </c>
      <c r="L1923" s="149"/>
      <c r="M1923" s="153"/>
      <c r="T1923" s="154"/>
      <c r="AT1923" s="150" t="s">
        <v>346</v>
      </c>
      <c r="AU1923" s="150" t="s">
        <v>90</v>
      </c>
      <c r="AV1923" s="148" t="s">
        <v>90</v>
      </c>
      <c r="AW1923" s="148" t="s">
        <v>3</v>
      </c>
      <c r="AX1923" s="148" t="s">
        <v>87</v>
      </c>
      <c r="AY1923" s="150" t="s">
        <v>337</v>
      </c>
    </row>
    <row r="1924" spans="2:65" s="16" customFormat="1" ht="21.75" customHeight="1" x14ac:dyDescent="0.2">
      <c r="B1924" s="17"/>
      <c r="C1924" s="128">
        <v>152</v>
      </c>
      <c r="D1924" s="128" t="s">
        <v>339</v>
      </c>
      <c r="E1924" s="129" t="s">
        <v>1702</v>
      </c>
      <c r="F1924" s="130" t="s">
        <v>1703</v>
      </c>
      <c r="G1924" s="131" t="s">
        <v>425</v>
      </c>
      <c r="H1924" s="132">
        <v>244.59</v>
      </c>
      <c r="I1924" s="133"/>
      <c r="J1924" s="134">
        <f>ROUND(I1924*H1924,2)</f>
        <v>0</v>
      </c>
      <c r="K1924" s="130" t="s">
        <v>343</v>
      </c>
      <c r="L1924" s="17"/>
      <c r="M1924" s="135"/>
      <c r="N1924" s="136" t="s">
        <v>45</v>
      </c>
      <c r="P1924" s="137">
        <f>O1924*H1924</f>
        <v>0</v>
      </c>
      <c r="Q1924" s="137">
        <v>9.0900000000000009E-3</v>
      </c>
      <c r="R1924" s="137">
        <f>Q1924*H1924</f>
        <v>2.2233231000000004</v>
      </c>
      <c r="S1924" s="137">
        <v>0</v>
      </c>
      <c r="T1924" s="138">
        <f>S1924*H1924</f>
        <v>0</v>
      </c>
      <c r="AR1924" s="139" t="s">
        <v>496</v>
      </c>
      <c r="AT1924" s="139" t="s">
        <v>339</v>
      </c>
      <c r="AU1924" s="139" t="s">
        <v>90</v>
      </c>
      <c r="AY1924" s="2" t="s">
        <v>337</v>
      </c>
      <c r="BE1924" s="140">
        <f>IF(N1924="základní",J1924,0)</f>
        <v>0</v>
      </c>
      <c r="BF1924" s="140">
        <f>IF(N1924="snížená",J1924,0)</f>
        <v>0</v>
      </c>
      <c r="BG1924" s="140">
        <f>IF(N1924="zákl. přenesená",J1924,0)</f>
        <v>0</v>
      </c>
      <c r="BH1924" s="140">
        <f>IF(N1924="sníž. přenesená",J1924,0)</f>
        <v>0</v>
      </c>
      <c r="BI1924" s="140">
        <f>IF(N1924="nulová",J1924,0)</f>
        <v>0</v>
      </c>
      <c r="BJ1924" s="2" t="s">
        <v>87</v>
      </c>
      <c r="BK1924" s="140">
        <f>ROUND(I1924*H1924,2)</f>
        <v>0</v>
      </c>
      <c r="BL1924" s="2" t="s">
        <v>496</v>
      </c>
      <c r="BM1924" s="139" t="s">
        <v>1704</v>
      </c>
    </row>
    <row r="1925" spans="2:65" s="141" customFormat="1" x14ac:dyDescent="0.2">
      <c r="B1925" s="142"/>
      <c r="D1925" s="143" t="s">
        <v>346</v>
      </c>
      <c r="E1925" s="144"/>
      <c r="F1925" s="145" t="s">
        <v>884</v>
      </c>
      <c r="H1925" s="144"/>
      <c r="L1925" s="142"/>
      <c r="M1925" s="146"/>
      <c r="T1925" s="147"/>
      <c r="AT1925" s="144" t="s">
        <v>346</v>
      </c>
      <c r="AU1925" s="144" t="s">
        <v>90</v>
      </c>
      <c r="AV1925" s="141" t="s">
        <v>87</v>
      </c>
      <c r="AW1925" s="141" t="s">
        <v>33</v>
      </c>
      <c r="AX1925" s="141" t="s">
        <v>80</v>
      </c>
      <c r="AY1925" s="144" t="s">
        <v>337</v>
      </c>
    </row>
    <row r="1926" spans="2:65" s="141" customFormat="1" x14ac:dyDescent="0.2">
      <c r="B1926" s="142"/>
      <c r="D1926" s="143" t="s">
        <v>346</v>
      </c>
      <c r="E1926" s="144"/>
      <c r="F1926" s="145" t="s">
        <v>1705</v>
      </c>
      <c r="H1926" s="144"/>
      <c r="L1926" s="142"/>
      <c r="M1926" s="146"/>
      <c r="T1926" s="147"/>
      <c r="AT1926" s="144" t="s">
        <v>346</v>
      </c>
      <c r="AU1926" s="144" t="s">
        <v>90</v>
      </c>
      <c r="AV1926" s="141" t="s">
        <v>87</v>
      </c>
      <c r="AW1926" s="141" t="s">
        <v>33</v>
      </c>
      <c r="AX1926" s="141" t="s">
        <v>80</v>
      </c>
      <c r="AY1926" s="144" t="s">
        <v>337</v>
      </c>
    </row>
    <row r="1927" spans="2:65" s="148" customFormat="1" x14ac:dyDescent="0.2">
      <c r="B1927" s="149"/>
      <c r="D1927" s="143" t="s">
        <v>346</v>
      </c>
      <c r="E1927" s="150"/>
      <c r="F1927" s="151" t="s">
        <v>183</v>
      </c>
      <c r="H1927" s="152">
        <v>160.24</v>
      </c>
      <c r="L1927" s="149"/>
      <c r="M1927" s="153"/>
      <c r="T1927" s="154"/>
      <c r="AT1927" s="150" t="s">
        <v>346</v>
      </c>
      <c r="AU1927" s="150" t="s">
        <v>90</v>
      </c>
      <c r="AV1927" s="148" t="s">
        <v>90</v>
      </c>
      <c r="AW1927" s="148" t="s">
        <v>33</v>
      </c>
      <c r="AX1927" s="148" t="s">
        <v>80</v>
      </c>
      <c r="AY1927" s="150" t="s">
        <v>337</v>
      </c>
    </row>
    <row r="1928" spans="2:65" s="172" customFormat="1" x14ac:dyDescent="0.2">
      <c r="B1928" s="173"/>
      <c r="D1928" s="143" t="s">
        <v>346</v>
      </c>
      <c r="E1928" s="174" t="s">
        <v>182</v>
      </c>
      <c r="F1928" s="175" t="s">
        <v>609</v>
      </c>
      <c r="H1928" s="176">
        <v>160.24</v>
      </c>
      <c r="L1928" s="173"/>
      <c r="M1928" s="177"/>
      <c r="T1928" s="178"/>
      <c r="AT1928" s="174" t="s">
        <v>346</v>
      </c>
      <c r="AU1928" s="174" t="s">
        <v>90</v>
      </c>
      <c r="AV1928" s="172" t="s">
        <v>113</v>
      </c>
      <c r="AW1928" s="172" t="s">
        <v>33</v>
      </c>
      <c r="AX1928" s="172" t="s">
        <v>80</v>
      </c>
      <c r="AY1928" s="174" t="s">
        <v>337</v>
      </c>
    </row>
    <row r="1929" spans="2:65" s="141" customFormat="1" x14ac:dyDescent="0.2">
      <c r="B1929" s="142"/>
      <c r="D1929" s="143" t="s">
        <v>346</v>
      </c>
      <c r="E1929" s="144"/>
      <c r="F1929" s="145" t="s">
        <v>1706</v>
      </c>
      <c r="H1929" s="144"/>
      <c r="L1929" s="142"/>
      <c r="M1929" s="146"/>
      <c r="T1929" s="147"/>
      <c r="AT1929" s="144" t="s">
        <v>346</v>
      </c>
      <c r="AU1929" s="144" t="s">
        <v>90</v>
      </c>
      <c r="AV1929" s="141" t="s">
        <v>87</v>
      </c>
      <c r="AW1929" s="141" t="s">
        <v>33</v>
      </c>
      <c r="AX1929" s="141" t="s">
        <v>80</v>
      </c>
      <c r="AY1929" s="144" t="s">
        <v>337</v>
      </c>
    </row>
    <row r="1930" spans="2:65" s="148" customFormat="1" x14ac:dyDescent="0.2">
      <c r="B1930" s="149"/>
      <c r="D1930" s="143" t="s">
        <v>346</v>
      </c>
      <c r="E1930" s="150"/>
      <c r="F1930" s="151" t="s">
        <v>187</v>
      </c>
      <c r="H1930" s="152">
        <v>84.35</v>
      </c>
      <c r="L1930" s="149"/>
      <c r="M1930" s="153"/>
      <c r="T1930" s="154"/>
      <c r="AT1930" s="150" t="s">
        <v>346</v>
      </c>
      <c r="AU1930" s="150" t="s">
        <v>90</v>
      </c>
      <c r="AV1930" s="148" t="s">
        <v>90</v>
      </c>
      <c r="AW1930" s="148" t="s">
        <v>33</v>
      </c>
      <c r="AX1930" s="148" t="s">
        <v>80</v>
      </c>
      <c r="AY1930" s="150" t="s">
        <v>337</v>
      </c>
    </row>
    <row r="1931" spans="2:65" s="172" customFormat="1" x14ac:dyDescent="0.2">
      <c r="B1931" s="173"/>
      <c r="D1931" s="143" t="s">
        <v>346</v>
      </c>
      <c r="E1931" s="174" t="s">
        <v>186</v>
      </c>
      <c r="F1931" s="175" t="s">
        <v>609</v>
      </c>
      <c r="H1931" s="176">
        <v>84.35</v>
      </c>
      <c r="L1931" s="173"/>
      <c r="M1931" s="177"/>
      <c r="T1931" s="178"/>
      <c r="AT1931" s="174" t="s">
        <v>346</v>
      </c>
      <c r="AU1931" s="174" t="s">
        <v>90</v>
      </c>
      <c r="AV1931" s="172" t="s">
        <v>113</v>
      </c>
      <c r="AW1931" s="172" t="s">
        <v>33</v>
      </c>
      <c r="AX1931" s="172" t="s">
        <v>80</v>
      </c>
      <c r="AY1931" s="174" t="s">
        <v>337</v>
      </c>
    </row>
    <row r="1932" spans="2:65" s="155" customFormat="1" x14ac:dyDescent="0.2">
      <c r="B1932" s="156"/>
      <c r="D1932" s="143" t="s">
        <v>346</v>
      </c>
      <c r="E1932" s="157"/>
      <c r="F1932" s="158" t="s">
        <v>351</v>
      </c>
      <c r="H1932" s="159">
        <v>244.59</v>
      </c>
      <c r="L1932" s="156"/>
      <c r="M1932" s="160"/>
      <c r="T1932" s="161"/>
      <c r="AT1932" s="157" t="s">
        <v>346</v>
      </c>
      <c r="AU1932" s="157" t="s">
        <v>90</v>
      </c>
      <c r="AV1932" s="155" t="s">
        <v>344</v>
      </c>
      <c r="AW1932" s="155" t="s">
        <v>33</v>
      </c>
      <c r="AX1932" s="155" t="s">
        <v>87</v>
      </c>
      <c r="AY1932" s="157" t="s">
        <v>337</v>
      </c>
    </row>
    <row r="1933" spans="2:65" s="16" customFormat="1" ht="33" customHeight="1" x14ac:dyDescent="0.2">
      <c r="B1933" s="17"/>
      <c r="C1933" s="128">
        <v>153</v>
      </c>
      <c r="D1933" s="162" t="s">
        <v>519</v>
      </c>
      <c r="E1933" s="163" t="s">
        <v>1707</v>
      </c>
      <c r="F1933" s="164" t="s">
        <v>1708</v>
      </c>
      <c r="G1933" s="165" t="s">
        <v>425</v>
      </c>
      <c r="H1933" s="166">
        <v>176.26400000000001</v>
      </c>
      <c r="I1933" s="167"/>
      <c r="J1933" s="168">
        <f>ROUND(I1933*H1933,2)</f>
        <v>0</v>
      </c>
      <c r="K1933" s="164"/>
      <c r="L1933" s="169"/>
      <c r="M1933" s="170"/>
      <c r="N1933" s="171" t="s">
        <v>45</v>
      </c>
      <c r="P1933" s="137">
        <f>O1933*H1933</f>
        <v>0</v>
      </c>
      <c r="Q1933" s="137">
        <v>2.1999999999999999E-2</v>
      </c>
      <c r="R1933" s="137">
        <f>Q1933*H1933</f>
        <v>3.8778079999999999</v>
      </c>
      <c r="S1933" s="137">
        <v>0</v>
      </c>
      <c r="T1933" s="138">
        <f>S1933*H1933</f>
        <v>0</v>
      </c>
      <c r="AR1933" s="139" t="s">
        <v>621</v>
      </c>
      <c r="AT1933" s="139" t="s">
        <v>519</v>
      </c>
      <c r="AU1933" s="139" t="s">
        <v>90</v>
      </c>
      <c r="AY1933" s="2" t="s">
        <v>337</v>
      </c>
      <c r="BE1933" s="140">
        <f>IF(N1933="základní",J1933,0)</f>
        <v>0</v>
      </c>
      <c r="BF1933" s="140">
        <f>IF(N1933="snížená",J1933,0)</f>
        <v>0</v>
      </c>
      <c r="BG1933" s="140">
        <f>IF(N1933="zákl. přenesená",J1933,0)</f>
        <v>0</v>
      </c>
      <c r="BH1933" s="140">
        <f>IF(N1933="sníž. přenesená",J1933,0)</f>
        <v>0</v>
      </c>
      <c r="BI1933" s="140">
        <f>IF(N1933="nulová",J1933,0)</f>
        <v>0</v>
      </c>
      <c r="BJ1933" s="2" t="s">
        <v>87</v>
      </c>
      <c r="BK1933" s="140">
        <f>ROUND(I1933*H1933,2)</f>
        <v>0</v>
      </c>
      <c r="BL1933" s="2" t="s">
        <v>496</v>
      </c>
      <c r="BM1933" s="139" t="s">
        <v>1709</v>
      </c>
    </row>
    <row r="1934" spans="2:65" s="148" customFormat="1" x14ac:dyDescent="0.2">
      <c r="B1934" s="149"/>
      <c r="D1934" s="143" t="s">
        <v>346</v>
      </c>
      <c r="E1934" s="150"/>
      <c r="F1934" s="151" t="s">
        <v>182</v>
      </c>
      <c r="H1934" s="152">
        <v>160.24</v>
      </c>
      <c r="L1934" s="149"/>
      <c r="M1934" s="153"/>
      <c r="T1934" s="154"/>
      <c r="AT1934" s="150" t="s">
        <v>346</v>
      </c>
      <c r="AU1934" s="150" t="s">
        <v>90</v>
      </c>
      <c r="AV1934" s="148" t="s">
        <v>90</v>
      </c>
      <c r="AW1934" s="148" t="s">
        <v>33</v>
      </c>
      <c r="AX1934" s="148" t="s">
        <v>87</v>
      </c>
      <c r="AY1934" s="150" t="s">
        <v>337</v>
      </c>
    </row>
    <row r="1935" spans="2:65" s="148" customFormat="1" x14ac:dyDescent="0.2">
      <c r="B1935" s="149"/>
      <c r="D1935" s="143" t="s">
        <v>346</v>
      </c>
      <c r="F1935" s="151" t="s">
        <v>1710</v>
      </c>
      <c r="H1935" s="152">
        <v>176.26400000000001</v>
      </c>
      <c r="L1935" s="149"/>
      <c r="M1935" s="153"/>
      <c r="T1935" s="154"/>
      <c r="AT1935" s="150" t="s">
        <v>346</v>
      </c>
      <c r="AU1935" s="150" t="s">
        <v>90</v>
      </c>
      <c r="AV1935" s="148" t="s">
        <v>90</v>
      </c>
      <c r="AW1935" s="148" t="s">
        <v>3</v>
      </c>
      <c r="AX1935" s="148" t="s">
        <v>87</v>
      </c>
      <c r="AY1935" s="150" t="s">
        <v>337</v>
      </c>
    </row>
    <row r="1936" spans="2:65" s="16" customFormat="1" ht="24.2" customHeight="1" x14ac:dyDescent="0.2">
      <c r="B1936" s="17"/>
      <c r="C1936" s="128">
        <v>154</v>
      </c>
      <c r="D1936" s="162" t="s">
        <v>519</v>
      </c>
      <c r="E1936" s="163" t="s">
        <v>1712</v>
      </c>
      <c r="F1936" s="164" t="s">
        <v>1713</v>
      </c>
      <c r="G1936" s="165" t="s">
        <v>425</v>
      </c>
      <c r="H1936" s="166">
        <v>92.784999999999997</v>
      </c>
      <c r="I1936" s="167"/>
      <c r="J1936" s="168">
        <f>ROUND(I1936*H1936,2)</f>
        <v>0</v>
      </c>
      <c r="K1936" s="164"/>
      <c r="L1936" s="169"/>
      <c r="M1936" s="170"/>
      <c r="N1936" s="171" t="s">
        <v>45</v>
      </c>
      <c r="P1936" s="137">
        <f>O1936*H1936</f>
        <v>0</v>
      </c>
      <c r="Q1936" s="137">
        <v>2.1999999999999999E-2</v>
      </c>
      <c r="R1936" s="137">
        <f>Q1936*H1936</f>
        <v>2.0412699999999999</v>
      </c>
      <c r="S1936" s="137">
        <v>0</v>
      </c>
      <c r="T1936" s="138">
        <f>S1936*H1936</f>
        <v>0</v>
      </c>
      <c r="AR1936" s="139" t="s">
        <v>621</v>
      </c>
      <c r="AT1936" s="139" t="s">
        <v>519</v>
      </c>
      <c r="AU1936" s="139" t="s">
        <v>90</v>
      </c>
      <c r="AY1936" s="2" t="s">
        <v>337</v>
      </c>
      <c r="BE1936" s="140">
        <f>IF(N1936="základní",J1936,0)</f>
        <v>0</v>
      </c>
      <c r="BF1936" s="140">
        <f>IF(N1936="snížená",J1936,0)</f>
        <v>0</v>
      </c>
      <c r="BG1936" s="140">
        <f>IF(N1936="zákl. přenesená",J1936,0)</f>
        <v>0</v>
      </c>
      <c r="BH1936" s="140">
        <f>IF(N1936="sníž. přenesená",J1936,0)</f>
        <v>0</v>
      </c>
      <c r="BI1936" s="140">
        <f>IF(N1936="nulová",J1936,0)</f>
        <v>0</v>
      </c>
      <c r="BJ1936" s="2" t="s">
        <v>87</v>
      </c>
      <c r="BK1936" s="140">
        <f>ROUND(I1936*H1936,2)</f>
        <v>0</v>
      </c>
      <c r="BL1936" s="2" t="s">
        <v>496</v>
      </c>
      <c r="BM1936" s="139" t="s">
        <v>1714</v>
      </c>
    </row>
    <row r="1937" spans="2:65" s="148" customFormat="1" x14ac:dyDescent="0.2">
      <c r="B1937" s="149"/>
      <c r="D1937" s="143" t="s">
        <v>346</v>
      </c>
      <c r="E1937" s="150"/>
      <c r="F1937" s="151" t="s">
        <v>186</v>
      </c>
      <c r="H1937" s="152">
        <v>84.35</v>
      </c>
      <c r="L1937" s="149"/>
      <c r="M1937" s="153"/>
      <c r="T1937" s="154"/>
      <c r="AT1937" s="150" t="s">
        <v>346</v>
      </c>
      <c r="AU1937" s="150" t="s">
        <v>90</v>
      </c>
      <c r="AV1937" s="148" t="s">
        <v>90</v>
      </c>
      <c r="AW1937" s="148" t="s">
        <v>33</v>
      </c>
      <c r="AX1937" s="148" t="s">
        <v>87</v>
      </c>
      <c r="AY1937" s="150" t="s">
        <v>337</v>
      </c>
    </row>
    <row r="1938" spans="2:65" s="148" customFormat="1" x14ac:dyDescent="0.2">
      <c r="B1938" s="149"/>
      <c r="D1938" s="143" t="s">
        <v>346</v>
      </c>
      <c r="F1938" s="151" t="s">
        <v>1715</v>
      </c>
      <c r="H1938" s="152">
        <v>92.784999999999997</v>
      </c>
      <c r="L1938" s="149"/>
      <c r="M1938" s="153"/>
      <c r="T1938" s="154"/>
      <c r="AT1938" s="150" t="s">
        <v>346</v>
      </c>
      <c r="AU1938" s="150" t="s">
        <v>90</v>
      </c>
      <c r="AV1938" s="148" t="s">
        <v>90</v>
      </c>
      <c r="AW1938" s="148" t="s">
        <v>3</v>
      </c>
      <c r="AX1938" s="148" t="s">
        <v>87</v>
      </c>
      <c r="AY1938" s="150" t="s">
        <v>337</v>
      </c>
    </row>
    <row r="1939" spans="2:65" s="16" customFormat="1" ht="16.5" customHeight="1" x14ac:dyDescent="0.2">
      <c r="B1939" s="17"/>
      <c r="C1939" s="128">
        <v>155</v>
      </c>
      <c r="D1939" s="128" t="s">
        <v>339</v>
      </c>
      <c r="E1939" s="129" t="s">
        <v>1716</v>
      </c>
      <c r="F1939" s="130" t="s">
        <v>1717</v>
      </c>
      <c r="G1939" s="131" t="s">
        <v>425</v>
      </c>
      <c r="H1939" s="132">
        <v>334.23</v>
      </c>
      <c r="I1939" s="133"/>
      <c r="J1939" s="134">
        <f>ROUND(I1939*H1939,2)</f>
        <v>0</v>
      </c>
      <c r="K1939" s="130" t="s">
        <v>343</v>
      </c>
      <c r="L1939" s="17"/>
      <c r="M1939" s="135"/>
      <c r="N1939" s="136" t="s">
        <v>45</v>
      </c>
      <c r="P1939" s="137">
        <f>O1939*H1939</f>
        <v>0</v>
      </c>
      <c r="Q1939" s="137">
        <v>1.5E-3</v>
      </c>
      <c r="R1939" s="137">
        <f>Q1939*H1939</f>
        <v>0.50134500000000004</v>
      </c>
      <c r="S1939" s="137">
        <v>0</v>
      </c>
      <c r="T1939" s="138">
        <f>S1939*H1939</f>
        <v>0</v>
      </c>
      <c r="AR1939" s="139" t="s">
        <v>496</v>
      </c>
      <c r="AT1939" s="139" t="s">
        <v>339</v>
      </c>
      <c r="AU1939" s="139" t="s">
        <v>90</v>
      </c>
      <c r="AY1939" s="2" t="s">
        <v>337</v>
      </c>
      <c r="BE1939" s="140">
        <f>IF(N1939="základní",J1939,0)</f>
        <v>0</v>
      </c>
      <c r="BF1939" s="140">
        <f>IF(N1939="snížená",J1939,0)</f>
        <v>0</v>
      </c>
      <c r="BG1939" s="140">
        <f>IF(N1939="zákl. přenesená",J1939,0)</f>
        <v>0</v>
      </c>
      <c r="BH1939" s="140">
        <f>IF(N1939="sníž. přenesená",J1939,0)</f>
        <v>0</v>
      </c>
      <c r="BI1939" s="140">
        <f>IF(N1939="nulová",J1939,0)</f>
        <v>0</v>
      </c>
      <c r="BJ1939" s="2" t="s">
        <v>87</v>
      </c>
      <c r="BK1939" s="140">
        <f>ROUND(I1939*H1939,2)</f>
        <v>0</v>
      </c>
      <c r="BL1939" s="2" t="s">
        <v>496</v>
      </c>
      <c r="BM1939" s="139" t="s">
        <v>1718</v>
      </c>
    </row>
    <row r="1940" spans="2:65" s="141" customFormat="1" x14ac:dyDescent="0.2">
      <c r="B1940" s="142"/>
      <c r="D1940" s="143" t="s">
        <v>346</v>
      </c>
      <c r="E1940" s="144"/>
      <c r="F1940" s="145" t="s">
        <v>1719</v>
      </c>
      <c r="H1940" s="144"/>
      <c r="L1940" s="142"/>
      <c r="M1940" s="146"/>
      <c r="T1940" s="147"/>
      <c r="AT1940" s="144" t="s">
        <v>346</v>
      </c>
      <c r="AU1940" s="144" t="s">
        <v>90</v>
      </c>
      <c r="AV1940" s="141" t="s">
        <v>87</v>
      </c>
      <c r="AW1940" s="141" t="s">
        <v>33</v>
      </c>
      <c r="AX1940" s="141" t="s">
        <v>80</v>
      </c>
      <c r="AY1940" s="144" t="s">
        <v>337</v>
      </c>
    </row>
    <row r="1941" spans="2:65" s="148" customFormat="1" x14ac:dyDescent="0.2">
      <c r="B1941" s="149"/>
      <c r="D1941" s="143" t="s">
        <v>346</v>
      </c>
      <c r="E1941" s="150"/>
      <c r="F1941" s="151" t="s">
        <v>249</v>
      </c>
      <c r="H1941" s="152">
        <v>255.733</v>
      </c>
      <c r="L1941" s="149"/>
      <c r="M1941" s="153"/>
      <c r="T1941" s="154"/>
      <c r="AT1941" s="150" t="s">
        <v>346</v>
      </c>
      <c r="AU1941" s="150" t="s">
        <v>90</v>
      </c>
      <c r="AV1941" s="148" t="s">
        <v>90</v>
      </c>
      <c r="AW1941" s="148" t="s">
        <v>33</v>
      </c>
      <c r="AX1941" s="148" t="s">
        <v>80</v>
      </c>
      <c r="AY1941" s="150" t="s">
        <v>337</v>
      </c>
    </row>
    <row r="1942" spans="2:65" s="148" customFormat="1" x14ac:dyDescent="0.2">
      <c r="B1942" s="149"/>
      <c r="D1942" s="143" t="s">
        <v>346</v>
      </c>
      <c r="E1942" s="150"/>
      <c r="F1942" s="151" t="s">
        <v>251</v>
      </c>
      <c r="H1942" s="152">
        <v>56.546999999999997</v>
      </c>
      <c r="L1942" s="149"/>
      <c r="M1942" s="153"/>
      <c r="T1942" s="154"/>
      <c r="AT1942" s="150" t="s">
        <v>346</v>
      </c>
      <c r="AU1942" s="150" t="s">
        <v>90</v>
      </c>
      <c r="AV1942" s="148" t="s">
        <v>90</v>
      </c>
      <c r="AW1942" s="148" t="s">
        <v>33</v>
      </c>
      <c r="AX1942" s="148" t="s">
        <v>80</v>
      </c>
      <c r="AY1942" s="150" t="s">
        <v>337</v>
      </c>
    </row>
    <row r="1943" spans="2:65" s="141" customFormat="1" x14ac:dyDescent="0.2">
      <c r="B1943" s="142"/>
      <c r="D1943" s="143" t="s">
        <v>346</v>
      </c>
      <c r="E1943" s="144"/>
      <c r="F1943" s="145" t="s">
        <v>1720</v>
      </c>
      <c r="H1943" s="144"/>
      <c r="L1943" s="142"/>
      <c r="M1943" s="146"/>
      <c r="T1943" s="147"/>
      <c r="AT1943" s="144" t="s">
        <v>346</v>
      </c>
      <c r="AU1943" s="144" t="s">
        <v>90</v>
      </c>
      <c r="AV1943" s="141" t="s">
        <v>87</v>
      </c>
      <c r="AW1943" s="141" t="s">
        <v>33</v>
      </c>
      <c r="AX1943" s="141" t="s">
        <v>80</v>
      </c>
      <c r="AY1943" s="144" t="s">
        <v>337</v>
      </c>
    </row>
    <row r="1944" spans="2:65" s="148" customFormat="1" x14ac:dyDescent="0.2">
      <c r="B1944" s="149"/>
      <c r="D1944" s="143" t="s">
        <v>346</v>
      </c>
      <c r="E1944" s="150"/>
      <c r="F1944" s="151" t="s">
        <v>1721</v>
      </c>
      <c r="H1944" s="152">
        <v>3.87</v>
      </c>
      <c r="L1944" s="149"/>
      <c r="M1944" s="153"/>
      <c r="T1944" s="154"/>
      <c r="AT1944" s="150" t="s">
        <v>346</v>
      </c>
      <c r="AU1944" s="150" t="s">
        <v>90</v>
      </c>
      <c r="AV1944" s="148" t="s">
        <v>90</v>
      </c>
      <c r="AW1944" s="148" t="s">
        <v>33</v>
      </c>
      <c r="AX1944" s="148" t="s">
        <v>80</v>
      </c>
      <c r="AY1944" s="150" t="s">
        <v>337</v>
      </c>
    </row>
    <row r="1945" spans="2:65" s="148" customFormat="1" x14ac:dyDescent="0.2">
      <c r="B1945" s="149"/>
      <c r="D1945" s="143" t="s">
        <v>346</v>
      </c>
      <c r="E1945" s="150"/>
      <c r="F1945" s="151" t="s">
        <v>1722</v>
      </c>
      <c r="H1945" s="152">
        <v>1.26</v>
      </c>
      <c r="L1945" s="149"/>
      <c r="M1945" s="153"/>
      <c r="T1945" s="154"/>
      <c r="AT1945" s="150" t="s">
        <v>346</v>
      </c>
      <c r="AU1945" s="150" t="s">
        <v>90</v>
      </c>
      <c r="AV1945" s="148" t="s">
        <v>90</v>
      </c>
      <c r="AW1945" s="148" t="s">
        <v>33</v>
      </c>
      <c r="AX1945" s="148" t="s">
        <v>80</v>
      </c>
      <c r="AY1945" s="150" t="s">
        <v>337</v>
      </c>
    </row>
    <row r="1946" spans="2:65" s="148" customFormat="1" x14ac:dyDescent="0.2">
      <c r="B1946" s="149"/>
      <c r="D1946" s="143" t="s">
        <v>346</v>
      </c>
      <c r="E1946" s="150"/>
      <c r="F1946" s="151" t="s">
        <v>1723</v>
      </c>
      <c r="H1946" s="152">
        <v>1.26</v>
      </c>
      <c r="L1946" s="149"/>
      <c r="M1946" s="153"/>
      <c r="T1946" s="154"/>
      <c r="AT1946" s="150" t="s">
        <v>346</v>
      </c>
      <c r="AU1946" s="150" t="s">
        <v>90</v>
      </c>
      <c r="AV1946" s="148" t="s">
        <v>90</v>
      </c>
      <c r="AW1946" s="148" t="s">
        <v>33</v>
      </c>
      <c r="AX1946" s="148" t="s">
        <v>80</v>
      </c>
      <c r="AY1946" s="150" t="s">
        <v>337</v>
      </c>
    </row>
    <row r="1947" spans="2:65" s="148" customFormat="1" x14ac:dyDescent="0.2">
      <c r="B1947" s="149"/>
      <c r="D1947" s="143" t="s">
        <v>346</v>
      </c>
      <c r="E1947" s="150"/>
      <c r="F1947" s="151" t="s">
        <v>1724</v>
      </c>
      <c r="H1947" s="152">
        <v>3.26</v>
      </c>
      <c r="L1947" s="149"/>
      <c r="M1947" s="153"/>
      <c r="T1947" s="154"/>
      <c r="AT1947" s="150" t="s">
        <v>346</v>
      </c>
      <c r="AU1947" s="150" t="s">
        <v>90</v>
      </c>
      <c r="AV1947" s="148" t="s">
        <v>90</v>
      </c>
      <c r="AW1947" s="148" t="s">
        <v>33</v>
      </c>
      <c r="AX1947" s="148" t="s">
        <v>80</v>
      </c>
      <c r="AY1947" s="150" t="s">
        <v>337</v>
      </c>
    </row>
    <row r="1948" spans="2:65" s="148" customFormat="1" x14ac:dyDescent="0.2">
      <c r="B1948" s="149"/>
      <c r="D1948" s="143" t="s">
        <v>346</v>
      </c>
      <c r="E1948" s="150"/>
      <c r="F1948" s="151" t="s">
        <v>1725</v>
      </c>
      <c r="H1948" s="152">
        <v>12.3</v>
      </c>
      <c r="L1948" s="149"/>
      <c r="M1948" s="153"/>
      <c r="T1948" s="154"/>
      <c r="AT1948" s="150" t="s">
        <v>346</v>
      </c>
      <c r="AU1948" s="150" t="s">
        <v>90</v>
      </c>
      <c r="AV1948" s="148" t="s">
        <v>90</v>
      </c>
      <c r="AW1948" s="148" t="s">
        <v>33</v>
      </c>
      <c r="AX1948" s="148" t="s">
        <v>80</v>
      </c>
      <c r="AY1948" s="150" t="s">
        <v>337</v>
      </c>
    </row>
    <row r="1949" spans="2:65" s="155" customFormat="1" x14ac:dyDescent="0.2">
      <c r="B1949" s="156"/>
      <c r="D1949" s="143" t="s">
        <v>346</v>
      </c>
      <c r="E1949" s="157" t="s">
        <v>224</v>
      </c>
      <c r="F1949" s="158" t="s">
        <v>351</v>
      </c>
      <c r="H1949" s="159">
        <v>334.23</v>
      </c>
      <c r="L1949" s="156"/>
      <c r="M1949" s="160"/>
      <c r="T1949" s="161"/>
      <c r="AT1949" s="157" t="s">
        <v>346</v>
      </c>
      <c r="AU1949" s="157" t="s">
        <v>90</v>
      </c>
      <c r="AV1949" s="155" t="s">
        <v>344</v>
      </c>
      <c r="AW1949" s="155" t="s">
        <v>33</v>
      </c>
      <c r="AX1949" s="155" t="s">
        <v>87</v>
      </c>
      <c r="AY1949" s="157" t="s">
        <v>337</v>
      </c>
    </row>
    <row r="1950" spans="2:65" s="16" customFormat="1" ht="16.5" customHeight="1" x14ac:dyDescent="0.2">
      <c r="B1950" s="17"/>
      <c r="C1950" s="128">
        <v>156</v>
      </c>
      <c r="D1950" s="128" t="s">
        <v>339</v>
      </c>
      <c r="E1950" s="129" t="s">
        <v>1727</v>
      </c>
      <c r="F1950" s="130" t="s">
        <v>1728</v>
      </c>
      <c r="G1950" s="131" t="s">
        <v>425</v>
      </c>
      <c r="H1950" s="132">
        <v>234.267</v>
      </c>
      <c r="I1950" s="133"/>
      <c r="J1950" s="134">
        <f>ROUND(I1950*H1950,2)</f>
        <v>0</v>
      </c>
      <c r="K1950" s="130" t="s">
        <v>343</v>
      </c>
      <c r="L1950" s="17"/>
      <c r="M1950" s="135"/>
      <c r="N1950" s="136" t="s">
        <v>45</v>
      </c>
      <c r="P1950" s="137">
        <f>O1950*H1950</f>
        <v>0</v>
      </c>
      <c r="Q1950" s="137">
        <v>4.3099999999999996E-3</v>
      </c>
      <c r="R1950" s="137">
        <f>Q1950*H1950</f>
        <v>1.00969077</v>
      </c>
      <c r="S1950" s="137">
        <v>0</v>
      </c>
      <c r="T1950" s="138">
        <f>S1950*H1950</f>
        <v>0</v>
      </c>
      <c r="AR1950" s="139" t="s">
        <v>496</v>
      </c>
      <c r="AT1950" s="139" t="s">
        <v>339</v>
      </c>
      <c r="AU1950" s="139" t="s">
        <v>90</v>
      </c>
      <c r="AY1950" s="2" t="s">
        <v>337</v>
      </c>
      <c r="BE1950" s="140">
        <f>IF(N1950="základní",J1950,0)</f>
        <v>0</v>
      </c>
      <c r="BF1950" s="140">
        <f>IF(N1950="snížená",J1950,0)</f>
        <v>0</v>
      </c>
      <c r="BG1950" s="140">
        <f>IF(N1950="zákl. přenesená",J1950,0)</f>
        <v>0</v>
      </c>
      <c r="BH1950" s="140">
        <f>IF(N1950="sníž. přenesená",J1950,0)</f>
        <v>0</v>
      </c>
      <c r="BI1950" s="140">
        <f>IF(N1950="nulová",J1950,0)</f>
        <v>0</v>
      </c>
      <c r="BJ1950" s="2" t="s">
        <v>87</v>
      </c>
      <c r="BK1950" s="140">
        <f>ROUND(I1950*H1950,2)</f>
        <v>0</v>
      </c>
      <c r="BL1950" s="2" t="s">
        <v>496</v>
      </c>
      <c r="BM1950" s="139" t="s">
        <v>1729</v>
      </c>
    </row>
    <row r="1951" spans="2:65" s="141" customFormat="1" x14ac:dyDescent="0.2">
      <c r="B1951" s="142"/>
      <c r="D1951" s="143" t="s">
        <v>346</v>
      </c>
      <c r="E1951" s="144"/>
      <c r="F1951" s="145" t="s">
        <v>1730</v>
      </c>
      <c r="H1951" s="144"/>
      <c r="L1951" s="142"/>
      <c r="M1951" s="146"/>
      <c r="T1951" s="147"/>
      <c r="AT1951" s="144" t="s">
        <v>346</v>
      </c>
      <c r="AU1951" s="144" t="s">
        <v>90</v>
      </c>
      <c r="AV1951" s="141" t="s">
        <v>87</v>
      </c>
      <c r="AW1951" s="141" t="s">
        <v>33</v>
      </c>
      <c r="AX1951" s="141" t="s">
        <v>80</v>
      </c>
      <c r="AY1951" s="144" t="s">
        <v>337</v>
      </c>
    </row>
    <row r="1952" spans="2:65" s="141" customFormat="1" x14ac:dyDescent="0.2">
      <c r="B1952" s="142"/>
      <c r="D1952" s="143" t="s">
        <v>346</v>
      </c>
      <c r="E1952" s="144"/>
      <c r="F1952" s="145" t="s">
        <v>911</v>
      </c>
      <c r="H1952" s="144"/>
      <c r="L1952" s="142"/>
      <c r="M1952" s="146"/>
      <c r="T1952" s="147"/>
      <c r="AT1952" s="144" t="s">
        <v>346</v>
      </c>
      <c r="AU1952" s="144" t="s">
        <v>90</v>
      </c>
      <c r="AV1952" s="141" t="s">
        <v>87</v>
      </c>
      <c r="AW1952" s="141" t="s">
        <v>33</v>
      </c>
      <c r="AX1952" s="141" t="s">
        <v>80</v>
      </c>
      <c r="AY1952" s="144" t="s">
        <v>337</v>
      </c>
    </row>
    <row r="1953" spans="2:65" s="148" customFormat="1" x14ac:dyDescent="0.2">
      <c r="B1953" s="149"/>
      <c r="D1953" s="143" t="s">
        <v>346</v>
      </c>
      <c r="E1953" s="150"/>
      <c r="F1953" s="151" t="s">
        <v>1731</v>
      </c>
      <c r="H1953" s="152">
        <v>172.97499999999999</v>
      </c>
      <c r="L1953" s="149"/>
      <c r="M1953" s="153"/>
      <c r="T1953" s="154"/>
      <c r="AT1953" s="150" t="s">
        <v>346</v>
      </c>
      <c r="AU1953" s="150" t="s">
        <v>90</v>
      </c>
      <c r="AV1953" s="148" t="s">
        <v>90</v>
      </c>
      <c r="AW1953" s="148" t="s">
        <v>33</v>
      </c>
      <c r="AX1953" s="148" t="s">
        <v>80</v>
      </c>
      <c r="AY1953" s="150" t="s">
        <v>337</v>
      </c>
    </row>
    <row r="1954" spans="2:65" s="141" customFormat="1" x14ac:dyDescent="0.2">
      <c r="B1954" s="142"/>
      <c r="D1954" s="143" t="s">
        <v>346</v>
      </c>
      <c r="E1954" s="144"/>
      <c r="F1954" s="145" t="s">
        <v>914</v>
      </c>
      <c r="H1954" s="144"/>
      <c r="L1954" s="142"/>
      <c r="M1954" s="146"/>
      <c r="T1954" s="147"/>
      <c r="AT1954" s="144" t="s">
        <v>346</v>
      </c>
      <c r="AU1954" s="144" t="s">
        <v>90</v>
      </c>
      <c r="AV1954" s="141" t="s">
        <v>87</v>
      </c>
      <c r="AW1954" s="141" t="s">
        <v>33</v>
      </c>
      <c r="AX1954" s="141" t="s">
        <v>80</v>
      </c>
      <c r="AY1954" s="144" t="s">
        <v>337</v>
      </c>
    </row>
    <row r="1955" spans="2:65" s="148" customFormat="1" x14ac:dyDescent="0.2">
      <c r="B1955" s="149"/>
      <c r="D1955" s="143" t="s">
        <v>346</v>
      </c>
      <c r="E1955" s="150"/>
      <c r="F1955" s="151" t="s">
        <v>1732</v>
      </c>
      <c r="H1955" s="152">
        <v>61.292000000000002</v>
      </c>
      <c r="L1955" s="149"/>
      <c r="M1955" s="153"/>
      <c r="T1955" s="154"/>
      <c r="AT1955" s="150" t="s">
        <v>346</v>
      </c>
      <c r="AU1955" s="150" t="s">
        <v>90</v>
      </c>
      <c r="AV1955" s="148" t="s">
        <v>90</v>
      </c>
      <c r="AW1955" s="148" t="s">
        <v>33</v>
      </c>
      <c r="AX1955" s="148" t="s">
        <v>80</v>
      </c>
      <c r="AY1955" s="150" t="s">
        <v>337</v>
      </c>
    </row>
    <row r="1956" spans="2:65" s="141" customFormat="1" x14ac:dyDescent="0.2">
      <c r="B1956" s="142"/>
      <c r="D1956" s="143" t="s">
        <v>346</v>
      </c>
      <c r="E1956" s="144"/>
      <c r="F1956" s="145" t="s">
        <v>1733</v>
      </c>
      <c r="H1956" s="144"/>
      <c r="L1956" s="142"/>
      <c r="M1956" s="146"/>
      <c r="T1956" s="147"/>
      <c r="AT1956" s="144" t="s">
        <v>346</v>
      </c>
      <c r="AU1956" s="144" t="s">
        <v>90</v>
      </c>
      <c r="AV1956" s="141" t="s">
        <v>87</v>
      </c>
      <c r="AW1956" s="141" t="s">
        <v>33</v>
      </c>
      <c r="AX1956" s="141" t="s">
        <v>80</v>
      </c>
      <c r="AY1956" s="144" t="s">
        <v>337</v>
      </c>
    </row>
    <row r="1957" spans="2:65" s="155" customFormat="1" x14ac:dyDescent="0.2">
      <c r="B1957" s="156"/>
      <c r="D1957" s="143" t="s">
        <v>346</v>
      </c>
      <c r="E1957" s="157"/>
      <c r="F1957" s="158" t="s">
        <v>351</v>
      </c>
      <c r="H1957" s="159">
        <v>234.267</v>
      </c>
      <c r="L1957" s="156"/>
      <c r="M1957" s="160"/>
      <c r="T1957" s="161"/>
      <c r="AT1957" s="157" t="s">
        <v>346</v>
      </c>
      <c r="AU1957" s="157" t="s">
        <v>90</v>
      </c>
      <c r="AV1957" s="155" t="s">
        <v>344</v>
      </c>
      <c r="AW1957" s="155" t="s">
        <v>33</v>
      </c>
      <c r="AX1957" s="155" t="s">
        <v>87</v>
      </c>
      <c r="AY1957" s="157" t="s">
        <v>337</v>
      </c>
    </row>
    <row r="1958" spans="2:65" s="16" customFormat="1" ht="16.5" customHeight="1" x14ac:dyDescent="0.2">
      <c r="B1958" s="17"/>
      <c r="C1958" s="128">
        <v>157</v>
      </c>
      <c r="D1958" s="128" t="s">
        <v>339</v>
      </c>
      <c r="E1958" s="129" t="s">
        <v>1734</v>
      </c>
      <c r="F1958" s="130" t="s">
        <v>1735</v>
      </c>
      <c r="G1958" s="131" t="s">
        <v>449</v>
      </c>
      <c r="H1958" s="132">
        <v>430</v>
      </c>
      <c r="I1958" s="133"/>
      <c r="J1958" s="134">
        <f>ROUND(I1958*H1958,2)</f>
        <v>0</v>
      </c>
      <c r="K1958" s="130" t="s">
        <v>343</v>
      </c>
      <c r="L1958" s="17"/>
      <c r="M1958" s="135"/>
      <c r="N1958" s="136" t="s">
        <v>45</v>
      </c>
      <c r="P1958" s="137">
        <f>O1958*H1958</f>
        <v>0</v>
      </c>
      <c r="Q1958" s="137">
        <v>2.1000000000000001E-4</v>
      </c>
      <c r="R1958" s="137">
        <f>Q1958*H1958</f>
        <v>9.0300000000000005E-2</v>
      </c>
      <c r="S1958" s="137">
        <v>0</v>
      </c>
      <c r="T1958" s="138">
        <f>S1958*H1958</f>
        <v>0</v>
      </c>
      <c r="AR1958" s="139" t="s">
        <v>496</v>
      </c>
      <c r="AT1958" s="139" t="s">
        <v>339</v>
      </c>
      <c r="AU1958" s="139" t="s">
        <v>90</v>
      </c>
      <c r="AY1958" s="2" t="s">
        <v>337</v>
      </c>
      <c r="BE1958" s="140">
        <f>IF(N1958="základní",J1958,0)</f>
        <v>0</v>
      </c>
      <c r="BF1958" s="140">
        <f>IF(N1958="snížená",J1958,0)</f>
        <v>0</v>
      </c>
      <c r="BG1958" s="140">
        <f>IF(N1958="zákl. přenesená",J1958,0)</f>
        <v>0</v>
      </c>
      <c r="BH1958" s="140">
        <f>IF(N1958="sníž. přenesená",J1958,0)</f>
        <v>0</v>
      </c>
      <c r="BI1958" s="140">
        <f>IF(N1958="nulová",J1958,0)</f>
        <v>0</v>
      </c>
      <c r="BJ1958" s="2" t="s">
        <v>87</v>
      </c>
      <c r="BK1958" s="140">
        <f>ROUND(I1958*H1958,2)</f>
        <v>0</v>
      </c>
      <c r="BL1958" s="2" t="s">
        <v>496</v>
      </c>
      <c r="BM1958" s="139" t="s">
        <v>1736</v>
      </c>
    </row>
    <row r="1959" spans="2:65" s="141" customFormat="1" x14ac:dyDescent="0.2">
      <c r="B1959" s="142"/>
      <c r="D1959" s="143" t="s">
        <v>346</v>
      </c>
      <c r="E1959" s="144"/>
      <c r="F1959" s="145" t="s">
        <v>357</v>
      </c>
      <c r="H1959" s="144"/>
      <c r="L1959" s="142"/>
      <c r="M1959" s="146"/>
      <c r="T1959" s="147"/>
      <c r="AT1959" s="144" t="s">
        <v>346</v>
      </c>
      <c r="AU1959" s="144" t="s">
        <v>90</v>
      </c>
      <c r="AV1959" s="141" t="s">
        <v>87</v>
      </c>
      <c r="AW1959" s="141" t="s">
        <v>33</v>
      </c>
      <c r="AX1959" s="141" t="s">
        <v>80</v>
      </c>
      <c r="AY1959" s="144" t="s">
        <v>337</v>
      </c>
    </row>
    <row r="1960" spans="2:65" s="148" customFormat="1" x14ac:dyDescent="0.2">
      <c r="B1960" s="149"/>
      <c r="D1960" s="143" t="s">
        <v>346</v>
      </c>
      <c r="E1960" s="150"/>
      <c r="F1960" s="151" t="s">
        <v>569</v>
      </c>
      <c r="H1960" s="152">
        <v>24</v>
      </c>
      <c r="L1960" s="149"/>
      <c r="M1960" s="153"/>
      <c r="T1960" s="154"/>
      <c r="AT1960" s="150" t="s">
        <v>346</v>
      </c>
      <c r="AU1960" s="150" t="s">
        <v>90</v>
      </c>
      <c r="AV1960" s="148" t="s">
        <v>90</v>
      </c>
      <c r="AW1960" s="148" t="s">
        <v>33</v>
      </c>
      <c r="AX1960" s="148" t="s">
        <v>80</v>
      </c>
      <c r="AY1960" s="150" t="s">
        <v>337</v>
      </c>
    </row>
    <row r="1961" spans="2:65" s="141" customFormat="1" x14ac:dyDescent="0.2">
      <c r="B1961" s="142"/>
      <c r="D1961" s="143" t="s">
        <v>346</v>
      </c>
      <c r="E1961" s="144"/>
      <c r="F1961" s="145" t="s">
        <v>362</v>
      </c>
      <c r="H1961" s="144"/>
      <c r="L1961" s="142"/>
      <c r="M1961" s="146"/>
      <c r="T1961" s="147"/>
      <c r="AT1961" s="144" t="s">
        <v>346</v>
      </c>
      <c r="AU1961" s="144" t="s">
        <v>90</v>
      </c>
      <c r="AV1961" s="141" t="s">
        <v>87</v>
      </c>
      <c r="AW1961" s="141" t="s">
        <v>33</v>
      </c>
      <c r="AX1961" s="141" t="s">
        <v>80</v>
      </c>
      <c r="AY1961" s="144" t="s">
        <v>337</v>
      </c>
    </row>
    <row r="1962" spans="2:65" s="148" customFormat="1" x14ac:dyDescent="0.2">
      <c r="B1962" s="149"/>
      <c r="D1962" s="143" t="s">
        <v>346</v>
      </c>
      <c r="E1962" s="150"/>
      <c r="F1962" s="151" t="s">
        <v>863</v>
      </c>
      <c r="H1962" s="152">
        <v>67</v>
      </c>
      <c r="L1962" s="149"/>
      <c r="M1962" s="153"/>
      <c r="T1962" s="154"/>
      <c r="AT1962" s="150" t="s">
        <v>346</v>
      </c>
      <c r="AU1962" s="150" t="s">
        <v>90</v>
      </c>
      <c r="AV1962" s="148" t="s">
        <v>90</v>
      </c>
      <c r="AW1962" s="148" t="s">
        <v>33</v>
      </c>
      <c r="AX1962" s="148" t="s">
        <v>80</v>
      </c>
      <c r="AY1962" s="150" t="s">
        <v>337</v>
      </c>
    </row>
    <row r="1963" spans="2:65" s="141" customFormat="1" x14ac:dyDescent="0.2">
      <c r="B1963" s="142"/>
      <c r="D1963" s="143" t="s">
        <v>346</v>
      </c>
      <c r="E1963" s="144"/>
      <c r="F1963" s="145" t="s">
        <v>367</v>
      </c>
      <c r="H1963" s="144"/>
      <c r="L1963" s="142"/>
      <c r="M1963" s="146"/>
      <c r="T1963" s="147"/>
      <c r="AT1963" s="144" t="s">
        <v>346</v>
      </c>
      <c r="AU1963" s="144" t="s">
        <v>90</v>
      </c>
      <c r="AV1963" s="141" t="s">
        <v>87</v>
      </c>
      <c r="AW1963" s="141" t="s">
        <v>33</v>
      </c>
      <c r="AX1963" s="141" t="s">
        <v>80</v>
      </c>
      <c r="AY1963" s="144" t="s">
        <v>337</v>
      </c>
    </row>
    <row r="1964" spans="2:65" s="148" customFormat="1" x14ac:dyDescent="0.2">
      <c r="B1964" s="149"/>
      <c r="D1964" s="143" t="s">
        <v>346</v>
      </c>
      <c r="E1964" s="150"/>
      <c r="F1964" s="151" t="s">
        <v>1737</v>
      </c>
      <c r="H1964" s="152">
        <v>100</v>
      </c>
      <c r="L1964" s="149"/>
      <c r="M1964" s="153"/>
      <c r="T1964" s="154"/>
      <c r="AT1964" s="150" t="s">
        <v>346</v>
      </c>
      <c r="AU1964" s="150" t="s">
        <v>90</v>
      </c>
      <c r="AV1964" s="148" t="s">
        <v>90</v>
      </c>
      <c r="AW1964" s="148" t="s">
        <v>33</v>
      </c>
      <c r="AX1964" s="148" t="s">
        <v>80</v>
      </c>
      <c r="AY1964" s="150" t="s">
        <v>337</v>
      </c>
    </row>
    <row r="1965" spans="2:65" s="141" customFormat="1" x14ac:dyDescent="0.2">
      <c r="B1965" s="142"/>
      <c r="D1965" s="143" t="s">
        <v>346</v>
      </c>
      <c r="E1965" s="144"/>
      <c r="F1965" s="145" t="s">
        <v>368</v>
      </c>
      <c r="H1965" s="144"/>
      <c r="L1965" s="142"/>
      <c r="M1965" s="146"/>
      <c r="T1965" s="147"/>
      <c r="AT1965" s="144" t="s">
        <v>346</v>
      </c>
      <c r="AU1965" s="144" t="s">
        <v>90</v>
      </c>
      <c r="AV1965" s="141" t="s">
        <v>87</v>
      </c>
      <c r="AW1965" s="141" t="s">
        <v>33</v>
      </c>
      <c r="AX1965" s="141" t="s">
        <v>80</v>
      </c>
      <c r="AY1965" s="144" t="s">
        <v>337</v>
      </c>
    </row>
    <row r="1966" spans="2:65" s="148" customFormat="1" x14ac:dyDescent="0.2">
      <c r="B1966" s="149"/>
      <c r="D1966" s="143" t="s">
        <v>346</v>
      </c>
      <c r="E1966" s="150"/>
      <c r="F1966" s="151" t="s">
        <v>1738</v>
      </c>
      <c r="H1966" s="152">
        <v>90</v>
      </c>
      <c r="L1966" s="149"/>
      <c r="M1966" s="153"/>
      <c r="T1966" s="154"/>
      <c r="AT1966" s="150" t="s">
        <v>346</v>
      </c>
      <c r="AU1966" s="150" t="s">
        <v>90</v>
      </c>
      <c r="AV1966" s="148" t="s">
        <v>90</v>
      </c>
      <c r="AW1966" s="148" t="s">
        <v>33</v>
      </c>
      <c r="AX1966" s="148" t="s">
        <v>80</v>
      </c>
      <c r="AY1966" s="150" t="s">
        <v>337</v>
      </c>
    </row>
    <row r="1967" spans="2:65" s="141" customFormat="1" x14ac:dyDescent="0.2">
      <c r="B1967" s="142"/>
      <c r="D1967" s="143" t="s">
        <v>346</v>
      </c>
      <c r="E1967" s="144"/>
      <c r="F1967" s="145" t="s">
        <v>370</v>
      </c>
      <c r="H1967" s="144"/>
      <c r="L1967" s="142"/>
      <c r="M1967" s="146"/>
      <c r="T1967" s="147"/>
      <c r="AT1967" s="144" t="s">
        <v>346</v>
      </c>
      <c r="AU1967" s="144" t="s">
        <v>90</v>
      </c>
      <c r="AV1967" s="141" t="s">
        <v>87</v>
      </c>
      <c r="AW1967" s="141" t="s">
        <v>33</v>
      </c>
      <c r="AX1967" s="141" t="s">
        <v>80</v>
      </c>
      <c r="AY1967" s="144" t="s">
        <v>337</v>
      </c>
    </row>
    <row r="1968" spans="2:65" s="148" customFormat="1" x14ac:dyDescent="0.2">
      <c r="B1968" s="149"/>
      <c r="D1968" s="143" t="s">
        <v>346</v>
      </c>
      <c r="E1968" s="150"/>
      <c r="F1968" s="151" t="s">
        <v>1008</v>
      </c>
      <c r="H1968" s="152">
        <v>82</v>
      </c>
      <c r="L1968" s="149"/>
      <c r="M1968" s="153"/>
      <c r="T1968" s="154"/>
      <c r="AT1968" s="150" t="s">
        <v>346</v>
      </c>
      <c r="AU1968" s="150" t="s">
        <v>90</v>
      </c>
      <c r="AV1968" s="148" t="s">
        <v>90</v>
      </c>
      <c r="AW1968" s="148" t="s">
        <v>33</v>
      </c>
      <c r="AX1968" s="148" t="s">
        <v>80</v>
      </c>
      <c r="AY1968" s="150" t="s">
        <v>337</v>
      </c>
    </row>
    <row r="1969" spans="2:65" s="141" customFormat="1" x14ac:dyDescent="0.2">
      <c r="B1969" s="142"/>
      <c r="D1969" s="143" t="s">
        <v>346</v>
      </c>
      <c r="E1969" s="144"/>
      <c r="F1969" s="145" t="s">
        <v>434</v>
      </c>
      <c r="H1969" s="144"/>
      <c r="L1969" s="142"/>
      <c r="M1969" s="146"/>
      <c r="T1969" s="147"/>
      <c r="AT1969" s="144" t="s">
        <v>346</v>
      </c>
      <c r="AU1969" s="144" t="s">
        <v>90</v>
      </c>
      <c r="AV1969" s="141" t="s">
        <v>87</v>
      </c>
      <c r="AW1969" s="141" t="s">
        <v>33</v>
      </c>
      <c r="AX1969" s="141" t="s">
        <v>80</v>
      </c>
      <c r="AY1969" s="144" t="s">
        <v>337</v>
      </c>
    </row>
    <row r="1970" spans="2:65" s="148" customFormat="1" x14ac:dyDescent="0.2">
      <c r="B1970" s="149"/>
      <c r="D1970" s="143" t="s">
        <v>346</v>
      </c>
      <c r="E1970" s="150"/>
      <c r="F1970" s="151" t="s">
        <v>863</v>
      </c>
      <c r="H1970" s="152">
        <v>67</v>
      </c>
      <c r="L1970" s="149"/>
      <c r="M1970" s="153"/>
      <c r="T1970" s="154"/>
      <c r="AT1970" s="150" t="s">
        <v>346</v>
      </c>
      <c r="AU1970" s="150" t="s">
        <v>90</v>
      </c>
      <c r="AV1970" s="148" t="s">
        <v>90</v>
      </c>
      <c r="AW1970" s="148" t="s">
        <v>33</v>
      </c>
      <c r="AX1970" s="148" t="s">
        <v>80</v>
      </c>
      <c r="AY1970" s="150" t="s">
        <v>337</v>
      </c>
    </row>
    <row r="1971" spans="2:65" s="155" customFormat="1" x14ac:dyDescent="0.2">
      <c r="B1971" s="156"/>
      <c r="D1971" s="143" t="s">
        <v>346</v>
      </c>
      <c r="E1971" s="157"/>
      <c r="F1971" s="158" t="s">
        <v>351</v>
      </c>
      <c r="H1971" s="159">
        <v>430</v>
      </c>
      <c r="L1971" s="156"/>
      <c r="M1971" s="160"/>
      <c r="T1971" s="161"/>
      <c r="AT1971" s="157" t="s">
        <v>346</v>
      </c>
      <c r="AU1971" s="157" t="s">
        <v>90</v>
      </c>
      <c r="AV1971" s="155" t="s">
        <v>344</v>
      </c>
      <c r="AW1971" s="155" t="s">
        <v>33</v>
      </c>
      <c r="AX1971" s="155" t="s">
        <v>87</v>
      </c>
      <c r="AY1971" s="157" t="s">
        <v>337</v>
      </c>
    </row>
    <row r="1972" spans="2:65" s="16" customFormat="1" ht="16.5" customHeight="1" x14ac:dyDescent="0.2">
      <c r="B1972" s="17"/>
      <c r="C1972" s="128">
        <v>158</v>
      </c>
      <c r="D1972" s="128" t="s">
        <v>339</v>
      </c>
      <c r="E1972" s="129" t="s">
        <v>1740</v>
      </c>
      <c r="F1972" s="130" t="s">
        <v>1741</v>
      </c>
      <c r="G1972" s="131" t="s">
        <v>449</v>
      </c>
      <c r="H1972" s="132">
        <v>43</v>
      </c>
      <c r="I1972" s="133"/>
      <c r="J1972" s="134">
        <f>ROUND(I1972*H1972,2)</f>
        <v>0</v>
      </c>
      <c r="K1972" s="130" t="s">
        <v>343</v>
      </c>
      <c r="L1972" s="17"/>
      <c r="M1972" s="135"/>
      <c r="N1972" s="136" t="s">
        <v>45</v>
      </c>
      <c r="P1972" s="137">
        <f>O1972*H1972</f>
        <v>0</v>
      </c>
      <c r="Q1972" s="137">
        <v>2.0000000000000001E-4</v>
      </c>
      <c r="R1972" s="137">
        <f>Q1972*H1972</f>
        <v>8.6E-3</v>
      </c>
      <c r="S1972" s="137">
        <v>0</v>
      </c>
      <c r="T1972" s="138">
        <f>S1972*H1972</f>
        <v>0</v>
      </c>
      <c r="AR1972" s="139" t="s">
        <v>496</v>
      </c>
      <c r="AT1972" s="139" t="s">
        <v>339</v>
      </c>
      <c r="AU1972" s="139" t="s">
        <v>90</v>
      </c>
      <c r="AY1972" s="2" t="s">
        <v>337</v>
      </c>
      <c r="BE1972" s="140">
        <f>IF(N1972="základní",J1972,0)</f>
        <v>0</v>
      </c>
      <c r="BF1972" s="140">
        <f>IF(N1972="snížená",J1972,0)</f>
        <v>0</v>
      </c>
      <c r="BG1972" s="140">
        <f>IF(N1972="zákl. přenesená",J1972,0)</f>
        <v>0</v>
      </c>
      <c r="BH1972" s="140">
        <f>IF(N1972="sníž. přenesená",J1972,0)</f>
        <v>0</v>
      </c>
      <c r="BI1972" s="140">
        <f>IF(N1972="nulová",J1972,0)</f>
        <v>0</v>
      </c>
      <c r="BJ1972" s="2" t="s">
        <v>87</v>
      </c>
      <c r="BK1972" s="140">
        <f>ROUND(I1972*H1972,2)</f>
        <v>0</v>
      </c>
      <c r="BL1972" s="2" t="s">
        <v>496</v>
      </c>
      <c r="BM1972" s="139" t="s">
        <v>1742</v>
      </c>
    </row>
    <row r="1973" spans="2:65" s="141" customFormat="1" x14ac:dyDescent="0.2">
      <c r="B1973" s="142"/>
      <c r="D1973" s="143" t="s">
        <v>346</v>
      </c>
      <c r="E1973" s="144"/>
      <c r="F1973" s="145" t="s">
        <v>362</v>
      </c>
      <c r="H1973" s="144"/>
      <c r="L1973" s="142"/>
      <c r="M1973" s="146"/>
      <c r="T1973" s="147"/>
      <c r="AT1973" s="144" t="s">
        <v>346</v>
      </c>
      <c r="AU1973" s="144" t="s">
        <v>90</v>
      </c>
      <c r="AV1973" s="141" t="s">
        <v>87</v>
      </c>
      <c r="AW1973" s="141" t="s">
        <v>33</v>
      </c>
      <c r="AX1973" s="141" t="s">
        <v>80</v>
      </c>
      <c r="AY1973" s="144" t="s">
        <v>337</v>
      </c>
    </row>
    <row r="1974" spans="2:65" s="148" customFormat="1" x14ac:dyDescent="0.2">
      <c r="B1974" s="149"/>
      <c r="D1974" s="143" t="s">
        <v>346</v>
      </c>
      <c r="E1974" s="150"/>
      <c r="F1974" s="151" t="s">
        <v>441</v>
      </c>
      <c r="H1974" s="152">
        <v>7</v>
      </c>
      <c r="L1974" s="149"/>
      <c r="M1974" s="153"/>
      <c r="T1974" s="154"/>
      <c r="AT1974" s="150" t="s">
        <v>346</v>
      </c>
      <c r="AU1974" s="150" t="s">
        <v>90</v>
      </c>
      <c r="AV1974" s="148" t="s">
        <v>90</v>
      </c>
      <c r="AW1974" s="148" t="s">
        <v>33</v>
      </c>
      <c r="AX1974" s="148" t="s">
        <v>80</v>
      </c>
      <c r="AY1974" s="150" t="s">
        <v>337</v>
      </c>
    </row>
    <row r="1975" spans="2:65" s="141" customFormat="1" x14ac:dyDescent="0.2">
      <c r="B1975" s="142"/>
      <c r="D1975" s="143" t="s">
        <v>346</v>
      </c>
      <c r="E1975" s="144"/>
      <c r="F1975" s="145" t="s">
        <v>367</v>
      </c>
      <c r="H1975" s="144"/>
      <c r="L1975" s="142"/>
      <c r="M1975" s="146"/>
      <c r="T1975" s="147"/>
      <c r="AT1975" s="144" t="s">
        <v>346</v>
      </c>
      <c r="AU1975" s="144" t="s">
        <v>90</v>
      </c>
      <c r="AV1975" s="141" t="s">
        <v>87</v>
      </c>
      <c r="AW1975" s="141" t="s">
        <v>33</v>
      </c>
      <c r="AX1975" s="141" t="s">
        <v>80</v>
      </c>
      <c r="AY1975" s="144" t="s">
        <v>337</v>
      </c>
    </row>
    <row r="1976" spans="2:65" s="148" customFormat="1" x14ac:dyDescent="0.2">
      <c r="B1976" s="149"/>
      <c r="D1976" s="143" t="s">
        <v>346</v>
      </c>
      <c r="E1976" s="150"/>
      <c r="F1976" s="151" t="s">
        <v>462</v>
      </c>
      <c r="H1976" s="152">
        <v>11</v>
      </c>
      <c r="L1976" s="149"/>
      <c r="M1976" s="153"/>
      <c r="T1976" s="154"/>
      <c r="AT1976" s="150" t="s">
        <v>346</v>
      </c>
      <c r="AU1976" s="150" t="s">
        <v>90</v>
      </c>
      <c r="AV1976" s="148" t="s">
        <v>90</v>
      </c>
      <c r="AW1976" s="148" t="s">
        <v>33</v>
      </c>
      <c r="AX1976" s="148" t="s">
        <v>80</v>
      </c>
      <c r="AY1976" s="150" t="s">
        <v>337</v>
      </c>
    </row>
    <row r="1977" spans="2:65" s="141" customFormat="1" x14ac:dyDescent="0.2">
      <c r="B1977" s="142"/>
      <c r="D1977" s="143" t="s">
        <v>346</v>
      </c>
      <c r="E1977" s="144"/>
      <c r="F1977" s="145" t="s">
        <v>368</v>
      </c>
      <c r="H1977" s="144"/>
      <c r="L1977" s="142"/>
      <c r="M1977" s="146"/>
      <c r="T1977" s="147"/>
      <c r="AT1977" s="144" t="s">
        <v>346</v>
      </c>
      <c r="AU1977" s="144" t="s">
        <v>90</v>
      </c>
      <c r="AV1977" s="141" t="s">
        <v>87</v>
      </c>
      <c r="AW1977" s="141" t="s">
        <v>33</v>
      </c>
      <c r="AX1977" s="141" t="s">
        <v>80</v>
      </c>
      <c r="AY1977" s="144" t="s">
        <v>337</v>
      </c>
    </row>
    <row r="1978" spans="2:65" s="148" customFormat="1" x14ac:dyDescent="0.2">
      <c r="B1978" s="149"/>
      <c r="D1978" s="143" t="s">
        <v>346</v>
      </c>
      <c r="E1978" s="150"/>
      <c r="F1978" s="151" t="s">
        <v>452</v>
      </c>
      <c r="H1978" s="152">
        <v>9</v>
      </c>
      <c r="L1978" s="149"/>
      <c r="M1978" s="153"/>
      <c r="T1978" s="154"/>
      <c r="AT1978" s="150" t="s">
        <v>346</v>
      </c>
      <c r="AU1978" s="150" t="s">
        <v>90</v>
      </c>
      <c r="AV1978" s="148" t="s">
        <v>90</v>
      </c>
      <c r="AW1978" s="148" t="s">
        <v>33</v>
      </c>
      <c r="AX1978" s="148" t="s">
        <v>80</v>
      </c>
      <c r="AY1978" s="150" t="s">
        <v>337</v>
      </c>
    </row>
    <row r="1979" spans="2:65" s="141" customFormat="1" x14ac:dyDescent="0.2">
      <c r="B1979" s="142"/>
      <c r="D1979" s="143" t="s">
        <v>346</v>
      </c>
      <c r="E1979" s="144"/>
      <c r="F1979" s="145" t="s">
        <v>370</v>
      </c>
      <c r="H1979" s="144"/>
      <c r="L1979" s="142"/>
      <c r="M1979" s="146"/>
      <c r="T1979" s="147"/>
      <c r="AT1979" s="144" t="s">
        <v>346</v>
      </c>
      <c r="AU1979" s="144" t="s">
        <v>90</v>
      </c>
      <c r="AV1979" s="141" t="s">
        <v>87</v>
      </c>
      <c r="AW1979" s="141" t="s">
        <v>33</v>
      </c>
      <c r="AX1979" s="141" t="s">
        <v>80</v>
      </c>
      <c r="AY1979" s="144" t="s">
        <v>337</v>
      </c>
    </row>
    <row r="1980" spans="2:65" s="148" customFormat="1" x14ac:dyDescent="0.2">
      <c r="B1980" s="149"/>
      <c r="D1980" s="143" t="s">
        <v>346</v>
      </c>
      <c r="E1980" s="150"/>
      <c r="F1980" s="151" t="s">
        <v>452</v>
      </c>
      <c r="H1980" s="152">
        <v>9</v>
      </c>
      <c r="L1980" s="149"/>
      <c r="M1980" s="153"/>
      <c r="T1980" s="154"/>
      <c r="AT1980" s="150" t="s">
        <v>346</v>
      </c>
      <c r="AU1980" s="150" t="s">
        <v>90</v>
      </c>
      <c r="AV1980" s="148" t="s">
        <v>90</v>
      </c>
      <c r="AW1980" s="148" t="s">
        <v>33</v>
      </c>
      <c r="AX1980" s="148" t="s">
        <v>80</v>
      </c>
      <c r="AY1980" s="150" t="s">
        <v>337</v>
      </c>
    </row>
    <row r="1981" spans="2:65" s="141" customFormat="1" x14ac:dyDescent="0.2">
      <c r="B1981" s="142"/>
      <c r="D1981" s="143" t="s">
        <v>346</v>
      </c>
      <c r="E1981" s="144"/>
      <c r="F1981" s="145" t="s">
        <v>434</v>
      </c>
      <c r="H1981" s="144"/>
      <c r="L1981" s="142"/>
      <c r="M1981" s="146"/>
      <c r="T1981" s="147"/>
      <c r="AT1981" s="144" t="s">
        <v>346</v>
      </c>
      <c r="AU1981" s="144" t="s">
        <v>90</v>
      </c>
      <c r="AV1981" s="141" t="s">
        <v>87</v>
      </c>
      <c r="AW1981" s="141" t="s">
        <v>33</v>
      </c>
      <c r="AX1981" s="141" t="s">
        <v>80</v>
      </c>
      <c r="AY1981" s="144" t="s">
        <v>337</v>
      </c>
    </row>
    <row r="1982" spans="2:65" s="148" customFormat="1" x14ac:dyDescent="0.2">
      <c r="B1982" s="149"/>
      <c r="D1982" s="143" t="s">
        <v>346</v>
      </c>
      <c r="E1982" s="150"/>
      <c r="F1982" s="151" t="s">
        <v>441</v>
      </c>
      <c r="H1982" s="152">
        <v>7</v>
      </c>
      <c r="L1982" s="149"/>
      <c r="M1982" s="153"/>
      <c r="T1982" s="154"/>
      <c r="AT1982" s="150" t="s">
        <v>346</v>
      </c>
      <c r="AU1982" s="150" t="s">
        <v>90</v>
      </c>
      <c r="AV1982" s="148" t="s">
        <v>90</v>
      </c>
      <c r="AW1982" s="148" t="s">
        <v>33</v>
      </c>
      <c r="AX1982" s="148" t="s">
        <v>80</v>
      </c>
      <c r="AY1982" s="150" t="s">
        <v>337</v>
      </c>
    </row>
    <row r="1983" spans="2:65" s="155" customFormat="1" x14ac:dyDescent="0.2">
      <c r="B1983" s="156"/>
      <c r="D1983" s="143" t="s">
        <v>346</v>
      </c>
      <c r="E1983" s="157"/>
      <c r="F1983" s="158" t="s">
        <v>351</v>
      </c>
      <c r="H1983" s="159">
        <v>43</v>
      </c>
      <c r="L1983" s="156"/>
      <c r="M1983" s="160"/>
      <c r="T1983" s="161"/>
      <c r="AT1983" s="157" t="s">
        <v>346</v>
      </c>
      <c r="AU1983" s="157" t="s">
        <v>90</v>
      </c>
      <c r="AV1983" s="155" t="s">
        <v>344</v>
      </c>
      <c r="AW1983" s="155" t="s">
        <v>33</v>
      </c>
      <c r="AX1983" s="155" t="s">
        <v>87</v>
      </c>
      <c r="AY1983" s="157" t="s">
        <v>337</v>
      </c>
    </row>
    <row r="1984" spans="2:65" s="16" customFormat="1" ht="16.5" customHeight="1" x14ac:dyDescent="0.2">
      <c r="B1984" s="17"/>
      <c r="C1984" s="128">
        <v>159</v>
      </c>
      <c r="D1984" s="128" t="s">
        <v>339</v>
      </c>
      <c r="E1984" s="129" t="s">
        <v>1743</v>
      </c>
      <c r="F1984" s="130" t="s">
        <v>1744</v>
      </c>
      <c r="G1984" s="131" t="s">
        <v>449</v>
      </c>
      <c r="H1984" s="132">
        <v>173</v>
      </c>
      <c r="I1984" s="133"/>
      <c r="J1984" s="134">
        <f>ROUND(I1984*H1984,2)</f>
        <v>0</v>
      </c>
      <c r="K1984" s="130" t="s">
        <v>343</v>
      </c>
      <c r="L1984" s="17"/>
      <c r="M1984" s="135"/>
      <c r="N1984" s="136" t="s">
        <v>45</v>
      </c>
      <c r="P1984" s="137">
        <f>O1984*H1984</f>
        <v>0</v>
      </c>
      <c r="Q1984" s="137">
        <v>1.8000000000000001E-4</v>
      </c>
      <c r="R1984" s="137">
        <f>Q1984*H1984</f>
        <v>3.1140000000000001E-2</v>
      </c>
      <c r="S1984" s="137">
        <v>0</v>
      </c>
      <c r="T1984" s="138">
        <f>S1984*H1984</f>
        <v>0</v>
      </c>
      <c r="AR1984" s="139" t="s">
        <v>496</v>
      </c>
      <c r="AT1984" s="139" t="s">
        <v>339</v>
      </c>
      <c r="AU1984" s="139" t="s">
        <v>90</v>
      </c>
      <c r="AY1984" s="2" t="s">
        <v>337</v>
      </c>
      <c r="BE1984" s="140">
        <f>IF(N1984="základní",J1984,0)</f>
        <v>0</v>
      </c>
      <c r="BF1984" s="140">
        <f>IF(N1984="snížená",J1984,0)</f>
        <v>0</v>
      </c>
      <c r="BG1984" s="140">
        <f>IF(N1984="zákl. přenesená",J1984,0)</f>
        <v>0</v>
      </c>
      <c r="BH1984" s="140">
        <f>IF(N1984="sníž. přenesená",J1984,0)</f>
        <v>0</v>
      </c>
      <c r="BI1984" s="140">
        <f>IF(N1984="nulová",J1984,0)</f>
        <v>0</v>
      </c>
      <c r="BJ1984" s="2" t="s">
        <v>87</v>
      </c>
      <c r="BK1984" s="140">
        <f>ROUND(I1984*H1984,2)</f>
        <v>0</v>
      </c>
      <c r="BL1984" s="2" t="s">
        <v>496</v>
      </c>
      <c r="BM1984" s="139" t="s">
        <v>1745</v>
      </c>
    </row>
    <row r="1985" spans="2:65" s="141" customFormat="1" x14ac:dyDescent="0.2">
      <c r="B1985" s="142"/>
      <c r="D1985" s="143" t="s">
        <v>346</v>
      </c>
      <c r="E1985" s="144"/>
      <c r="F1985" s="145" t="s">
        <v>362</v>
      </c>
      <c r="H1985" s="144"/>
      <c r="L1985" s="142"/>
      <c r="M1985" s="146"/>
      <c r="T1985" s="147"/>
      <c r="AT1985" s="144" t="s">
        <v>346</v>
      </c>
      <c r="AU1985" s="144" t="s">
        <v>90</v>
      </c>
      <c r="AV1985" s="141" t="s">
        <v>87</v>
      </c>
      <c r="AW1985" s="141" t="s">
        <v>33</v>
      </c>
      <c r="AX1985" s="141" t="s">
        <v>80</v>
      </c>
      <c r="AY1985" s="144" t="s">
        <v>337</v>
      </c>
    </row>
    <row r="1986" spans="2:65" s="148" customFormat="1" x14ac:dyDescent="0.2">
      <c r="B1986" s="149"/>
      <c r="D1986" s="143" t="s">
        <v>346</v>
      </c>
      <c r="E1986" s="150"/>
      <c r="F1986" s="151" t="s">
        <v>587</v>
      </c>
      <c r="H1986" s="152">
        <v>27</v>
      </c>
      <c r="L1986" s="149"/>
      <c r="M1986" s="153"/>
      <c r="T1986" s="154"/>
      <c r="AT1986" s="150" t="s">
        <v>346</v>
      </c>
      <c r="AU1986" s="150" t="s">
        <v>90</v>
      </c>
      <c r="AV1986" s="148" t="s">
        <v>90</v>
      </c>
      <c r="AW1986" s="148" t="s">
        <v>33</v>
      </c>
      <c r="AX1986" s="148" t="s">
        <v>80</v>
      </c>
      <c r="AY1986" s="150" t="s">
        <v>337</v>
      </c>
    </row>
    <row r="1987" spans="2:65" s="141" customFormat="1" x14ac:dyDescent="0.2">
      <c r="B1987" s="142"/>
      <c r="D1987" s="143" t="s">
        <v>346</v>
      </c>
      <c r="E1987" s="144"/>
      <c r="F1987" s="145" t="s">
        <v>367</v>
      </c>
      <c r="H1987" s="144"/>
      <c r="L1987" s="142"/>
      <c r="M1987" s="146"/>
      <c r="T1987" s="147"/>
      <c r="AT1987" s="144" t="s">
        <v>346</v>
      </c>
      <c r="AU1987" s="144" t="s">
        <v>90</v>
      </c>
      <c r="AV1987" s="141" t="s">
        <v>87</v>
      </c>
      <c r="AW1987" s="141" t="s">
        <v>33</v>
      </c>
      <c r="AX1987" s="141" t="s">
        <v>80</v>
      </c>
      <c r="AY1987" s="144" t="s">
        <v>337</v>
      </c>
    </row>
    <row r="1988" spans="2:65" s="148" customFormat="1" x14ac:dyDescent="0.2">
      <c r="B1988" s="149"/>
      <c r="D1988" s="143" t="s">
        <v>346</v>
      </c>
      <c r="E1988" s="150"/>
      <c r="F1988" s="151" t="s">
        <v>658</v>
      </c>
      <c r="H1988" s="152">
        <v>38</v>
      </c>
      <c r="L1988" s="149"/>
      <c r="M1988" s="153"/>
      <c r="T1988" s="154"/>
      <c r="AT1988" s="150" t="s">
        <v>346</v>
      </c>
      <c r="AU1988" s="150" t="s">
        <v>90</v>
      </c>
      <c r="AV1988" s="148" t="s">
        <v>90</v>
      </c>
      <c r="AW1988" s="148" t="s">
        <v>33</v>
      </c>
      <c r="AX1988" s="148" t="s">
        <v>80</v>
      </c>
      <c r="AY1988" s="150" t="s">
        <v>337</v>
      </c>
    </row>
    <row r="1989" spans="2:65" s="141" customFormat="1" x14ac:dyDescent="0.2">
      <c r="B1989" s="142"/>
      <c r="D1989" s="143" t="s">
        <v>346</v>
      </c>
      <c r="E1989" s="144"/>
      <c r="F1989" s="145" t="s">
        <v>368</v>
      </c>
      <c r="H1989" s="144"/>
      <c r="L1989" s="142"/>
      <c r="M1989" s="146"/>
      <c r="T1989" s="147"/>
      <c r="AT1989" s="144" t="s">
        <v>346</v>
      </c>
      <c r="AU1989" s="144" t="s">
        <v>90</v>
      </c>
      <c r="AV1989" s="141" t="s">
        <v>87</v>
      </c>
      <c r="AW1989" s="141" t="s">
        <v>33</v>
      </c>
      <c r="AX1989" s="141" t="s">
        <v>80</v>
      </c>
      <c r="AY1989" s="144" t="s">
        <v>337</v>
      </c>
    </row>
    <row r="1990" spans="2:65" s="148" customFormat="1" x14ac:dyDescent="0.2">
      <c r="B1990" s="149"/>
      <c r="D1990" s="143" t="s">
        <v>346</v>
      </c>
      <c r="E1990" s="150"/>
      <c r="F1990" s="151" t="s">
        <v>691</v>
      </c>
      <c r="H1990" s="152">
        <v>41</v>
      </c>
      <c r="L1990" s="149"/>
      <c r="M1990" s="153"/>
      <c r="T1990" s="154"/>
      <c r="AT1990" s="150" t="s">
        <v>346</v>
      </c>
      <c r="AU1990" s="150" t="s">
        <v>90</v>
      </c>
      <c r="AV1990" s="148" t="s">
        <v>90</v>
      </c>
      <c r="AW1990" s="148" t="s">
        <v>33</v>
      </c>
      <c r="AX1990" s="148" t="s">
        <v>80</v>
      </c>
      <c r="AY1990" s="150" t="s">
        <v>337</v>
      </c>
    </row>
    <row r="1991" spans="2:65" s="141" customFormat="1" x14ac:dyDescent="0.2">
      <c r="B1991" s="142"/>
      <c r="D1991" s="143" t="s">
        <v>346</v>
      </c>
      <c r="E1991" s="144"/>
      <c r="F1991" s="145" t="s">
        <v>370</v>
      </c>
      <c r="H1991" s="144"/>
      <c r="L1991" s="142"/>
      <c r="M1991" s="146"/>
      <c r="T1991" s="147"/>
      <c r="AT1991" s="144" t="s">
        <v>346</v>
      </c>
      <c r="AU1991" s="144" t="s">
        <v>90</v>
      </c>
      <c r="AV1991" s="141" t="s">
        <v>87</v>
      </c>
      <c r="AW1991" s="141" t="s">
        <v>33</v>
      </c>
      <c r="AX1991" s="141" t="s">
        <v>80</v>
      </c>
      <c r="AY1991" s="144" t="s">
        <v>337</v>
      </c>
    </row>
    <row r="1992" spans="2:65" s="148" customFormat="1" x14ac:dyDescent="0.2">
      <c r="B1992" s="149"/>
      <c r="D1992" s="143" t="s">
        <v>346</v>
      </c>
      <c r="E1992" s="150"/>
      <c r="F1992" s="151" t="s">
        <v>658</v>
      </c>
      <c r="H1992" s="152">
        <v>38</v>
      </c>
      <c r="L1992" s="149"/>
      <c r="M1992" s="153"/>
      <c r="T1992" s="154"/>
      <c r="AT1992" s="150" t="s">
        <v>346</v>
      </c>
      <c r="AU1992" s="150" t="s">
        <v>90</v>
      </c>
      <c r="AV1992" s="148" t="s">
        <v>90</v>
      </c>
      <c r="AW1992" s="148" t="s">
        <v>33</v>
      </c>
      <c r="AX1992" s="148" t="s">
        <v>80</v>
      </c>
      <c r="AY1992" s="150" t="s">
        <v>337</v>
      </c>
    </row>
    <row r="1993" spans="2:65" s="141" customFormat="1" x14ac:dyDescent="0.2">
      <c r="B1993" s="142"/>
      <c r="D1993" s="143" t="s">
        <v>346</v>
      </c>
      <c r="E1993" s="144"/>
      <c r="F1993" s="145" t="s">
        <v>434</v>
      </c>
      <c r="H1993" s="144"/>
      <c r="L1993" s="142"/>
      <c r="M1993" s="146"/>
      <c r="T1993" s="147"/>
      <c r="AT1993" s="144" t="s">
        <v>346</v>
      </c>
      <c r="AU1993" s="144" t="s">
        <v>90</v>
      </c>
      <c r="AV1993" s="141" t="s">
        <v>87</v>
      </c>
      <c r="AW1993" s="141" t="s">
        <v>33</v>
      </c>
      <c r="AX1993" s="141" t="s">
        <v>80</v>
      </c>
      <c r="AY1993" s="144" t="s">
        <v>337</v>
      </c>
    </row>
    <row r="1994" spans="2:65" s="148" customFormat="1" x14ac:dyDescent="0.2">
      <c r="B1994" s="149"/>
      <c r="D1994" s="143" t="s">
        <v>346</v>
      </c>
      <c r="E1994" s="150"/>
      <c r="F1994" s="151" t="s">
        <v>600</v>
      </c>
      <c r="H1994" s="152">
        <v>29</v>
      </c>
      <c r="L1994" s="149"/>
      <c r="M1994" s="153"/>
      <c r="T1994" s="154"/>
      <c r="AT1994" s="150" t="s">
        <v>346</v>
      </c>
      <c r="AU1994" s="150" t="s">
        <v>90</v>
      </c>
      <c r="AV1994" s="148" t="s">
        <v>90</v>
      </c>
      <c r="AW1994" s="148" t="s">
        <v>33</v>
      </c>
      <c r="AX1994" s="148" t="s">
        <v>80</v>
      </c>
      <c r="AY1994" s="150" t="s">
        <v>337</v>
      </c>
    </row>
    <row r="1995" spans="2:65" s="155" customFormat="1" x14ac:dyDescent="0.2">
      <c r="B1995" s="156"/>
      <c r="D1995" s="143" t="s">
        <v>346</v>
      </c>
      <c r="E1995" s="157"/>
      <c r="F1995" s="158" t="s">
        <v>351</v>
      </c>
      <c r="H1995" s="159">
        <v>173</v>
      </c>
      <c r="L1995" s="156"/>
      <c r="M1995" s="160"/>
      <c r="T1995" s="161"/>
      <c r="AT1995" s="157" t="s">
        <v>346</v>
      </c>
      <c r="AU1995" s="157" t="s">
        <v>90</v>
      </c>
      <c r="AV1995" s="155" t="s">
        <v>344</v>
      </c>
      <c r="AW1995" s="155" t="s">
        <v>33</v>
      </c>
      <c r="AX1995" s="155" t="s">
        <v>87</v>
      </c>
      <c r="AY1995" s="157" t="s">
        <v>337</v>
      </c>
    </row>
    <row r="1996" spans="2:65" s="16" customFormat="1" ht="16.5" customHeight="1" x14ac:dyDescent="0.2">
      <c r="B1996" s="17"/>
      <c r="C1996" s="128">
        <v>160</v>
      </c>
      <c r="D1996" s="128" t="s">
        <v>339</v>
      </c>
      <c r="E1996" s="129" t="s">
        <v>1747</v>
      </c>
      <c r="F1996" s="130" t="s">
        <v>1748</v>
      </c>
      <c r="G1996" s="131" t="s">
        <v>990</v>
      </c>
      <c r="H1996" s="132">
        <v>45.91</v>
      </c>
      <c r="I1996" s="133"/>
      <c r="J1996" s="134">
        <f>ROUND(I1996*H1996,2)</f>
        <v>0</v>
      </c>
      <c r="K1996" s="130" t="s">
        <v>343</v>
      </c>
      <c r="L1996" s="17"/>
      <c r="M1996" s="135"/>
      <c r="N1996" s="136" t="s">
        <v>45</v>
      </c>
      <c r="P1996" s="137">
        <f>O1996*H1996</f>
        <v>0</v>
      </c>
      <c r="Q1996" s="137">
        <v>0</v>
      </c>
      <c r="R1996" s="137">
        <f>Q1996*H1996</f>
        <v>0</v>
      </c>
      <c r="S1996" s="137">
        <v>0</v>
      </c>
      <c r="T1996" s="138">
        <f>S1996*H1996</f>
        <v>0</v>
      </c>
      <c r="AR1996" s="139" t="s">
        <v>496</v>
      </c>
      <c r="AT1996" s="139" t="s">
        <v>339</v>
      </c>
      <c r="AU1996" s="139" t="s">
        <v>90</v>
      </c>
      <c r="AY1996" s="2" t="s">
        <v>337</v>
      </c>
      <c r="BE1996" s="140">
        <f>IF(N1996="základní",J1996,0)</f>
        <v>0</v>
      </c>
      <c r="BF1996" s="140">
        <f>IF(N1996="snížená",J1996,0)</f>
        <v>0</v>
      </c>
      <c r="BG1996" s="140">
        <f>IF(N1996="zákl. přenesená",J1996,0)</f>
        <v>0</v>
      </c>
      <c r="BH1996" s="140">
        <f>IF(N1996="sníž. přenesená",J1996,0)</f>
        <v>0</v>
      </c>
      <c r="BI1996" s="140">
        <f>IF(N1996="nulová",J1996,0)</f>
        <v>0</v>
      </c>
      <c r="BJ1996" s="2" t="s">
        <v>87</v>
      </c>
      <c r="BK1996" s="140">
        <f>ROUND(I1996*H1996,2)</f>
        <v>0</v>
      </c>
      <c r="BL1996" s="2" t="s">
        <v>496</v>
      </c>
      <c r="BM1996" s="139" t="s">
        <v>1749</v>
      </c>
    </row>
    <row r="1997" spans="2:65" s="116" customFormat="1" ht="22.9" customHeight="1" x14ac:dyDescent="0.2">
      <c r="B1997" s="117"/>
      <c r="D1997" s="118" t="s">
        <v>79</v>
      </c>
      <c r="E1997" s="126" t="s">
        <v>1750</v>
      </c>
      <c r="F1997" s="126" t="s">
        <v>1751</v>
      </c>
      <c r="J1997" s="127">
        <f>BK1997</f>
        <v>0</v>
      </c>
      <c r="L1997" s="117"/>
      <c r="M1997" s="121"/>
      <c r="P1997" s="122">
        <f>SUM(P1998:P2031)</f>
        <v>0</v>
      </c>
      <c r="R1997" s="122">
        <f>SUM(R1998:R2031)</f>
        <v>1.33349115</v>
      </c>
      <c r="T1997" s="123">
        <f>SUM(T1998:T2031)</f>
        <v>1.1892219000000002</v>
      </c>
      <c r="AR1997" s="118" t="s">
        <v>90</v>
      </c>
      <c r="AT1997" s="124" t="s">
        <v>79</v>
      </c>
      <c r="AU1997" s="124" t="s">
        <v>87</v>
      </c>
      <c r="AY1997" s="118" t="s">
        <v>337</v>
      </c>
      <c r="BK1997" s="125">
        <f>SUM(BK1998:BK2031)</f>
        <v>0</v>
      </c>
    </row>
    <row r="1998" spans="2:65" s="16" customFormat="1" ht="21.75" customHeight="1" x14ac:dyDescent="0.2">
      <c r="B1998" s="17"/>
      <c r="C1998" s="128">
        <v>161</v>
      </c>
      <c r="D1998" s="128" t="s">
        <v>339</v>
      </c>
      <c r="E1998" s="129" t="s">
        <v>1752</v>
      </c>
      <c r="F1998" s="130" t="s">
        <v>1753</v>
      </c>
      <c r="G1998" s="131" t="s">
        <v>449</v>
      </c>
      <c r="H1998" s="132">
        <v>30</v>
      </c>
      <c r="I1998" s="133"/>
      <c r="J1998" s="134">
        <f>ROUND(I1998*H1998,2)</f>
        <v>0</v>
      </c>
      <c r="K1998" s="130" t="s">
        <v>343</v>
      </c>
      <c r="L1998" s="17"/>
      <c r="M1998" s="135"/>
      <c r="N1998" s="136" t="s">
        <v>45</v>
      </c>
      <c r="P1998" s="137">
        <f>O1998*H1998</f>
        <v>0</v>
      </c>
      <c r="Q1998" s="137">
        <v>1.08E-3</v>
      </c>
      <c r="R1998" s="137">
        <f>Q1998*H1998</f>
        <v>3.2399999999999998E-2</v>
      </c>
      <c r="S1998" s="137">
        <v>1.7100000000000001E-2</v>
      </c>
      <c r="T1998" s="138">
        <f>S1998*H1998</f>
        <v>0.51300000000000001</v>
      </c>
      <c r="AR1998" s="139" t="s">
        <v>496</v>
      </c>
      <c r="AT1998" s="139" t="s">
        <v>339</v>
      </c>
      <c r="AU1998" s="139" t="s">
        <v>90</v>
      </c>
      <c r="AY1998" s="2" t="s">
        <v>337</v>
      </c>
      <c r="BE1998" s="140">
        <f>IF(N1998="základní",J1998,0)</f>
        <v>0</v>
      </c>
      <c r="BF1998" s="140">
        <f>IF(N1998="snížená",J1998,0)</f>
        <v>0</v>
      </c>
      <c r="BG1998" s="140">
        <f>IF(N1998="zákl. přenesená",J1998,0)</f>
        <v>0</v>
      </c>
      <c r="BH1998" s="140">
        <f>IF(N1998="sníž. přenesená",J1998,0)</f>
        <v>0</v>
      </c>
      <c r="BI1998" s="140">
        <f>IF(N1998="nulová",J1998,0)</f>
        <v>0</v>
      </c>
      <c r="BJ1998" s="2" t="s">
        <v>87</v>
      </c>
      <c r="BK1998" s="140">
        <f>ROUND(I1998*H1998,2)</f>
        <v>0</v>
      </c>
      <c r="BL1998" s="2" t="s">
        <v>496</v>
      </c>
      <c r="BM1998" s="139" t="s">
        <v>1754</v>
      </c>
    </row>
    <row r="1999" spans="2:65" s="141" customFormat="1" x14ac:dyDescent="0.2">
      <c r="B1999" s="142"/>
      <c r="D1999" s="143" t="s">
        <v>346</v>
      </c>
      <c r="E1999" s="144"/>
      <c r="F1999" s="145" t="s">
        <v>1755</v>
      </c>
      <c r="H1999" s="144"/>
      <c r="L1999" s="142"/>
      <c r="M1999" s="146"/>
      <c r="T1999" s="147"/>
      <c r="AT1999" s="144" t="s">
        <v>346</v>
      </c>
      <c r="AU1999" s="144" t="s">
        <v>90</v>
      </c>
      <c r="AV1999" s="141" t="s">
        <v>87</v>
      </c>
      <c r="AW1999" s="141" t="s">
        <v>33</v>
      </c>
      <c r="AX1999" s="141" t="s">
        <v>80</v>
      </c>
      <c r="AY1999" s="144" t="s">
        <v>337</v>
      </c>
    </row>
    <row r="2000" spans="2:65" s="148" customFormat="1" x14ac:dyDescent="0.2">
      <c r="B2000" s="149"/>
      <c r="D2000" s="143" t="s">
        <v>346</v>
      </c>
      <c r="E2000" s="150"/>
      <c r="F2000" s="151" t="s">
        <v>1756</v>
      </c>
      <c r="H2000" s="152">
        <v>20</v>
      </c>
      <c r="L2000" s="149"/>
      <c r="M2000" s="153"/>
      <c r="T2000" s="154"/>
      <c r="AT2000" s="150" t="s">
        <v>346</v>
      </c>
      <c r="AU2000" s="150" t="s">
        <v>90</v>
      </c>
      <c r="AV2000" s="148" t="s">
        <v>90</v>
      </c>
      <c r="AW2000" s="148" t="s">
        <v>33</v>
      </c>
      <c r="AX2000" s="148" t="s">
        <v>80</v>
      </c>
      <c r="AY2000" s="150" t="s">
        <v>337</v>
      </c>
    </row>
    <row r="2001" spans="2:65" s="148" customFormat="1" x14ac:dyDescent="0.2">
      <c r="B2001" s="149"/>
      <c r="D2001" s="143" t="s">
        <v>346</v>
      </c>
      <c r="E2001" s="150"/>
      <c r="F2001" s="151" t="s">
        <v>1757</v>
      </c>
      <c r="H2001" s="152">
        <v>10</v>
      </c>
      <c r="L2001" s="149"/>
      <c r="M2001" s="153"/>
      <c r="T2001" s="154"/>
      <c r="AT2001" s="150" t="s">
        <v>346</v>
      </c>
      <c r="AU2001" s="150" t="s">
        <v>90</v>
      </c>
      <c r="AV2001" s="148" t="s">
        <v>90</v>
      </c>
      <c r="AW2001" s="148" t="s">
        <v>33</v>
      </c>
      <c r="AX2001" s="148" t="s">
        <v>80</v>
      </c>
      <c r="AY2001" s="150" t="s">
        <v>337</v>
      </c>
    </row>
    <row r="2002" spans="2:65" s="155" customFormat="1" x14ac:dyDescent="0.2">
      <c r="B2002" s="156"/>
      <c r="D2002" s="143" t="s">
        <v>346</v>
      </c>
      <c r="E2002" s="157"/>
      <c r="F2002" s="158" t="s">
        <v>351</v>
      </c>
      <c r="H2002" s="159">
        <v>30</v>
      </c>
      <c r="L2002" s="156"/>
      <c r="M2002" s="160"/>
      <c r="T2002" s="161"/>
      <c r="AT2002" s="157" t="s">
        <v>346</v>
      </c>
      <c r="AU2002" s="157" t="s">
        <v>90</v>
      </c>
      <c r="AV2002" s="155" t="s">
        <v>344</v>
      </c>
      <c r="AW2002" s="155" t="s">
        <v>33</v>
      </c>
      <c r="AX2002" s="155" t="s">
        <v>87</v>
      </c>
      <c r="AY2002" s="157" t="s">
        <v>337</v>
      </c>
    </row>
    <row r="2003" spans="2:65" s="16" customFormat="1" ht="16.5" customHeight="1" x14ac:dyDescent="0.2">
      <c r="B2003" s="17"/>
      <c r="C2003" s="128">
        <v>162</v>
      </c>
      <c r="D2003" s="162" t="s">
        <v>519</v>
      </c>
      <c r="E2003" s="163" t="s">
        <v>1759</v>
      </c>
      <c r="F2003" s="164" t="s">
        <v>1760</v>
      </c>
      <c r="G2003" s="165" t="s">
        <v>425</v>
      </c>
      <c r="H2003" s="166">
        <v>7.2</v>
      </c>
      <c r="I2003" s="167"/>
      <c r="J2003" s="168">
        <f>ROUND(I2003*H2003,2)</f>
        <v>0</v>
      </c>
      <c r="K2003" s="164"/>
      <c r="L2003" s="169"/>
      <c r="M2003" s="170"/>
      <c r="N2003" s="171" t="s">
        <v>45</v>
      </c>
      <c r="P2003" s="137">
        <f>O2003*H2003</f>
        <v>0</v>
      </c>
      <c r="Q2003" s="137">
        <v>8.1000000000000003E-2</v>
      </c>
      <c r="R2003" s="137">
        <f>Q2003*H2003</f>
        <v>0.58320000000000005</v>
      </c>
      <c r="S2003" s="137">
        <v>0</v>
      </c>
      <c r="T2003" s="138">
        <f>S2003*H2003</f>
        <v>0</v>
      </c>
      <c r="AR2003" s="139" t="s">
        <v>621</v>
      </c>
      <c r="AT2003" s="139" t="s">
        <v>519</v>
      </c>
      <c r="AU2003" s="139" t="s">
        <v>90</v>
      </c>
      <c r="AY2003" s="2" t="s">
        <v>337</v>
      </c>
      <c r="BE2003" s="140">
        <f>IF(N2003="základní",J2003,0)</f>
        <v>0</v>
      </c>
      <c r="BF2003" s="140">
        <f>IF(N2003="snížená",J2003,0)</f>
        <v>0</v>
      </c>
      <c r="BG2003" s="140">
        <f>IF(N2003="zákl. přenesená",J2003,0)</f>
        <v>0</v>
      </c>
      <c r="BH2003" s="140">
        <f>IF(N2003="sníž. přenesená",J2003,0)</f>
        <v>0</v>
      </c>
      <c r="BI2003" s="140">
        <f>IF(N2003="nulová",J2003,0)</f>
        <v>0</v>
      </c>
      <c r="BJ2003" s="2" t="s">
        <v>87</v>
      </c>
      <c r="BK2003" s="140">
        <f>ROUND(I2003*H2003,2)</f>
        <v>0</v>
      </c>
      <c r="BL2003" s="2" t="s">
        <v>496</v>
      </c>
      <c r="BM2003" s="139" t="s">
        <v>1761</v>
      </c>
    </row>
    <row r="2004" spans="2:65" s="141" customFormat="1" x14ac:dyDescent="0.2">
      <c r="B2004" s="142"/>
      <c r="D2004" s="143" t="s">
        <v>346</v>
      </c>
      <c r="E2004" s="144"/>
      <c r="F2004" s="145" t="s">
        <v>1762</v>
      </c>
      <c r="H2004" s="144"/>
      <c r="L2004" s="142"/>
      <c r="M2004" s="146"/>
      <c r="T2004" s="147"/>
      <c r="AT2004" s="144" t="s">
        <v>346</v>
      </c>
      <c r="AU2004" s="144" t="s">
        <v>90</v>
      </c>
      <c r="AV2004" s="141" t="s">
        <v>87</v>
      </c>
      <c r="AW2004" s="141" t="s">
        <v>33</v>
      </c>
      <c r="AX2004" s="141" t="s">
        <v>80</v>
      </c>
      <c r="AY2004" s="144" t="s">
        <v>337</v>
      </c>
    </row>
    <row r="2005" spans="2:65" s="148" customFormat="1" x14ac:dyDescent="0.2">
      <c r="B2005" s="149"/>
      <c r="D2005" s="143" t="s">
        <v>346</v>
      </c>
      <c r="E2005" s="150"/>
      <c r="F2005" s="151" t="s">
        <v>1763</v>
      </c>
      <c r="H2005" s="152">
        <v>7.2</v>
      </c>
      <c r="L2005" s="149"/>
      <c r="M2005" s="153"/>
      <c r="T2005" s="154"/>
      <c r="AT2005" s="150" t="s">
        <v>346</v>
      </c>
      <c r="AU2005" s="150" t="s">
        <v>90</v>
      </c>
      <c r="AV2005" s="148" t="s">
        <v>90</v>
      </c>
      <c r="AW2005" s="148" t="s">
        <v>33</v>
      </c>
      <c r="AX2005" s="148" t="s">
        <v>87</v>
      </c>
      <c r="AY2005" s="150" t="s">
        <v>337</v>
      </c>
    </row>
    <row r="2006" spans="2:65" s="16" customFormat="1" ht="16.5" customHeight="1" x14ac:dyDescent="0.2">
      <c r="B2006" s="17"/>
      <c r="C2006" s="128">
        <v>163</v>
      </c>
      <c r="D2006" s="128" t="s">
        <v>339</v>
      </c>
      <c r="E2006" s="129" t="s">
        <v>1764</v>
      </c>
      <c r="F2006" s="130" t="s">
        <v>1765</v>
      </c>
      <c r="G2006" s="131" t="s">
        <v>449</v>
      </c>
      <c r="H2006" s="132">
        <v>30</v>
      </c>
      <c r="I2006" s="133"/>
      <c r="J2006" s="134">
        <f>ROUND(I2006*H2006,2)</f>
        <v>0</v>
      </c>
      <c r="K2006" s="130" t="s">
        <v>343</v>
      </c>
      <c r="L2006" s="17"/>
      <c r="M2006" s="135"/>
      <c r="N2006" s="136" t="s">
        <v>45</v>
      </c>
      <c r="P2006" s="137">
        <f>O2006*H2006</f>
        <v>0</v>
      </c>
      <c r="Q2006" s="137">
        <v>1.9000000000000001E-4</v>
      </c>
      <c r="R2006" s="137">
        <f>Q2006*H2006</f>
        <v>5.7000000000000002E-3</v>
      </c>
      <c r="S2006" s="137">
        <v>0</v>
      </c>
      <c r="T2006" s="138">
        <f>S2006*H2006</f>
        <v>0</v>
      </c>
      <c r="AR2006" s="139" t="s">
        <v>496</v>
      </c>
      <c r="AT2006" s="139" t="s">
        <v>339</v>
      </c>
      <c r="AU2006" s="139" t="s">
        <v>90</v>
      </c>
      <c r="AY2006" s="2" t="s">
        <v>337</v>
      </c>
      <c r="BE2006" s="140">
        <f>IF(N2006="základní",J2006,0)</f>
        <v>0</v>
      </c>
      <c r="BF2006" s="140">
        <f>IF(N2006="snížená",J2006,0)</f>
        <v>0</v>
      </c>
      <c r="BG2006" s="140">
        <f>IF(N2006="zákl. přenesená",J2006,0)</f>
        <v>0</v>
      </c>
      <c r="BH2006" s="140">
        <f>IF(N2006="sníž. přenesená",J2006,0)</f>
        <v>0</v>
      </c>
      <c r="BI2006" s="140">
        <f>IF(N2006="nulová",J2006,0)</f>
        <v>0</v>
      </c>
      <c r="BJ2006" s="2" t="s">
        <v>87</v>
      </c>
      <c r="BK2006" s="140">
        <f>ROUND(I2006*H2006,2)</f>
        <v>0</v>
      </c>
      <c r="BL2006" s="2" t="s">
        <v>496</v>
      </c>
      <c r="BM2006" s="139" t="s">
        <v>1766</v>
      </c>
    </row>
    <row r="2007" spans="2:65" s="141" customFormat="1" x14ac:dyDescent="0.2">
      <c r="B2007" s="142"/>
      <c r="D2007" s="143" t="s">
        <v>346</v>
      </c>
      <c r="E2007" s="144"/>
      <c r="F2007" s="145" t="s">
        <v>1755</v>
      </c>
      <c r="H2007" s="144"/>
      <c r="L2007" s="142"/>
      <c r="M2007" s="146"/>
      <c r="T2007" s="147"/>
      <c r="AT2007" s="144" t="s">
        <v>346</v>
      </c>
      <c r="AU2007" s="144" t="s">
        <v>90</v>
      </c>
      <c r="AV2007" s="141" t="s">
        <v>87</v>
      </c>
      <c r="AW2007" s="141" t="s">
        <v>33</v>
      </c>
      <c r="AX2007" s="141" t="s">
        <v>80</v>
      </c>
      <c r="AY2007" s="144" t="s">
        <v>337</v>
      </c>
    </row>
    <row r="2008" spans="2:65" s="148" customFormat="1" x14ac:dyDescent="0.2">
      <c r="B2008" s="149"/>
      <c r="D2008" s="143" t="s">
        <v>346</v>
      </c>
      <c r="E2008" s="150"/>
      <c r="F2008" s="151" t="s">
        <v>1756</v>
      </c>
      <c r="H2008" s="152">
        <v>20</v>
      </c>
      <c r="L2008" s="149"/>
      <c r="M2008" s="153"/>
      <c r="T2008" s="154"/>
      <c r="AT2008" s="150" t="s">
        <v>346</v>
      </c>
      <c r="AU2008" s="150" t="s">
        <v>90</v>
      </c>
      <c r="AV2008" s="148" t="s">
        <v>90</v>
      </c>
      <c r="AW2008" s="148" t="s">
        <v>33</v>
      </c>
      <c r="AX2008" s="148" t="s">
        <v>80</v>
      </c>
      <c r="AY2008" s="150" t="s">
        <v>337</v>
      </c>
    </row>
    <row r="2009" spans="2:65" s="148" customFormat="1" x14ac:dyDescent="0.2">
      <c r="B2009" s="149"/>
      <c r="D2009" s="143" t="s">
        <v>346</v>
      </c>
      <c r="E2009" s="150"/>
      <c r="F2009" s="151" t="s">
        <v>1757</v>
      </c>
      <c r="H2009" s="152">
        <v>10</v>
      </c>
      <c r="L2009" s="149"/>
      <c r="M2009" s="153"/>
      <c r="T2009" s="154"/>
      <c r="AT2009" s="150" t="s">
        <v>346</v>
      </c>
      <c r="AU2009" s="150" t="s">
        <v>90</v>
      </c>
      <c r="AV2009" s="148" t="s">
        <v>90</v>
      </c>
      <c r="AW2009" s="148" t="s">
        <v>33</v>
      </c>
      <c r="AX2009" s="148" t="s">
        <v>80</v>
      </c>
      <c r="AY2009" s="150" t="s">
        <v>337</v>
      </c>
    </row>
    <row r="2010" spans="2:65" s="155" customFormat="1" x14ac:dyDescent="0.2">
      <c r="B2010" s="156"/>
      <c r="D2010" s="143" t="s">
        <v>346</v>
      </c>
      <c r="E2010" s="157"/>
      <c r="F2010" s="158" t="s">
        <v>351</v>
      </c>
      <c r="H2010" s="159">
        <v>30</v>
      </c>
      <c r="L2010" s="156"/>
      <c r="M2010" s="160"/>
      <c r="T2010" s="161"/>
      <c r="AT2010" s="157" t="s">
        <v>346</v>
      </c>
      <c r="AU2010" s="157" t="s">
        <v>90</v>
      </c>
      <c r="AV2010" s="155" t="s">
        <v>344</v>
      </c>
      <c r="AW2010" s="155" t="s">
        <v>33</v>
      </c>
      <c r="AX2010" s="155" t="s">
        <v>87</v>
      </c>
      <c r="AY2010" s="157" t="s">
        <v>337</v>
      </c>
    </row>
    <row r="2011" spans="2:65" s="16" customFormat="1" ht="16.5" customHeight="1" x14ac:dyDescent="0.2">
      <c r="B2011" s="17"/>
      <c r="C2011" s="128">
        <v>164</v>
      </c>
      <c r="D2011" s="128" t="s">
        <v>339</v>
      </c>
      <c r="E2011" s="129" t="s">
        <v>1768</v>
      </c>
      <c r="F2011" s="130" t="s">
        <v>1769</v>
      </c>
      <c r="G2011" s="131" t="s">
        <v>425</v>
      </c>
      <c r="H2011" s="132">
        <v>143.87700000000001</v>
      </c>
      <c r="I2011" s="133"/>
      <c r="J2011" s="134">
        <f>ROUND(I2011*H2011,2)</f>
        <v>0</v>
      </c>
      <c r="K2011" s="130" t="s">
        <v>343</v>
      </c>
      <c r="L2011" s="17"/>
      <c r="M2011" s="135"/>
      <c r="N2011" s="136" t="s">
        <v>45</v>
      </c>
      <c r="P2011" s="137">
        <f>O2011*H2011</f>
        <v>0</v>
      </c>
      <c r="Q2011" s="137">
        <v>4.7000000000000002E-3</v>
      </c>
      <c r="R2011" s="137">
        <f>Q2011*H2011</f>
        <v>0.67622190000000004</v>
      </c>
      <c r="S2011" s="137">
        <v>4.7000000000000002E-3</v>
      </c>
      <c r="T2011" s="138">
        <f>S2011*H2011</f>
        <v>0.67622190000000004</v>
      </c>
      <c r="AR2011" s="139" t="s">
        <v>496</v>
      </c>
      <c r="AT2011" s="139" t="s">
        <v>339</v>
      </c>
      <c r="AU2011" s="139" t="s">
        <v>90</v>
      </c>
      <c r="AY2011" s="2" t="s">
        <v>337</v>
      </c>
      <c r="BE2011" s="140">
        <f>IF(N2011="základní",J2011,0)</f>
        <v>0</v>
      </c>
      <c r="BF2011" s="140">
        <f>IF(N2011="snížená",J2011,0)</f>
        <v>0</v>
      </c>
      <c r="BG2011" s="140">
        <f>IF(N2011="zákl. přenesená",J2011,0)</f>
        <v>0</v>
      </c>
      <c r="BH2011" s="140">
        <f>IF(N2011="sníž. přenesená",J2011,0)</f>
        <v>0</v>
      </c>
      <c r="BI2011" s="140">
        <f>IF(N2011="nulová",J2011,0)</f>
        <v>0</v>
      </c>
      <c r="BJ2011" s="2" t="s">
        <v>87</v>
      </c>
      <c r="BK2011" s="140">
        <f>ROUND(I2011*H2011,2)</f>
        <v>0</v>
      </c>
      <c r="BL2011" s="2" t="s">
        <v>496</v>
      </c>
      <c r="BM2011" s="139" t="s">
        <v>1770</v>
      </c>
    </row>
    <row r="2012" spans="2:65" s="148" customFormat="1" x14ac:dyDescent="0.2">
      <c r="B2012" s="149"/>
      <c r="D2012" s="143" t="s">
        <v>346</v>
      </c>
      <c r="E2012" s="150"/>
      <c r="F2012" s="151" t="s">
        <v>184</v>
      </c>
      <c r="H2012" s="152">
        <v>143.87700000000001</v>
      </c>
      <c r="L2012" s="149"/>
      <c r="M2012" s="153"/>
      <c r="T2012" s="154"/>
      <c r="AT2012" s="150" t="s">
        <v>346</v>
      </c>
      <c r="AU2012" s="150" t="s">
        <v>90</v>
      </c>
      <c r="AV2012" s="148" t="s">
        <v>90</v>
      </c>
      <c r="AW2012" s="148" t="s">
        <v>33</v>
      </c>
      <c r="AX2012" s="148" t="s">
        <v>87</v>
      </c>
      <c r="AY2012" s="150" t="s">
        <v>337</v>
      </c>
    </row>
    <row r="2013" spans="2:65" s="16" customFormat="1" ht="16.5" customHeight="1" x14ac:dyDescent="0.2">
      <c r="B2013" s="17"/>
      <c r="C2013" s="128">
        <v>165</v>
      </c>
      <c r="D2013" s="128" t="s">
        <v>339</v>
      </c>
      <c r="E2013" s="129" t="s">
        <v>1771</v>
      </c>
      <c r="F2013" s="130" t="s">
        <v>1772</v>
      </c>
      <c r="G2013" s="131" t="s">
        <v>425</v>
      </c>
      <c r="H2013" s="132">
        <v>143.87700000000001</v>
      </c>
      <c r="I2013" s="133"/>
      <c r="J2013" s="134">
        <f>ROUND(I2013*H2013,2)</f>
        <v>0</v>
      </c>
      <c r="K2013" s="130" t="s">
        <v>343</v>
      </c>
      <c r="L2013" s="17"/>
      <c r="M2013" s="135"/>
      <c r="N2013" s="136" t="s">
        <v>45</v>
      </c>
      <c r="P2013" s="137">
        <f>O2013*H2013</f>
        <v>0</v>
      </c>
      <c r="Q2013" s="137">
        <v>0</v>
      </c>
      <c r="R2013" s="137">
        <f>Q2013*H2013</f>
        <v>0</v>
      </c>
      <c r="S2013" s="137">
        <v>0</v>
      </c>
      <c r="T2013" s="138">
        <f>S2013*H2013</f>
        <v>0</v>
      </c>
      <c r="AR2013" s="139" t="s">
        <v>496</v>
      </c>
      <c r="AT2013" s="139" t="s">
        <v>339</v>
      </c>
      <c r="AU2013" s="139" t="s">
        <v>90</v>
      </c>
      <c r="AY2013" s="2" t="s">
        <v>337</v>
      </c>
      <c r="BE2013" s="140">
        <f>IF(N2013="základní",J2013,0)</f>
        <v>0</v>
      </c>
      <c r="BF2013" s="140">
        <f>IF(N2013="snížená",J2013,0)</f>
        <v>0</v>
      </c>
      <c r="BG2013" s="140">
        <f>IF(N2013="zákl. přenesená",J2013,0)</f>
        <v>0</v>
      </c>
      <c r="BH2013" s="140">
        <f>IF(N2013="sníž. přenesená",J2013,0)</f>
        <v>0</v>
      </c>
      <c r="BI2013" s="140">
        <f>IF(N2013="nulová",J2013,0)</f>
        <v>0</v>
      </c>
      <c r="BJ2013" s="2" t="s">
        <v>87</v>
      </c>
      <c r="BK2013" s="140">
        <f>ROUND(I2013*H2013,2)</f>
        <v>0</v>
      </c>
      <c r="BL2013" s="2" t="s">
        <v>496</v>
      </c>
      <c r="BM2013" s="139" t="s">
        <v>1773</v>
      </c>
    </row>
    <row r="2014" spans="2:65" s="141" customFormat="1" x14ac:dyDescent="0.2">
      <c r="B2014" s="142"/>
      <c r="D2014" s="143" t="s">
        <v>346</v>
      </c>
      <c r="E2014" s="144"/>
      <c r="F2014" s="145" t="s">
        <v>1755</v>
      </c>
      <c r="H2014" s="144"/>
      <c r="L2014" s="142"/>
      <c r="M2014" s="146"/>
      <c r="T2014" s="147"/>
      <c r="AT2014" s="144" t="s">
        <v>346</v>
      </c>
      <c r="AU2014" s="144" t="s">
        <v>90</v>
      </c>
      <c r="AV2014" s="141" t="s">
        <v>87</v>
      </c>
      <c r="AW2014" s="141" t="s">
        <v>33</v>
      </c>
      <c r="AX2014" s="141" t="s">
        <v>80</v>
      </c>
      <c r="AY2014" s="144" t="s">
        <v>337</v>
      </c>
    </row>
    <row r="2015" spans="2:65" s="148" customFormat="1" x14ac:dyDescent="0.2">
      <c r="B2015" s="149"/>
      <c r="D2015" s="143" t="s">
        <v>346</v>
      </c>
      <c r="E2015" s="150"/>
      <c r="F2015" s="151" t="s">
        <v>1774</v>
      </c>
      <c r="H2015" s="152">
        <v>84.35</v>
      </c>
      <c r="L2015" s="149"/>
      <c r="M2015" s="153"/>
      <c r="T2015" s="154"/>
      <c r="AT2015" s="150" t="s">
        <v>346</v>
      </c>
      <c r="AU2015" s="150" t="s">
        <v>90</v>
      </c>
      <c r="AV2015" s="148" t="s">
        <v>90</v>
      </c>
      <c r="AW2015" s="148" t="s">
        <v>33</v>
      </c>
      <c r="AX2015" s="148" t="s">
        <v>80</v>
      </c>
      <c r="AY2015" s="150" t="s">
        <v>337</v>
      </c>
    </row>
    <row r="2016" spans="2:65" s="141" customFormat="1" x14ac:dyDescent="0.2">
      <c r="B2016" s="142"/>
      <c r="D2016" s="143" t="s">
        <v>346</v>
      </c>
      <c r="E2016" s="144"/>
      <c r="F2016" s="145" t="s">
        <v>1775</v>
      </c>
      <c r="H2016" s="144"/>
      <c r="L2016" s="142"/>
      <c r="M2016" s="146"/>
      <c r="T2016" s="147"/>
      <c r="AT2016" s="144" t="s">
        <v>346</v>
      </c>
      <c r="AU2016" s="144" t="s">
        <v>90</v>
      </c>
      <c r="AV2016" s="141" t="s">
        <v>87</v>
      </c>
      <c r="AW2016" s="141" t="s">
        <v>33</v>
      </c>
      <c r="AX2016" s="141" t="s">
        <v>80</v>
      </c>
      <c r="AY2016" s="144" t="s">
        <v>337</v>
      </c>
    </row>
    <row r="2017" spans="2:65" s="148" customFormat="1" x14ac:dyDescent="0.2">
      <c r="B2017" s="149"/>
      <c r="D2017" s="143" t="s">
        <v>346</v>
      </c>
      <c r="E2017" s="150"/>
      <c r="F2017" s="151" t="s">
        <v>1776</v>
      </c>
      <c r="H2017" s="152">
        <v>6.76</v>
      </c>
      <c r="L2017" s="149"/>
      <c r="M2017" s="153"/>
      <c r="T2017" s="154"/>
      <c r="AT2017" s="150" t="s">
        <v>346</v>
      </c>
      <c r="AU2017" s="150" t="s">
        <v>90</v>
      </c>
      <c r="AV2017" s="148" t="s">
        <v>90</v>
      </c>
      <c r="AW2017" s="148" t="s">
        <v>33</v>
      </c>
      <c r="AX2017" s="148" t="s">
        <v>80</v>
      </c>
      <c r="AY2017" s="150" t="s">
        <v>337</v>
      </c>
    </row>
    <row r="2018" spans="2:65" s="148" customFormat="1" x14ac:dyDescent="0.2">
      <c r="B2018" s="149"/>
      <c r="D2018" s="143" t="s">
        <v>346</v>
      </c>
      <c r="E2018" s="150"/>
      <c r="F2018" s="151" t="s">
        <v>1777</v>
      </c>
      <c r="H2018" s="152">
        <v>48.62</v>
      </c>
      <c r="L2018" s="149"/>
      <c r="M2018" s="153"/>
      <c r="T2018" s="154"/>
      <c r="AT2018" s="150" t="s">
        <v>346</v>
      </c>
      <c r="AU2018" s="150" t="s">
        <v>90</v>
      </c>
      <c r="AV2018" s="148" t="s">
        <v>90</v>
      </c>
      <c r="AW2018" s="148" t="s">
        <v>33</v>
      </c>
      <c r="AX2018" s="148" t="s">
        <v>80</v>
      </c>
      <c r="AY2018" s="150" t="s">
        <v>337</v>
      </c>
    </row>
    <row r="2019" spans="2:65" s="141" customFormat="1" x14ac:dyDescent="0.2">
      <c r="B2019" s="142"/>
      <c r="D2019" s="143" t="s">
        <v>346</v>
      </c>
      <c r="E2019" s="144"/>
      <c r="F2019" s="145" t="s">
        <v>1778</v>
      </c>
      <c r="H2019" s="144"/>
      <c r="L2019" s="142"/>
      <c r="M2019" s="146"/>
      <c r="T2019" s="147"/>
      <c r="AT2019" s="144" t="s">
        <v>346</v>
      </c>
      <c r="AU2019" s="144" t="s">
        <v>90</v>
      </c>
      <c r="AV2019" s="141" t="s">
        <v>87</v>
      </c>
      <c r="AW2019" s="141" t="s">
        <v>33</v>
      </c>
      <c r="AX2019" s="141" t="s">
        <v>80</v>
      </c>
      <c r="AY2019" s="144" t="s">
        <v>337</v>
      </c>
    </row>
    <row r="2020" spans="2:65" s="141" customFormat="1" x14ac:dyDescent="0.2">
      <c r="B2020" s="142"/>
      <c r="D2020" s="143" t="s">
        <v>346</v>
      </c>
      <c r="E2020" s="144"/>
      <c r="F2020" s="145" t="s">
        <v>1779</v>
      </c>
      <c r="H2020" s="144"/>
      <c r="L2020" s="142"/>
      <c r="M2020" s="146"/>
      <c r="T2020" s="147"/>
      <c r="AT2020" s="144" t="s">
        <v>346</v>
      </c>
      <c r="AU2020" s="144" t="s">
        <v>90</v>
      </c>
      <c r="AV2020" s="141" t="s">
        <v>87</v>
      </c>
      <c r="AW2020" s="141" t="s">
        <v>33</v>
      </c>
      <c r="AX2020" s="141" t="s">
        <v>80</v>
      </c>
      <c r="AY2020" s="144" t="s">
        <v>337</v>
      </c>
    </row>
    <row r="2021" spans="2:65" s="148" customFormat="1" x14ac:dyDescent="0.2">
      <c r="B2021" s="149"/>
      <c r="D2021" s="143" t="s">
        <v>346</v>
      </c>
      <c r="E2021" s="150"/>
      <c r="F2021" s="151" t="s">
        <v>1780</v>
      </c>
      <c r="H2021" s="152">
        <v>2.5720000000000001</v>
      </c>
      <c r="L2021" s="149"/>
      <c r="M2021" s="153"/>
      <c r="T2021" s="154"/>
      <c r="AT2021" s="150" t="s">
        <v>346</v>
      </c>
      <c r="AU2021" s="150" t="s">
        <v>90</v>
      </c>
      <c r="AV2021" s="148" t="s">
        <v>90</v>
      </c>
      <c r="AW2021" s="148" t="s">
        <v>33</v>
      </c>
      <c r="AX2021" s="148" t="s">
        <v>80</v>
      </c>
      <c r="AY2021" s="150" t="s">
        <v>337</v>
      </c>
    </row>
    <row r="2022" spans="2:65" s="141" customFormat="1" x14ac:dyDescent="0.2">
      <c r="B2022" s="142"/>
      <c r="D2022" s="143" t="s">
        <v>346</v>
      </c>
      <c r="E2022" s="144"/>
      <c r="F2022" s="145" t="s">
        <v>1781</v>
      </c>
      <c r="H2022" s="144"/>
      <c r="L2022" s="142"/>
      <c r="M2022" s="146"/>
      <c r="T2022" s="147"/>
      <c r="AT2022" s="144" t="s">
        <v>346</v>
      </c>
      <c r="AU2022" s="144" t="s">
        <v>90</v>
      </c>
      <c r="AV2022" s="141" t="s">
        <v>87</v>
      </c>
      <c r="AW2022" s="141" t="s">
        <v>33</v>
      </c>
      <c r="AX2022" s="141" t="s">
        <v>80</v>
      </c>
      <c r="AY2022" s="144" t="s">
        <v>337</v>
      </c>
    </row>
    <row r="2023" spans="2:65" s="148" customFormat="1" x14ac:dyDescent="0.2">
      <c r="B2023" s="149"/>
      <c r="D2023" s="143" t="s">
        <v>346</v>
      </c>
      <c r="E2023" s="150"/>
      <c r="F2023" s="151" t="s">
        <v>1782</v>
      </c>
      <c r="H2023" s="152">
        <v>1.575</v>
      </c>
      <c r="L2023" s="149"/>
      <c r="M2023" s="153"/>
      <c r="T2023" s="154"/>
      <c r="AT2023" s="150" t="s">
        <v>346</v>
      </c>
      <c r="AU2023" s="150" t="s">
        <v>90</v>
      </c>
      <c r="AV2023" s="148" t="s">
        <v>90</v>
      </c>
      <c r="AW2023" s="148" t="s">
        <v>33</v>
      </c>
      <c r="AX2023" s="148" t="s">
        <v>80</v>
      </c>
      <c r="AY2023" s="150" t="s">
        <v>337</v>
      </c>
    </row>
    <row r="2024" spans="2:65" s="172" customFormat="1" x14ac:dyDescent="0.2">
      <c r="B2024" s="173"/>
      <c r="D2024" s="143" t="s">
        <v>346</v>
      </c>
      <c r="E2024" s="174" t="s">
        <v>184</v>
      </c>
      <c r="F2024" s="175" t="s">
        <v>609</v>
      </c>
      <c r="H2024" s="176">
        <v>143.87700000000001</v>
      </c>
      <c r="L2024" s="173"/>
      <c r="M2024" s="177"/>
      <c r="T2024" s="178"/>
      <c r="AT2024" s="174" t="s">
        <v>346</v>
      </c>
      <c r="AU2024" s="174" t="s">
        <v>90</v>
      </c>
      <c r="AV2024" s="172" t="s">
        <v>113</v>
      </c>
      <c r="AW2024" s="172" t="s">
        <v>33</v>
      </c>
      <c r="AX2024" s="172" t="s">
        <v>87</v>
      </c>
      <c r="AY2024" s="174" t="s">
        <v>337</v>
      </c>
    </row>
    <row r="2025" spans="2:65" s="16" customFormat="1" ht="16.5" customHeight="1" x14ac:dyDescent="0.2">
      <c r="B2025" s="17"/>
      <c r="C2025" s="128">
        <v>166</v>
      </c>
      <c r="D2025" s="128" t="s">
        <v>339</v>
      </c>
      <c r="E2025" s="129" t="s">
        <v>1784</v>
      </c>
      <c r="F2025" s="130" t="s">
        <v>1785</v>
      </c>
      <c r="G2025" s="131" t="s">
        <v>425</v>
      </c>
      <c r="H2025" s="132">
        <v>143.87700000000001</v>
      </c>
      <c r="I2025" s="133"/>
      <c r="J2025" s="134">
        <f>ROUND(I2025*H2025,2)</f>
        <v>0</v>
      </c>
      <c r="K2025" s="130" t="s">
        <v>343</v>
      </c>
      <c r="L2025" s="17"/>
      <c r="M2025" s="135"/>
      <c r="N2025" s="136" t="s">
        <v>45</v>
      </c>
      <c r="P2025" s="137">
        <f>O2025*H2025</f>
        <v>0</v>
      </c>
      <c r="Q2025" s="137">
        <v>0</v>
      </c>
      <c r="R2025" s="137">
        <f>Q2025*H2025</f>
        <v>0</v>
      </c>
      <c r="S2025" s="137">
        <v>0</v>
      </c>
      <c r="T2025" s="138">
        <f>S2025*H2025</f>
        <v>0</v>
      </c>
      <c r="AR2025" s="139" t="s">
        <v>496</v>
      </c>
      <c r="AT2025" s="139" t="s">
        <v>339</v>
      </c>
      <c r="AU2025" s="139" t="s">
        <v>90</v>
      </c>
      <c r="AY2025" s="2" t="s">
        <v>337</v>
      </c>
      <c r="BE2025" s="140">
        <f>IF(N2025="základní",J2025,0)</f>
        <v>0</v>
      </c>
      <c r="BF2025" s="140">
        <f>IF(N2025="snížená",J2025,0)</f>
        <v>0</v>
      </c>
      <c r="BG2025" s="140">
        <f>IF(N2025="zákl. přenesená",J2025,0)</f>
        <v>0</v>
      </c>
      <c r="BH2025" s="140">
        <f>IF(N2025="sníž. přenesená",J2025,0)</f>
        <v>0</v>
      </c>
      <c r="BI2025" s="140">
        <f>IF(N2025="nulová",J2025,0)</f>
        <v>0</v>
      </c>
      <c r="BJ2025" s="2" t="s">
        <v>87</v>
      </c>
      <c r="BK2025" s="140">
        <f>ROUND(I2025*H2025,2)</f>
        <v>0</v>
      </c>
      <c r="BL2025" s="2" t="s">
        <v>496</v>
      </c>
      <c r="BM2025" s="139" t="s">
        <v>1786</v>
      </c>
    </row>
    <row r="2026" spans="2:65" s="148" customFormat="1" x14ac:dyDescent="0.2">
      <c r="B2026" s="149"/>
      <c r="D2026" s="143" t="s">
        <v>346</v>
      </c>
      <c r="E2026" s="150"/>
      <c r="F2026" s="151" t="s">
        <v>184</v>
      </c>
      <c r="H2026" s="152">
        <v>143.87700000000001</v>
      </c>
      <c r="L2026" s="149"/>
      <c r="M2026" s="153"/>
      <c r="T2026" s="154"/>
      <c r="AT2026" s="150" t="s">
        <v>346</v>
      </c>
      <c r="AU2026" s="150" t="s">
        <v>90</v>
      </c>
      <c r="AV2026" s="148" t="s">
        <v>90</v>
      </c>
      <c r="AW2026" s="148" t="s">
        <v>33</v>
      </c>
      <c r="AX2026" s="148" t="s">
        <v>87</v>
      </c>
      <c r="AY2026" s="150" t="s">
        <v>337</v>
      </c>
    </row>
    <row r="2027" spans="2:65" s="16" customFormat="1" ht="16.5" customHeight="1" x14ac:dyDescent="0.2">
      <c r="B2027" s="17"/>
      <c r="C2027" s="128">
        <v>167</v>
      </c>
      <c r="D2027" s="128" t="s">
        <v>339</v>
      </c>
      <c r="E2027" s="129" t="s">
        <v>1787</v>
      </c>
      <c r="F2027" s="130" t="s">
        <v>1788</v>
      </c>
      <c r="G2027" s="131" t="s">
        <v>425</v>
      </c>
      <c r="H2027" s="132">
        <v>143.87700000000001</v>
      </c>
      <c r="I2027" s="133"/>
      <c r="J2027" s="134">
        <f>ROUND(I2027*H2027,2)</f>
        <v>0</v>
      </c>
      <c r="K2027" s="130" t="s">
        <v>343</v>
      </c>
      <c r="L2027" s="17"/>
      <c r="M2027" s="135"/>
      <c r="N2027" s="136" t="s">
        <v>45</v>
      </c>
      <c r="P2027" s="137">
        <f>O2027*H2027</f>
        <v>0</v>
      </c>
      <c r="Q2027" s="137">
        <v>0</v>
      </c>
      <c r="R2027" s="137">
        <f>Q2027*H2027</f>
        <v>0</v>
      </c>
      <c r="S2027" s="137">
        <v>0</v>
      </c>
      <c r="T2027" s="138">
        <f>S2027*H2027</f>
        <v>0</v>
      </c>
      <c r="AR2027" s="139" t="s">
        <v>496</v>
      </c>
      <c r="AT2027" s="139" t="s">
        <v>339</v>
      </c>
      <c r="AU2027" s="139" t="s">
        <v>90</v>
      </c>
      <c r="AY2027" s="2" t="s">
        <v>337</v>
      </c>
      <c r="BE2027" s="140">
        <f>IF(N2027="základní",J2027,0)</f>
        <v>0</v>
      </c>
      <c r="BF2027" s="140">
        <f>IF(N2027="snížená",J2027,0)</f>
        <v>0</v>
      </c>
      <c r="BG2027" s="140">
        <f>IF(N2027="zákl. přenesená",J2027,0)</f>
        <v>0</v>
      </c>
      <c r="BH2027" s="140">
        <f>IF(N2027="sníž. přenesená",J2027,0)</f>
        <v>0</v>
      </c>
      <c r="BI2027" s="140">
        <f>IF(N2027="nulová",J2027,0)</f>
        <v>0</v>
      </c>
      <c r="BJ2027" s="2" t="s">
        <v>87</v>
      </c>
      <c r="BK2027" s="140">
        <f>ROUND(I2027*H2027,2)</f>
        <v>0</v>
      </c>
      <c r="BL2027" s="2" t="s">
        <v>496</v>
      </c>
      <c r="BM2027" s="139" t="s">
        <v>1789</v>
      </c>
    </row>
    <row r="2028" spans="2:65" s="148" customFormat="1" x14ac:dyDescent="0.2">
      <c r="B2028" s="149"/>
      <c r="D2028" s="143" t="s">
        <v>346</v>
      </c>
      <c r="E2028" s="150"/>
      <c r="F2028" s="151" t="s">
        <v>184</v>
      </c>
      <c r="H2028" s="152">
        <v>143.87700000000001</v>
      </c>
      <c r="L2028" s="149"/>
      <c r="M2028" s="153"/>
      <c r="T2028" s="154"/>
      <c r="AT2028" s="150" t="s">
        <v>346</v>
      </c>
      <c r="AU2028" s="150" t="s">
        <v>90</v>
      </c>
      <c r="AV2028" s="148" t="s">
        <v>90</v>
      </c>
      <c r="AW2028" s="148" t="s">
        <v>33</v>
      </c>
      <c r="AX2028" s="148" t="s">
        <v>87</v>
      </c>
      <c r="AY2028" s="150" t="s">
        <v>337</v>
      </c>
    </row>
    <row r="2029" spans="2:65" s="16" customFormat="1" ht="16.5" customHeight="1" x14ac:dyDescent="0.2">
      <c r="B2029" s="17"/>
      <c r="C2029" s="128">
        <v>168</v>
      </c>
      <c r="D2029" s="128" t="s">
        <v>339</v>
      </c>
      <c r="E2029" s="129" t="s">
        <v>1791</v>
      </c>
      <c r="F2029" s="130" t="s">
        <v>1792</v>
      </c>
      <c r="G2029" s="131" t="s">
        <v>425</v>
      </c>
      <c r="H2029" s="132">
        <v>143.87700000000001</v>
      </c>
      <c r="I2029" s="133"/>
      <c r="J2029" s="134">
        <f>ROUND(I2029*H2029,2)</f>
        <v>0</v>
      </c>
      <c r="K2029" s="130" t="s">
        <v>343</v>
      </c>
      <c r="L2029" s="17"/>
      <c r="M2029" s="135"/>
      <c r="N2029" s="136" t="s">
        <v>45</v>
      </c>
      <c r="P2029" s="137">
        <f>O2029*H2029</f>
        <v>0</v>
      </c>
      <c r="Q2029" s="137">
        <v>2.5000000000000001E-4</v>
      </c>
      <c r="R2029" s="137">
        <f>Q2029*H2029</f>
        <v>3.5969250000000001E-2</v>
      </c>
      <c r="S2029" s="137">
        <v>0</v>
      </c>
      <c r="T2029" s="138">
        <f>S2029*H2029</f>
        <v>0</v>
      </c>
      <c r="AR2029" s="139" t="s">
        <v>496</v>
      </c>
      <c r="AT2029" s="139" t="s">
        <v>339</v>
      </c>
      <c r="AU2029" s="139" t="s">
        <v>90</v>
      </c>
      <c r="AY2029" s="2" t="s">
        <v>337</v>
      </c>
      <c r="BE2029" s="140">
        <f>IF(N2029="základní",J2029,0)</f>
        <v>0</v>
      </c>
      <c r="BF2029" s="140">
        <f>IF(N2029="snížená",J2029,0)</f>
        <v>0</v>
      </c>
      <c r="BG2029" s="140">
        <f>IF(N2029="zákl. přenesená",J2029,0)</f>
        <v>0</v>
      </c>
      <c r="BH2029" s="140">
        <f>IF(N2029="sníž. přenesená",J2029,0)</f>
        <v>0</v>
      </c>
      <c r="BI2029" s="140">
        <f>IF(N2029="nulová",J2029,0)</f>
        <v>0</v>
      </c>
      <c r="BJ2029" s="2" t="s">
        <v>87</v>
      </c>
      <c r="BK2029" s="140">
        <f>ROUND(I2029*H2029,2)</f>
        <v>0</v>
      </c>
      <c r="BL2029" s="2" t="s">
        <v>496</v>
      </c>
      <c r="BM2029" s="139" t="s">
        <v>1793</v>
      </c>
    </row>
    <row r="2030" spans="2:65" s="148" customFormat="1" x14ac:dyDescent="0.2">
      <c r="B2030" s="149"/>
      <c r="D2030" s="143" t="s">
        <v>346</v>
      </c>
      <c r="E2030" s="150"/>
      <c r="F2030" s="151" t="s">
        <v>184</v>
      </c>
      <c r="H2030" s="152">
        <v>143.87700000000001</v>
      </c>
      <c r="L2030" s="149"/>
      <c r="M2030" s="153"/>
      <c r="T2030" s="154"/>
      <c r="AT2030" s="150" t="s">
        <v>346</v>
      </c>
      <c r="AU2030" s="150" t="s">
        <v>90</v>
      </c>
      <c r="AV2030" s="148" t="s">
        <v>90</v>
      </c>
      <c r="AW2030" s="148" t="s">
        <v>33</v>
      </c>
      <c r="AX2030" s="148" t="s">
        <v>87</v>
      </c>
      <c r="AY2030" s="150" t="s">
        <v>337</v>
      </c>
    </row>
    <row r="2031" spans="2:65" s="16" customFormat="1" ht="16.5" customHeight="1" x14ac:dyDescent="0.2">
      <c r="B2031" s="17"/>
      <c r="C2031" s="128">
        <v>169</v>
      </c>
      <c r="D2031" s="128" t="s">
        <v>339</v>
      </c>
      <c r="E2031" s="129" t="s">
        <v>1794</v>
      </c>
      <c r="F2031" s="130" t="s">
        <v>1795</v>
      </c>
      <c r="G2031" s="131" t="s">
        <v>990</v>
      </c>
      <c r="H2031" s="132">
        <v>1.333</v>
      </c>
      <c r="I2031" s="133"/>
      <c r="J2031" s="134">
        <f>ROUND(I2031*H2031,2)</f>
        <v>0</v>
      </c>
      <c r="K2031" s="130" t="s">
        <v>343</v>
      </c>
      <c r="L2031" s="17"/>
      <c r="M2031" s="135"/>
      <c r="N2031" s="136" t="s">
        <v>45</v>
      </c>
      <c r="P2031" s="137">
        <f>O2031*H2031</f>
        <v>0</v>
      </c>
      <c r="Q2031" s="137">
        <v>0</v>
      </c>
      <c r="R2031" s="137">
        <f>Q2031*H2031</f>
        <v>0</v>
      </c>
      <c r="S2031" s="137">
        <v>0</v>
      </c>
      <c r="T2031" s="138">
        <f>S2031*H2031</f>
        <v>0</v>
      </c>
      <c r="AR2031" s="139" t="s">
        <v>496</v>
      </c>
      <c r="AT2031" s="139" t="s">
        <v>339</v>
      </c>
      <c r="AU2031" s="139" t="s">
        <v>90</v>
      </c>
      <c r="AY2031" s="2" t="s">
        <v>337</v>
      </c>
      <c r="BE2031" s="140">
        <f>IF(N2031="základní",J2031,0)</f>
        <v>0</v>
      </c>
      <c r="BF2031" s="140">
        <f>IF(N2031="snížená",J2031,0)</f>
        <v>0</v>
      </c>
      <c r="BG2031" s="140">
        <f>IF(N2031="zákl. přenesená",J2031,0)</f>
        <v>0</v>
      </c>
      <c r="BH2031" s="140">
        <f>IF(N2031="sníž. přenesená",J2031,0)</f>
        <v>0</v>
      </c>
      <c r="BI2031" s="140">
        <f>IF(N2031="nulová",J2031,0)</f>
        <v>0</v>
      </c>
      <c r="BJ2031" s="2" t="s">
        <v>87</v>
      </c>
      <c r="BK2031" s="140">
        <f>ROUND(I2031*H2031,2)</f>
        <v>0</v>
      </c>
      <c r="BL2031" s="2" t="s">
        <v>496</v>
      </c>
      <c r="BM2031" s="139" t="s">
        <v>1796</v>
      </c>
    </row>
    <row r="2032" spans="2:65" s="116" customFormat="1" ht="22.9" customHeight="1" x14ac:dyDescent="0.2">
      <c r="B2032" s="117"/>
      <c r="D2032" s="118" t="s">
        <v>79</v>
      </c>
      <c r="E2032" s="126" t="s">
        <v>1797</v>
      </c>
      <c r="F2032" s="126" t="s">
        <v>1798</v>
      </c>
      <c r="J2032" s="127">
        <f>BK2032</f>
        <v>0</v>
      </c>
      <c r="L2032" s="117"/>
      <c r="M2032" s="121"/>
      <c r="P2032" s="122">
        <f>SUM(P2033:P2359)</f>
        <v>0</v>
      </c>
      <c r="R2032" s="122">
        <f>SUM(R2033:R2359)</f>
        <v>7.3012533399999988</v>
      </c>
      <c r="T2032" s="123">
        <f>SUM(T2033:T2359)</f>
        <v>0</v>
      </c>
      <c r="AR2032" s="118" t="s">
        <v>90</v>
      </c>
      <c r="AT2032" s="124" t="s">
        <v>79</v>
      </c>
      <c r="AU2032" s="124" t="s">
        <v>87</v>
      </c>
      <c r="AY2032" s="118" t="s">
        <v>337</v>
      </c>
      <c r="BK2032" s="125">
        <f>SUM(BK2033:BK2359)</f>
        <v>0</v>
      </c>
    </row>
    <row r="2033" spans="2:65" s="16" customFormat="1" ht="16.5" customHeight="1" x14ac:dyDescent="0.2">
      <c r="B2033" s="17"/>
      <c r="C2033" s="128">
        <v>170</v>
      </c>
      <c r="D2033" s="128" t="s">
        <v>339</v>
      </c>
      <c r="E2033" s="129" t="s">
        <v>1800</v>
      </c>
      <c r="F2033" s="130" t="s">
        <v>1801</v>
      </c>
      <c r="G2033" s="131" t="s">
        <v>425</v>
      </c>
      <c r="H2033" s="132">
        <v>1959.8789999999999</v>
      </c>
      <c r="I2033" s="133"/>
      <c r="J2033" s="134">
        <f>ROUND(I2033*H2033,2)</f>
        <v>0</v>
      </c>
      <c r="K2033" s="130" t="s">
        <v>343</v>
      </c>
      <c r="L2033" s="17"/>
      <c r="M2033" s="135"/>
      <c r="N2033" s="136" t="s">
        <v>45</v>
      </c>
      <c r="P2033" s="137">
        <f>O2033*H2033</f>
        <v>0</v>
      </c>
      <c r="Q2033" s="137">
        <v>0</v>
      </c>
      <c r="R2033" s="137">
        <f>Q2033*H2033</f>
        <v>0</v>
      </c>
      <c r="S2033" s="137">
        <v>0</v>
      </c>
      <c r="T2033" s="138">
        <f>S2033*H2033</f>
        <v>0</v>
      </c>
      <c r="AR2033" s="139" t="s">
        <v>496</v>
      </c>
      <c r="AT2033" s="139" t="s">
        <v>339</v>
      </c>
      <c r="AU2033" s="139" t="s">
        <v>90</v>
      </c>
      <c r="AY2033" s="2" t="s">
        <v>337</v>
      </c>
      <c r="BE2033" s="140">
        <f>IF(N2033="základní",J2033,0)</f>
        <v>0</v>
      </c>
      <c r="BF2033" s="140">
        <f>IF(N2033="snížená",J2033,0)</f>
        <v>0</v>
      </c>
      <c r="BG2033" s="140">
        <f>IF(N2033="zákl. přenesená",J2033,0)</f>
        <v>0</v>
      </c>
      <c r="BH2033" s="140">
        <f>IF(N2033="sníž. přenesená",J2033,0)</f>
        <v>0</v>
      </c>
      <c r="BI2033" s="140">
        <f>IF(N2033="nulová",J2033,0)</f>
        <v>0</v>
      </c>
      <c r="BJ2033" s="2" t="s">
        <v>87</v>
      </c>
      <c r="BK2033" s="140">
        <f>ROUND(I2033*H2033,2)</f>
        <v>0</v>
      </c>
      <c r="BL2033" s="2" t="s">
        <v>496</v>
      </c>
      <c r="BM2033" s="139" t="s">
        <v>1802</v>
      </c>
    </row>
    <row r="2034" spans="2:65" s="16" customFormat="1" ht="16.5" customHeight="1" x14ac:dyDescent="0.2">
      <c r="B2034" s="17"/>
      <c r="C2034" s="128">
        <v>171</v>
      </c>
      <c r="D2034" s="128" t="s">
        <v>339</v>
      </c>
      <c r="E2034" s="129" t="s">
        <v>1803</v>
      </c>
      <c r="F2034" s="130" t="s">
        <v>1804</v>
      </c>
      <c r="G2034" s="131" t="s">
        <v>425</v>
      </c>
      <c r="H2034" s="132">
        <v>1959.8789999999999</v>
      </c>
      <c r="I2034" s="133"/>
      <c r="J2034" s="134">
        <f>ROUND(I2034*H2034,2)</f>
        <v>0</v>
      </c>
      <c r="K2034" s="130" t="s">
        <v>343</v>
      </c>
      <c r="L2034" s="17"/>
      <c r="M2034" s="135"/>
      <c r="N2034" s="136" t="s">
        <v>45</v>
      </c>
      <c r="P2034" s="137">
        <f>O2034*H2034</f>
        <v>0</v>
      </c>
      <c r="Q2034" s="137">
        <v>3.0000000000000001E-5</v>
      </c>
      <c r="R2034" s="137">
        <f>Q2034*H2034</f>
        <v>5.8796370000000001E-2</v>
      </c>
      <c r="S2034" s="137">
        <v>0</v>
      </c>
      <c r="T2034" s="138">
        <f>S2034*H2034</f>
        <v>0</v>
      </c>
      <c r="AR2034" s="139" t="s">
        <v>496</v>
      </c>
      <c r="AT2034" s="139" t="s">
        <v>339</v>
      </c>
      <c r="AU2034" s="139" t="s">
        <v>90</v>
      </c>
      <c r="AY2034" s="2" t="s">
        <v>337</v>
      </c>
      <c r="BE2034" s="140">
        <f>IF(N2034="základní",J2034,0)</f>
        <v>0</v>
      </c>
      <c r="BF2034" s="140">
        <f>IF(N2034="snížená",J2034,0)</f>
        <v>0</v>
      </c>
      <c r="BG2034" s="140">
        <f>IF(N2034="zákl. přenesená",J2034,0)</f>
        <v>0</v>
      </c>
      <c r="BH2034" s="140">
        <f>IF(N2034="sníž. přenesená",J2034,0)</f>
        <v>0</v>
      </c>
      <c r="BI2034" s="140">
        <f>IF(N2034="nulová",J2034,0)</f>
        <v>0</v>
      </c>
      <c r="BJ2034" s="2" t="s">
        <v>87</v>
      </c>
      <c r="BK2034" s="140">
        <f>ROUND(I2034*H2034,2)</f>
        <v>0</v>
      </c>
      <c r="BL2034" s="2" t="s">
        <v>496</v>
      </c>
      <c r="BM2034" s="139" t="s">
        <v>1805</v>
      </c>
    </row>
    <row r="2035" spans="2:65" s="148" customFormat="1" x14ac:dyDescent="0.2">
      <c r="B2035" s="149"/>
      <c r="D2035" s="143" t="s">
        <v>346</v>
      </c>
      <c r="E2035" s="150"/>
      <c r="F2035" s="151" t="s">
        <v>191</v>
      </c>
      <c r="H2035" s="152">
        <v>284.55</v>
      </c>
      <c r="L2035" s="149"/>
      <c r="M2035" s="153"/>
      <c r="T2035" s="154"/>
      <c r="AT2035" s="150" t="s">
        <v>346</v>
      </c>
      <c r="AU2035" s="150" t="s">
        <v>90</v>
      </c>
      <c r="AV2035" s="148" t="s">
        <v>90</v>
      </c>
      <c r="AW2035" s="148" t="s">
        <v>33</v>
      </c>
      <c r="AX2035" s="148" t="s">
        <v>80</v>
      </c>
      <c r="AY2035" s="150" t="s">
        <v>337</v>
      </c>
    </row>
    <row r="2036" spans="2:65" s="148" customFormat="1" x14ac:dyDescent="0.2">
      <c r="B2036" s="149"/>
      <c r="D2036" s="143" t="s">
        <v>346</v>
      </c>
      <c r="E2036" s="150"/>
      <c r="F2036" s="151" t="s">
        <v>1806</v>
      </c>
      <c r="H2036" s="152">
        <v>10.76</v>
      </c>
      <c r="L2036" s="149"/>
      <c r="M2036" s="153"/>
      <c r="T2036" s="154"/>
      <c r="AT2036" s="150" t="s">
        <v>346</v>
      </c>
      <c r="AU2036" s="150" t="s">
        <v>90</v>
      </c>
      <c r="AV2036" s="148" t="s">
        <v>90</v>
      </c>
      <c r="AW2036" s="148" t="s">
        <v>33</v>
      </c>
      <c r="AX2036" s="148" t="s">
        <v>80</v>
      </c>
      <c r="AY2036" s="150" t="s">
        <v>337</v>
      </c>
    </row>
    <row r="2037" spans="2:65" s="148" customFormat="1" x14ac:dyDescent="0.2">
      <c r="B2037" s="149"/>
      <c r="D2037" s="143" t="s">
        <v>346</v>
      </c>
      <c r="E2037" s="150"/>
      <c r="F2037" s="151" t="s">
        <v>197</v>
      </c>
      <c r="H2037" s="152">
        <v>1548.78</v>
      </c>
      <c r="L2037" s="149"/>
      <c r="M2037" s="153"/>
      <c r="T2037" s="154"/>
      <c r="AT2037" s="150" t="s">
        <v>346</v>
      </c>
      <c r="AU2037" s="150" t="s">
        <v>90</v>
      </c>
      <c r="AV2037" s="148" t="s">
        <v>90</v>
      </c>
      <c r="AW2037" s="148" t="s">
        <v>33</v>
      </c>
      <c r="AX2037" s="148" t="s">
        <v>80</v>
      </c>
      <c r="AY2037" s="150" t="s">
        <v>337</v>
      </c>
    </row>
    <row r="2038" spans="2:65" s="148" customFormat="1" x14ac:dyDescent="0.2">
      <c r="B2038" s="149"/>
      <c r="D2038" s="143" t="s">
        <v>346</v>
      </c>
      <c r="E2038" s="150"/>
      <c r="F2038" s="151" t="s">
        <v>1807</v>
      </c>
      <c r="H2038" s="152">
        <v>97.918999999999997</v>
      </c>
      <c r="L2038" s="149"/>
      <c r="M2038" s="153"/>
      <c r="T2038" s="154"/>
      <c r="AT2038" s="150" t="s">
        <v>346</v>
      </c>
      <c r="AU2038" s="150" t="s">
        <v>90</v>
      </c>
      <c r="AV2038" s="148" t="s">
        <v>90</v>
      </c>
      <c r="AW2038" s="148" t="s">
        <v>33</v>
      </c>
      <c r="AX2038" s="148" t="s">
        <v>80</v>
      </c>
      <c r="AY2038" s="150" t="s">
        <v>337</v>
      </c>
    </row>
    <row r="2039" spans="2:65" s="148" customFormat="1" x14ac:dyDescent="0.2">
      <c r="B2039" s="149"/>
      <c r="D2039" s="143" t="s">
        <v>346</v>
      </c>
      <c r="E2039" s="150"/>
      <c r="F2039" s="151" t="s">
        <v>241</v>
      </c>
      <c r="H2039" s="152">
        <v>17.87</v>
      </c>
      <c r="L2039" s="149"/>
      <c r="M2039" s="153"/>
      <c r="T2039" s="154"/>
      <c r="AT2039" s="150" t="s">
        <v>346</v>
      </c>
      <c r="AU2039" s="150" t="s">
        <v>90</v>
      </c>
      <c r="AV2039" s="148" t="s">
        <v>90</v>
      </c>
      <c r="AW2039" s="148" t="s">
        <v>33</v>
      </c>
      <c r="AX2039" s="148" t="s">
        <v>80</v>
      </c>
      <c r="AY2039" s="150" t="s">
        <v>337</v>
      </c>
    </row>
    <row r="2040" spans="2:65" s="155" customFormat="1" x14ac:dyDescent="0.2">
      <c r="B2040" s="156"/>
      <c r="D2040" s="143" t="s">
        <v>346</v>
      </c>
      <c r="E2040" s="157"/>
      <c r="F2040" s="158" t="s">
        <v>351</v>
      </c>
      <c r="H2040" s="159">
        <v>1959.8789999999999</v>
      </c>
      <c r="L2040" s="156"/>
      <c r="M2040" s="160"/>
      <c r="T2040" s="161"/>
      <c r="AT2040" s="157" t="s">
        <v>346</v>
      </c>
      <c r="AU2040" s="157" t="s">
        <v>90</v>
      </c>
      <c r="AV2040" s="155" t="s">
        <v>344</v>
      </c>
      <c r="AW2040" s="155" t="s">
        <v>33</v>
      </c>
      <c r="AX2040" s="155" t="s">
        <v>87</v>
      </c>
      <c r="AY2040" s="157" t="s">
        <v>337</v>
      </c>
    </row>
    <row r="2041" spans="2:65" s="16" customFormat="1" ht="16.5" customHeight="1" x14ac:dyDescent="0.2">
      <c r="B2041" s="17"/>
      <c r="C2041" s="128">
        <v>172</v>
      </c>
      <c r="D2041" s="128" t="s">
        <v>339</v>
      </c>
      <c r="E2041" s="129" t="s">
        <v>1809</v>
      </c>
      <c r="F2041" s="130" t="s">
        <v>1810</v>
      </c>
      <c r="G2041" s="131" t="s">
        <v>425</v>
      </c>
      <c r="H2041" s="132">
        <v>1833.33</v>
      </c>
      <c r="I2041" s="133"/>
      <c r="J2041" s="134">
        <f>ROUND(I2041*H2041,2)</f>
        <v>0</v>
      </c>
      <c r="K2041" s="130" t="s">
        <v>343</v>
      </c>
      <c r="L2041" s="17"/>
      <c r="M2041" s="135"/>
      <c r="N2041" s="136" t="s">
        <v>45</v>
      </c>
      <c r="P2041" s="137">
        <f>O2041*H2041</f>
        <v>0</v>
      </c>
      <c r="Q2041" s="137">
        <v>2.9999999999999997E-4</v>
      </c>
      <c r="R2041" s="137">
        <f>Q2041*H2041</f>
        <v>0.5499989999999999</v>
      </c>
      <c r="S2041" s="137">
        <v>0</v>
      </c>
      <c r="T2041" s="138">
        <f>S2041*H2041</f>
        <v>0</v>
      </c>
      <c r="AR2041" s="139" t="s">
        <v>496</v>
      </c>
      <c r="AT2041" s="139" t="s">
        <v>339</v>
      </c>
      <c r="AU2041" s="139" t="s">
        <v>90</v>
      </c>
      <c r="AY2041" s="2" t="s">
        <v>337</v>
      </c>
      <c r="BE2041" s="140">
        <f>IF(N2041="základní",J2041,0)</f>
        <v>0</v>
      </c>
      <c r="BF2041" s="140">
        <f>IF(N2041="snížená",J2041,0)</f>
        <v>0</v>
      </c>
      <c r="BG2041" s="140">
        <f>IF(N2041="zákl. přenesená",J2041,0)</f>
        <v>0</v>
      </c>
      <c r="BH2041" s="140">
        <f>IF(N2041="sníž. přenesená",J2041,0)</f>
        <v>0</v>
      </c>
      <c r="BI2041" s="140">
        <f>IF(N2041="nulová",J2041,0)</f>
        <v>0</v>
      </c>
      <c r="BJ2041" s="2" t="s">
        <v>87</v>
      </c>
      <c r="BK2041" s="140">
        <f>ROUND(I2041*H2041,2)</f>
        <v>0</v>
      </c>
      <c r="BL2041" s="2" t="s">
        <v>496</v>
      </c>
      <c r="BM2041" s="139" t="s">
        <v>1811</v>
      </c>
    </row>
    <row r="2042" spans="2:65" s="141" customFormat="1" x14ac:dyDescent="0.2">
      <c r="B2042" s="142"/>
      <c r="D2042" s="143" t="s">
        <v>346</v>
      </c>
      <c r="E2042" s="144"/>
      <c r="F2042" s="145" t="s">
        <v>884</v>
      </c>
      <c r="H2042" s="144"/>
      <c r="L2042" s="142"/>
      <c r="M2042" s="146"/>
      <c r="T2042" s="147"/>
      <c r="AT2042" s="144" t="s">
        <v>346</v>
      </c>
      <c r="AU2042" s="144" t="s">
        <v>90</v>
      </c>
      <c r="AV2042" s="141" t="s">
        <v>87</v>
      </c>
      <c r="AW2042" s="141" t="s">
        <v>33</v>
      </c>
      <c r="AX2042" s="141" t="s">
        <v>80</v>
      </c>
      <c r="AY2042" s="144" t="s">
        <v>337</v>
      </c>
    </row>
    <row r="2043" spans="2:65" s="141" customFormat="1" x14ac:dyDescent="0.2">
      <c r="B2043" s="142"/>
      <c r="D2043" s="143" t="s">
        <v>346</v>
      </c>
      <c r="E2043" s="144"/>
      <c r="F2043" s="145" t="s">
        <v>1812</v>
      </c>
      <c r="H2043" s="144"/>
      <c r="L2043" s="142"/>
      <c r="M2043" s="146"/>
      <c r="T2043" s="147"/>
      <c r="AT2043" s="144" t="s">
        <v>346</v>
      </c>
      <c r="AU2043" s="144" t="s">
        <v>90</v>
      </c>
      <c r="AV2043" s="141" t="s">
        <v>87</v>
      </c>
      <c r="AW2043" s="141" t="s">
        <v>33</v>
      </c>
      <c r="AX2043" s="141" t="s">
        <v>80</v>
      </c>
      <c r="AY2043" s="144" t="s">
        <v>337</v>
      </c>
    </row>
    <row r="2044" spans="2:65" s="148" customFormat="1" x14ac:dyDescent="0.2">
      <c r="B2044" s="149"/>
      <c r="D2044" s="143" t="s">
        <v>346</v>
      </c>
      <c r="E2044" s="150"/>
      <c r="F2044" s="151" t="s">
        <v>192</v>
      </c>
      <c r="H2044" s="152">
        <v>284.55</v>
      </c>
      <c r="L2044" s="149"/>
      <c r="M2044" s="153"/>
      <c r="T2044" s="154"/>
      <c r="AT2044" s="150" t="s">
        <v>346</v>
      </c>
      <c r="AU2044" s="150" t="s">
        <v>90</v>
      </c>
      <c r="AV2044" s="148" t="s">
        <v>90</v>
      </c>
      <c r="AW2044" s="148" t="s">
        <v>33</v>
      </c>
      <c r="AX2044" s="148" t="s">
        <v>80</v>
      </c>
      <c r="AY2044" s="150" t="s">
        <v>337</v>
      </c>
    </row>
    <row r="2045" spans="2:65" s="172" customFormat="1" x14ac:dyDescent="0.2">
      <c r="B2045" s="173"/>
      <c r="D2045" s="143" t="s">
        <v>346</v>
      </c>
      <c r="E2045" s="174" t="s">
        <v>191</v>
      </c>
      <c r="F2045" s="175" t="s">
        <v>609</v>
      </c>
      <c r="H2045" s="176">
        <v>284.55</v>
      </c>
      <c r="L2045" s="173"/>
      <c r="M2045" s="177"/>
      <c r="T2045" s="178"/>
      <c r="AT2045" s="174" t="s">
        <v>346</v>
      </c>
      <c r="AU2045" s="174" t="s">
        <v>90</v>
      </c>
      <c r="AV2045" s="172" t="s">
        <v>113</v>
      </c>
      <c r="AW2045" s="172" t="s">
        <v>33</v>
      </c>
      <c r="AX2045" s="172" t="s">
        <v>80</v>
      </c>
      <c r="AY2045" s="174" t="s">
        <v>337</v>
      </c>
    </row>
    <row r="2046" spans="2:65" s="141" customFormat="1" x14ac:dyDescent="0.2">
      <c r="B2046" s="142"/>
      <c r="D2046" s="143" t="s">
        <v>346</v>
      </c>
      <c r="E2046" s="144"/>
      <c r="F2046" s="145" t="s">
        <v>1813</v>
      </c>
      <c r="H2046" s="144"/>
      <c r="L2046" s="142"/>
      <c r="M2046" s="146"/>
      <c r="T2046" s="147"/>
      <c r="AT2046" s="144" t="s">
        <v>346</v>
      </c>
      <c r="AU2046" s="144" t="s">
        <v>90</v>
      </c>
      <c r="AV2046" s="141" t="s">
        <v>87</v>
      </c>
      <c r="AW2046" s="141" t="s">
        <v>33</v>
      </c>
      <c r="AX2046" s="141" t="s">
        <v>80</v>
      </c>
      <c r="AY2046" s="144" t="s">
        <v>337</v>
      </c>
    </row>
    <row r="2047" spans="2:65" s="148" customFormat="1" x14ac:dyDescent="0.2">
      <c r="B2047" s="149"/>
      <c r="D2047" s="143" t="s">
        <v>346</v>
      </c>
      <c r="E2047" s="150"/>
      <c r="F2047" s="151" t="s">
        <v>198</v>
      </c>
      <c r="H2047" s="152">
        <v>1548.78</v>
      </c>
      <c r="L2047" s="149"/>
      <c r="M2047" s="153"/>
      <c r="T2047" s="154"/>
      <c r="AT2047" s="150" t="s">
        <v>346</v>
      </c>
      <c r="AU2047" s="150" t="s">
        <v>90</v>
      </c>
      <c r="AV2047" s="148" t="s">
        <v>90</v>
      </c>
      <c r="AW2047" s="148" t="s">
        <v>33</v>
      </c>
      <c r="AX2047" s="148" t="s">
        <v>80</v>
      </c>
      <c r="AY2047" s="150" t="s">
        <v>337</v>
      </c>
    </row>
    <row r="2048" spans="2:65" s="172" customFormat="1" x14ac:dyDescent="0.2">
      <c r="B2048" s="173"/>
      <c r="D2048" s="143" t="s">
        <v>346</v>
      </c>
      <c r="E2048" s="174" t="s">
        <v>197</v>
      </c>
      <c r="F2048" s="175" t="s">
        <v>609</v>
      </c>
      <c r="H2048" s="176">
        <v>1548.78</v>
      </c>
      <c r="L2048" s="173"/>
      <c r="M2048" s="177"/>
      <c r="T2048" s="178"/>
      <c r="AT2048" s="174" t="s">
        <v>346</v>
      </c>
      <c r="AU2048" s="174" t="s">
        <v>90</v>
      </c>
      <c r="AV2048" s="172" t="s">
        <v>113</v>
      </c>
      <c r="AW2048" s="172" t="s">
        <v>33</v>
      </c>
      <c r="AX2048" s="172" t="s">
        <v>80</v>
      </c>
      <c r="AY2048" s="174" t="s">
        <v>337</v>
      </c>
    </row>
    <row r="2049" spans="2:65" s="155" customFormat="1" x14ac:dyDescent="0.2">
      <c r="B2049" s="156"/>
      <c r="D2049" s="143" t="s">
        <v>346</v>
      </c>
      <c r="E2049" s="157"/>
      <c r="F2049" s="158" t="s">
        <v>351</v>
      </c>
      <c r="H2049" s="159">
        <v>1833.33</v>
      </c>
      <c r="L2049" s="156"/>
      <c r="M2049" s="160"/>
      <c r="T2049" s="161"/>
      <c r="AT2049" s="157" t="s">
        <v>346</v>
      </c>
      <c r="AU2049" s="157" t="s">
        <v>90</v>
      </c>
      <c r="AV2049" s="155" t="s">
        <v>344</v>
      </c>
      <c r="AW2049" s="155" t="s">
        <v>33</v>
      </c>
      <c r="AX2049" s="155" t="s">
        <v>87</v>
      </c>
      <c r="AY2049" s="157" t="s">
        <v>337</v>
      </c>
    </row>
    <row r="2050" spans="2:65" s="16" customFormat="1" ht="24.2" customHeight="1" x14ac:dyDescent="0.2">
      <c r="B2050" s="17"/>
      <c r="C2050" s="128">
        <v>173</v>
      </c>
      <c r="D2050" s="162" t="s">
        <v>519</v>
      </c>
      <c r="E2050" s="163" t="s">
        <v>1814</v>
      </c>
      <c r="F2050" s="164" t="s">
        <v>1815</v>
      </c>
      <c r="G2050" s="165" t="s">
        <v>425</v>
      </c>
      <c r="H2050" s="166">
        <v>324.84100000000001</v>
      </c>
      <c r="I2050" s="167"/>
      <c r="J2050" s="168">
        <f>ROUND(I2050*H2050,2)</f>
        <v>0</v>
      </c>
      <c r="K2050" s="164" t="s">
        <v>343</v>
      </c>
      <c r="L2050" s="169"/>
      <c r="M2050" s="170"/>
      <c r="N2050" s="171" t="s">
        <v>45</v>
      </c>
      <c r="P2050" s="137">
        <f>O2050*H2050</f>
        <v>0</v>
      </c>
      <c r="Q2050" s="137">
        <v>2.7499999999999998E-3</v>
      </c>
      <c r="R2050" s="137">
        <f>Q2050*H2050</f>
        <v>0.89331274999999999</v>
      </c>
      <c r="S2050" s="137">
        <v>0</v>
      </c>
      <c r="T2050" s="138">
        <f>S2050*H2050</f>
        <v>0</v>
      </c>
      <c r="AR2050" s="139" t="s">
        <v>621</v>
      </c>
      <c r="AT2050" s="139" t="s">
        <v>519</v>
      </c>
      <c r="AU2050" s="139" t="s">
        <v>90</v>
      </c>
      <c r="AY2050" s="2" t="s">
        <v>337</v>
      </c>
      <c r="BE2050" s="140">
        <f>IF(N2050="základní",J2050,0)</f>
        <v>0</v>
      </c>
      <c r="BF2050" s="140">
        <f>IF(N2050="snížená",J2050,0)</f>
        <v>0</v>
      </c>
      <c r="BG2050" s="140">
        <f>IF(N2050="zákl. přenesená",J2050,0)</f>
        <v>0</v>
      </c>
      <c r="BH2050" s="140">
        <f>IF(N2050="sníž. přenesená",J2050,0)</f>
        <v>0</v>
      </c>
      <c r="BI2050" s="140">
        <f>IF(N2050="nulová",J2050,0)</f>
        <v>0</v>
      </c>
      <c r="BJ2050" s="2" t="s">
        <v>87</v>
      </c>
      <c r="BK2050" s="140">
        <f>ROUND(I2050*H2050,2)</f>
        <v>0</v>
      </c>
      <c r="BL2050" s="2" t="s">
        <v>496</v>
      </c>
      <c r="BM2050" s="139" t="s">
        <v>1816</v>
      </c>
    </row>
    <row r="2051" spans="2:65" s="148" customFormat="1" x14ac:dyDescent="0.2">
      <c r="B2051" s="149"/>
      <c r="D2051" s="143" t="s">
        <v>346</v>
      </c>
      <c r="E2051" s="150"/>
      <c r="F2051" s="151" t="s">
        <v>191</v>
      </c>
      <c r="H2051" s="152">
        <v>284.55</v>
      </c>
      <c r="L2051" s="149"/>
      <c r="M2051" s="153"/>
      <c r="T2051" s="154"/>
      <c r="AT2051" s="150" t="s">
        <v>346</v>
      </c>
      <c r="AU2051" s="150" t="s">
        <v>90</v>
      </c>
      <c r="AV2051" s="148" t="s">
        <v>90</v>
      </c>
      <c r="AW2051" s="148" t="s">
        <v>33</v>
      </c>
      <c r="AX2051" s="148" t="s">
        <v>80</v>
      </c>
      <c r="AY2051" s="150" t="s">
        <v>337</v>
      </c>
    </row>
    <row r="2052" spans="2:65" s="141" customFormat="1" x14ac:dyDescent="0.2">
      <c r="B2052" s="142"/>
      <c r="D2052" s="143" t="s">
        <v>346</v>
      </c>
      <c r="E2052" s="144"/>
      <c r="F2052" s="145" t="s">
        <v>1817</v>
      </c>
      <c r="H2052" s="144"/>
      <c r="L2052" s="142"/>
      <c r="M2052" s="146"/>
      <c r="T2052" s="147"/>
      <c r="AT2052" s="144" t="s">
        <v>346</v>
      </c>
      <c r="AU2052" s="144" t="s">
        <v>90</v>
      </c>
      <c r="AV2052" s="141" t="s">
        <v>87</v>
      </c>
      <c r="AW2052" s="141" t="s">
        <v>33</v>
      </c>
      <c r="AX2052" s="141" t="s">
        <v>80</v>
      </c>
      <c r="AY2052" s="144" t="s">
        <v>337</v>
      </c>
    </row>
    <row r="2053" spans="2:65" s="148" customFormat="1" x14ac:dyDescent="0.2">
      <c r="B2053" s="149"/>
      <c r="D2053" s="143" t="s">
        <v>346</v>
      </c>
      <c r="E2053" s="150"/>
      <c r="F2053" s="151" t="s">
        <v>1806</v>
      </c>
      <c r="H2053" s="152">
        <v>10.76</v>
      </c>
      <c r="L2053" s="149"/>
      <c r="M2053" s="153"/>
      <c r="T2053" s="154"/>
      <c r="AT2053" s="150" t="s">
        <v>346</v>
      </c>
      <c r="AU2053" s="150" t="s">
        <v>90</v>
      </c>
      <c r="AV2053" s="148" t="s">
        <v>90</v>
      </c>
      <c r="AW2053" s="148" t="s">
        <v>33</v>
      </c>
      <c r="AX2053" s="148" t="s">
        <v>80</v>
      </c>
      <c r="AY2053" s="150" t="s">
        <v>337</v>
      </c>
    </row>
    <row r="2054" spans="2:65" s="155" customFormat="1" x14ac:dyDescent="0.2">
      <c r="B2054" s="156"/>
      <c r="D2054" s="143" t="s">
        <v>346</v>
      </c>
      <c r="E2054" s="157"/>
      <c r="F2054" s="158" t="s">
        <v>351</v>
      </c>
      <c r="H2054" s="159">
        <v>295.31</v>
      </c>
      <c r="L2054" s="156"/>
      <c r="M2054" s="160"/>
      <c r="T2054" s="161"/>
      <c r="AT2054" s="157" t="s">
        <v>346</v>
      </c>
      <c r="AU2054" s="157" t="s">
        <v>90</v>
      </c>
      <c r="AV2054" s="155" t="s">
        <v>344</v>
      </c>
      <c r="AW2054" s="155" t="s">
        <v>33</v>
      </c>
      <c r="AX2054" s="155" t="s">
        <v>87</v>
      </c>
      <c r="AY2054" s="157" t="s">
        <v>337</v>
      </c>
    </row>
    <row r="2055" spans="2:65" s="148" customFormat="1" x14ac:dyDescent="0.2">
      <c r="B2055" s="149"/>
      <c r="D2055" s="143" t="s">
        <v>346</v>
      </c>
      <c r="F2055" s="151" t="s">
        <v>1818</v>
      </c>
      <c r="H2055" s="152">
        <v>324.84100000000001</v>
      </c>
      <c r="L2055" s="149"/>
      <c r="M2055" s="153"/>
      <c r="T2055" s="154"/>
      <c r="AT2055" s="150" t="s">
        <v>346</v>
      </c>
      <c r="AU2055" s="150" t="s">
        <v>90</v>
      </c>
      <c r="AV2055" s="148" t="s">
        <v>90</v>
      </c>
      <c r="AW2055" s="148" t="s">
        <v>3</v>
      </c>
      <c r="AX2055" s="148" t="s">
        <v>87</v>
      </c>
      <c r="AY2055" s="150" t="s">
        <v>337</v>
      </c>
    </row>
    <row r="2056" spans="2:65" s="16" customFormat="1" ht="24.2" customHeight="1" x14ac:dyDescent="0.2">
      <c r="B2056" s="17"/>
      <c r="C2056" s="128">
        <v>174</v>
      </c>
      <c r="D2056" s="162" t="s">
        <v>519</v>
      </c>
      <c r="E2056" s="163" t="s">
        <v>1820</v>
      </c>
      <c r="F2056" s="164" t="s">
        <v>1821</v>
      </c>
      <c r="G2056" s="165" t="s">
        <v>425</v>
      </c>
      <c r="H2056" s="166">
        <v>1811.3689999999999</v>
      </c>
      <c r="I2056" s="167"/>
      <c r="J2056" s="168">
        <f>ROUND(I2056*H2056,2)</f>
        <v>0</v>
      </c>
      <c r="K2056" s="164"/>
      <c r="L2056" s="169"/>
      <c r="M2056" s="170"/>
      <c r="N2056" s="171" t="s">
        <v>45</v>
      </c>
      <c r="P2056" s="137">
        <f>O2056*H2056</f>
        <v>0</v>
      </c>
      <c r="Q2056" s="137">
        <v>2.7499999999999998E-3</v>
      </c>
      <c r="R2056" s="137">
        <f>Q2056*H2056</f>
        <v>4.9812647499999994</v>
      </c>
      <c r="S2056" s="137">
        <v>0</v>
      </c>
      <c r="T2056" s="138">
        <f>S2056*H2056</f>
        <v>0</v>
      </c>
      <c r="AR2056" s="139" t="s">
        <v>621</v>
      </c>
      <c r="AT2056" s="139" t="s">
        <v>519</v>
      </c>
      <c r="AU2056" s="139" t="s">
        <v>90</v>
      </c>
      <c r="AY2056" s="2" t="s">
        <v>337</v>
      </c>
      <c r="BE2056" s="140">
        <f>IF(N2056="základní",J2056,0)</f>
        <v>0</v>
      </c>
      <c r="BF2056" s="140">
        <f>IF(N2056="snížená",J2056,0)</f>
        <v>0</v>
      </c>
      <c r="BG2056" s="140">
        <f>IF(N2056="zákl. přenesená",J2056,0)</f>
        <v>0</v>
      </c>
      <c r="BH2056" s="140">
        <f>IF(N2056="sníž. přenesená",J2056,0)</f>
        <v>0</v>
      </c>
      <c r="BI2056" s="140">
        <f>IF(N2056="nulová",J2056,0)</f>
        <v>0</v>
      </c>
      <c r="BJ2056" s="2" t="s">
        <v>87</v>
      </c>
      <c r="BK2056" s="140">
        <f>ROUND(I2056*H2056,2)</f>
        <v>0</v>
      </c>
      <c r="BL2056" s="2" t="s">
        <v>496</v>
      </c>
      <c r="BM2056" s="139" t="s">
        <v>1822</v>
      </c>
    </row>
    <row r="2057" spans="2:65" s="148" customFormat="1" x14ac:dyDescent="0.2">
      <c r="B2057" s="149"/>
      <c r="D2057" s="143" t="s">
        <v>346</v>
      </c>
      <c r="E2057" s="150"/>
      <c r="F2057" s="151" t="s">
        <v>197</v>
      </c>
      <c r="H2057" s="152">
        <v>1548.78</v>
      </c>
      <c r="L2057" s="149"/>
      <c r="M2057" s="153"/>
      <c r="T2057" s="154"/>
      <c r="AT2057" s="150" t="s">
        <v>346</v>
      </c>
      <c r="AU2057" s="150" t="s">
        <v>90</v>
      </c>
      <c r="AV2057" s="148" t="s">
        <v>90</v>
      </c>
      <c r="AW2057" s="148" t="s">
        <v>33</v>
      </c>
      <c r="AX2057" s="148" t="s">
        <v>80</v>
      </c>
      <c r="AY2057" s="150" t="s">
        <v>337</v>
      </c>
    </row>
    <row r="2058" spans="2:65" s="141" customFormat="1" x14ac:dyDescent="0.2">
      <c r="B2058" s="142"/>
      <c r="D2058" s="143" t="s">
        <v>346</v>
      </c>
      <c r="E2058" s="144"/>
      <c r="F2058" s="145" t="s">
        <v>1817</v>
      </c>
      <c r="H2058" s="144"/>
      <c r="L2058" s="142"/>
      <c r="M2058" s="146"/>
      <c r="T2058" s="147"/>
      <c r="AT2058" s="144" t="s">
        <v>346</v>
      </c>
      <c r="AU2058" s="144" t="s">
        <v>90</v>
      </c>
      <c r="AV2058" s="141" t="s">
        <v>87</v>
      </c>
      <c r="AW2058" s="141" t="s">
        <v>33</v>
      </c>
      <c r="AX2058" s="141" t="s">
        <v>80</v>
      </c>
      <c r="AY2058" s="144" t="s">
        <v>337</v>
      </c>
    </row>
    <row r="2059" spans="2:65" s="148" customFormat="1" x14ac:dyDescent="0.2">
      <c r="B2059" s="149"/>
      <c r="D2059" s="143" t="s">
        <v>346</v>
      </c>
      <c r="E2059" s="150"/>
      <c r="F2059" s="151" t="s">
        <v>1807</v>
      </c>
      <c r="H2059" s="152">
        <v>97.918999999999997</v>
      </c>
      <c r="L2059" s="149"/>
      <c r="M2059" s="153"/>
      <c r="T2059" s="154"/>
      <c r="AT2059" s="150" t="s">
        <v>346</v>
      </c>
      <c r="AU2059" s="150" t="s">
        <v>90</v>
      </c>
      <c r="AV2059" s="148" t="s">
        <v>90</v>
      </c>
      <c r="AW2059" s="148" t="s">
        <v>33</v>
      </c>
      <c r="AX2059" s="148" t="s">
        <v>80</v>
      </c>
      <c r="AY2059" s="150" t="s">
        <v>337</v>
      </c>
    </row>
    <row r="2060" spans="2:65" s="155" customFormat="1" x14ac:dyDescent="0.2">
      <c r="B2060" s="156"/>
      <c r="D2060" s="143" t="s">
        <v>346</v>
      </c>
      <c r="E2060" s="157"/>
      <c r="F2060" s="158" t="s">
        <v>351</v>
      </c>
      <c r="H2060" s="159">
        <v>1646.6990000000001</v>
      </c>
      <c r="L2060" s="156"/>
      <c r="M2060" s="160"/>
      <c r="T2060" s="161"/>
      <c r="AT2060" s="157" t="s">
        <v>346</v>
      </c>
      <c r="AU2060" s="157" t="s">
        <v>90</v>
      </c>
      <c r="AV2060" s="155" t="s">
        <v>344</v>
      </c>
      <c r="AW2060" s="155" t="s">
        <v>33</v>
      </c>
      <c r="AX2060" s="155" t="s">
        <v>87</v>
      </c>
      <c r="AY2060" s="157" t="s">
        <v>337</v>
      </c>
    </row>
    <row r="2061" spans="2:65" s="148" customFormat="1" x14ac:dyDescent="0.2">
      <c r="B2061" s="149"/>
      <c r="D2061" s="143" t="s">
        <v>346</v>
      </c>
      <c r="F2061" s="151" t="s">
        <v>1823</v>
      </c>
      <c r="H2061" s="152">
        <v>1811.3689999999999</v>
      </c>
      <c r="L2061" s="149"/>
      <c r="M2061" s="153"/>
      <c r="T2061" s="154"/>
      <c r="AT2061" s="150" t="s">
        <v>346</v>
      </c>
      <c r="AU2061" s="150" t="s">
        <v>90</v>
      </c>
      <c r="AV2061" s="148" t="s">
        <v>90</v>
      </c>
      <c r="AW2061" s="148" t="s">
        <v>3</v>
      </c>
      <c r="AX2061" s="148" t="s">
        <v>87</v>
      </c>
      <c r="AY2061" s="150" t="s">
        <v>337</v>
      </c>
    </row>
    <row r="2062" spans="2:65" s="16" customFormat="1" ht="16.5" customHeight="1" x14ac:dyDescent="0.2">
      <c r="B2062" s="17"/>
      <c r="C2062" s="128">
        <v>175</v>
      </c>
      <c r="D2062" s="128" t="s">
        <v>339</v>
      </c>
      <c r="E2062" s="129" t="s">
        <v>1824</v>
      </c>
      <c r="F2062" s="130" t="s">
        <v>1825</v>
      </c>
      <c r="G2062" s="131" t="s">
        <v>724</v>
      </c>
      <c r="H2062" s="132">
        <v>1873.787</v>
      </c>
      <c r="I2062" s="133"/>
      <c r="J2062" s="134">
        <f>ROUND(I2062*H2062,2)</f>
        <v>0</v>
      </c>
      <c r="K2062" s="130" t="s">
        <v>343</v>
      </c>
      <c r="L2062" s="17"/>
      <c r="M2062" s="135"/>
      <c r="N2062" s="136" t="s">
        <v>45</v>
      </c>
      <c r="P2062" s="137">
        <f>O2062*H2062</f>
        <v>0</v>
      </c>
      <c r="Q2062" s="137">
        <v>1.0000000000000001E-5</v>
      </c>
      <c r="R2062" s="137">
        <f>Q2062*H2062</f>
        <v>1.873787E-2</v>
      </c>
      <c r="S2062" s="137">
        <v>0</v>
      </c>
      <c r="T2062" s="138">
        <f>S2062*H2062</f>
        <v>0</v>
      </c>
      <c r="AR2062" s="139" t="s">
        <v>496</v>
      </c>
      <c r="AT2062" s="139" t="s">
        <v>339</v>
      </c>
      <c r="AU2062" s="139" t="s">
        <v>90</v>
      </c>
      <c r="AY2062" s="2" t="s">
        <v>337</v>
      </c>
      <c r="BE2062" s="140">
        <f>IF(N2062="základní",J2062,0)</f>
        <v>0</v>
      </c>
      <c r="BF2062" s="140">
        <f>IF(N2062="snížená",J2062,0)</f>
        <v>0</v>
      </c>
      <c r="BG2062" s="140">
        <f>IF(N2062="zákl. přenesená",J2062,0)</f>
        <v>0</v>
      </c>
      <c r="BH2062" s="140">
        <f>IF(N2062="sníž. přenesená",J2062,0)</f>
        <v>0</v>
      </c>
      <c r="BI2062" s="140">
        <f>IF(N2062="nulová",J2062,0)</f>
        <v>0</v>
      </c>
      <c r="BJ2062" s="2" t="s">
        <v>87</v>
      </c>
      <c r="BK2062" s="140">
        <f>ROUND(I2062*H2062,2)</f>
        <v>0</v>
      </c>
      <c r="BL2062" s="2" t="s">
        <v>496</v>
      </c>
      <c r="BM2062" s="139" t="s">
        <v>1826</v>
      </c>
    </row>
    <row r="2063" spans="2:65" s="141" customFormat="1" x14ac:dyDescent="0.2">
      <c r="B2063" s="142"/>
      <c r="D2063" s="143" t="s">
        <v>346</v>
      </c>
      <c r="E2063" s="144"/>
      <c r="F2063" s="145" t="s">
        <v>1827</v>
      </c>
      <c r="H2063" s="144"/>
      <c r="L2063" s="142"/>
      <c r="M2063" s="146"/>
      <c r="T2063" s="147"/>
      <c r="AT2063" s="144" t="s">
        <v>346</v>
      </c>
      <c r="AU2063" s="144" t="s">
        <v>90</v>
      </c>
      <c r="AV2063" s="141" t="s">
        <v>87</v>
      </c>
      <c r="AW2063" s="141" t="s">
        <v>33</v>
      </c>
      <c r="AX2063" s="141" t="s">
        <v>80</v>
      </c>
      <c r="AY2063" s="144" t="s">
        <v>337</v>
      </c>
    </row>
    <row r="2064" spans="2:65" s="148" customFormat="1" x14ac:dyDescent="0.2">
      <c r="B2064" s="149"/>
      <c r="D2064" s="143" t="s">
        <v>346</v>
      </c>
      <c r="E2064" s="150"/>
      <c r="F2064" s="151" t="s">
        <v>1828</v>
      </c>
      <c r="H2064" s="152">
        <v>34.6</v>
      </c>
      <c r="L2064" s="149"/>
      <c r="M2064" s="153"/>
      <c r="T2064" s="154"/>
      <c r="AT2064" s="150" t="s">
        <v>346</v>
      </c>
      <c r="AU2064" s="150" t="s">
        <v>90</v>
      </c>
      <c r="AV2064" s="148" t="s">
        <v>90</v>
      </c>
      <c r="AW2064" s="148" t="s">
        <v>33</v>
      </c>
      <c r="AX2064" s="148" t="s">
        <v>80</v>
      </c>
      <c r="AY2064" s="150" t="s">
        <v>337</v>
      </c>
    </row>
    <row r="2065" spans="2:51" s="148" customFormat="1" x14ac:dyDescent="0.2">
      <c r="B2065" s="149"/>
      <c r="D2065" s="143" t="s">
        <v>346</v>
      </c>
      <c r="E2065" s="150"/>
      <c r="F2065" s="151" t="s">
        <v>1641</v>
      </c>
      <c r="H2065" s="152">
        <v>-0.9</v>
      </c>
      <c r="L2065" s="149"/>
      <c r="M2065" s="153"/>
      <c r="T2065" s="154"/>
      <c r="AT2065" s="150" t="s">
        <v>346</v>
      </c>
      <c r="AU2065" s="150" t="s">
        <v>90</v>
      </c>
      <c r="AV2065" s="148" t="s">
        <v>90</v>
      </c>
      <c r="AW2065" s="148" t="s">
        <v>33</v>
      </c>
      <c r="AX2065" s="148" t="s">
        <v>80</v>
      </c>
      <c r="AY2065" s="150" t="s">
        <v>337</v>
      </c>
    </row>
    <row r="2066" spans="2:51" s="148" customFormat="1" x14ac:dyDescent="0.2">
      <c r="B2066" s="149"/>
      <c r="D2066" s="143" t="s">
        <v>346</v>
      </c>
      <c r="E2066" s="150"/>
      <c r="F2066" s="151" t="s">
        <v>1829</v>
      </c>
      <c r="H2066" s="152">
        <v>24.15</v>
      </c>
      <c r="L2066" s="149"/>
      <c r="M2066" s="153"/>
      <c r="T2066" s="154"/>
      <c r="AT2066" s="150" t="s">
        <v>346</v>
      </c>
      <c r="AU2066" s="150" t="s">
        <v>90</v>
      </c>
      <c r="AV2066" s="148" t="s">
        <v>90</v>
      </c>
      <c r="AW2066" s="148" t="s">
        <v>33</v>
      </c>
      <c r="AX2066" s="148" t="s">
        <v>80</v>
      </c>
      <c r="AY2066" s="150" t="s">
        <v>337</v>
      </c>
    </row>
    <row r="2067" spans="2:51" s="148" customFormat="1" x14ac:dyDescent="0.2">
      <c r="B2067" s="149"/>
      <c r="D2067" s="143" t="s">
        <v>346</v>
      </c>
      <c r="E2067" s="150"/>
      <c r="F2067" s="151" t="s">
        <v>1606</v>
      </c>
      <c r="H2067" s="152">
        <v>-1.4</v>
      </c>
      <c r="L2067" s="149"/>
      <c r="M2067" s="153"/>
      <c r="T2067" s="154"/>
      <c r="AT2067" s="150" t="s">
        <v>346</v>
      </c>
      <c r="AU2067" s="150" t="s">
        <v>90</v>
      </c>
      <c r="AV2067" s="148" t="s">
        <v>90</v>
      </c>
      <c r="AW2067" s="148" t="s">
        <v>33</v>
      </c>
      <c r="AX2067" s="148" t="s">
        <v>80</v>
      </c>
      <c r="AY2067" s="150" t="s">
        <v>337</v>
      </c>
    </row>
    <row r="2068" spans="2:51" s="148" customFormat="1" x14ac:dyDescent="0.2">
      <c r="B2068" s="149"/>
      <c r="D2068" s="143" t="s">
        <v>346</v>
      </c>
      <c r="E2068" s="150"/>
      <c r="F2068" s="151" t="s">
        <v>1830</v>
      </c>
      <c r="H2068" s="152">
        <v>28.25</v>
      </c>
      <c r="L2068" s="149"/>
      <c r="M2068" s="153"/>
      <c r="T2068" s="154"/>
      <c r="AT2068" s="150" t="s">
        <v>346</v>
      </c>
      <c r="AU2068" s="150" t="s">
        <v>90</v>
      </c>
      <c r="AV2068" s="148" t="s">
        <v>90</v>
      </c>
      <c r="AW2068" s="148" t="s">
        <v>33</v>
      </c>
      <c r="AX2068" s="148" t="s">
        <v>80</v>
      </c>
      <c r="AY2068" s="150" t="s">
        <v>337</v>
      </c>
    </row>
    <row r="2069" spans="2:51" s="148" customFormat="1" x14ac:dyDescent="0.2">
      <c r="B2069" s="149"/>
      <c r="D2069" s="143" t="s">
        <v>346</v>
      </c>
      <c r="E2069" s="150"/>
      <c r="F2069" s="151" t="s">
        <v>1606</v>
      </c>
      <c r="H2069" s="152">
        <v>-1.4</v>
      </c>
      <c r="L2069" s="149"/>
      <c r="M2069" s="153"/>
      <c r="T2069" s="154"/>
      <c r="AT2069" s="150" t="s">
        <v>346</v>
      </c>
      <c r="AU2069" s="150" t="s">
        <v>90</v>
      </c>
      <c r="AV2069" s="148" t="s">
        <v>90</v>
      </c>
      <c r="AW2069" s="148" t="s">
        <v>33</v>
      </c>
      <c r="AX2069" s="148" t="s">
        <v>80</v>
      </c>
      <c r="AY2069" s="150" t="s">
        <v>337</v>
      </c>
    </row>
    <row r="2070" spans="2:51" s="148" customFormat="1" x14ac:dyDescent="0.2">
      <c r="B2070" s="149"/>
      <c r="D2070" s="143" t="s">
        <v>346</v>
      </c>
      <c r="E2070" s="150"/>
      <c r="F2070" s="151" t="s">
        <v>1831</v>
      </c>
      <c r="H2070" s="152">
        <v>19.8</v>
      </c>
      <c r="L2070" s="149"/>
      <c r="M2070" s="153"/>
      <c r="T2070" s="154"/>
      <c r="AT2070" s="150" t="s">
        <v>346</v>
      </c>
      <c r="AU2070" s="150" t="s">
        <v>90</v>
      </c>
      <c r="AV2070" s="148" t="s">
        <v>90</v>
      </c>
      <c r="AW2070" s="148" t="s">
        <v>33</v>
      </c>
      <c r="AX2070" s="148" t="s">
        <v>80</v>
      </c>
      <c r="AY2070" s="150" t="s">
        <v>337</v>
      </c>
    </row>
    <row r="2071" spans="2:51" s="148" customFormat="1" x14ac:dyDescent="0.2">
      <c r="B2071" s="149"/>
      <c r="D2071" s="143" t="s">
        <v>346</v>
      </c>
      <c r="E2071" s="150"/>
      <c r="F2071" s="151" t="s">
        <v>1641</v>
      </c>
      <c r="H2071" s="152">
        <v>-0.9</v>
      </c>
      <c r="L2071" s="149"/>
      <c r="M2071" s="153"/>
      <c r="T2071" s="154"/>
      <c r="AT2071" s="150" t="s">
        <v>346</v>
      </c>
      <c r="AU2071" s="150" t="s">
        <v>90</v>
      </c>
      <c r="AV2071" s="148" t="s">
        <v>90</v>
      </c>
      <c r="AW2071" s="148" t="s">
        <v>33</v>
      </c>
      <c r="AX2071" s="148" t="s">
        <v>80</v>
      </c>
      <c r="AY2071" s="150" t="s">
        <v>337</v>
      </c>
    </row>
    <row r="2072" spans="2:51" s="148" customFormat="1" x14ac:dyDescent="0.2">
      <c r="B2072" s="149"/>
      <c r="D2072" s="143" t="s">
        <v>346</v>
      </c>
      <c r="E2072" s="150"/>
      <c r="F2072" s="151" t="s">
        <v>1832</v>
      </c>
      <c r="H2072" s="152">
        <v>29.52</v>
      </c>
      <c r="L2072" s="149"/>
      <c r="M2072" s="153"/>
      <c r="T2072" s="154"/>
      <c r="AT2072" s="150" t="s">
        <v>346</v>
      </c>
      <c r="AU2072" s="150" t="s">
        <v>90</v>
      </c>
      <c r="AV2072" s="148" t="s">
        <v>90</v>
      </c>
      <c r="AW2072" s="148" t="s">
        <v>33</v>
      </c>
      <c r="AX2072" s="148" t="s">
        <v>80</v>
      </c>
      <c r="AY2072" s="150" t="s">
        <v>337</v>
      </c>
    </row>
    <row r="2073" spans="2:51" s="148" customFormat="1" x14ac:dyDescent="0.2">
      <c r="B2073" s="149"/>
      <c r="D2073" s="143" t="s">
        <v>346</v>
      </c>
      <c r="E2073" s="150"/>
      <c r="F2073" s="151" t="s">
        <v>1641</v>
      </c>
      <c r="H2073" s="152">
        <v>-0.9</v>
      </c>
      <c r="L2073" s="149"/>
      <c r="M2073" s="153"/>
      <c r="T2073" s="154"/>
      <c r="AT2073" s="150" t="s">
        <v>346</v>
      </c>
      <c r="AU2073" s="150" t="s">
        <v>90</v>
      </c>
      <c r="AV2073" s="148" t="s">
        <v>90</v>
      </c>
      <c r="AW2073" s="148" t="s">
        <v>33</v>
      </c>
      <c r="AX2073" s="148" t="s">
        <v>80</v>
      </c>
      <c r="AY2073" s="150" t="s">
        <v>337</v>
      </c>
    </row>
    <row r="2074" spans="2:51" s="148" customFormat="1" x14ac:dyDescent="0.2">
      <c r="B2074" s="149"/>
      <c r="D2074" s="143" t="s">
        <v>346</v>
      </c>
      <c r="E2074" s="150"/>
      <c r="F2074" s="151" t="s">
        <v>1833</v>
      </c>
      <c r="H2074" s="152">
        <v>42.55</v>
      </c>
      <c r="L2074" s="149"/>
      <c r="M2074" s="153"/>
      <c r="T2074" s="154"/>
      <c r="AT2074" s="150" t="s">
        <v>346</v>
      </c>
      <c r="AU2074" s="150" t="s">
        <v>90</v>
      </c>
      <c r="AV2074" s="148" t="s">
        <v>90</v>
      </c>
      <c r="AW2074" s="148" t="s">
        <v>33</v>
      </c>
      <c r="AX2074" s="148" t="s">
        <v>80</v>
      </c>
      <c r="AY2074" s="150" t="s">
        <v>337</v>
      </c>
    </row>
    <row r="2075" spans="2:51" s="148" customFormat="1" x14ac:dyDescent="0.2">
      <c r="B2075" s="149"/>
      <c r="D2075" s="143" t="s">
        <v>346</v>
      </c>
      <c r="E2075" s="150"/>
      <c r="F2075" s="151" t="s">
        <v>1834</v>
      </c>
      <c r="H2075" s="152">
        <v>-2.2000000000000002</v>
      </c>
      <c r="L2075" s="149"/>
      <c r="M2075" s="153"/>
      <c r="T2075" s="154"/>
      <c r="AT2075" s="150" t="s">
        <v>346</v>
      </c>
      <c r="AU2075" s="150" t="s">
        <v>90</v>
      </c>
      <c r="AV2075" s="148" t="s">
        <v>90</v>
      </c>
      <c r="AW2075" s="148" t="s">
        <v>33</v>
      </c>
      <c r="AX2075" s="148" t="s">
        <v>80</v>
      </c>
      <c r="AY2075" s="150" t="s">
        <v>337</v>
      </c>
    </row>
    <row r="2076" spans="2:51" s="148" customFormat="1" x14ac:dyDescent="0.2">
      <c r="B2076" s="149"/>
      <c r="D2076" s="143" t="s">
        <v>346</v>
      </c>
      <c r="E2076" s="150"/>
      <c r="F2076" s="151" t="s">
        <v>1835</v>
      </c>
      <c r="H2076" s="152">
        <v>15.15</v>
      </c>
      <c r="L2076" s="149"/>
      <c r="M2076" s="153"/>
      <c r="T2076" s="154"/>
      <c r="AT2076" s="150" t="s">
        <v>346</v>
      </c>
      <c r="AU2076" s="150" t="s">
        <v>90</v>
      </c>
      <c r="AV2076" s="148" t="s">
        <v>90</v>
      </c>
      <c r="AW2076" s="148" t="s">
        <v>33</v>
      </c>
      <c r="AX2076" s="148" t="s">
        <v>80</v>
      </c>
      <c r="AY2076" s="150" t="s">
        <v>337</v>
      </c>
    </row>
    <row r="2077" spans="2:51" s="148" customFormat="1" x14ac:dyDescent="0.2">
      <c r="B2077" s="149"/>
      <c r="D2077" s="143" t="s">
        <v>346</v>
      </c>
      <c r="E2077" s="150"/>
      <c r="F2077" s="151" t="s">
        <v>1601</v>
      </c>
      <c r="H2077" s="152">
        <v>-0.8</v>
      </c>
      <c r="L2077" s="149"/>
      <c r="M2077" s="153"/>
      <c r="T2077" s="154"/>
      <c r="AT2077" s="150" t="s">
        <v>346</v>
      </c>
      <c r="AU2077" s="150" t="s">
        <v>90</v>
      </c>
      <c r="AV2077" s="148" t="s">
        <v>90</v>
      </c>
      <c r="AW2077" s="148" t="s">
        <v>33</v>
      </c>
      <c r="AX2077" s="148" t="s">
        <v>80</v>
      </c>
      <c r="AY2077" s="150" t="s">
        <v>337</v>
      </c>
    </row>
    <row r="2078" spans="2:51" s="172" customFormat="1" x14ac:dyDescent="0.2">
      <c r="B2078" s="173"/>
      <c r="D2078" s="143" t="s">
        <v>346</v>
      </c>
      <c r="E2078" s="174" t="s">
        <v>194</v>
      </c>
      <c r="F2078" s="175" t="s">
        <v>609</v>
      </c>
      <c r="H2078" s="176">
        <v>185.52</v>
      </c>
      <c r="L2078" s="173"/>
      <c r="M2078" s="177"/>
      <c r="T2078" s="178"/>
      <c r="AT2078" s="174" t="s">
        <v>346</v>
      </c>
      <c r="AU2078" s="174" t="s">
        <v>90</v>
      </c>
      <c r="AV2078" s="172" t="s">
        <v>113</v>
      </c>
      <c r="AW2078" s="172" t="s">
        <v>33</v>
      </c>
      <c r="AX2078" s="172" t="s">
        <v>80</v>
      </c>
      <c r="AY2078" s="174" t="s">
        <v>337</v>
      </c>
    </row>
    <row r="2079" spans="2:51" s="141" customFormat="1" x14ac:dyDescent="0.2">
      <c r="B2079" s="142"/>
      <c r="D2079" s="143" t="s">
        <v>346</v>
      </c>
      <c r="E2079" s="144"/>
      <c r="F2079" s="145" t="s">
        <v>1836</v>
      </c>
      <c r="H2079" s="144"/>
      <c r="L2079" s="142"/>
      <c r="M2079" s="146"/>
      <c r="T2079" s="147"/>
      <c r="AT2079" s="144" t="s">
        <v>346</v>
      </c>
      <c r="AU2079" s="144" t="s">
        <v>90</v>
      </c>
      <c r="AV2079" s="141" t="s">
        <v>87</v>
      </c>
      <c r="AW2079" s="141" t="s">
        <v>33</v>
      </c>
      <c r="AX2079" s="141" t="s">
        <v>80</v>
      </c>
      <c r="AY2079" s="144" t="s">
        <v>337</v>
      </c>
    </row>
    <row r="2080" spans="2:51" s="148" customFormat="1" x14ac:dyDescent="0.2">
      <c r="B2080" s="149"/>
      <c r="D2080" s="143" t="s">
        <v>346</v>
      </c>
      <c r="E2080" s="150"/>
      <c r="F2080" s="151" t="s">
        <v>1837</v>
      </c>
      <c r="H2080" s="152">
        <v>8.9</v>
      </c>
      <c r="L2080" s="149"/>
      <c r="M2080" s="153"/>
      <c r="T2080" s="154"/>
      <c r="AT2080" s="150" t="s">
        <v>346</v>
      </c>
      <c r="AU2080" s="150" t="s">
        <v>90</v>
      </c>
      <c r="AV2080" s="148" t="s">
        <v>90</v>
      </c>
      <c r="AW2080" s="148" t="s">
        <v>33</v>
      </c>
      <c r="AX2080" s="148" t="s">
        <v>80</v>
      </c>
      <c r="AY2080" s="150" t="s">
        <v>337</v>
      </c>
    </row>
    <row r="2081" spans="2:51" s="148" customFormat="1" x14ac:dyDescent="0.2">
      <c r="B2081" s="149"/>
      <c r="D2081" s="143" t="s">
        <v>346</v>
      </c>
      <c r="E2081" s="150"/>
      <c r="F2081" s="151" t="s">
        <v>1838</v>
      </c>
      <c r="H2081" s="152">
        <v>-3.8</v>
      </c>
      <c r="L2081" s="149"/>
      <c r="M2081" s="153"/>
      <c r="T2081" s="154"/>
      <c r="AT2081" s="150" t="s">
        <v>346</v>
      </c>
      <c r="AU2081" s="150" t="s">
        <v>90</v>
      </c>
      <c r="AV2081" s="148" t="s">
        <v>90</v>
      </c>
      <c r="AW2081" s="148" t="s">
        <v>33</v>
      </c>
      <c r="AX2081" s="148" t="s">
        <v>80</v>
      </c>
      <c r="AY2081" s="150" t="s">
        <v>337</v>
      </c>
    </row>
    <row r="2082" spans="2:51" s="148" customFormat="1" x14ac:dyDescent="0.2">
      <c r="B2082" s="149"/>
      <c r="D2082" s="143" t="s">
        <v>346</v>
      </c>
      <c r="E2082" s="150"/>
      <c r="F2082" s="151" t="s">
        <v>1839</v>
      </c>
      <c r="H2082" s="152">
        <v>15.2</v>
      </c>
      <c r="L2082" s="149"/>
      <c r="M2082" s="153"/>
      <c r="T2082" s="154"/>
      <c r="AT2082" s="150" t="s">
        <v>346</v>
      </c>
      <c r="AU2082" s="150" t="s">
        <v>90</v>
      </c>
      <c r="AV2082" s="148" t="s">
        <v>90</v>
      </c>
      <c r="AW2082" s="148" t="s">
        <v>33</v>
      </c>
      <c r="AX2082" s="148" t="s">
        <v>80</v>
      </c>
      <c r="AY2082" s="150" t="s">
        <v>337</v>
      </c>
    </row>
    <row r="2083" spans="2:51" s="148" customFormat="1" x14ac:dyDescent="0.2">
      <c r="B2083" s="149"/>
      <c r="D2083" s="143" t="s">
        <v>346</v>
      </c>
      <c r="E2083" s="150"/>
      <c r="F2083" s="151" t="s">
        <v>1601</v>
      </c>
      <c r="H2083" s="152">
        <v>-0.8</v>
      </c>
      <c r="L2083" s="149"/>
      <c r="M2083" s="153"/>
      <c r="T2083" s="154"/>
      <c r="AT2083" s="150" t="s">
        <v>346</v>
      </c>
      <c r="AU2083" s="150" t="s">
        <v>90</v>
      </c>
      <c r="AV2083" s="148" t="s">
        <v>90</v>
      </c>
      <c r="AW2083" s="148" t="s">
        <v>33</v>
      </c>
      <c r="AX2083" s="148" t="s">
        <v>80</v>
      </c>
      <c r="AY2083" s="150" t="s">
        <v>337</v>
      </c>
    </row>
    <row r="2084" spans="2:51" s="148" customFormat="1" x14ac:dyDescent="0.2">
      <c r="B2084" s="149"/>
      <c r="D2084" s="143" t="s">
        <v>346</v>
      </c>
      <c r="E2084" s="150"/>
      <c r="F2084" s="151" t="s">
        <v>1840</v>
      </c>
      <c r="H2084" s="152">
        <v>15.2</v>
      </c>
      <c r="L2084" s="149"/>
      <c r="M2084" s="153"/>
      <c r="T2084" s="154"/>
      <c r="AT2084" s="150" t="s">
        <v>346</v>
      </c>
      <c r="AU2084" s="150" t="s">
        <v>90</v>
      </c>
      <c r="AV2084" s="148" t="s">
        <v>90</v>
      </c>
      <c r="AW2084" s="148" t="s">
        <v>33</v>
      </c>
      <c r="AX2084" s="148" t="s">
        <v>80</v>
      </c>
      <c r="AY2084" s="150" t="s">
        <v>337</v>
      </c>
    </row>
    <row r="2085" spans="2:51" s="148" customFormat="1" x14ac:dyDescent="0.2">
      <c r="B2085" s="149"/>
      <c r="D2085" s="143" t="s">
        <v>346</v>
      </c>
      <c r="E2085" s="150"/>
      <c r="F2085" s="151" t="s">
        <v>1601</v>
      </c>
      <c r="H2085" s="152">
        <v>-0.8</v>
      </c>
      <c r="L2085" s="149"/>
      <c r="M2085" s="153"/>
      <c r="T2085" s="154"/>
      <c r="AT2085" s="150" t="s">
        <v>346</v>
      </c>
      <c r="AU2085" s="150" t="s">
        <v>90</v>
      </c>
      <c r="AV2085" s="148" t="s">
        <v>90</v>
      </c>
      <c r="AW2085" s="148" t="s">
        <v>33</v>
      </c>
      <c r="AX2085" s="148" t="s">
        <v>80</v>
      </c>
      <c r="AY2085" s="150" t="s">
        <v>337</v>
      </c>
    </row>
    <row r="2086" spans="2:51" s="148" customFormat="1" x14ac:dyDescent="0.2">
      <c r="B2086" s="149"/>
      <c r="D2086" s="143" t="s">
        <v>346</v>
      </c>
      <c r="E2086" s="150"/>
      <c r="F2086" s="151" t="s">
        <v>1841</v>
      </c>
      <c r="H2086" s="152">
        <v>8.66</v>
      </c>
      <c r="L2086" s="149"/>
      <c r="M2086" s="153"/>
      <c r="T2086" s="154"/>
      <c r="AT2086" s="150" t="s">
        <v>346</v>
      </c>
      <c r="AU2086" s="150" t="s">
        <v>90</v>
      </c>
      <c r="AV2086" s="148" t="s">
        <v>90</v>
      </c>
      <c r="AW2086" s="148" t="s">
        <v>33</v>
      </c>
      <c r="AX2086" s="148" t="s">
        <v>80</v>
      </c>
      <c r="AY2086" s="150" t="s">
        <v>337</v>
      </c>
    </row>
    <row r="2087" spans="2:51" s="148" customFormat="1" x14ac:dyDescent="0.2">
      <c r="B2087" s="149"/>
      <c r="D2087" s="143" t="s">
        <v>346</v>
      </c>
      <c r="E2087" s="150"/>
      <c r="F2087" s="151" t="s">
        <v>1838</v>
      </c>
      <c r="H2087" s="152">
        <v>-3.8</v>
      </c>
      <c r="L2087" s="149"/>
      <c r="M2087" s="153"/>
      <c r="T2087" s="154"/>
      <c r="AT2087" s="150" t="s">
        <v>346</v>
      </c>
      <c r="AU2087" s="150" t="s">
        <v>90</v>
      </c>
      <c r="AV2087" s="148" t="s">
        <v>90</v>
      </c>
      <c r="AW2087" s="148" t="s">
        <v>33</v>
      </c>
      <c r="AX2087" s="148" t="s">
        <v>80</v>
      </c>
      <c r="AY2087" s="150" t="s">
        <v>337</v>
      </c>
    </row>
    <row r="2088" spans="2:51" s="148" customFormat="1" x14ac:dyDescent="0.2">
      <c r="B2088" s="149"/>
      <c r="D2088" s="143" t="s">
        <v>346</v>
      </c>
      <c r="E2088" s="150"/>
      <c r="F2088" s="151" t="s">
        <v>1842</v>
      </c>
      <c r="H2088" s="152">
        <v>15.2</v>
      </c>
      <c r="L2088" s="149"/>
      <c r="M2088" s="153"/>
      <c r="T2088" s="154"/>
      <c r="AT2088" s="150" t="s">
        <v>346</v>
      </c>
      <c r="AU2088" s="150" t="s">
        <v>90</v>
      </c>
      <c r="AV2088" s="148" t="s">
        <v>90</v>
      </c>
      <c r="AW2088" s="148" t="s">
        <v>33</v>
      </c>
      <c r="AX2088" s="148" t="s">
        <v>80</v>
      </c>
      <c r="AY2088" s="150" t="s">
        <v>337</v>
      </c>
    </row>
    <row r="2089" spans="2:51" s="148" customFormat="1" x14ac:dyDescent="0.2">
      <c r="B2089" s="149"/>
      <c r="D2089" s="143" t="s">
        <v>346</v>
      </c>
      <c r="E2089" s="150"/>
      <c r="F2089" s="151" t="s">
        <v>1601</v>
      </c>
      <c r="H2089" s="152">
        <v>-0.8</v>
      </c>
      <c r="L2089" s="149"/>
      <c r="M2089" s="153"/>
      <c r="T2089" s="154"/>
      <c r="AT2089" s="150" t="s">
        <v>346</v>
      </c>
      <c r="AU2089" s="150" t="s">
        <v>90</v>
      </c>
      <c r="AV2089" s="148" t="s">
        <v>90</v>
      </c>
      <c r="AW2089" s="148" t="s">
        <v>33</v>
      </c>
      <c r="AX2089" s="148" t="s">
        <v>80</v>
      </c>
      <c r="AY2089" s="150" t="s">
        <v>337</v>
      </c>
    </row>
    <row r="2090" spans="2:51" s="148" customFormat="1" x14ac:dyDescent="0.2">
      <c r="B2090" s="149"/>
      <c r="D2090" s="143" t="s">
        <v>346</v>
      </c>
      <c r="E2090" s="150"/>
      <c r="F2090" s="151" t="s">
        <v>1843</v>
      </c>
      <c r="H2090" s="152">
        <v>15.2</v>
      </c>
      <c r="L2090" s="149"/>
      <c r="M2090" s="153"/>
      <c r="T2090" s="154"/>
      <c r="AT2090" s="150" t="s">
        <v>346</v>
      </c>
      <c r="AU2090" s="150" t="s">
        <v>90</v>
      </c>
      <c r="AV2090" s="148" t="s">
        <v>90</v>
      </c>
      <c r="AW2090" s="148" t="s">
        <v>33</v>
      </c>
      <c r="AX2090" s="148" t="s">
        <v>80</v>
      </c>
      <c r="AY2090" s="150" t="s">
        <v>337</v>
      </c>
    </row>
    <row r="2091" spans="2:51" s="148" customFormat="1" x14ac:dyDescent="0.2">
      <c r="B2091" s="149"/>
      <c r="D2091" s="143" t="s">
        <v>346</v>
      </c>
      <c r="E2091" s="150"/>
      <c r="F2091" s="151" t="s">
        <v>1601</v>
      </c>
      <c r="H2091" s="152">
        <v>-0.8</v>
      </c>
      <c r="L2091" s="149"/>
      <c r="M2091" s="153"/>
      <c r="T2091" s="154"/>
      <c r="AT2091" s="150" t="s">
        <v>346</v>
      </c>
      <c r="AU2091" s="150" t="s">
        <v>90</v>
      </c>
      <c r="AV2091" s="148" t="s">
        <v>90</v>
      </c>
      <c r="AW2091" s="148" t="s">
        <v>33</v>
      </c>
      <c r="AX2091" s="148" t="s">
        <v>80</v>
      </c>
      <c r="AY2091" s="150" t="s">
        <v>337</v>
      </c>
    </row>
    <row r="2092" spans="2:51" s="148" customFormat="1" x14ac:dyDescent="0.2">
      <c r="B2092" s="149"/>
      <c r="D2092" s="143" t="s">
        <v>346</v>
      </c>
      <c r="E2092" s="150"/>
      <c r="F2092" s="151" t="s">
        <v>1844</v>
      </c>
      <c r="H2092" s="152">
        <v>15.06</v>
      </c>
      <c r="L2092" s="149"/>
      <c r="M2092" s="153"/>
      <c r="T2092" s="154"/>
      <c r="AT2092" s="150" t="s">
        <v>346</v>
      </c>
      <c r="AU2092" s="150" t="s">
        <v>90</v>
      </c>
      <c r="AV2092" s="148" t="s">
        <v>90</v>
      </c>
      <c r="AW2092" s="148" t="s">
        <v>33</v>
      </c>
      <c r="AX2092" s="148" t="s">
        <v>80</v>
      </c>
      <c r="AY2092" s="150" t="s">
        <v>337</v>
      </c>
    </row>
    <row r="2093" spans="2:51" s="148" customFormat="1" x14ac:dyDescent="0.2">
      <c r="B2093" s="149"/>
      <c r="D2093" s="143" t="s">
        <v>346</v>
      </c>
      <c r="E2093" s="150"/>
      <c r="F2093" s="151" t="s">
        <v>1838</v>
      </c>
      <c r="H2093" s="152">
        <v>-3.8</v>
      </c>
      <c r="L2093" s="149"/>
      <c r="M2093" s="153"/>
      <c r="T2093" s="154"/>
      <c r="AT2093" s="150" t="s">
        <v>346</v>
      </c>
      <c r="AU2093" s="150" t="s">
        <v>90</v>
      </c>
      <c r="AV2093" s="148" t="s">
        <v>90</v>
      </c>
      <c r="AW2093" s="148" t="s">
        <v>33</v>
      </c>
      <c r="AX2093" s="148" t="s">
        <v>80</v>
      </c>
      <c r="AY2093" s="150" t="s">
        <v>337</v>
      </c>
    </row>
    <row r="2094" spans="2:51" s="148" customFormat="1" x14ac:dyDescent="0.2">
      <c r="B2094" s="149"/>
      <c r="D2094" s="143" t="s">
        <v>346</v>
      </c>
      <c r="E2094" s="150"/>
      <c r="F2094" s="151" t="s">
        <v>1845</v>
      </c>
      <c r="H2094" s="152">
        <v>15.2</v>
      </c>
      <c r="L2094" s="149"/>
      <c r="M2094" s="153"/>
      <c r="T2094" s="154"/>
      <c r="AT2094" s="150" t="s">
        <v>346</v>
      </c>
      <c r="AU2094" s="150" t="s">
        <v>90</v>
      </c>
      <c r="AV2094" s="148" t="s">
        <v>90</v>
      </c>
      <c r="AW2094" s="148" t="s">
        <v>33</v>
      </c>
      <c r="AX2094" s="148" t="s">
        <v>80</v>
      </c>
      <c r="AY2094" s="150" t="s">
        <v>337</v>
      </c>
    </row>
    <row r="2095" spans="2:51" s="148" customFormat="1" x14ac:dyDescent="0.2">
      <c r="B2095" s="149"/>
      <c r="D2095" s="143" t="s">
        <v>346</v>
      </c>
      <c r="E2095" s="150"/>
      <c r="F2095" s="151" t="s">
        <v>1601</v>
      </c>
      <c r="H2095" s="152">
        <v>-0.8</v>
      </c>
      <c r="L2095" s="149"/>
      <c r="M2095" s="153"/>
      <c r="T2095" s="154"/>
      <c r="AT2095" s="150" t="s">
        <v>346</v>
      </c>
      <c r="AU2095" s="150" t="s">
        <v>90</v>
      </c>
      <c r="AV2095" s="148" t="s">
        <v>90</v>
      </c>
      <c r="AW2095" s="148" t="s">
        <v>33</v>
      </c>
      <c r="AX2095" s="148" t="s">
        <v>80</v>
      </c>
      <c r="AY2095" s="150" t="s">
        <v>337</v>
      </c>
    </row>
    <row r="2096" spans="2:51" s="148" customFormat="1" x14ac:dyDescent="0.2">
      <c r="B2096" s="149"/>
      <c r="D2096" s="143" t="s">
        <v>346</v>
      </c>
      <c r="E2096" s="150"/>
      <c r="F2096" s="151" t="s">
        <v>1846</v>
      </c>
      <c r="H2096" s="152">
        <v>15.2</v>
      </c>
      <c r="L2096" s="149"/>
      <c r="M2096" s="153"/>
      <c r="T2096" s="154"/>
      <c r="AT2096" s="150" t="s">
        <v>346</v>
      </c>
      <c r="AU2096" s="150" t="s">
        <v>90</v>
      </c>
      <c r="AV2096" s="148" t="s">
        <v>90</v>
      </c>
      <c r="AW2096" s="148" t="s">
        <v>33</v>
      </c>
      <c r="AX2096" s="148" t="s">
        <v>80</v>
      </c>
      <c r="AY2096" s="150" t="s">
        <v>337</v>
      </c>
    </row>
    <row r="2097" spans="2:51" s="148" customFormat="1" x14ac:dyDescent="0.2">
      <c r="B2097" s="149"/>
      <c r="D2097" s="143" t="s">
        <v>346</v>
      </c>
      <c r="E2097" s="150"/>
      <c r="F2097" s="151" t="s">
        <v>1601</v>
      </c>
      <c r="H2097" s="152">
        <v>-0.8</v>
      </c>
      <c r="L2097" s="149"/>
      <c r="M2097" s="153"/>
      <c r="T2097" s="154"/>
      <c r="AT2097" s="150" t="s">
        <v>346</v>
      </c>
      <c r="AU2097" s="150" t="s">
        <v>90</v>
      </c>
      <c r="AV2097" s="148" t="s">
        <v>90</v>
      </c>
      <c r="AW2097" s="148" t="s">
        <v>33</v>
      </c>
      <c r="AX2097" s="148" t="s">
        <v>80</v>
      </c>
      <c r="AY2097" s="150" t="s">
        <v>337</v>
      </c>
    </row>
    <row r="2098" spans="2:51" s="148" customFormat="1" x14ac:dyDescent="0.2">
      <c r="B2098" s="149"/>
      <c r="D2098" s="143" t="s">
        <v>346</v>
      </c>
      <c r="E2098" s="150"/>
      <c r="F2098" s="151" t="s">
        <v>1847</v>
      </c>
      <c r="H2098" s="152">
        <v>15.2</v>
      </c>
      <c r="L2098" s="149"/>
      <c r="M2098" s="153"/>
      <c r="T2098" s="154"/>
      <c r="AT2098" s="150" t="s">
        <v>346</v>
      </c>
      <c r="AU2098" s="150" t="s">
        <v>90</v>
      </c>
      <c r="AV2098" s="148" t="s">
        <v>90</v>
      </c>
      <c r="AW2098" s="148" t="s">
        <v>33</v>
      </c>
      <c r="AX2098" s="148" t="s">
        <v>80</v>
      </c>
      <c r="AY2098" s="150" t="s">
        <v>337</v>
      </c>
    </row>
    <row r="2099" spans="2:51" s="148" customFormat="1" x14ac:dyDescent="0.2">
      <c r="B2099" s="149"/>
      <c r="D2099" s="143" t="s">
        <v>346</v>
      </c>
      <c r="E2099" s="150"/>
      <c r="F2099" s="151" t="s">
        <v>1601</v>
      </c>
      <c r="H2099" s="152">
        <v>-0.8</v>
      </c>
      <c r="L2099" s="149"/>
      <c r="M2099" s="153"/>
      <c r="T2099" s="154"/>
      <c r="AT2099" s="150" t="s">
        <v>346</v>
      </c>
      <c r="AU2099" s="150" t="s">
        <v>90</v>
      </c>
      <c r="AV2099" s="148" t="s">
        <v>90</v>
      </c>
      <c r="AW2099" s="148" t="s">
        <v>33</v>
      </c>
      <c r="AX2099" s="148" t="s">
        <v>80</v>
      </c>
      <c r="AY2099" s="150" t="s">
        <v>337</v>
      </c>
    </row>
    <row r="2100" spans="2:51" s="148" customFormat="1" x14ac:dyDescent="0.2">
      <c r="B2100" s="149"/>
      <c r="D2100" s="143" t="s">
        <v>346</v>
      </c>
      <c r="E2100" s="150"/>
      <c r="F2100" s="151" t="s">
        <v>1848</v>
      </c>
      <c r="H2100" s="152">
        <v>9.41</v>
      </c>
      <c r="L2100" s="149"/>
      <c r="M2100" s="153"/>
      <c r="T2100" s="154"/>
      <c r="AT2100" s="150" t="s">
        <v>346</v>
      </c>
      <c r="AU2100" s="150" t="s">
        <v>90</v>
      </c>
      <c r="AV2100" s="148" t="s">
        <v>90</v>
      </c>
      <c r="AW2100" s="148" t="s">
        <v>33</v>
      </c>
      <c r="AX2100" s="148" t="s">
        <v>80</v>
      </c>
      <c r="AY2100" s="150" t="s">
        <v>337</v>
      </c>
    </row>
    <row r="2101" spans="2:51" s="148" customFormat="1" x14ac:dyDescent="0.2">
      <c r="B2101" s="149"/>
      <c r="D2101" s="143" t="s">
        <v>346</v>
      </c>
      <c r="E2101" s="150"/>
      <c r="F2101" s="151" t="s">
        <v>1838</v>
      </c>
      <c r="H2101" s="152">
        <v>-3.8</v>
      </c>
      <c r="L2101" s="149"/>
      <c r="M2101" s="153"/>
      <c r="T2101" s="154"/>
      <c r="AT2101" s="150" t="s">
        <v>346</v>
      </c>
      <c r="AU2101" s="150" t="s">
        <v>90</v>
      </c>
      <c r="AV2101" s="148" t="s">
        <v>90</v>
      </c>
      <c r="AW2101" s="148" t="s">
        <v>33</v>
      </c>
      <c r="AX2101" s="148" t="s">
        <v>80</v>
      </c>
      <c r="AY2101" s="150" t="s">
        <v>337</v>
      </c>
    </row>
    <row r="2102" spans="2:51" s="148" customFormat="1" x14ac:dyDescent="0.2">
      <c r="B2102" s="149"/>
      <c r="D2102" s="143" t="s">
        <v>346</v>
      </c>
      <c r="E2102" s="150"/>
      <c r="F2102" s="151" t="s">
        <v>1849</v>
      </c>
      <c r="H2102" s="152">
        <v>16.399999999999999</v>
      </c>
      <c r="L2102" s="149"/>
      <c r="M2102" s="153"/>
      <c r="T2102" s="154"/>
      <c r="AT2102" s="150" t="s">
        <v>346</v>
      </c>
      <c r="AU2102" s="150" t="s">
        <v>90</v>
      </c>
      <c r="AV2102" s="148" t="s">
        <v>90</v>
      </c>
      <c r="AW2102" s="148" t="s">
        <v>33</v>
      </c>
      <c r="AX2102" s="148" t="s">
        <v>80</v>
      </c>
      <c r="AY2102" s="150" t="s">
        <v>337</v>
      </c>
    </row>
    <row r="2103" spans="2:51" s="148" customFormat="1" x14ac:dyDescent="0.2">
      <c r="B2103" s="149"/>
      <c r="D2103" s="143" t="s">
        <v>346</v>
      </c>
      <c r="E2103" s="150"/>
      <c r="F2103" s="151" t="s">
        <v>1601</v>
      </c>
      <c r="H2103" s="152">
        <v>-0.8</v>
      </c>
      <c r="L2103" s="149"/>
      <c r="M2103" s="153"/>
      <c r="T2103" s="154"/>
      <c r="AT2103" s="150" t="s">
        <v>346</v>
      </c>
      <c r="AU2103" s="150" t="s">
        <v>90</v>
      </c>
      <c r="AV2103" s="148" t="s">
        <v>90</v>
      </c>
      <c r="AW2103" s="148" t="s">
        <v>33</v>
      </c>
      <c r="AX2103" s="148" t="s">
        <v>80</v>
      </c>
      <c r="AY2103" s="150" t="s">
        <v>337</v>
      </c>
    </row>
    <row r="2104" spans="2:51" s="148" customFormat="1" x14ac:dyDescent="0.2">
      <c r="B2104" s="149"/>
      <c r="D2104" s="143" t="s">
        <v>346</v>
      </c>
      <c r="E2104" s="150"/>
      <c r="F2104" s="151" t="s">
        <v>1850</v>
      </c>
      <c r="H2104" s="152">
        <v>15.2</v>
      </c>
      <c r="L2104" s="149"/>
      <c r="M2104" s="153"/>
      <c r="T2104" s="154"/>
      <c r="AT2104" s="150" t="s">
        <v>346</v>
      </c>
      <c r="AU2104" s="150" t="s">
        <v>90</v>
      </c>
      <c r="AV2104" s="148" t="s">
        <v>90</v>
      </c>
      <c r="AW2104" s="148" t="s">
        <v>33</v>
      </c>
      <c r="AX2104" s="148" t="s">
        <v>80</v>
      </c>
      <c r="AY2104" s="150" t="s">
        <v>337</v>
      </c>
    </row>
    <row r="2105" spans="2:51" s="148" customFormat="1" x14ac:dyDescent="0.2">
      <c r="B2105" s="149"/>
      <c r="D2105" s="143" t="s">
        <v>346</v>
      </c>
      <c r="E2105" s="150"/>
      <c r="F2105" s="151" t="s">
        <v>1601</v>
      </c>
      <c r="H2105" s="152">
        <v>-0.8</v>
      </c>
      <c r="L2105" s="149"/>
      <c r="M2105" s="153"/>
      <c r="T2105" s="154"/>
      <c r="AT2105" s="150" t="s">
        <v>346</v>
      </c>
      <c r="AU2105" s="150" t="s">
        <v>90</v>
      </c>
      <c r="AV2105" s="148" t="s">
        <v>90</v>
      </c>
      <c r="AW2105" s="148" t="s">
        <v>33</v>
      </c>
      <c r="AX2105" s="148" t="s">
        <v>80</v>
      </c>
      <c r="AY2105" s="150" t="s">
        <v>337</v>
      </c>
    </row>
    <row r="2106" spans="2:51" s="148" customFormat="1" x14ac:dyDescent="0.2">
      <c r="B2106" s="149"/>
      <c r="D2106" s="143" t="s">
        <v>346</v>
      </c>
      <c r="E2106" s="150"/>
      <c r="F2106" s="151" t="s">
        <v>1851</v>
      </c>
      <c r="H2106" s="152">
        <v>9.75</v>
      </c>
      <c r="L2106" s="149"/>
      <c r="M2106" s="153"/>
      <c r="T2106" s="154"/>
      <c r="AT2106" s="150" t="s">
        <v>346</v>
      </c>
      <c r="AU2106" s="150" t="s">
        <v>90</v>
      </c>
      <c r="AV2106" s="148" t="s">
        <v>90</v>
      </c>
      <c r="AW2106" s="148" t="s">
        <v>33</v>
      </c>
      <c r="AX2106" s="148" t="s">
        <v>80</v>
      </c>
      <c r="AY2106" s="150" t="s">
        <v>337</v>
      </c>
    </row>
    <row r="2107" spans="2:51" s="148" customFormat="1" x14ac:dyDescent="0.2">
      <c r="B2107" s="149"/>
      <c r="D2107" s="143" t="s">
        <v>346</v>
      </c>
      <c r="E2107" s="150"/>
      <c r="F2107" s="151" t="s">
        <v>1838</v>
      </c>
      <c r="H2107" s="152">
        <v>-3.8</v>
      </c>
      <c r="L2107" s="149"/>
      <c r="M2107" s="153"/>
      <c r="T2107" s="154"/>
      <c r="AT2107" s="150" t="s">
        <v>346</v>
      </c>
      <c r="AU2107" s="150" t="s">
        <v>90</v>
      </c>
      <c r="AV2107" s="148" t="s">
        <v>90</v>
      </c>
      <c r="AW2107" s="148" t="s">
        <v>33</v>
      </c>
      <c r="AX2107" s="148" t="s">
        <v>80</v>
      </c>
      <c r="AY2107" s="150" t="s">
        <v>337</v>
      </c>
    </row>
    <row r="2108" spans="2:51" s="148" customFormat="1" x14ac:dyDescent="0.2">
      <c r="B2108" s="149"/>
      <c r="D2108" s="143" t="s">
        <v>346</v>
      </c>
      <c r="E2108" s="150"/>
      <c r="F2108" s="151" t="s">
        <v>1852</v>
      </c>
      <c r="H2108" s="152">
        <v>15.2</v>
      </c>
      <c r="L2108" s="149"/>
      <c r="M2108" s="153"/>
      <c r="T2108" s="154"/>
      <c r="AT2108" s="150" t="s">
        <v>346</v>
      </c>
      <c r="AU2108" s="150" t="s">
        <v>90</v>
      </c>
      <c r="AV2108" s="148" t="s">
        <v>90</v>
      </c>
      <c r="AW2108" s="148" t="s">
        <v>33</v>
      </c>
      <c r="AX2108" s="148" t="s">
        <v>80</v>
      </c>
      <c r="AY2108" s="150" t="s">
        <v>337</v>
      </c>
    </row>
    <row r="2109" spans="2:51" s="148" customFormat="1" x14ac:dyDescent="0.2">
      <c r="B2109" s="149"/>
      <c r="D2109" s="143" t="s">
        <v>346</v>
      </c>
      <c r="E2109" s="150"/>
      <c r="F2109" s="151" t="s">
        <v>1601</v>
      </c>
      <c r="H2109" s="152">
        <v>-0.8</v>
      </c>
      <c r="L2109" s="149"/>
      <c r="M2109" s="153"/>
      <c r="T2109" s="154"/>
      <c r="AT2109" s="150" t="s">
        <v>346</v>
      </c>
      <c r="AU2109" s="150" t="s">
        <v>90</v>
      </c>
      <c r="AV2109" s="148" t="s">
        <v>90</v>
      </c>
      <c r="AW2109" s="148" t="s">
        <v>33</v>
      </c>
      <c r="AX2109" s="148" t="s">
        <v>80</v>
      </c>
      <c r="AY2109" s="150" t="s">
        <v>337</v>
      </c>
    </row>
    <row r="2110" spans="2:51" s="148" customFormat="1" x14ac:dyDescent="0.2">
      <c r="B2110" s="149"/>
      <c r="D2110" s="143" t="s">
        <v>346</v>
      </c>
      <c r="E2110" s="150"/>
      <c r="F2110" s="151" t="s">
        <v>1853</v>
      </c>
      <c r="H2110" s="152">
        <v>14.65</v>
      </c>
      <c r="L2110" s="149"/>
      <c r="M2110" s="153"/>
      <c r="T2110" s="154"/>
      <c r="AT2110" s="150" t="s">
        <v>346</v>
      </c>
      <c r="AU2110" s="150" t="s">
        <v>90</v>
      </c>
      <c r="AV2110" s="148" t="s">
        <v>90</v>
      </c>
      <c r="AW2110" s="148" t="s">
        <v>33</v>
      </c>
      <c r="AX2110" s="148" t="s">
        <v>80</v>
      </c>
      <c r="AY2110" s="150" t="s">
        <v>337</v>
      </c>
    </row>
    <row r="2111" spans="2:51" s="148" customFormat="1" x14ac:dyDescent="0.2">
      <c r="B2111" s="149"/>
      <c r="D2111" s="143" t="s">
        <v>346</v>
      </c>
      <c r="E2111" s="150"/>
      <c r="F2111" s="151" t="s">
        <v>1601</v>
      </c>
      <c r="H2111" s="152">
        <v>-0.8</v>
      </c>
      <c r="L2111" s="149"/>
      <c r="M2111" s="153"/>
      <c r="T2111" s="154"/>
      <c r="AT2111" s="150" t="s">
        <v>346</v>
      </c>
      <c r="AU2111" s="150" t="s">
        <v>90</v>
      </c>
      <c r="AV2111" s="148" t="s">
        <v>90</v>
      </c>
      <c r="AW2111" s="148" t="s">
        <v>33</v>
      </c>
      <c r="AX2111" s="148" t="s">
        <v>80</v>
      </c>
      <c r="AY2111" s="150" t="s">
        <v>337</v>
      </c>
    </row>
    <row r="2112" spans="2:51" s="148" customFormat="1" x14ac:dyDescent="0.2">
      <c r="B2112" s="149"/>
      <c r="D2112" s="143" t="s">
        <v>346</v>
      </c>
      <c r="E2112" s="150"/>
      <c r="F2112" s="151" t="s">
        <v>1854</v>
      </c>
      <c r="H2112" s="152">
        <v>19.100000000000001</v>
      </c>
      <c r="L2112" s="149"/>
      <c r="M2112" s="153"/>
      <c r="T2112" s="154"/>
      <c r="AT2112" s="150" t="s">
        <v>346</v>
      </c>
      <c r="AU2112" s="150" t="s">
        <v>90</v>
      </c>
      <c r="AV2112" s="148" t="s">
        <v>90</v>
      </c>
      <c r="AW2112" s="148" t="s">
        <v>33</v>
      </c>
      <c r="AX2112" s="148" t="s">
        <v>80</v>
      </c>
      <c r="AY2112" s="150" t="s">
        <v>337</v>
      </c>
    </row>
    <row r="2113" spans="2:51" s="148" customFormat="1" x14ac:dyDescent="0.2">
      <c r="B2113" s="149"/>
      <c r="D2113" s="143" t="s">
        <v>346</v>
      </c>
      <c r="E2113" s="150"/>
      <c r="F2113" s="151" t="s">
        <v>1838</v>
      </c>
      <c r="H2113" s="152">
        <v>-3.8</v>
      </c>
      <c r="L2113" s="149"/>
      <c r="M2113" s="153"/>
      <c r="T2113" s="154"/>
      <c r="AT2113" s="150" t="s">
        <v>346</v>
      </c>
      <c r="AU2113" s="150" t="s">
        <v>90</v>
      </c>
      <c r="AV2113" s="148" t="s">
        <v>90</v>
      </c>
      <c r="AW2113" s="148" t="s">
        <v>33</v>
      </c>
      <c r="AX2113" s="148" t="s">
        <v>80</v>
      </c>
      <c r="AY2113" s="150" t="s">
        <v>337</v>
      </c>
    </row>
    <row r="2114" spans="2:51" s="148" customFormat="1" x14ac:dyDescent="0.2">
      <c r="B2114" s="149"/>
      <c r="D2114" s="143" t="s">
        <v>346</v>
      </c>
      <c r="E2114" s="150"/>
      <c r="F2114" s="151" t="s">
        <v>1855</v>
      </c>
      <c r="H2114" s="152">
        <v>15.9</v>
      </c>
      <c r="L2114" s="149"/>
      <c r="M2114" s="153"/>
      <c r="T2114" s="154"/>
      <c r="AT2114" s="150" t="s">
        <v>346</v>
      </c>
      <c r="AU2114" s="150" t="s">
        <v>90</v>
      </c>
      <c r="AV2114" s="148" t="s">
        <v>90</v>
      </c>
      <c r="AW2114" s="148" t="s">
        <v>33</v>
      </c>
      <c r="AX2114" s="148" t="s">
        <v>80</v>
      </c>
      <c r="AY2114" s="150" t="s">
        <v>337</v>
      </c>
    </row>
    <row r="2115" spans="2:51" s="148" customFormat="1" x14ac:dyDescent="0.2">
      <c r="B2115" s="149"/>
      <c r="D2115" s="143" t="s">
        <v>346</v>
      </c>
      <c r="E2115" s="150"/>
      <c r="F2115" s="151" t="s">
        <v>1601</v>
      </c>
      <c r="H2115" s="152">
        <v>-0.8</v>
      </c>
      <c r="L2115" s="149"/>
      <c r="M2115" s="153"/>
      <c r="T2115" s="154"/>
      <c r="AT2115" s="150" t="s">
        <v>346</v>
      </c>
      <c r="AU2115" s="150" t="s">
        <v>90</v>
      </c>
      <c r="AV2115" s="148" t="s">
        <v>90</v>
      </c>
      <c r="AW2115" s="148" t="s">
        <v>33</v>
      </c>
      <c r="AX2115" s="148" t="s">
        <v>80</v>
      </c>
      <c r="AY2115" s="150" t="s">
        <v>337</v>
      </c>
    </row>
    <row r="2116" spans="2:51" s="148" customFormat="1" x14ac:dyDescent="0.2">
      <c r="B2116" s="149"/>
      <c r="D2116" s="143" t="s">
        <v>346</v>
      </c>
      <c r="E2116" s="150"/>
      <c r="F2116" s="151" t="s">
        <v>1856</v>
      </c>
      <c r="H2116" s="152">
        <v>15.2</v>
      </c>
      <c r="L2116" s="149"/>
      <c r="M2116" s="153"/>
      <c r="T2116" s="154"/>
      <c r="AT2116" s="150" t="s">
        <v>346</v>
      </c>
      <c r="AU2116" s="150" t="s">
        <v>90</v>
      </c>
      <c r="AV2116" s="148" t="s">
        <v>90</v>
      </c>
      <c r="AW2116" s="148" t="s">
        <v>33</v>
      </c>
      <c r="AX2116" s="148" t="s">
        <v>80</v>
      </c>
      <c r="AY2116" s="150" t="s">
        <v>337</v>
      </c>
    </row>
    <row r="2117" spans="2:51" s="148" customFormat="1" x14ac:dyDescent="0.2">
      <c r="B2117" s="149"/>
      <c r="D2117" s="143" t="s">
        <v>346</v>
      </c>
      <c r="E2117" s="150"/>
      <c r="F2117" s="151" t="s">
        <v>1601</v>
      </c>
      <c r="H2117" s="152">
        <v>-0.8</v>
      </c>
      <c r="L2117" s="149"/>
      <c r="M2117" s="153"/>
      <c r="T2117" s="154"/>
      <c r="AT2117" s="150" t="s">
        <v>346</v>
      </c>
      <c r="AU2117" s="150" t="s">
        <v>90</v>
      </c>
      <c r="AV2117" s="148" t="s">
        <v>90</v>
      </c>
      <c r="AW2117" s="148" t="s">
        <v>33</v>
      </c>
      <c r="AX2117" s="148" t="s">
        <v>80</v>
      </c>
      <c r="AY2117" s="150" t="s">
        <v>337</v>
      </c>
    </row>
    <row r="2118" spans="2:51" s="148" customFormat="1" x14ac:dyDescent="0.2">
      <c r="B2118" s="149"/>
      <c r="D2118" s="143" t="s">
        <v>346</v>
      </c>
      <c r="E2118" s="150"/>
      <c r="F2118" s="151" t="s">
        <v>1857</v>
      </c>
      <c r="H2118" s="152">
        <v>15.8</v>
      </c>
      <c r="L2118" s="149"/>
      <c r="M2118" s="153"/>
      <c r="T2118" s="154"/>
      <c r="AT2118" s="150" t="s">
        <v>346</v>
      </c>
      <c r="AU2118" s="150" t="s">
        <v>90</v>
      </c>
      <c r="AV2118" s="148" t="s">
        <v>90</v>
      </c>
      <c r="AW2118" s="148" t="s">
        <v>33</v>
      </c>
      <c r="AX2118" s="148" t="s">
        <v>80</v>
      </c>
      <c r="AY2118" s="150" t="s">
        <v>337</v>
      </c>
    </row>
    <row r="2119" spans="2:51" s="148" customFormat="1" x14ac:dyDescent="0.2">
      <c r="B2119" s="149"/>
      <c r="D2119" s="143" t="s">
        <v>346</v>
      </c>
      <c r="E2119" s="150"/>
      <c r="F2119" s="151" t="s">
        <v>1601</v>
      </c>
      <c r="H2119" s="152">
        <v>-0.8</v>
      </c>
      <c r="L2119" s="149"/>
      <c r="M2119" s="153"/>
      <c r="T2119" s="154"/>
      <c r="AT2119" s="150" t="s">
        <v>346</v>
      </c>
      <c r="AU2119" s="150" t="s">
        <v>90</v>
      </c>
      <c r="AV2119" s="148" t="s">
        <v>90</v>
      </c>
      <c r="AW2119" s="148" t="s">
        <v>33</v>
      </c>
      <c r="AX2119" s="148" t="s">
        <v>80</v>
      </c>
      <c r="AY2119" s="150" t="s">
        <v>337</v>
      </c>
    </row>
    <row r="2120" spans="2:51" s="148" customFormat="1" x14ac:dyDescent="0.2">
      <c r="B2120" s="149"/>
      <c r="D2120" s="143" t="s">
        <v>346</v>
      </c>
      <c r="E2120" s="150"/>
      <c r="F2120" s="151" t="s">
        <v>1858</v>
      </c>
      <c r="H2120" s="152">
        <v>12.65</v>
      </c>
      <c r="L2120" s="149"/>
      <c r="M2120" s="153"/>
      <c r="T2120" s="154"/>
      <c r="AT2120" s="150" t="s">
        <v>346</v>
      </c>
      <c r="AU2120" s="150" t="s">
        <v>90</v>
      </c>
      <c r="AV2120" s="148" t="s">
        <v>90</v>
      </c>
      <c r="AW2120" s="148" t="s">
        <v>33</v>
      </c>
      <c r="AX2120" s="148" t="s">
        <v>80</v>
      </c>
      <c r="AY2120" s="150" t="s">
        <v>337</v>
      </c>
    </row>
    <row r="2121" spans="2:51" s="148" customFormat="1" x14ac:dyDescent="0.2">
      <c r="B2121" s="149"/>
      <c r="D2121" s="143" t="s">
        <v>346</v>
      </c>
      <c r="E2121" s="150"/>
      <c r="F2121" s="151" t="s">
        <v>1859</v>
      </c>
      <c r="H2121" s="152">
        <v>-3.5</v>
      </c>
      <c r="L2121" s="149"/>
      <c r="M2121" s="153"/>
      <c r="T2121" s="154"/>
      <c r="AT2121" s="150" t="s">
        <v>346</v>
      </c>
      <c r="AU2121" s="150" t="s">
        <v>90</v>
      </c>
      <c r="AV2121" s="148" t="s">
        <v>90</v>
      </c>
      <c r="AW2121" s="148" t="s">
        <v>33</v>
      </c>
      <c r="AX2121" s="148" t="s">
        <v>80</v>
      </c>
      <c r="AY2121" s="150" t="s">
        <v>337</v>
      </c>
    </row>
    <row r="2122" spans="2:51" s="148" customFormat="1" x14ac:dyDescent="0.2">
      <c r="B2122" s="149"/>
      <c r="D2122" s="143" t="s">
        <v>346</v>
      </c>
      <c r="E2122" s="150"/>
      <c r="F2122" s="151" t="s">
        <v>1860</v>
      </c>
      <c r="H2122" s="152">
        <v>18.559999999999999</v>
      </c>
      <c r="L2122" s="149"/>
      <c r="M2122" s="153"/>
      <c r="T2122" s="154"/>
      <c r="AT2122" s="150" t="s">
        <v>346</v>
      </c>
      <c r="AU2122" s="150" t="s">
        <v>90</v>
      </c>
      <c r="AV2122" s="148" t="s">
        <v>90</v>
      </c>
      <c r="AW2122" s="148" t="s">
        <v>33</v>
      </c>
      <c r="AX2122" s="148" t="s">
        <v>80</v>
      </c>
      <c r="AY2122" s="150" t="s">
        <v>337</v>
      </c>
    </row>
    <row r="2123" spans="2:51" s="148" customFormat="1" x14ac:dyDescent="0.2">
      <c r="B2123" s="149"/>
      <c r="D2123" s="143" t="s">
        <v>346</v>
      </c>
      <c r="E2123" s="150"/>
      <c r="F2123" s="151" t="s">
        <v>1641</v>
      </c>
      <c r="H2123" s="152">
        <v>-0.9</v>
      </c>
      <c r="L2123" s="149"/>
      <c r="M2123" s="153"/>
      <c r="T2123" s="154"/>
      <c r="AT2123" s="150" t="s">
        <v>346</v>
      </c>
      <c r="AU2123" s="150" t="s">
        <v>90</v>
      </c>
      <c r="AV2123" s="148" t="s">
        <v>90</v>
      </c>
      <c r="AW2123" s="148" t="s">
        <v>33</v>
      </c>
      <c r="AX2123" s="148" t="s">
        <v>80</v>
      </c>
      <c r="AY2123" s="150" t="s">
        <v>337</v>
      </c>
    </row>
    <row r="2124" spans="2:51" s="148" customFormat="1" x14ac:dyDescent="0.2">
      <c r="B2124" s="149"/>
      <c r="D2124" s="143" t="s">
        <v>346</v>
      </c>
      <c r="E2124" s="150"/>
      <c r="F2124" s="151" t="s">
        <v>1861</v>
      </c>
      <c r="H2124" s="152">
        <v>15</v>
      </c>
      <c r="L2124" s="149"/>
      <c r="M2124" s="153"/>
      <c r="T2124" s="154"/>
      <c r="AT2124" s="150" t="s">
        <v>346</v>
      </c>
      <c r="AU2124" s="150" t="s">
        <v>90</v>
      </c>
      <c r="AV2124" s="148" t="s">
        <v>90</v>
      </c>
      <c r="AW2124" s="148" t="s">
        <v>33</v>
      </c>
      <c r="AX2124" s="148" t="s">
        <v>80</v>
      </c>
      <c r="AY2124" s="150" t="s">
        <v>337</v>
      </c>
    </row>
    <row r="2125" spans="2:51" s="148" customFormat="1" x14ac:dyDescent="0.2">
      <c r="B2125" s="149"/>
      <c r="D2125" s="143" t="s">
        <v>346</v>
      </c>
      <c r="E2125" s="150"/>
      <c r="F2125" s="151" t="s">
        <v>1601</v>
      </c>
      <c r="H2125" s="152">
        <v>-0.8</v>
      </c>
      <c r="L2125" s="149"/>
      <c r="M2125" s="153"/>
      <c r="T2125" s="154"/>
      <c r="AT2125" s="150" t="s">
        <v>346</v>
      </c>
      <c r="AU2125" s="150" t="s">
        <v>90</v>
      </c>
      <c r="AV2125" s="148" t="s">
        <v>90</v>
      </c>
      <c r="AW2125" s="148" t="s">
        <v>33</v>
      </c>
      <c r="AX2125" s="148" t="s">
        <v>80</v>
      </c>
      <c r="AY2125" s="150" t="s">
        <v>337</v>
      </c>
    </row>
    <row r="2126" spans="2:51" s="148" customFormat="1" x14ac:dyDescent="0.2">
      <c r="B2126" s="149"/>
      <c r="D2126" s="143" t="s">
        <v>346</v>
      </c>
      <c r="E2126" s="150"/>
      <c r="F2126" s="151" t="s">
        <v>1862</v>
      </c>
      <c r="H2126" s="152">
        <v>9.26</v>
      </c>
      <c r="L2126" s="149"/>
      <c r="M2126" s="153"/>
      <c r="T2126" s="154"/>
      <c r="AT2126" s="150" t="s">
        <v>346</v>
      </c>
      <c r="AU2126" s="150" t="s">
        <v>90</v>
      </c>
      <c r="AV2126" s="148" t="s">
        <v>90</v>
      </c>
      <c r="AW2126" s="148" t="s">
        <v>33</v>
      </c>
      <c r="AX2126" s="148" t="s">
        <v>80</v>
      </c>
      <c r="AY2126" s="150" t="s">
        <v>337</v>
      </c>
    </row>
    <row r="2127" spans="2:51" s="148" customFormat="1" x14ac:dyDescent="0.2">
      <c r="B2127" s="149"/>
      <c r="D2127" s="143" t="s">
        <v>346</v>
      </c>
      <c r="E2127" s="150"/>
      <c r="F2127" s="151" t="s">
        <v>1838</v>
      </c>
      <c r="H2127" s="152">
        <v>-3.8</v>
      </c>
      <c r="L2127" s="149"/>
      <c r="M2127" s="153"/>
      <c r="T2127" s="154"/>
      <c r="AT2127" s="150" t="s">
        <v>346</v>
      </c>
      <c r="AU2127" s="150" t="s">
        <v>90</v>
      </c>
      <c r="AV2127" s="148" t="s">
        <v>90</v>
      </c>
      <c r="AW2127" s="148" t="s">
        <v>33</v>
      </c>
      <c r="AX2127" s="148" t="s">
        <v>80</v>
      </c>
      <c r="AY2127" s="150" t="s">
        <v>337</v>
      </c>
    </row>
    <row r="2128" spans="2:51" s="148" customFormat="1" x14ac:dyDescent="0.2">
      <c r="B2128" s="149"/>
      <c r="D2128" s="143" t="s">
        <v>346</v>
      </c>
      <c r="E2128" s="150"/>
      <c r="F2128" s="151" t="s">
        <v>1863</v>
      </c>
      <c r="H2128" s="152">
        <v>15.2</v>
      </c>
      <c r="L2128" s="149"/>
      <c r="M2128" s="153"/>
      <c r="T2128" s="154"/>
      <c r="AT2128" s="150" t="s">
        <v>346</v>
      </c>
      <c r="AU2128" s="150" t="s">
        <v>90</v>
      </c>
      <c r="AV2128" s="148" t="s">
        <v>90</v>
      </c>
      <c r="AW2128" s="148" t="s">
        <v>33</v>
      </c>
      <c r="AX2128" s="148" t="s">
        <v>80</v>
      </c>
      <c r="AY2128" s="150" t="s">
        <v>337</v>
      </c>
    </row>
    <row r="2129" spans="2:51" s="148" customFormat="1" x14ac:dyDescent="0.2">
      <c r="B2129" s="149"/>
      <c r="D2129" s="143" t="s">
        <v>346</v>
      </c>
      <c r="E2129" s="150"/>
      <c r="F2129" s="151" t="s">
        <v>1601</v>
      </c>
      <c r="H2129" s="152">
        <v>-0.8</v>
      </c>
      <c r="L2129" s="149"/>
      <c r="M2129" s="153"/>
      <c r="T2129" s="154"/>
      <c r="AT2129" s="150" t="s">
        <v>346</v>
      </c>
      <c r="AU2129" s="150" t="s">
        <v>90</v>
      </c>
      <c r="AV2129" s="148" t="s">
        <v>90</v>
      </c>
      <c r="AW2129" s="148" t="s">
        <v>33</v>
      </c>
      <c r="AX2129" s="148" t="s">
        <v>80</v>
      </c>
      <c r="AY2129" s="150" t="s">
        <v>337</v>
      </c>
    </row>
    <row r="2130" spans="2:51" s="148" customFormat="1" x14ac:dyDescent="0.2">
      <c r="B2130" s="149"/>
      <c r="D2130" s="143" t="s">
        <v>346</v>
      </c>
      <c r="E2130" s="150"/>
      <c r="F2130" s="151" t="s">
        <v>1864</v>
      </c>
      <c r="H2130" s="152">
        <v>15.2</v>
      </c>
      <c r="L2130" s="149"/>
      <c r="M2130" s="153"/>
      <c r="T2130" s="154"/>
      <c r="AT2130" s="150" t="s">
        <v>346</v>
      </c>
      <c r="AU2130" s="150" t="s">
        <v>90</v>
      </c>
      <c r="AV2130" s="148" t="s">
        <v>90</v>
      </c>
      <c r="AW2130" s="148" t="s">
        <v>33</v>
      </c>
      <c r="AX2130" s="148" t="s">
        <v>80</v>
      </c>
      <c r="AY2130" s="150" t="s">
        <v>337</v>
      </c>
    </row>
    <row r="2131" spans="2:51" s="148" customFormat="1" x14ac:dyDescent="0.2">
      <c r="B2131" s="149"/>
      <c r="D2131" s="143" t="s">
        <v>346</v>
      </c>
      <c r="E2131" s="150"/>
      <c r="F2131" s="151" t="s">
        <v>1601</v>
      </c>
      <c r="H2131" s="152">
        <v>-0.8</v>
      </c>
      <c r="L2131" s="149"/>
      <c r="M2131" s="153"/>
      <c r="T2131" s="154"/>
      <c r="AT2131" s="150" t="s">
        <v>346</v>
      </c>
      <c r="AU2131" s="150" t="s">
        <v>90</v>
      </c>
      <c r="AV2131" s="148" t="s">
        <v>90</v>
      </c>
      <c r="AW2131" s="148" t="s">
        <v>33</v>
      </c>
      <c r="AX2131" s="148" t="s">
        <v>80</v>
      </c>
      <c r="AY2131" s="150" t="s">
        <v>337</v>
      </c>
    </row>
    <row r="2132" spans="2:51" s="148" customFormat="1" x14ac:dyDescent="0.2">
      <c r="B2132" s="149"/>
      <c r="D2132" s="143" t="s">
        <v>346</v>
      </c>
      <c r="E2132" s="150"/>
      <c r="F2132" s="151" t="s">
        <v>1865</v>
      </c>
      <c r="H2132" s="152">
        <v>8.66</v>
      </c>
      <c r="L2132" s="149"/>
      <c r="M2132" s="153"/>
      <c r="T2132" s="154"/>
      <c r="AT2132" s="150" t="s">
        <v>346</v>
      </c>
      <c r="AU2132" s="150" t="s">
        <v>90</v>
      </c>
      <c r="AV2132" s="148" t="s">
        <v>90</v>
      </c>
      <c r="AW2132" s="148" t="s">
        <v>33</v>
      </c>
      <c r="AX2132" s="148" t="s">
        <v>80</v>
      </c>
      <c r="AY2132" s="150" t="s">
        <v>337</v>
      </c>
    </row>
    <row r="2133" spans="2:51" s="148" customFormat="1" x14ac:dyDescent="0.2">
      <c r="B2133" s="149"/>
      <c r="D2133" s="143" t="s">
        <v>346</v>
      </c>
      <c r="E2133" s="150"/>
      <c r="F2133" s="151" t="s">
        <v>1838</v>
      </c>
      <c r="H2133" s="152">
        <v>-3.8</v>
      </c>
      <c r="L2133" s="149"/>
      <c r="M2133" s="153"/>
      <c r="T2133" s="154"/>
      <c r="AT2133" s="150" t="s">
        <v>346</v>
      </c>
      <c r="AU2133" s="150" t="s">
        <v>90</v>
      </c>
      <c r="AV2133" s="148" t="s">
        <v>90</v>
      </c>
      <c r="AW2133" s="148" t="s">
        <v>33</v>
      </c>
      <c r="AX2133" s="148" t="s">
        <v>80</v>
      </c>
      <c r="AY2133" s="150" t="s">
        <v>337</v>
      </c>
    </row>
    <row r="2134" spans="2:51" s="148" customFormat="1" x14ac:dyDescent="0.2">
      <c r="B2134" s="149"/>
      <c r="D2134" s="143" t="s">
        <v>346</v>
      </c>
      <c r="E2134" s="150"/>
      <c r="F2134" s="151" t="s">
        <v>1866</v>
      </c>
      <c r="H2134" s="152">
        <v>15.2</v>
      </c>
      <c r="L2134" s="149"/>
      <c r="M2134" s="153"/>
      <c r="T2134" s="154"/>
      <c r="AT2134" s="150" t="s">
        <v>346</v>
      </c>
      <c r="AU2134" s="150" t="s">
        <v>90</v>
      </c>
      <c r="AV2134" s="148" t="s">
        <v>90</v>
      </c>
      <c r="AW2134" s="148" t="s">
        <v>33</v>
      </c>
      <c r="AX2134" s="148" t="s">
        <v>80</v>
      </c>
      <c r="AY2134" s="150" t="s">
        <v>337</v>
      </c>
    </row>
    <row r="2135" spans="2:51" s="148" customFormat="1" x14ac:dyDescent="0.2">
      <c r="B2135" s="149"/>
      <c r="D2135" s="143" t="s">
        <v>346</v>
      </c>
      <c r="E2135" s="150"/>
      <c r="F2135" s="151" t="s">
        <v>1601</v>
      </c>
      <c r="H2135" s="152">
        <v>-0.8</v>
      </c>
      <c r="L2135" s="149"/>
      <c r="M2135" s="153"/>
      <c r="T2135" s="154"/>
      <c r="AT2135" s="150" t="s">
        <v>346</v>
      </c>
      <c r="AU2135" s="150" t="s">
        <v>90</v>
      </c>
      <c r="AV2135" s="148" t="s">
        <v>90</v>
      </c>
      <c r="AW2135" s="148" t="s">
        <v>33</v>
      </c>
      <c r="AX2135" s="148" t="s">
        <v>80</v>
      </c>
      <c r="AY2135" s="150" t="s">
        <v>337</v>
      </c>
    </row>
    <row r="2136" spans="2:51" s="148" customFormat="1" x14ac:dyDescent="0.2">
      <c r="B2136" s="149"/>
      <c r="D2136" s="143" t="s">
        <v>346</v>
      </c>
      <c r="E2136" s="150"/>
      <c r="F2136" s="151" t="s">
        <v>1867</v>
      </c>
      <c r="H2136" s="152">
        <v>15.2</v>
      </c>
      <c r="L2136" s="149"/>
      <c r="M2136" s="153"/>
      <c r="T2136" s="154"/>
      <c r="AT2136" s="150" t="s">
        <v>346</v>
      </c>
      <c r="AU2136" s="150" t="s">
        <v>90</v>
      </c>
      <c r="AV2136" s="148" t="s">
        <v>90</v>
      </c>
      <c r="AW2136" s="148" t="s">
        <v>33</v>
      </c>
      <c r="AX2136" s="148" t="s">
        <v>80</v>
      </c>
      <c r="AY2136" s="150" t="s">
        <v>337</v>
      </c>
    </row>
    <row r="2137" spans="2:51" s="148" customFormat="1" x14ac:dyDescent="0.2">
      <c r="B2137" s="149"/>
      <c r="D2137" s="143" t="s">
        <v>346</v>
      </c>
      <c r="E2137" s="150"/>
      <c r="F2137" s="151" t="s">
        <v>1601</v>
      </c>
      <c r="H2137" s="152">
        <v>-0.8</v>
      </c>
      <c r="L2137" s="149"/>
      <c r="M2137" s="153"/>
      <c r="T2137" s="154"/>
      <c r="AT2137" s="150" t="s">
        <v>346</v>
      </c>
      <c r="AU2137" s="150" t="s">
        <v>90</v>
      </c>
      <c r="AV2137" s="148" t="s">
        <v>90</v>
      </c>
      <c r="AW2137" s="148" t="s">
        <v>33</v>
      </c>
      <c r="AX2137" s="148" t="s">
        <v>80</v>
      </c>
      <c r="AY2137" s="150" t="s">
        <v>337</v>
      </c>
    </row>
    <row r="2138" spans="2:51" s="148" customFormat="1" x14ac:dyDescent="0.2">
      <c r="B2138" s="149"/>
      <c r="D2138" s="143" t="s">
        <v>346</v>
      </c>
      <c r="E2138" s="150"/>
      <c r="F2138" s="151" t="s">
        <v>1868</v>
      </c>
      <c r="H2138" s="152">
        <v>8.66</v>
      </c>
      <c r="L2138" s="149"/>
      <c r="M2138" s="153"/>
      <c r="T2138" s="154"/>
      <c r="AT2138" s="150" t="s">
        <v>346</v>
      </c>
      <c r="AU2138" s="150" t="s">
        <v>90</v>
      </c>
      <c r="AV2138" s="148" t="s">
        <v>90</v>
      </c>
      <c r="AW2138" s="148" t="s">
        <v>33</v>
      </c>
      <c r="AX2138" s="148" t="s">
        <v>80</v>
      </c>
      <c r="AY2138" s="150" t="s">
        <v>337</v>
      </c>
    </row>
    <row r="2139" spans="2:51" s="148" customFormat="1" x14ac:dyDescent="0.2">
      <c r="B2139" s="149"/>
      <c r="D2139" s="143" t="s">
        <v>346</v>
      </c>
      <c r="E2139" s="150"/>
      <c r="F2139" s="151" t="s">
        <v>1838</v>
      </c>
      <c r="H2139" s="152">
        <v>-3.8</v>
      </c>
      <c r="L2139" s="149"/>
      <c r="M2139" s="153"/>
      <c r="T2139" s="154"/>
      <c r="AT2139" s="150" t="s">
        <v>346</v>
      </c>
      <c r="AU2139" s="150" t="s">
        <v>90</v>
      </c>
      <c r="AV2139" s="148" t="s">
        <v>90</v>
      </c>
      <c r="AW2139" s="148" t="s">
        <v>33</v>
      </c>
      <c r="AX2139" s="148" t="s">
        <v>80</v>
      </c>
      <c r="AY2139" s="150" t="s">
        <v>337</v>
      </c>
    </row>
    <row r="2140" spans="2:51" s="148" customFormat="1" x14ac:dyDescent="0.2">
      <c r="B2140" s="149"/>
      <c r="D2140" s="143" t="s">
        <v>346</v>
      </c>
      <c r="E2140" s="150"/>
      <c r="F2140" s="151" t="s">
        <v>1869</v>
      </c>
      <c r="H2140" s="152">
        <v>15.2</v>
      </c>
      <c r="L2140" s="149"/>
      <c r="M2140" s="153"/>
      <c r="T2140" s="154"/>
      <c r="AT2140" s="150" t="s">
        <v>346</v>
      </c>
      <c r="AU2140" s="150" t="s">
        <v>90</v>
      </c>
      <c r="AV2140" s="148" t="s">
        <v>90</v>
      </c>
      <c r="AW2140" s="148" t="s">
        <v>33</v>
      </c>
      <c r="AX2140" s="148" t="s">
        <v>80</v>
      </c>
      <c r="AY2140" s="150" t="s">
        <v>337</v>
      </c>
    </row>
    <row r="2141" spans="2:51" s="148" customFormat="1" x14ac:dyDescent="0.2">
      <c r="B2141" s="149"/>
      <c r="D2141" s="143" t="s">
        <v>346</v>
      </c>
      <c r="E2141" s="150"/>
      <c r="F2141" s="151" t="s">
        <v>1601</v>
      </c>
      <c r="H2141" s="152">
        <v>-0.8</v>
      </c>
      <c r="L2141" s="149"/>
      <c r="M2141" s="153"/>
      <c r="T2141" s="154"/>
      <c r="AT2141" s="150" t="s">
        <v>346</v>
      </c>
      <c r="AU2141" s="150" t="s">
        <v>90</v>
      </c>
      <c r="AV2141" s="148" t="s">
        <v>90</v>
      </c>
      <c r="AW2141" s="148" t="s">
        <v>33</v>
      </c>
      <c r="AX2141" s="148" t="s">
        <v>80</v>
      </c>
      <c r="AY2141" s="150" t="s">
        <v>337</v>
      </c>
    </row>
    <row r="2142" spans="2:51" s="148" customFormat="1" x14ac:dyDescent="0.2">
      <c r="B2142" s="149"/>
      <c r="D2142" s="143" t="s">
        <v>346</v>
      </c>
      <c r="E2142" s="150"/>
      <c r="F2142" s="151" t="s">
        <v>1870</v>
      </c>
      <c r="H2142" s="152">
        <v>15.2</v>
      </c>
      <c r="L2142" s="149"/>
      <c r="M2142" s="153"/>
      <c r="T2142" s="154"/>
      <c r="AT2142" s="150" t="s">
        <v>346</v>
      </c>
      <c r="AU2142" s="150" t="s">
        <v>90</v>
      </c>
      <c r="AV2142" s="148" t="s">
        <v>90</v>
      </c>
      <c r="AW2142" s="148" t="s">
        <v>33</v>
      </c>
      <c r="AX2142" s="148" t="s">
        <v>80</v>
      </c>
      <c r="AY2142" s="150" t="s">
        <v>337</v>
      </c>
    </row>
    <row r="2143" spans="2:51" s="148" customFormat="1" x14ac:dyDescent="0.2">
      <c r="B2143" s="149"/>
      <c r="D2143" s="143" t="s">
        <v>346</v>
      </c>
      <c r="E2143" s="150"/>
      <c r="F2143" s="151" t="s">
        <v>1601</v>
      </c>
      <c r="H2143" s="152">
        <v>-0.8</v>
      </c>
      <c r="L2143" s="149"/>
      <c r="M2143" s="153"/>
      <c r="T2143" s="154"/>
      <c r="AT2143" s="150" t="s">
        <v>346</v>
      </c>
      <c r="AU2143" s="150" t="s">
        <v>90</v>
      </c>
      <c r="AV2143" s="148" t="s">
        <v>90</v>
      </c>
      <c r="AW2143" s="148" t="s">
        <v>33</v>
      </c>
      <c r="AX2143" s="148" t="s">
        <v>80</v>
      </c>
      <c r="AY2143" s="150" t="s">
        <v>337</v>
      </c>
    </row>
    <row r="2144" spans="2:51" s="148" customFormat="1" x14ac:dyDescent="0.2">
      <c r="B2144" s="149"/>
      <c r="D2144" s="143" t="s">
        <v>346</v>
      </c>
      <c r="E2144" s="150"/>
      <c r="F2144" s="151" t="s">
        <v>1871</v>
      </c>
      <c r="H2144" s="152">
        <v>14.9</v>
      </c>
      <c r="L2144" s="149"/>
      <c r="M2144" s="153"/>
      <c r="T2144" s="154"/>
      <c r="AT2144" s="150" t="s">
        <v>346</v>
      </c>
      <c r="AU2144" s="150" t="s">
        <v>90</v>
      </c>
      <c r="AV2144" s="148" t="s">
        <v>90</v>
      </c>
      <c r="AW2144" s="148" t="s">
        <v>33</v>
      </c>
      <c r="AX2144" s="148" t="s">
        <v>80</v>
      </c>
      <c r="AY2144" s="150" t="s">
        <v>337</v>
      </c>
    </row>
    <row r="2145" spans="2:51" s="148" customFormat="1" x14ac:dyDescent="0.2">
      <c r="B2145" s="149"/>
      <c r="D2145" s="143" t="s">
        <v>346</v>
      </c>
      <c r="E2145" s="150"/>
      <c r="F2145" s="151" t="s">
        <v>1838</v>
      </c>
      <c r="H2145" s="152">
        <v>-3.8</v>
      </c>
      <c r="L2145" s="149"/>
      <c r="M2145" s="153"/>
      <c r="T2145" s="154"/>
      <c r="AT2145" s="150" t="s">
        <v>346</v>
      </c>
      <c r="AU2145" s="150" t="s">
        <v>90</v>
      </c>
      <c r="AV2145" s="148" t="s">
        <v>90</v>
      </c>
      <c r="AW2145" s="148" t="s">
        <v>33</v>
      </c>
      <c r="AX2145" s="148" t="s">
        <v>80</v>
      </c>
      <c r="AY2145" s="150" t="s">
        <v>337</v>
      </c>
    </row>
    <row r="2146" spans="2:51" s="148" customFormat="1" x14ac:dyDescent="0.2">
      <c r="B2146" s="149"/>
      <c r="D2146" s="143" t="s">
        <v>346</v>
      </c>
      <c r="E2146" s="150"/>
      <c r="F2146" s="151" t="s">
        <v>1872</v>
      </c>
      <c r="H2146" s="152">
        <v>15.2</v>
      </c>
      <c r="L2146" s="149"/>
      <c r="M2146" s="153"/>
      <c r="T2146" s="154"/>
      <c r="AT2146" s="150" t="s">
        <v>346</v>
      </c>
      <c r="AU2146" s="150" t="s">
        <v>90</v>
      </c>
      <c r="AV2146" s="148" t="s">
        <v>90</v>
      </c>
      <c r="AW2146" s="148" t="s">
        <v>33</v>
      </c>
      <c r="AX2146" s="148" t="s">
        <v>80</v>
      </c>
      <c r="AY2146" s="150" t="s">
        <v>337</v>
      </c>
    </row>
    <row r="2147" spans="2:51" s="148" customFormat="1" x14ac:dyDescent="0.2">
      <c r="B2147" s="149"/>
      <c r="D2147" s="143" t="s">
        <v>346</v>
      </c>
      <c r="E2147" s="150"/>
      <c r="F2147" s="151" t="s">
        <v>1601</v>
      </c>
      <c r="H2147" s="152">
        <v>-0.8</v>
      </c>
      <c r="L2147" s="149"/>
      <c r="M2147" s="153"/>
      <c r="T2147" s="154"/>
      <c r="AT2147" s="150" t="s">
        <v>346</v>
      </c>
      <c r="AU2147" s="150" t="s">
        <v>90</v>
      </c>
      <c r="AV2147" s="148" t="s">
        <v>90</v>
      </c>
      <c r="AW2147" s="148" t="s">
        <v>33</v>
      </c>
      <c r="AX2147" s="148" t="s">
        <v>80</v>
      </c>
      <c r="AY2147" s="150" t="s">
        <v>337</v>
      </c>
    </row>
    <row r="2148" spans="2:51" s="148" customFormat="1" x14ac:dyDescent="0.2">
      <c r="B2148" s="149"/>
      <c r="D2148" s="143" t="s">
        <v>346</v>
      </c>
      <c r="E2148" s="150"/>
      <c r="F2148" s="151" t="s">
        <v>1873</v>
      </c>
      <c r="H2148" s="152">
        <v>15.2</v>
      </c>
      <c r="L2148" s="149"/>
      <c r="M2148" s="153"/>
      <c r="T2148" s="154"/>
      <c r="AT2148" s="150" t="s">
        <v>346</v>
      </c>
      <c r="AU2148" s="150" t="s">
        <v>90</v>
      </c>
      <c r="AV2148" s="148" t="s">
        <v>90</v>
      </c>
      <c r="AW2148" s="148" t="s">
        <v>33</v>
      </c>
      <c r="AX2148" s="148" t="s">
        <v>80</v>
      </c>
      <c r="AY2148" s="150" t="s">
        <v>337</v>
      </c>
    </row>
    <row r="2149" spans="2:51" s="148" customFormat="1" x14ac:dyDescent="0.2">
      <c r="B2149" s="149"/>
      <c r="D2149" s="143" t="s">
        <v>346</v>
      </c>
      <c r="E2149" s="150"/>
      <c r="F2149" s="151" t="s">
        <v>1601</v>
      </c>
      <c r="H2149" s="152">
        <v>-0.8</v>
      </c>
      <c r="L2149" s="149"/>
      <c r="M2149" s="153"/>
      <c r="T2149" s="154"/>
      <c r="AT2149" s="150" t="s">
        <v>346</v>
      </c>
      <c r="AU2149" s="150" t="s">
        <v>90</v>
      </c>
      <c r="AV2149" s="148" t="s">
        <v>90</v>
      </c>
      <c r="AW2149" s="148" t="s">
        <v>33</v>
      </c>
      <c r="AX2149" s="148" t="s">
        <v>80</v>
      </c>
      <c r="AY2149" s="150" t="s">
        <v>337</v>
      </c>
    </row>
    <row r="2150" spans="2:51" s="148" customFormat="1" x14ac:dyDescent="0.2">
      <c r="B2150" s="149"/>
      <c r="D2150" s="143" t="s">
        <v>346</v>
      </c>
      <c r="E2150" s="150"/>
      <c r="F2150" s="151" t="s">
        <v>1874</v>
      </c>
      <c r="H2150" s="152">
        <v>15.2</v>
      </c>
      <c r="L2150" s="149"/>
      <c r="M2150" s="153"/>
      <c r="T2150" s="154"/>
      <c r="AT2150" s="150" t="s">
        <v>346</v>
      </c>
      <c r="AU2150" s="150" t="s">
        <v>90</v>
      </c>
      <c r="AV2150" s="148" t="s">
        <v>90</v>
      </c>
      <c r="AW2150" s="148" t="s">
        <v>33</v>
      </c>
      <c r="AX2150" s="148" t="s">
        <v>80</v>
      </c>
      <c r="AY2150" s="150" t="s">
        <v>337</v>
      </c>
    </row>
    <row r="2151" spans="2:51" s="148" customFormat="1" x14ac:dyDescent="0.2">
      <c r="B2151" s="149"/>
      <c r="D2151" s="143" t="s">
        <v>346</v>
      </c>
      <c r="E2151" s="150"/>
      <c r="F2151" s="151" t="s">
        <v>1601</v>
      </c>
      <c r="H2151" s="152">
        <v>-0.8</v>
      </c>
      <c r="L2151" s="149"/>
      <c r="M2151" s="153"/>
      <c r="T2151" s="154"/>
      <c r="AT2151" s="150" t="s">
        <v>346</v>
      </c>
      <c r="AU2151" s="150" t="s">
        <v>90</v>
      </c>
      <c r="AV2151" s="148" t="s">
        <v>90</v>
      </c>
      <c r="AW2151" s="148" t="s">
        <v>33</v>
      </c>
      <c r="AX2151" s="148" t="s">
        <v>80</v>
      </c>
      <c r="AY2151" s="150" t="s">
        <v>337</v>
      </c>
    </row>
    <row r="2152" spans="2:51" s="148" customFormat="1" x14ac:dyDescent="0.2">
      <c r="B2152" s="149"/>
      <c r="D2152" s="143" t="s">
        <v>346</v>
      </c>
      <c r="E2152" s="150"/>
      <c r="F2152" s="151" t="s">
        <v>1875</v>
      </c>
      <c r="H2152" s="152">
        <v>9.41</v>
      </c>
      <c r="L2152" s="149"/>
      <c r="M2152" s="153"/>
      <c r="T2152" s="154"/>
      <c r="AT2152" s="150" t="s">
        <v>346</v>
      </c>
      <c r="AU2152" s="150" t="s">
        <v>90</v>
      </c>
      <c r="AV2152" s="148" t="s">
        <v>90</v>
      </c>
      <c r="AW2152" s="148" t="s">
        <v>33</v>
      </c>
      <c r="AX2152" s="148" t="s">
        <v>80</v>
      </c>
      <c r="AY2152" s="150" t="s">
        <v>337</v>
      </c>
    </row>
    <row r="2153" spans="2:51" s="148" customFormat="1" x14ac:dyDescent="0.2">
      <c r="B2153" s="149"/>
      <c r="D2153" s="143" t="s">
        <v>346</v>
      </c>
      <c r="E2153" s="150"/>
      <c r="F2153" s="151" t="s">
        <v>1838</v>
      </c>
      <c r="H2153" s="152">
        <v>-3.8</v>
      </c>
      <c r="L2153" s="149"/>
      <c r="M2153" s="153"/>
      <c r="T2153" s="154"/>
      <c r="AT2153" s="150" t="s">
        <v>346</v>
      </c>
      <c r="AU2153" s="150" t="s">
        <v>90</v>
      </c>
      <c r="AV2153" s="148" t="s">
        <v>90</v>
      </c>
      <c r="AW2153" s="148" t="s">
        <v>33</v>
      </c>
      <c r="AX2153" s="148" t="s">
        <v>80</v>
      </c>
      <c r="AY2153" s="150" t="s">
        <v>337</v>
      </c>
    </row>
    <row r="2154" spans="2:51" s="148" customFormat="1" x14ac:dyDescent="0.2">
      <c r="B2154" s="149"/>
      <c r="D2154" s="143" t="s">
        <v>346</v>
      </c>
      <c r="E2154" s="150"/>
      <c r="F2154" s="151" t="s">
        <v>1876</v>
      </c>
      <c r="H2154" s="152">
        <v>16.399999999999999</v>
      </c>
      <c r="L2154" s="149"/>
      <c r="M2154" s="153"/>
      <c r="T2154" s="154"/>
      <c r="AT2154" s="150" t="s">
        <v>346</v>
      </c>
      <c r="AU2154" s="150" t="s">
        <v>90</v>
      </c>
      <c r="AV2154" s="148" t="s">
        <v>90</v>
      </c>
      <c r="AW2154" s="148" t="s">
        <v>33</v>
      </c>
      <c r="AX2154" s="148" t="s">
        <v>80</v>
      </c>
      <c r="AY2154" s="150" t="s">
        <v>337</v>
      </c>
    </row>
    <row r="2155" spans="2:51" s="148" customFormat="1" x14ac:dyDescent="0.2">
      <c r="B2155" s="149"/>
      <c r="D2155" s="143" t="s">
        <v>346</v>
      </c>
      <c r="E2155" s="150"/>
      <c r="F2155" s="151" t="s">
        <v>1601</v>
      </c>
      <c r="H2155" s="152">
        <v>-0.8</v>
      </c>
      <c r="L2155" s="149"/>
      <c r="M2155" s="153"/>
      <c r="T2155" s="154"/>
      <c r="AT2155" s="150" t="s">
        <v>346</v>
      </c>
      <c r="AU2155" s="150" t="s">
        <v>90</v>
      </c>
      <c r="AV2155" s="148" t="s">
        <v>90</v>
      </c>
      <c r="AW2155" s="148" t="s">
        <v>33</v>
      </c>
      <c r="AX2155" s="148" t="s">
        <v>80</v>
      </c>
      <c r="AY2155" s="150" t="s">
        <v>337</v>
      </c>
    </row>
    <row r="2156" spans="2:51" s="148" customFormat="1" x14ac:dyDescent="0.2">
      <c r="B2156" s="149"/>
      <c r="D2156" s="143" t="s">
        <v>346</v>
      </c>
      <c r="E2156" s="150"/>
      <c r="F2156" s="151" t="s">
        <v>1877</v>
      </c>
      <c r="H2156" s="152">
        <v>15.2</v>
      </c>
      <c r="L2156" s="149"/>
      <c r="M2156" s="153"/>
      <c r="T2156" s="154"/>
      <c r="AT2156" s="150" t="s">
        <v>346</v>
      </c>
      <c r="AU2156" s="150" t="s">
        <v>90</v>
      </c>
      <c r="AV2156" s="148" t="s">
        <v>90</v>
      </c>
      <c r="AW2156" s="148" t="s">
        <v>33</v>
      </c>
      <c r="AX2156" s="148" t="s">
        <v>80</v>
      </c>
      <c r="AY2156" s="150" t="s">
        <v>337</v>
      </c>
    </row>
    <row r="2157" spans="2:51" s="148" customFormat="1" x14ac:dyDescent="0.2">
      <c r="B2157" s="149"/>
      <c r="D2157" s="143" t="s">
        <v>346</v>
      </c>
      <c r="E2157" s="150"/>
      <c r="F2157" s="151" t="s">
        <v>1601</v>
      </c>
      <c r="H2157" s="152">
        <v>-0.8</v>
      </c>
      <c r="L2157" s="149"/>
      <c r="M2157" s="153"/>
      <c r="T2157" s="154"/>
      <c r="AT2157" s="150" t="s">
        <v>346</v>
      </c>
      <c r="AU2157" s="150" t="s">
        <v>90</v>
      </c>
      <c r="AV2157" s="148" t="s">
        <v>90</v>
      </c>
      <c r="AW2157" s="148" t="s">
        <v>33</v>
      </c>
      <c r="AX2157" s="148" t="s">
        <v>80</v>
      </c>
      <c r="AY2157" s="150" t="s">
        <v>337</v>
      </c>
    </row>
    <row r="2158" spans="2:51" s="148" customFormat="1" x14ac:dyDescent="0.2">
      <c r="B2158" s="149"/>
      <c r="D2158" s="143" t="s">
        <v>346</v>
      </c>
      <c r="E2158" s="150"/>
      <c r="F2158" s="151" t="s">
        <v>1878</v>
      </c>
      <c r="H2158" s="152">
        <v>9.75</v>
      </c>
      <c r="L2158" s="149"/>
      <c r="M2158" s="153"/>
      <c r="T2158" s="154"/>
      <c r="AT2158" s="150" t="s">
        <v>346</v>
      </c>
      <c r="AU2158" s="150" t="s">
        <v>90</v>
      </c>
      <c r="AV2158" s="148" t="s">
        <v>90</v>
      </c>
      <c r="AW2158" s="148" t="s">
        <v>33</v>
      </c>
      <c r="AX2158" s="148" t="s">
        <v>80</v>
      </c>
      <c r="AY2158" s="150" t="s">
        <v>337</v>
      </c>
    </row>
    <row r="2159" spans="2:51" s="148" customFormat="1" x14ac:dyDescent="0.2">
      <c r="B2159" s="149"/>
      <c r="D2159" s="143" t="s">
        <v>346</v>
      </c>
      <c r="E2159" s="150"/>
      <c r="F2159" s="151" t="s">
        <v>1838</v>
      </c>
      <c r="H2159" s="152">
        <v>-3.8</v>
      </c>
      <c r="L2159" s="149"/>
      <c r="M2159" s="153"/>
      <c r="T2159" s="154"/>
      <c r="AT2159" s="150" t="s">
        <v>346</v>
      </c>
      <c r="AU2159" s="150" t="s">
        <v>90</v>
      </c>
      <c r="AV2159" s="148" t="s">
        <v>90</v>
      </c>
      <c r="AW2159" s="148" t="s">
        <v>33</v>
      </c>
      <c r="AX2159" s="148" t="s">
        <v>80</v>
      </c>
      <c r="AY2159" s="150" t="s">
        <v>337</v>
      </c>
    </row>
    <row r="2160" spans="2:51" s="148" customFormat="1" x14ac:dyDescent="0.2">
      <c r="B2160" s="149"/>
      <c r="D2160" s="143" t="s">
        <v>346</v>
      </c>
      <c r="E2160" s="150"/>
      <c r="F2160" s="151" t="s">
        <v>1879</v>
      </c>
      <c r="H2160" s="152">
        <v>15.2</v>
      </c>
      <c r="L2160" s="149"/>
      <c r="M2160" s="153"/>
      <c r="T2160" s="154"/>
      <c r="AT2160" s="150" t="s">
        <v>346</v>
      </c>
      <c r="AU2160" s="150" t="s">
        <v>90</v>
      </c>
      <c r="AV2160" s="148" t="s">
        <v>90</v>
      </c>
      <c r="AW2160" s="148" t="s">
        <v>33</v>
      </c>
      <c r="AX2160" s="148" t="s">
        <v>80</v>
      </c>
      <c r="AY2160" s="150" t="s">
        <v>337</v>
      </c>
    </row>
    <row r="2161" spans="2:51" s="148" customFormat="1" x14ac:dyDescent="0.2">
      <c r="B2161" s="149"/>
      <c r="D2161" s="143" t="s">
        <v>346</v>
      </c>
      <c r="E2161" s="150"/>
      <c r="F2161" s="151" t="s">
        <v>1601</v>
      </c>
      <c r="H2161" s="152">
        <v>-0.8</v>
      </c>
      <c r="L2161" s="149"/>
      <c r="M2161" s="153"/>
      <c r="T2161" s="154"/>
      <c r="AT2161" s="150" t="s">
        <v>346</v>
      </c>
      <c r="AU2161" s="150" t="s">
        <v>90</v>
      </c>
      <c r="AV2161" s="148" t="s">
        <v>90</v>
      </c>
      <c r="AW2161" s="148" t="s">
        <v>33</v>
      </c>
      <c r="AX2161" s="148" t="s">
        <v>80</v>
      </c>
      <c r="AY2161" s="150" t="s">
        <v>337</v>
      </c>
    </row>
    <row r="2162" spans="2:51" s="148" customFormat="1" x14ac:dyDescent="0.2">
      <c r="B2162" s="149"/>
      <c r="D2162" s="143" t="s">
        <v>346</v>
      </c>
      <c r="E2162" s="150"/>
      <c r="F2162" s="151" t="s">
        <v>1880</v>
      </c>
      <c r="H2162" s="152">
        <v>14.65</v>
      </c>
      <c r="L2162" s="149"/>
      <c r="M2162" s="153"/>
      <c r="T2162" s="154"/>
      <c r="AT2162" s="150" t="s">
        <v>346</v>
      </c>
      <c r="AU2162" s="150" t="s">
        <v>90</v>
      </c>
      <c r="AV2162" s="148" t="s">
        <v>90</v>
      </c>
      <c r="AW2162" s="148" t="s">
        <v>33</v>
      </c>
      <c r="AX2162" s="148" t="s">
        <v>80</v>
      </c>
      <c r="AY2162" s="150" t="s">
        <v>337</v>
      </c>
    </row>
    <row r="2163" spans="2:51" s="148" customFormat="1" x14ac:dyDescent="0.2">
      <c r="B2163" s="149"/>
      <c r="D2163" s="143" t="s">
        <v>346</v>
      </c>
      <c r="E2163" s="150"/>
      <c r="F2163" s="151" t="s">
        <v>1601</v>
      </c>
      <c r="H2163" s="152">
        <v>-0.8</v>
      </c>
      <c r="L2163" s="149"/>
      <c r="M2163" s="153"/>
      <c r="T2163" s="154"/>
      <c r="AT2163" s="150" t="s">
        <v>346</v>
      </c>
      <c r="AU2163" s="150" t="s">
        <v>90</v>
      </c>
      <c r="AV2163" s="148" t="s">
        <v>90</v>
      </c>
      <c r="AW2163" s="148" t="s">
        <v>33</v>
      </c>
      <c r="AX2163" s="148" t="s">
        <v>80</v>
      </c>
      <c r="AY2163" s="150" t="s">
        <v>337</v>
      </c>
    </row>
    <row r="2164" spans="2:51" s="148" customFormat="1" x14ac:dyDescent="0.2">
      <c r="B2164" s="149"/>
      <c r="D2164" s="143" t="s">
        <v>346</v>
      </c>
      <c r="E2164" s="150"/>
      <c r="F2164" s="151" t="s">
        <v>1881</v>
      </c>
      <c r="H2164" s="152">
        <v>19.100000000000001</v>
      </c>
      <c r="L2164" s="149"/>
      <c r="M2164" s="153"/>
      <c r="T2164" s="154"/>
      <c r="AT2164" s="150" t="s">
        <v>346</v>
      </c>
      <c r="AU2164" s="150" t="s">
        <v>90</v>
      </c>
      <c r="AV2164" s="148" t="s">
        <v>90</v>
      </c>
      <c r="AW2164" s="148" t="s">
        <v>33</v>
      </c>
      <c r="AX2164" s="148" t="s">
        <v>80</v>
      </c>
      <c r="AY2164" s="150" t="s">
        <v>337</v>
      </c>
    </row>
    <row r="2165" spans="2:51" s="148" customFormat="1" x14ac:dyDescent="0.2">
      <c r="B2165" s="149"/>
      <c r="D2165" s="143" t="s">
        <v>346</v>
      </c>
      <c r="E2165" s="150"/>
      <c r="F2165" s="151" t="s">
        <v>1882</v>
      </c>
      <c r="H2165" s="152">
        <v>-4.5999999999999996</v>
      </c>
      <c r="L2165" s="149"/>
      <c r="M2165" s="153"/>
      <c r="T2165" s="154"/>
      <c r="AT2165" s="150" t="s">
        <v>346</v>
      </c>
      <c r="AU2165" s="150" t="s">
        <v>90</v>
      </c>
      <c r="AV2165" s="148" t="s">
        <v>90</v>
      </c>
      <c r="AW2165" s="148" t="s">
        <v>33</v>
      </c>
      <c r="AX2165" s="148" t="s">
        <v>80</v>
      </c>
      <c r="AY2165" s="150" t="s">
        <v>337</v>
      </c>
    </row>
    <row r="2166" spans="2:51" s="148" customFormat="1" x14ac:dyDescent="0.2">
      <c r="B2166" s="149"/>
      <c r="D2166" s="143" t="s">
        <v>346</v>
      </c>
      <c r="E2166" s="150"/>
      <c r="F2166" s="151" t="s">
        <v>1883</v>
      </c>
      <c r="H2166" s="152">
        <v>15.9</v>
      </c>
      <c r="L2166" s="149"/>
      <c r="M2166" s="153"/>
      <c r="T2166" s="154"/>
      <c r="AT2166" s="150" t="s">
        <v>346</v>
      </c>
      <c r="AU2166" s="150" t="s">
        <v>90</v>
      </c>
      <c r="AV2166" s="148" t="s">
        <v>90</v>
      </c>
      <c r="AW2166" s="148" t="s">
        <v>33</v>
      </c>
      <c r="AX2166" s="148" t="s">
        <v>80</v>
      </c>
      <c r="AY2166" s="150" t="s">
        <v>337</v>
      </c>
    </row>
    <row r="2167" spans="2:51" s="148" customFormat="1" x14ac:dyDescent="0.2">
      <c r="B2167" s="149"/>
      <c r="D2167" s="143" t="s">
        <v>346</v>
      </c>
      <c r="E2167" s="150"/>
      <c r="F2167" s="151" t="s">
        <v>1601</v>
      </c>
      <c r="H2167" s="152">
        <v>-0.8</v>
      </c>
      <c r="L2167" s="149"/>
      <c r="M2167" s="153"/>
      <c r="T2167" s="154"/>
      <c r="AT2167" s="150" t="s">
        <v>346</v>
      </c>
      <c r="AU2167" s="150" t="s">
        <v>90</v>
      </c>
      <c r="AV2167" s="148" t="s">
        <v>90</v>
      </c>
      <c r="AW2167" s="148" t="s">
        <v>33</v>
      </c>
      <c r="AX2167" s="148" t="s">
        <v>80</v>
      </c>
      <c r="AY2167" s="150" t="s">
        <v>337</v>
      </c>
    </row>
    <row r="2168" spans="2:51" s="148" customFormat="1" x14ac:dyDescent="0.2">
      <c r="B2168" s="149"/>
      <c r="D2168" s="143" t="s">
        <v>346</v>
      </c>
      <c r="E2168" s="150"/>
      <c r="F2168" s="151" t="s">
        <v>1884</v>
      </c>
      <c r="H2168" s="152">
        <v>15.2</v>
      </c>
      <c r="L2168" s="149"/>
      <c r="M2168" s="153"/>
      <c r="T2168" s="154"/>
      <c r="AT2168" s="150" t="s">
        <v>346</v>
      </c>
      <c r="AU2168" s="150" t="s">
        <v>90</v>
      </c>
      <c r="AV2168" s="148" t="s">
        <v>90</v>
      </c>
      <c r="AW2168" s="148" t="s">
        <v>33</v>
      </c>
      <c r="AX2168" s="148" t="s">
        <v>80</v>
      </c>
      <c r="AY2168" s="150" t="s">
        <v>337</v>
      </c>
    </row>
    <row r="2169" spans="2:51" s="148" customFormat="1" x14ac:dyDescent="0.2">
      <c r="B2169" s="149"/>
      <c r="D2169" s="143" t="s">
        <v>346</v>
      </c>
      <c r="E2169" s="150"/>
      <c r="F2169" s="151" t="s">
        <v>1601</v>
      </c>
      <c r="H2169" s="152">
        <v>-0.8</v>
      </c>
      <c r="L2169" s="149"/>
      <c r="M2169" s="153"/>
      <c r="T2169" s="154"/>
      <c r="AT2169" s="150" t="s">
        <v>346</v>
      </c>
      <c r="AU2169" s="150" t="s">
        <v>90</v>
      </c>
      <c r="AV2169" s="148" t="s">
        <v>90</v>
      </c>
      <c r="AW2169" s="148" t="s">
        <v>33</v>
      </c>
      <c r="AX2169" s="148" t="s">
        <v>80</v>
      </c>
      <c r="AY2169" s="150" t="s">
        <v>337</v>
      </c>
    </row>
    <row r="2170" spans="2:51" s="148" customFormat="1" x14ac:dyDescent="0.2">
      <c r="B2170" s="149"/>
      <c r="D2170" s="143" t="s">
        <v>346</v>
      </c>
      <c r="E2170" s="150"/>
      <c r="F2170" s="151" t="s">
        <v>1885</v>
      </c>
      <c r="H2170" s="152">
        <v>15.8</v>
      </c>
      <c r="L2170" s="149"/>
      <c r="M2170" s="153"/>
      <c r="T2170" s="154"/>
      <c r="AT2170" s="150" t="s">
        <v>346</v>
      </c>
      <c r="AU2170" s="150" t="s">
        <v>90</v>
      </c>
      <c r="AV2170" s="148" t="s">
        <v>90</v>
      </c>
      <c r="AW2170" s="148" t="s">
        <v>33</v>
      </c>
      <c r="AX2170" s="148" t="s">
        <v>80</v>
      </c>
      <c r="AY2170" s="150" t="s">
        <v>337</v>
      </c>
    </row>
    <row r="2171" spans="2:51" s="148" customFormat="1" x14ac:dyDescent="0.2">
      <c r="B2171" s="149"/>
      <c r="D2171" s="143" t="s">
        <v>346</v>
      </c>
      <c r="E2171" s="150"/>
      <c r="F2171" s="151" t="s">
        <v>1601</v>
      </c>
      <c r="H2171" s="152">
        <v>-0.8</v>
      </c>
      <c r="L2171" s="149"/>
      <c r="M2171" s="153"/>
      <c r="T2171" s="154"/>
      <c r="AT2171" s="150" t="s">
        <v>346</v>
      </c>
      <c r="AU2171" s="150" t="s">
        <v>90</v>
      </c>
      <c r="AV2171" s="148" t="s">
        <v>90</v>
      </c>
      <c r="AW2171" s="148" t="s">
        <v>33</v>
      </c>
      <c r="AX2171" s="148" t="s">
        <v>80</v>
      </c>
      <c r="AY2171" s="150" t="s">
        <v>337</v>
      </c>
    </row>
    <row r="2172" spans="2:51" s="148" customFormat="1" x14ac:dyDescent="0.2">
      <c r="B2172" s="149"/>
      <c r="D2172" s="143" t="s">
        <v>346</v>
      </c>
      <c r="E2172" s="150"/>
      <c r="F2172" s="151" t="s">
        <v>1886</v>
      </c>
      <c r="H2172" s="152">
        <v>12.65</v>
      </c>
      <c r="L2172" s="149"/>
      <c r="M2172" s="153"/>
      <c r="T2172" s="154"/>
      <c r="AT2172" s="150" t="s">
        <v>346</v>
      </c>
      <c r="AU2172" s="150" t="s">
        <v>90</v>
      </c>
      <c r="AV2172" s="148" t="s">
        <v>90</v>
      </c>
      <c r="AW2172" s="148" t="s">
        <v>33</v>
      </c>
      <c r="AX2172" s="148" t="s">
        <v>80</v>
      </c>
      <c r="AY2172" s="150" t="s">
        <v>337</v>
      </c>
    </row>
    <row r="2173" spans="2:51" s="148" customFormat="1" x14ac:dyDescent="0.2">
      <c r="B2173" s="149"/>
      <c r="D2173" s="143" t="s">
        <v>346</v>
      </c>
      <c r="E2173" s="150"/>
      <c r="F2173" s="151" t="s">
        <v>1859</v>
      </c>
      <c r="H2173" s="152">
        <v>-3.5</v>
      </c>
      <c r="L2173" s="149"/>
      <c r="M2173" s="153"/>
      <c r="T2173" s="154"/>
      <c r="AT2173" s="150" t="s">
        <v>346</v>
      </c>
      <c r="AU2173" s="150" t="s">
        <v>90</v>
      </c>
      <c r="AV2173" s="148" t="s">
        <v>90</v>
      </c>
      <c r="AW2173" s="148" t="s">
        <v>33</v>
      </c>
      <c r="AX2173" s="148" t="s">
        <v>80</v>
      </c>
      <c r="AY2173" s="150" t="s">
        <v>337</v>
      </c>
    </row>
    <row r="2174" spans="2:51" s="148" customFormat="1" x14ac:dyDescent="0.2">
      <c r="B2174" s="149"/>
      <c r="D2174" s="143" t="s">
        <v>346</v>
      </c>
      <c r="E2174" s="150"/>
      <c r="F2174" s="151" t="s">
        <v>1887</v>
      </c>
      <c r="H2174" s="152">
        <v>18.559999999999999</v>
      </c>
      <c r="L2174" s="149"/>
      <c r="M2174" s="153"/>
      <c r="T2174" s="154"/>
      <c r="AT2174" s="150" t="s">
        <v>346</v>
      </c>
      <c r="AU2174" s="150" t="s">
        <v>90</v>
      </c>
      <c r="AV2174" s="148" t="s">
        <v>90</v>
      </c>
      <c r="AW2174" s="148" t="s">
        <v>33</v>
      </c>
      <c r="AX2174" s="148" t="s">
        <v>80</v>
      </c>
      <c r="AY2174" s="150" t="s">
        <v>337</v>
      </c>
    </row>
    <row r="2175" spans="2:51" s="148" customFormat="1" x14ac:dyDescent="0.2">
      <c r="B2175" s="149"/>
      <c r="D2175" s="143" t="s">
        <v>346</v>
      </c>
      <c r="E2175" s="150"/>
      <c r="F2175" s="151" t="s">
        <v>1641</v>
      </c>
      <c r="H2175" s="152">
        <v>-0.9</v>
      </c>
      <c r="L2175" s="149"/>
      <c r="M2175" s="153"/>
      <c r="T2175" s="154"/>
      <c r="AT2175" s="150" t="s">
        <v>346</v>
      </c>
      <c r="AU2175" s="150" t="s">
        <v>90</v>
      </c>
      <c r="AV2175" s="148" t="s">
        <v>90</v>
      </c>
      <c r="AW2175" s="148" t="s">
        <v>33</v>
      </c>
      <c r="AX2175" s="148" t="s">
        <v>80</v>
      </c>
      <c r="AY2175" s="150" t="s">
        <v>337</v>
      </c>
    </row>
    <row r="2176" spans="2:51" s="148" customFormat="1" x14ac:dyDescent="0.2">
      <c r="B2176" s="149"/>
      <c r="D2176" s="143" t="s">
        <v>346</v>
      </c>
      <c r="E2176" s="150"/>
      <c r="F2176" s="151" t="s">
        <v>1888</v>
      </c>
      <c r="H2176" s="152">
        <v>15</v>
      </c>
      <c r="L2176" s="149"/>
      <c r="M2176" s="153"/>
      <c r="T2176" s="154"/>
      <c r="AT2176" s="150" t="s">
        <v>346</v>
      </c>
      <c r="AU2176" s="150" t="s">
        <v>90</v>
      </c>
      <c r="AV2176" s="148" t="s">
        <v>90</v>
      </c>
      <c r="AW2176" s="148" t="s">
        <v>33</v>
      </c>
      <c r="AX2176" s="148" t="s">
        <v>80</v>
      </c>
      <c r="AY2176" s="150" t="s">
        <v>337</v>
      </c>
    </row>
    <row r="2177" spans="2:51" s="148" customFormat="1" x14ac:dyDescent="0.2">
      <c r="B2177" s="149"/>
      <c r="D2177" s="143" t="s">
        <v>346</v>
      </c>
      <c r="E2177" s="150"/>
      <c r="F2177" s="151" t="s">
        <v>1601</v>
      </c>
      <c r="H2177" s="152">
        <v>-0.8</v>
      </c>
      <c r="L2177" s="149"/>
      <c r="M2177" s="153"/>
      <c r="T2177" s="154"/>
      <c r="AT2177" s="150" t="s">
        <v>346</v>
      </c>
      <c r="AU2177" s="150" t="s">
        <v>90</v>
      </c>
      <c r="AV2177" s="148" t="s">
        <v>90</v>
      </c>
      <c r="AW2177" s="148" t="s">
        <v>33</v>
      </c>
      <c r="AX2177" s="148" t="s">
        <v>80</v>
      </c>
      <c r="AY2177" s="150" t="s">
        <v>337</v>
      </c>
    </row>
    <row r="2178" spans="2:51" s="148" customFormat="1" x14ac:dyDescent="0.2">
      <c r="B2178" s="149"/>
      <c r="D2178" s="143" t="s">
        <v>346</v>
      </c>
      <c r="E2178" s="150"/>
      <c r="F2178" s="151" t="s">
        <v>1889</v>
      </c>
      <c r="H2178" s="152">
        <v>9.26</v>
      </c>
      <c r="L2178" s="149"/>
      <c r="M2178" s="153"/>
      <c r="T2178" s="154"/>
      <c r="AT2178" s="150" t="s">
        <v>346</v>
      </c>
      <c r="AU2178" s="150" t="s">
        <v>90</v>
      </c>
      <c r="AV2178" s="148" t="s">
        <v>90</v>
      </c>
      <c r="AW2178" s="148" t="s">
        <v>33</v>
      </c>
      <c r="AX2178" s="148" t="s">
        <v>80</v>
      </c>
      <c r="AY2178" s="150" t="s">
        <v>337</v>
      </c>
    </row>
    <row r="2179" spans="2:51" s="148" customFormat="1" x14ac:dyDescent="0.2">
      <c r="B2179" s="149"/>
      <c r="D2179" s="143" t="s">
        <v>346</v>
      </c>
      <c r="E2179" s="150"/>
      <c r="F2179" s="151" t="s">
        <v>1838</v>
      </c>
      <c r="H2179" s="152">
        <v>-3.8</v>
      </c>
      <c r="L2179" s="149"/>
      <c r="M2179" s="153"/>
      <c r="T2179" s="154"/>
      <c r="AT2179" s="150" t="s">
        <v>346</v>
      </c>
      <c r="AU2179" s="150" t="s">
        <v>90</v>
      </c>
      <c r="AV2179" s="148" t="s">
        <v>90</v>
      </c>
      <c r="AW2179" s="148" t="s">
        <v>33</v>
      </c>
      <c r="AX2179" s="148" t="s">
        <v>80</v>
      </c>
      <c r="AY2179" s="150" t="s">
        <v>337</v>
      </c>
    </row>
    <row r="2180" spans="2:51" s="148" customFormat="1" x14ac:dyDescent="0.2">
      <c r="B2180" s="149"/>
      <c r="D2180" s="143" t="s">
        <v>346</v>
      </c>
      <c r="E2180" s="150"/>
      <c r="F2180" s="151" t="s">
        <v>1890</v>
      </c>
      <c r="H2180" s="152">
        <v>15.2</v>
      </c>
      <c r="L2180" s="149"/>
      <c r="M2180" s="153"/>
      <c r="T2180" s="154"/>
      <c r="AT2180" s="150" t="s">
        <v>346</v>
      </c>
      <c r="AU2180" s="150" t="s">
        <v>90</v>
      </c>
      <c r="AV2180" s="148" t="s">
        <v>90</v>
      </c>
      <c r="AW2180" s="148" t="s">
        <v>33</v>
      </c>
      <c r="AX2180" s="148" t="s">
        <v>80</v>
      </c>
      <c r="AY2180" s="150" t="s">
        <v>337</v>
      </c>
    </row>
    <row r="2181" spans="2:51" s="148" customFormat="1" x14ac:dyDescent="0.2">
      <c r="B2181" s="149"/>
      <c r="D2181" s="143" t="s">
        <v>346</v>
      </c>
      <c r="E2181" s="150"/>
      <c r="F2181" s="151" t="s">
        <v>1601</v>
      </c>
      <c r="H2181" s="152">
        <v>-0.8</v>
      </c>
      <c r="L2181" s="149"/>
      <c r="M2181" s="153"/>
      <c r="T2181" s="154"/>
      <c r="AT2181" s="150" t="s">
        <v>346</v>
      </c>
      <c r="AU2181" s="150" t="s">
        <v>90</v>
      </c>
      <c r="AV2181" s="148" t="s">
        <v>90</v>
      </c>
      <c r="AW2181" s="148" t="s">
        <v>33</v>
      </c>
      <c r="AX2181" s="148" t="s">
        <v>80</v>
      </c>
      <c r="AY2181" s="150" t="s">
        <v>337</v>
      </c>
    </row>
    <row r="2182" spans="2:51" s="148" customFormat="1" x14ac:dyDescent="0.2">
      <c r="B2182" s="149"/>
      <c r="D2182" s="143" t="s">
        <v>346</v>
      </c>
      <c r="E2182" s="150"/>
      <c r="F2182" s="151" t="s">
        <v>1891</v>
      </c>
      <c r="H2182" s="152">
        <v>15.2</v>
      </c>
      <c r="L2182" s="149"/>
      <c r="M2182" s="153"/>
      <c r="T2182" s="154"/>
      <c r="AT2182" s="150" t="s">
        <v>346</v>
      </c>
      <c r="AU2182" s="150" t="s">
        <v>90</v>
      </c>
      <c r="AV2182" s="148" t="s">
        <v>90</v>
      </c>
      <c r="AW2182" s="148" t="s">
        <v>33</v>
      </c>
      <c r="AX2182" s="148" t="s">
        <v>80</v>
      </c>
      <c r="AY2182" s="150" t="s">
        <v>337</v>
      </c>
    </row>
    <row r="2183" spans="2:51" s="148" customFormat="1" x14ac:dyDescent="0.2">
      <c r="B2183" s="149"/>
      <c r="D2183" s="143" t="s">
        <v>346</v>
      </c>
      <c r="E2183" s="150"/>
      <c r="F2183" s="151" t="s">
        <v>1601</v>
      </c>
      <c r="H2183" s="152">
        <v>-0.8</v>
      </c>
      <c r="L2183" s="149"/>
      <c r="M2183" s="153"/>
      <c r="T2183" s="154"/>
      <c r="AT2183" s="150" t="s">
        <v>346</v>
      </c>
      <c r="AU2183" s="150" t="s">
        <v>90</v>
      </c>
      <c r="AV2183" s="148" t="s">
        <v>90</v>
      </c>
      <c r="AW2183" s="148" t="s">
        <v>33</v>
      </c>
      <c r="AX2183" s="148" t="s">
        <v>80</v>
      </c>
      <c r="AY2183" s="150" t="s">
        <v>337</v>
      </c>
    </row>
    <row r="2184" spans="2:51" s="148" customFormat="1" x14ac:dyDescent="0.2">
      <c r="B2184" s="149"/>
      <c r="D2184" s="143" t="s">
        <v>346</v>
      </c>
      <c r="E2184" s="150"/>
      <c r="F2184" s="151" t="s">
        <v>1892</v>
      </c>
      <c r="H2184" s="152">
        <v>8.66</v>
      </c>
      <c r="L2184" s="149"/>
      <c r="M2184" s="153"/>
      <c r="T2184" s="154"/>
      <c r="AT2184" s="150" t="s">
        <v>346</v>
      </c>
      <c r="AU2184" s="150" t="s">
        <v>90</v>
      </c>
      <c r="AV2184" s="148" t="s">
        <v>90</v>
      </c>
      <c r="AW2184" s="148" t="s">
        <v>33</v>
      </c>
      <c r="AX2184" s="148" t="s">
        <v>80</v>
      </c>
      <c r="AY2184" s="150" t="s">
        <v>337</v>
      </c>
    </row>
    <row r="2185" spans="2:51" s="148" customFormat="1" x14ac:dyDescent="0.2">
      <c r="B2185" s="149"/>
      <c r="D2185" s="143" t="s">
        <v>346</v>
      </c>
      <c r="E2185" s="150"/>
      <c r="F2185" s="151" t="s">
        <v>1838</v>
      </c>
      <c r="H2185" s="152">
        <v>-3.8</v>
      </c>
      <c r="L2185" s="149"/>
      <c r="M2185" s="153"/>
      <c r="T2185" s="154"/>
      <c r="AT2185" s="150" t="s">
        <v>346</v>
      </c>
      <c r="AU2185" s="150" t="s">
        <v>90</v>
      </c>
      <c r="AV2185" s="148" t="s">
        <v>90</v>
      </c>
      <c r="AW2185" s="148" t="s">
        <v>33</v>
      </c>
      <c r="AX2185" s="148" t="s">
        <v>80</v>
      </c>
      <c r="AY2185" s="150" t="s">
        <v>337</v>
      </c>
    </row>
    <row r="2186" spans="2:51" s="148" customFormat="1" x14ac:dyDescent="0.2">
      <c r="B2186" s="149"/>
      <c r="D2186" s="143" t="s">
        <v>346</v>
      </c>
      <c r="E2186" s="150"/>
      <c r="F2186" s="151" t="s">
        <v>1893</v>
      </c>
      <c r="H2186" s="152">
        <v>15.2</v>
      </c>
      <c r="L2186" s="149"/>
      <c r="M2186" s="153"/>
      <c r="T2186" s="154"/>
      <c r="AT2186" s="150" t="s">
        <v>346</v>
      </c>
      <c r="AU2186" s="150" t="s">
        <v>90</v>
      </c>
      <c r="AV2186" s="148" t="s">
        <v>90</v>
      </c>
      <c r="AW2186" s="148" t="s">
        <v>33</v>
      </c>
      <c r="AX2186" s="148" t="s">
        <v>80</v>
      </c>
      <c r="AY2186" s="150" t="s">
        <v>337</v>
      </c>
    </row>
    <row r="2187" spans="2:51" s="148" customFormat="1" x14ac:dyDescent="0.2">
      <c r="B2187" s="149"/>
      <c r="D2187" s="143" t="s">
        <v>346</v>
      </c>
      <c r="E2187" s="150"/>
      <c r="F2187" s="151" t="s">
        <v>1601</v>
      </c>
      <c r="H2187" s="152">
        <v>-0.8</v>
      </c>
      <c r="L2187" s="149"/>
      <c r="M2187" s="153"/>
      <c r="T2187" s="154"/>
      <c r="AT2187" s="150" t="s">
        <v>346</v>
      </c>
      <c r="AU2187" s="150" t="s">
        <v>90</v>
      </c>
      <c r="AV2187" s="148" t="s">
        <v>90</v>
      </c>
      <c r="AW2187" s="148" t="s">
        <v>33</v>
      </c>
      <c r="AX2187" s="148" t="s">
        <v>80</v>
      </c>
      <c r="AY2187" s="150" t="s">
        <v>337</v>
      </c>
    </row>
    <row r="2188" spans="2:51" s="148" customFormat="1" x14ac:dyDescent="0.2">
      <c r="B2188" s="149"/>
      <c r="D2188" s="143" t="s">
        <v>346</v>
      </c>
      <c r="E2188" s="150"/>
      <c r="F2188" s="151" t="s">
        <v>1894</v>
      </c>
      <c r="H2188" s="152">
        <v>15.2</v>
      </c>
      <c r="L2188" s="149"/>
      <c r="M2188" s="153"/>
      <c r="T2188" s="154"/>
      <c r="AT2188" s="150" t="s">
        <v>346</v>
      </c>
      <c r="AU2188" s="150" t="s">
        <v>90</v>
      </c>
      <c r="AV2188" s="148" t="s">
        <v>90</v>
      </c>
      <c r="AW2188" s="148" t="s">
        <v>33</v>
      </c>
      <c r="AX2188" s="148" t="s">
        <v>80</v>
      </c>
      <c r="AY2188" s="150" t="s">
        <v>337</v>
      </c>
    </row>
    <row r="2189" spans="2:51" s="148" customFormat="1" x14ac:dyDescent="0.2">
      <c r="B2189" s="149"/>
      <c r="D2189" s="143" t="s">
        <v>346</v>
      </c>
      <c r="E2189" s="150"/>
      <c r="F2189" s="151" t="s">
        <v>1601</v>
      </c>
      <c r="H2189" s="152">
        <v>-0.8</v>
      </c>
      <c r="L2189" s="149"/>
      <c r="M2189" s="153"/>
      <c r="T2189" s="154"/>
      <c r="AT2189" s="150" t="s">
        <v>346</v>
      </c>
      <c r="AU2189" s="150" t="s">
        <v>90</v>
      </c>
      <c r="AV2189" s="148" t="s">
        <v>90</v>
      </c>
      <c r="AW2189" s="148" t="s">
        <v>33</v>
      </c>
      <c r="AX2189" s="148" t="s">
        <v>80</v>
      </c>
      <c r="AY2189" s="150" t="s">
        <v>337</v>
      </c>
    </row>
    <row r="2190" spans="2:51" s="148" customFormat="1" x14ac:dyDescent="0.2">
      <c r="B2190" s="149"/>
      <c r="D2190" s="143" t="s">
        <v>346</v>
      </c>
      <c r="E2190" s="150"/>
      <c r="F2190" s="151" t="s">
        <v>1895</v>
      </c>
      <c r="H2190" s="152">
        <v>8.66</v>
      </c>
      <c r="L2190" s="149"/>
      <c r="M2190" s="153"/>
      <c r="T2190" s="154"/>
      <c r="AT2190" s="150" t="s">
        <v>346</v>
      </c>
      <c r="AU2190" s="150" t="s">
        <v>90</v>
      </c>
      <c r="AV2190" s="148" t="s">
        <v>90</v>
      </c>
      <c r="AW2190" s="148" t="s">
        <v>33</v>
      </c>
      <c r="AX2190" s="148" t="s">
        <v>80</v>
      </c>
      <c r="AY2190" s="150" t="s">
        <v>337</v>
      </c>
    </row>
    <row r="2191" spans="2:51" s="148" customFormat="1" x14ac:dyDescent="0.2">
      <c r="B2191" s="149"/>
      <c r="D2191" s="143" t="s">
        <v>346</v>
      </c>
      <c r="E2191" s="150"/>
      <c r="F2191" s="151" t="s">
        <v>1838</v>
      </c>
      <c r="H2191" s="152">
        <v>-3.8</v>
      </c>
      <c r="L2191" s="149"/>
      <c r="M2191" s="153"/>
      <c r="T2191" s="154"/>
      <c r="AT2191" s="150" t="s">
        <v>346</v>
      </c>
      <c r="AU2191" s="150" t="s">
        <v>90</v>
      </c>
      <c r="AV2191" s="148" t="s">
        <v>90</v>
      </c>
      <c r="AW2191" s="148" t="s">
        <v>33</v>
      </c>
      <c r="AX2191" s="148" t="s">
        <v>80</v>
      </c>
      <c r="AY2191" s="150" t="s">
        <v>337</v>
      </c>
    </row>
    <row r="2192" spans="2:51" s="148" customFormat="1" x14ac:dyDescent="0.2">
      <c r="B2192" s="149"/>
      <c r="D2192" s="143" t="s">
        <v>346</v>
      </c>
      <c r="E2192" s="150"/>
      <c r="F2192" s="151" t="s">
        <v>1896</v>
      </c>
      <c r="H2192" s="152">
        <v>15.2</v>
      </c>
      <c r="L2192" s="149"/>
      <c r="M2192" s="153"/>
      <c r="T2192" s="154"/>
      <c r="AT2192" s="150" t="s">
        <v>346</v>
      </c>
      <c r="AU2192" s="150" t="s">
        <v>90</v>
      </c>
      <c r="AV2192" s="148" t="s">
        <v>90</v>
      </c>
      <c r="AW2192" s="148" t="s">
        <v>33</v>
      </c>
      <c r="AX2192" s="148" t="s">
        <v>80</v>
      </c>
      <c r="AY2192" s="150" t="s">
        <v>337</v>
      </c>
    </row>
    <row r="2193" spans="2:51" s="148" customFormat="1" x14ac:dyDescent="0.2">
      <c r="B2193" s="149"/>
      <c r="D2193" s="143" t="s">
        <v>346</v>
      </c>
      <c r="E2193" s="150"/>
      <c r="F2193" s="151" t="s">
        <v>1601</v>
      </c>
      <c r="H2193" s="152">
        <v>-0.8</v>
      </c>
      <c r="L2193" s="149"/>
      <c r="M2193" s="153"/>
      <c r="T2193" s="154"/>
      <c r="AT2193" s="150" t="s">
        <v>346</v>
      </c>
      <c r="AU2193" s="150" t="s">
        <v>90</v>
      </c>
      <c r="AV2193" s="148" t="s">
        <v>90</v>
      </c>
      <c r="AW2193" s="148" t="s">
        <v>33</v>
      </c>
      <c r="AX2193" s="148" t="s">
        <v>80</v>
      </c>
      <c r="AY2193" s="150" t="s">
        <v>337</v>
      </c>
    </row>
    <row r="2194" spans="2:51" s="148" customFormat="1" x14ac:dyDescent="0.2">
      <c r="B2194" s="149"/>
      <c r="D2194" s="143" t="s">
        <v>346</v>
      </c>
      <c r="E2194" s="150"/>
      <c r="F2194" s="151" t="s">
        <v>1897</v>
      </c>
      <c r="H2194" s="152">
        <v>15.2</v>
      </c>
      <c r="L2194" s="149"/>
      <c r="M2194" s="153"/>
      <c r="T2194" s="154"/>
      <c r="AT2194" s="150" t="s">
        <v>346</v>
      </c>
      <c r="AU2194" s="150" t="s">
        <v>90</v>
      </c>
      <c r="AV2194" s="148" t="s">
        <v>90</v>
      </c>
      <c r="AW2194" s="148" t="s">
        <v>33</v>
      </c>
      <c r="AX2194" s="148" t="s">
        <v>80</v>
      </c>
      <c r="AY2194" s="150" t="s">
        <v>337</v>
      </c>
    </row>
    <row r="2195" spans="2:51" s="148" customFormat="1" x14ac:dyDescent="0.2">
      <c r="B2195" s="149"/>
      <c r="D2195" s="143" t="s">
        <v>346</v>
      </c>
      <c r="E2195" s="150"/>
      <c r="F2195" s="151" t="s">
        <v>1601</v>
      </c>
      <c r="H2195" s="152">
        <v>-0.8</v>
      </c>
      <c r="L2195" s="149"/>
      <c r="M2195" s="153"/>
      <c r="T2195" s="154"/>
      <c r="AT2195" s="150" t="s">
        <v>346</v>
      </c>
      <c r="AU2195" s="150" t="s">
        <v>90</v>
      </c>
      <c r="AV2195" s="148" t="s">
        <v>90</v>
      </c>
      <c r="AW2195" s="148" t="s">
        <v>33</v>
      </c>
      <c r="AX2195" s="148" t="s">
        <v>80</v>
      </c>
      <c r="AY2195" s="150" t="s">
        <v>337</v>
      </c>
    </row>
    <row r="2196" spans="2:51" s="148" customFormat="1" x14ac:dyDescent="0.2">
      <c r="B2196" s="149"/>
      <c r="D2196" s="143" t="s">
        <v>346</v>
      </c>
      <c r="E2196" s="150"/>
      <c r="F2196" s="151" t="s">
        <v>1898</v>
      </c>
      <c r="H2196" s="152">
        <v>14.66</v>
      </c>
      <c r="L2196" s="149"/>
      <c r="M2196" s="153"/>
      <c r="T2196" s="154"/>
      <c r="AT2196" s="150" t="s">
        <v>346</v>
      </c>
      <c r="AU2196" s="150" t="s">
        <v>90</v>
      </c>
      <c r="AV2196" s="148" t="s">
        <v>90</v>
      </c>
      <c r="AW2196" s="148" t="s">
        <v>33</v>
      </c>
      <c r="AX2196" s="148" t="s">
        <v>80</v>
      </c>
      <c r="AY2196" s="150" t="s">
        <v>337</v>
      </c>
    </row>
    <row r="2197" spans="2:51" s="148" customFormat="1" x14ac:dyDescent="0.2">
      <c r="B2197" s="149"/>
      <c r="D2197" s="143" t="s">
        <v>346</v>
      </c>
      <c r="E2197" s="150"/>
      <c r="F2197" s="151" t="s">
        <v>1838</v>
      </c>
      <c r="H2197" s="152">
        <v>-3.8</v>
      </c>
      <c r="L2197" s="149"/>
      <c r="M2197" s="153"/>
      <c r="T2197" s="154"/>
      <c r="AT2197" s="150" t="s">
        <v>346</v>
      </c>
      <c r="AU2197" s="150" t="s">
        <v>90</v>
      </c>
      <c r="AV2197" s="148" t="s">
        <v>90</v>
      </c>
      <c r="AW2197" s="148" t="s">
        <v>33</v>
      </c>
      <c r="AX2197" s="148" t="s">
        <v>80</v>
      </c>
      <c r="AY2197" s="150" t="s">
        <v>337</v>
      </c>
    </row>
    <row r="2198" spans="2:51" s="148" customFormat="1" x14ac:dyDescent="0.2">
      <c r="B2198" s="149"/>
      <c r="D2198" s="143" t="s">
        <v>346</v>
      </c>
      <c r="E2198" s="150"/>
      <c r="F2198" s="151" t="s">
        <v>1899</v>
      </c>
      <c r="H2198" s="152">
        <v>15.2</v>
      </c>
      <c r="L2198" s="149"/>
      <c r="M2198" s="153"/>
      <c r="T2198" s="154"/>
      <c r="AT2198" s="150" t="s">
        <v>346</v>
      </c>
      <c r="AU2198" s="150" t="s">
        <v>90</v>
      </c>
      <c r="AV2198" s="148" t="s">
        <v>90</v>
      </c>
      <c r="AW2198" s="148" t="s">
        <v>33</v>
      </c>
      <c r="AX2198" s="148" t="s">
        <v>80</v>
      </c>
      <c r="AY2198" s="150" t="s">
        <v>337</v>
      </c>
    </row>
    <row r="2199" spans="2:51" s="148" customFormat="1" x14ac:dyDescent="0.2">
      <c r="B2199" s="149"/>
      <c r="D2199" s="143" t="s">
        <v>346</v>
      </c>
      <c r="E2199" s="150"/>
      <c r="F2199" s="151" t="s">
        <v>1601</v>
      </c>
      <c r="H2199" s="152">
        <v>-0.8</v>
      </c>
      <c r="L2199" s="149"/>
      <c r="M2199" s="153"/>
      <c r="T2199" s="154"/>
      <c r="AT2199" s="150" t="s">
        <v>346</v>
      </c>
      <c r="AU2199" s="150" t="s">
        <v>90</v>
      </c>
      <c r="AV2199" s="148" t="s">
        <v>90</v>
      </c>
      <c r="AW2199" s="148" t="s">
        <v>33</v>
      </c>
      <c r="AX2199" s="148" t="s">
        <v>80</v>
      </c>
      <c r="AY2199" s="150" t="s">
        <v>337</v>
      </c>
    </row>
    <row r="2200" spans="2:51" s="148" customFormat="1" x14ac:dyDescent="0.2">
      <c r="B2200" s="149"/>
      <c r="D2200" s="143" t="s">
        <v>346</v>
      </c>
      <c r="E2200" s="150"/>
      <c r="F2200" s="151" t="s">
        <v>1900</v>
      </c>
      <c r="H2200" s="152">
        <v>15.2</v>
      </c>
      <c r="L2200" s="149"/>
      <c r="M2200" s="153"/>
      <c r="T2200" s="154"/>
      <c r="AT2200" s="150" t="s">
        <v>346</v>
      </c>
      <c r="AU2200" s="150" t="s">
        <v>90</v>
      </c>
      <c r="AV2200" s="148" t="s">
        <v>90</v>
      </c>
      <c r="AW2200" s="148" t="s">
        <v>33</v>
      </c>
      <c r="AX2200" s="148" t="s">
        <v>80</v>
      </c>
      <c r="AY2200" s="150" t="s">
        <v>337</v>
      </c>
    </row>
    <row r="2201" spans="2:51" s="148" customFormat="1" x14ac:dyDescent="0.2">
      <c r="B2201" s="149"/>
      <c r="D2201" s="143" t="s">
        <v>346</v>
      </c>
      <c r="E2201" s="150"/>
      <c r="F2201" s="151" t="s">
        <v>1601</v>
      </c>
      <c r="H2201" s="152">
        <v>-0.8</v>
      </c>
      <c r="L2201" s="149"/>
      <c r="M2201" s="153"/>
      <c r="T2201" s="154"/>
      <c r="AT2201" s="150" t="s">
        <v>346</v>
      </c>
      <c r="AU2201" s="150" t="s">
        <v>90</v>
      </c>
      <c r="AV2201" s="148" t="s">
        <v>90</v>
      </c>
      <c r="AW2201" s="148" t="s">
        <v>33</v>
      </c>
      <c r="AX2201" s="148" t="s">
        <v>80</v>
      </c>
      <c r="AY2201" s="150" t="s">
        <v>337</v>
      </c>
    </row>
    <row r="2202" spans="2:51" s="148" customFormat="1" x14ac:dyDescent="0.2">
      <c r="B2202" s="149"/>
      <c r="D2202" s="143" t="s">
        <v>346</v>
      </c>
      <c r="E2202" s="150"/>
      <c r="F2202" s="151" t="s">
        <v>1901</v>
      </c>
      <c r="H2202" s="152">
        <v>15.2</v>
      </c>
      <c r="L2202" s="149"/>
      <c r="M2202" s="153"/>
      <c r="T2202" s="154"/>
      <c r="AT2202" s="150" t="s">
        <v>346</v>
      </c>
      <c r="AU2202" s="150" t="s">
        <v>90</v>
      </c>
      <c r="AV2202" s="148" t="s">
        <v>90</v>
      </c>
      <c r="AW2202" s="148" t="s">
        <v>33</v>
      </c>
      <c r="AX2202" s="148" t="s">
        <v>80</v>
      </c>
      <c r="AY2202" s="150" t="s">
        <v>337</v>
      </c>
    </row>
    <row r="2203" spans="2:51" s="148" customFormat="1" x14ac:dyDescent="0.2">
      <c r="B2203" s="149"/>
      <c r="D2203" s="143" t="s">
        <v>346</v>
      </c>
      <c r="E2203" s="150"/>
      <c r="F2203" s="151" t="s">
        <v>1601</v>
      </c>
      <c r="H2203" s="152">
        <v>-0.8</v>
      </c>
      <c r="L2203" s="149"/>
      <c r="M2203" s="153"/>
      <c r="T2203" s="154"/>
      <c r="AT2203" s="150" t="s">
        <v>346</v>
      </c>
      <c r="AU2203" s="150" t="s">
        <v>90</v>
      </c>
      <c r="AV2203" s="148" t="s">
        <v>90</v>
      </c>
      <c r="AW2203" s="148" t="s">
        <v>33</v>
      </c>
      <c r="AX2203" s="148" t="s">
        <v>80</v>
      </c>
      <c r="AY2203" s="150" t="s">
        <v>337</v>
      </c>
    </row>
    <row r="2204" spans="2:51" s="148" customFormat="1" x14ac:dyDescent="0.2">
      <c r="B2204" s="149"/>
      <c r="D2204" s="143" t="s">
        <v>346</v>
      </c>
      <c r="E2204" s="150"/>
      <c r="F2204" s="151" t="s">
        <v>1902</v>
      </c>
      <c r="H2204" s="152">
        <v>9.41</v>
      </c>
      <c r="L2204" s="149"/>
      <c r="M2204" s="153"/>
      <c r="T2204" s="154"/>
      <c r="AT2204" s="150" t="s">
        <v>346</v>
      </c>
      <c r="AU2204" s="150" t="s">
        <v>90</v>
      </c>
      <c r="AV2204" s="148" t="s">
        <v>90</v>
      </c>
      <c r="AW2204" s="148" t="s">
        <v>33</v>
      </c>
      <c r="AX2204" s="148" t="s">
        <v>80</v>
      </c>
      <c r="AY2204" s="150" t="s">
        <v>337</v>
      </c>
    </row>
    <row r="2205" spans="2:51" s="148" customFormat="1" x14ac:dyDescent="0.2">
      <c r="B2205" s="149"/>
      <c r="D2205" s="143" t="s">
        <v>346</v>
      </c>
      <c r="E2205" s="150"/>
      <c r="F2205" s="151" t="s">
        <v>1838</v>
      </c>
      <c r="H2205" s="152">
        <v>-3.8</v>
      </c>
      <c r="L2205" s="149"/>
      <c r="M2205" s="153"/>
      <c r="T2205" s="154"/>
      <c r="AT2205" s="150" t="s">
        <v>346</v>
      </c>
      <c r="AU2205" s="150" t="s">
        <v>90</v>
      </c>
      <c r="AV2205" s="148" t="s">
        <v>90</v>
      </c>
      <c r="AW2205" s="148" t="s">
        <v>33</v>
      </c>
      <c r="AX2205" s="148" t="s">
        <v>80</v>
      </c>
      <c r="AY2205" s="150" t="s">
        <v>337</v>
      </c>
    </row>
    <row r="2206" spans="2:51" s="148" customFormat="1" x14ac:dyDescent="0.2">
      <c r="B2206" s="149"/>
      <c r="D2206" s="143" t="s">
        <v>346</v>
      </c>
      <c r="E2206" s="150"/>
      <c r="F2206" s="151" t="s">
        <v>1903</v>
      </c>
      <c r="H2206" s="152">
        <v>16.399999999999999</v>
      </c>
      <c r="L2206" s="149"/>
      <c r="M2206" s="153"/>
      <c r="T2206" s="154"/>
      <c r="AT2206" s="150" t="s">
        <v>346</v>
      </c>
      <c r="AU2206" s="150" t="s">
        <v>90</v>
      </c>
      <c r="AV2206" s="148" t="s">
        <v>90</v>
      </c>
      <c r="AW2206" s="148" t="s">
        <v>33</v>
      </c>
      <c r="AX2206" s="148" t="s">
        <v>80</v>
      </c>
      <c r="AY2206" s="150" t="s">
        <v>337</v>
      </c>
    </row>
    <row r="2207" spans="2:51" s="148" customFormat="1" x14ac:dyDescent="0.2">
      <c r="B2207" s="149"/>
      <c r="D2207" s="143" t="s">
        <v>346</v>
      </c>
      <c r="E2207" s="150"/>
      <c r="F2207" s="151" t="s">
        <v>1601</v>
      </c>
      <c r="H2207" s="152">
        <v>-0.8</v>
      </c>
      <c r="L2207" s="149"/>
      <c r="M2207" s="153"/>
      <c r="T2207" s="154"/>
      <c r="AT2207" s="150" t="s">
        <v>346</v>
      </c>
      <c r="AU2207" s="150" t="s">
        <v>90</v>
      </c>
      <c r="AV2207" s="148" t="s">
        <v>90</v>
      </c>
      <c r="AW2207" s="148" t="s">
        <v>33</v>
      </c>
      <c r="AX2207" s="148" t="s">
        <v>80</v>
      </c>
      <c r="AY2207" s="150" t="s">
        <v>337</v>
      </c>
    </row>
    <row r="2208" spans="2:51" s="148" customFormat="1" x14ac:dyDescent="0.2">
      <c r="B2208" s="149"/>
      <c r="D2208" s="143" t="s">
        <v>346</v>
      </c>
      <c r="E2208" s="150"/>
      <c r="F2208" s="151" t="s">
        <v>1904</v>
      </c>
      <c r="H2208" s="152">
        <v>15.2</v>
      </c>
      <c r="L2208" s="149"/>
      <c r="M2208" s="153"/>
      <c r="T2208" s="154"/>
      <c r="AT2208" s="150" t="s">
        <v>346</v>
      </c>
      <c r="AU2208" s="150" t="s">
        <v>90</v>
      </c>
      <c r="AV2208" s="148" t="s">
        <v>90</v>
      </c>
      <c r="AW2208" s="148" t="s">
        <v>33</v>
      </c>
      <c r="AX2208" s="148" t="s">
        <v>80</v>
      </c>
      <c r="AY2208" s="150" t="s">
        <v>337</v>
      </c>
    </row>
    <row r="2209" spans="2:51" s="148" customFormat="1" x14ac:dyDescent="0.2">
      <c r="B2209" s="149"/>
      <c r="D2209" s="143" t="s">
        <v>346</v>
      </c>
      <c r="E2209" s="150"/>
      <c r="F2209" s="151" t="s">
        <v>1601</v>
      </c>
      <c r="H2209" s="152">
        <v>-0.8</v>
      </c>
      <c r="L2209" s="149"/>
      <c r="M2209" s="153"/>
      <c r="T2209" s="154"/>
      <c r="AT2209" s="150" t="s">
        <v>346</v>
      </c>
      <c r="AU2209" s="150" t="s">
        <v>90</v>
      </c>
      <c r="AV2209" s="148" t="s">
        <v>90</v>
      </c>
      <c r="AW2209" s="148" t="s">
        <v>33</v>
      </c>
      <c r="AX2209" s="148" t="s">
        <v>80</v>
      </c>
      <c r="AY2209" s="150" t="s">
        <v>337</v>
      </c>
    </row>
    <row r="2210" spans="2:51" s="148" customFormat="1" x14ac:dyDescent="0.2">
      <c r="B2210" s="149"/>
      <c r="D2210" s="143" t="s">
        <v>346</v>
      </c>
      <c r="E2210" s="150"/>
      <c r="F2210" s="151" t="s">
        <v>1905</v>
      </c>
      <c r="H2210" s="152">
        <v>9.75</v>
      </c>
      <c r="L2210" s="149"/>
      <c r="M2210" s="153"/>
      <c r="T2210" s="154"/>
      <c r="AT2210" s="150" t="s">
        <v>346</v>
      </c>
      <c r="AU2210" s="150" t="s">
        <v>90</v>
      </c>
      <c r="AV2210" s="148" t="s">
        <v>90</v>
      </c>
      <c r="AW2210" s="148" t="s">
        <v>33</v>
      </c>
      <c r="AX2210" s="148" t="s">
        <v>80</v>
      </c>
      <c r="AY2210" s="150" t="s">
        <v>337</v>
      </c>
    </row>
    <row r="2211" spans="2:51" s="148" customFormat="1" x14ac:dyDescent="0.2">
      <c r="B2211" s="149"/>
      <c r="D2211" s="143" t="s">
        <v>346</v>
      </c>
      <c r="E2211" s="150"/>
      <c r="F2211" s="151" t="s">
        <v>1838</v>
      </c>
      <c r="H2211" s="152">
        <v>-3.8</v>
      </c>
      <c r="L2211" s="149"/>
      <c r="M2211" s="153"/>
      <c r="T2211" s="154"/>
      <c r="AT2211" s="150" t="s">
        <v>346</v>
      </c>
      <c r="AU2211" s="150" t="s">
        <v>90</v>
      </c>
      <c r="AV2211" s="148" t="s">
        <v>90</v>
      </c>
      <c r="AW2211" s="148" t="s">
        <v>33</v>
      </c>
      <c r="AX2211" s="148" t="s">
        <v>80</v>
      </c>
      <c r="AY2211" s="150" t="s">
        <v>337</v>
      </c>
    </row>
    <row r="2212" spans="2:51" s="148" customFormat="1" x14ac:dyDescent="0.2">
      <c r="B2212" s="149"/>
      <c r="D2212" s="143" t="s">
        <v>346</v>
      </c>
      <c r="E2212" s="150"/>
      <c r="F2212" s="151" t="s">
        <v>1906</v>
      </c>
      <c r="H2212" s="152">
        <v>15.2</v>
      </c>
      <c r="L2212" s="149"/>
      <c r="M2212" s="153"/>
      <c r="T2212" s="154"/>
      <c r="AT2212" s="150" t="s">
        <v>346</v>
      </c>
      <c r="AU2212" s="150" t="s">
        <v>90</v>
      </c>
      <c r="AV2212" s="148" t="s">
        <v>90</v>
      </c>
      <c r="AW2212" s="148" t="s">
        <v>33</v>
      </c>
      <c r="AX2212" s="148" t="s">
        <v>80</v>
      </c>
      <c r="AY2212" s="150" t="s">
        <v>337</v>
      </c>
    </row>
    <row r="2213" spans="2:51" s="148" customFormat="1" x14ac:dyDescent="0.2">
      <c r="B2213" s="149"/>
      <c r="D2213" s="143" t="s">
        <v>346</v>
      </c>
      <c r="E2213" s="150"/>
      <c r="F2213" s="151" t="s">
        <v>1601</v>
      </c>
      <c r="H2213" s="152">
        <v>-0.8</v>
      </c>
      <c r="L2213" s="149"/>
      <c r="M2213" s="153"/>
      <c r="T2213" s="154"/>
      <c r="AT2213" s="150" t="s">
        <v>346</v>
      </c>
      <c r="AU2213" s="150" t="s">
        <v>90</v>
      </c>
      <c r="AV2213" s="148" t="s">
        <v>90</v>
      </c>
      <c r="AW2213" s="148" t="s">
        <v>33</v>
      </c>
      <c r="AX2213" s="148" t="s">
        <v>80</v>
      </c>
      <c r="AY2213" s="150" t="s">
        <v>337</v>
      </c>
    </row>
    <row r="2214" spans="2:51" s="148" customFormat="1" x14ac:dyDescent="0.2">
      <c r="B2214" s="149"/>
      <c r="D2214" s="143" t="s">
        <v>346</v>
      </c>
      <c r="E2214" s="150"/>
      <c r="F2214" s="151" t="s">
        <v>1907</v>
      </c>
      <c r="H2214" s="152">
        <v>14.65</v>
      </c>
      <c r="L2214" s="149"/>
      <c r="M2214" s="153"/>
      <c r="T2214" s="154"/>
      <c r="AT2214" s="150" t="s">
        <v>346</v>
      </c>
      <c r="AU2214" s="150" t="s">
        <v>90</v>
      </c>
      <c r="AV2214" s="148" t="s">
        <v>90</v>
      </c>
      <c r="AW2214" s="148" t="s">
        <v>33</v>
      </c>
      <c r="AX2214" s="148" t="s">
        <v>80</v>
      </c>
      <c r="AY2214" s="150" t="s">
        <v>337</v>
      </c>
    </row>
    <row r="2215" spans="2:51" s="148" customFormat="1" x14ac:dyDescent="0.2">
      <c r="B2215" s="149"/>
      <c r="D2215" s="143" t="s">
        <v>346</v>
      </c>
      <c r="E2215" s="150"/>
      <c r="F2215" s="151" t="s">
        <v>1601</v>
      </c>
      <c r="H2215" s="152">
        <v>-0.8</v>
      </c>
      <c r="L2215" s="149"/>
      <c r="M2215" s="153"/>
      <c r="T2215" s="154"/>
      <c r="AT2215" s="150" t="s">
        <v>346</v>
      </c>
      <c r="AU2215" s="150" t="s">
        <v>90</v>
      </c>
      <c r="AV2215" s="148" t="s">
        <v>90</v>
      </c>
      <c r="AW2215" s="148" t="s">
        <v>33</v>
      </c>
      <c r="AX2215" s="148" t="s">
        <v>80</v>
      </c>
      <c r="AY2215" s="150" t="s">
        <v>337</v>
      </c>
    </row>
    <row r="2216" spans="2:51" s="148" customFormat="1" x14ac:dyDescent="0.2">
      <c r="B2216" s="149"/>
      <c r="D2216" s="143" t="s">
        <v>346</v>
      </c>
      <c r="E2216" s="150"/>
      <c r="F2216" s="151" t="s">
        <v>1908</v>
      </c>
      <c r="H2216" s="152">
        <v>19.100000000000001</v>
      </c>
      <c r="L2216" s="149"/>
      <c r="M2216" s="153"/>
      <c r="T2216" s="154"/>
      <c r="AT2216" s="150" t="s">
        <v>346</v>
      </c>
      <c r="AU2216" s="150" t="s">
        <v>90</v>
      </c>
      <c r="AV2216" s="148" t="s">
        <v>90</v>
      </c>
      <c r="AW2216" s="148" t="s">
        <v>33</v>
      </c>
      <c r="AX2216" s="148" t="s">
        <v>80</v>
      </c>
      <c r="AY2216" s="150" t="s">
        <v>337</v>
      </c>
    </row>
    <row r="2217" spans="2:51" s="148" customFormat="1" x14ac:dyDescent="0.2">
      <c r="B2217" s="149"/>
      <c r="D2217" s="143" t="s">
        <v>346</v>
      </c>
      <c r="E2217" s="150"/>
      <c r="F2217" s="151" t="s">
        <v>1882</v>
      </c>
      <c r="H2217" s="152">
        <v>-4.5999999999999996</v>
      </c>
      <c r="L2217" s="149"/>
      <c r="M2217" s="153"/>
      <c r="T2217" s="154"/>
      <c r="AT2217" s="150" t="s">
        <v>346</v>
      </c>
      <c r="AU2217" s="150" t="s">
        <v>90</v>
      </c>
      <c r="AV2217" s="148" t="s">
        <v>90</v>
      </c>
      <c r="AW2217" s="148" t="s">
        <v>33</v>
      </c>
      <c r="AX2217" s="148" t="s">
        <v>80</v>
      </c>
      <c r="AY2217" s="150" t="s">
        <v>337</v>
      </c>
    </row>
    <row r="2218" spans="2:51" s="148" customFormat="1" x14ac:dyDescent="0.2">
      <c r="B2218" s="149"/>
      <c r="D2218" s="143" t="s">
        <v>346</v>
      </c>
      <c r="E2218" s="150"/>
      <c r="F2218" s="151" t="s">
        <v>1909</v>
      </c>
      <c r="H2218" s="152">
        <v>15.9</v>
      </c>
      <c r="L2218" s="149"/>
      <c r="M2218" s="153"/>
      <c r="T2218" s="154"/>
      <c r="AT2218" s="150" t="s">
        <v>346</v>
      </c>
      <c r="AU2218" s="150" t="s">
        <v>90</v>
      </c>
      <c r="AV2218" s="148" t="s">
        <v>90</v>
      </c>
      <c r="AW2218" s="148" t="s">
        <v>33</v>
      </c>
      <c r="AX2218" s="148" t="s">
        <v>80</v>
      </c>
      <c r="AY2218" s="150" t="s">
        <v>337</v>
      </c>
    </row>
    <row r="2219" spans="2:51" s="148" customFormat="1" x14ac:dyDescent="0.2">
      <c r="B2219" s="149"/>
      <c r="D2219" s="143" t="s">
        <v>346</v>
      </c>
      <c r="E2219" s="150"/>
      <c r="F2219" s="151" t="s">
        <v>1601</v>
      </c>
      <c r="H2219" s="152">
        <v>-0.8</v>
      </c>
      <c r="L2219" s="149"/>
      <c r="M2219" s="153"/>
      <c r="T2219" s="154"/>
      <c r="AT2219" s="150" t="s">
        <v>346</v>
      </c>
      <c r="AU2219" s="150" t="s">
        <v>90</v>
      </c>
      <c r="AV2219" s="148" t="s">
        <v>90</v>
      </c>
      <c r="AW2219" s="148" t="s">
        <v>33</v>
      </c>
      <c r="AX2219" s="148" t="s">
        <v>80</v>
      </c>
      <c r="AY2219" s="150" t="s">
        <v>337</v>
      </c>
    </row>
    <row r="2220" spans="2:51" s="148" customFormat="1" x14ac:dyDescent="0.2">
      <c r="B2220" s="149"/>
      <c r="D2220" s="143" t="s">
        <v>346</v>
      </c>
      <c r="E2220" s="150"/>
      <c r="F2220" s="151" t="s">
        <v>1910</v>
      </c>
      <c r="H2220" s="152">
        <v>15.2</v>
      </c>
      <c r="L2220" s="149"/>
      <c r="M2220" s="153"/>
      <c r="T2220" s="154"/>
      <c r="AT2220" s="150" t="s">
        <v>346</v>
      </c>
      <c r="AU2220" s="150" t="s">
        <v>90</v>
      </c>
      <c r="AV2220" s="148" t="s">
        <v>90</v>
      </c>
      <c r="AW2220" s="148" t="s">
        <v>33</v>
      </c>
      <c r="AX2220" s="148" t="s">
        <v>80</v>
      </c>
      <c r="AY2220" s="150" t="s">
        <v>337</v>
      </c>
    </row>
    <row r="2221" spans="2:51" s="148" customFormat="1" x14ac:dyDescent="0.2">
      <c r="B2221" s="149"/>
      <c r="D2221" s="143" t="s">
        <v>346</v>
      </c>
      <c r="E2221" s="150"/>
      <c r="F2221" s="151" t="s">
        <v>1601</v>
      </c>
      <c r="H2221" s="152">
        <v>-0.8</v>
      </c>
      <c r="L2221" s="149"/>
      <c r="M2221" s="153"/>
      <c r="T2221" s="154"/>
      <c r="AT2221" s="150" t="s">
        <v>346</v>
      </c>
      <c r="AU2221" s="150" t="s">
        <v>90</v>
      </c>
      <c r="AV2221" s="148" t="s">
        <v>90</v>
      </c>
      <c r="AW2221" s="148" t="s">
        <v>33</v>
      </c>
      <c r="AX2221" s="148" t="s">
        <v>80</v>
      </c>
      <c r="AY2221" s="150" t="s">
        <v>337</v>
      </c>
    </row>
    <row r="2222" spans="2:51" s="148" customFormat="1" x14ac:dyDescent="0.2">
      <c r="B2222" s="149"/>
      <c r="D2222" s="143" t="s">
        <v>346</v>
      </c>
      <c r="E2222" s="150"/>
      <c r="F2222" s="151" t="s">
        <v>1911</v>
      </c>
      <c r="H2222" s="152">
        <v>15.8</v>
      </c>
      <c r="L2222" s="149"/>
      <c r="M2222" s="153"/>
      <c r="T2222" s="154"/>
      <c r="AT2222" s="150" t="s">
        <v>346</v>
      </c>
      <c r="AU2222" s="150" t="s">
        <v>90</v>
      </c>
      <c r="AV2222" s="148" t="s">
        <v>90</v>
      </c>
      <c r="AW2222" s="148" t="s">
        <v>33</v>
      </c>
      <c r="AX2222" s="148" t="s">
        <v>80</v>
      </c>
      <c r="AY2222" s="150" t="s">
        <v>337</v>
      </c>
    </row>
    <row r="2223" spans="2:51" s="148" customFormat="1" x14ac:dyDescent="0.2">
      <c r="B2223" s="149"/>
      <c r="D2223" s="143" t="s">
        <v>346</v>
      </c>
      <c r="E2223" s="150"/>
      <c r="F2223" s="151" t="s">
        <v>1601</v>
      </c>
      <c r="H2223" s="152">
        <v>-0.8</v>
      </c>
      <c r="L2223" s="149"/>
      <c r="M2223" s="153"/>
      <c r="T2223" s="154"/>
      <c r="AT2223" s="150" t="s">
        <v>346</v>
      </c>
      <c r="AU2223" s="150" t="s">
        <v>90</v>
      </c>
      <c r="AV2223" s="148" t="s">
        <v>90</v>
      </c>
      <c r="AW2223" s="148" t="s">
        <v>33</v>
      </c>
      <c r="AX2223" s="148" t="s">
        <v>80</v>
      </c>
      <c r="AY2223" s="150" t="s">
        <v>337</v>
      </c>
    </row>
    <row r="2224" spans="2:51" s="148" customFormat="1" x14ac:dyDescent="0.2">
      <c r="B2224" s="149"/>
      <c r="D2224" s="143" t="s">
        <v>346</v>
      </c>
      <c r="E2224" s="150"/>
      <c r="F2224" s="151" t="s">
        <v>1912</v>
      </c>
      <c r="H2224" s="152">
        <v>28.86</v>
      </c>
      <c r="L2224" s="149"/>
      <c r="M2224" s="153"/>
      <c r="T2224" s="154"/>
      <c r="AT2224" s="150" t="s">
        <v>346</v>
      </c>
      <c r="AU2224" s="150" t="s">
        <v>90</v>
      </c>
      <c r="AV2224" s="148" t="s">
        <v>90</v>
      </c>
      <c r="AW2224" s="148" t="s">
        <v>33</v>
      </c>
      <c r="AX2224" s="148" t="s">
        <v>80</v>
      </c>
      <c r="AY2224" s="150" t="s">
        <v>337</v>
      </c>
    </row>
    <row r="2225" spans="2:51" s="148" customFormat="1" x14ac:dyDescent="0.2">
      <c r="B2225" s="149"/>
      <c r="D2225" s="143" t="s">
        <v>346</v>
      </c>
      <c r="E2225" s="150"/>
      <c r="F2225" s="151" t="s">
        <v>1913</v>
      </c>
      <c r="H2225" s="152">
        <v>-6.9</v>
      </c>
      <c r="L2225" s="149"/>
      <c r="M2225" s="153"/>
      <c r="T2225" s="154"/>
      <c r="AT2225" s="150" t="s">
        <v>346</v>
      </c>
      <c r="AU2225" s="150" t="s">
        <v>90</v>
      </c>
      <c r="AV2225" s="148" t="s">
        <v>90</v>
      </c>
      <c r="AW2225" s="148" t="s">
        <v>33</v>
      </c>
      <c r="AX2225" s="148" t="s">
        <v>80</v>
      </c>
      <c r="AY2225" s="150" t="s">
        <v>337</v>
      </c>
    </row>
    <row r="2226" spans="2:51" s="148" customFormat="1" x14ac:dyDescent="0.2">
      <c r="B2226" s="149"/>
      <c r="D2226" s="143" t="s">
        <v>346</v>
      </c>
      <c r="E2226" s="150"/>
      <c r="F2226" s="151" t="s">
        <v>1914</v>
      </c>
      <c r="H2226" s="152">
        <v>15.55</v>
      </c>
      <c r="L2226" s="149"/>
      <c r="M2226" s="153"/>
      <c r="T2226" s="154"/>
      <c r="AT2226" s="150" t="s">
        <v>346</v>
      </c>
      <c r="AU2226" s="150" t="s">
        <v>90</v>
      </c>
      <c r="AV2226" s="148" t="s">
        <v>90</v>
      </c>
      <c r="AW2226" s="148" t="s">
        <v>33</v>
      </c>
      <c r="AX2226" s="148" t="s">
        <v>80</v>
      </c>
      <c r="AY2226" s="150" t="s">
        <v>337</v>
      </c>
    </row>
    <row r="2227" spans="2:51" s="148" customFormat="1" x14ac:dyDescent="0.2">
      <c r="B2227" s="149"/>
      <c r="D2227" s="143" t="s">
        <v>346</v>
      </c>
      <c r="E2227" s="150"/>
      <c r="F2227" s="151" t="s">
        <v>1601</v>
      </c>
      <c r="H2227" s="152">
        <v>-0.8</v>
      </c>
      <c r="L2227" s="149"/>
      <c r="M2227" s="153"/>
      <c r="T2227" s="154"/>
      <c r="AT2227" s="150" t="s">
        <v>346</v>
      </c>
      <c r="AU2227" s="150" t="s">
        <v>90</v>
      </c>
      <c r="AV2227" s="148" t="s">
        <v>90</v>
      </c>
      <c r="AW2227" s="148" t="s">
        <v>33</v>
      </c>
      <c r="AX2227" s="148" t="s">
        <v>80</v>
      </c>
      <c r="AY2227" s="150" t="s">
        <v>337</v>
      </c>
    </row>
    <row r="2228" spans="2:51" s="148" customFormat="1" x14ac:dyDescent="0.2">
      <c r="B2228" s="149"/>
      <c r="D2228" s="143" t="s">
        <v>346</v>
      </c>
      <c r="E2228" s="150"/>
      <c r="F2228" s="151" t="s">
        <v>1915</v>
      </c>
      <c r="H2228" s="152">
        <v>15.961</v>
      </c>
      <c r="L2228" s="149"/>
      <c r="M2228" s="153"/>
      <c r="T2228" s="154"/>
      <c r="AT2228" s="150" t="s">
        <v>346</v>
      </c>
      <c r="AU2228" s="150" t="s">
        <v>90</v>
      </c>
      <c r="AV2228" s="148" t="s">
        <v>90</v>
      </c>
      <c r="AW2228" s="148" t="s">
        <v>33</v>
      </c>
      <c r="AX2228" s="148" t="s">
        <v>80</v>
      </c>
      <c r="AY2228" s="150" t="s">
        <v>337</v>
      </c>
    </row>
    <row r="2229" spans="2:51" s="148" customFormat="1" x14ac:dyDescent="0.2">
      <c r="B2229" s="149"/>
      <c r="D2229" s="143" t="s">
        <v>346</v>
      </c>
      <c r="E2229" s="150"/>
      <c r="F2229" s="151" t="s">
        <v>1601</v>
      </c>
      <c r="H2229" s="152">
        <v>-0.8</v>
      </c>
      <c r="L2229" s="149"/>
      <c r="M2229" s="153"/>
      <c r="T2229" s="154"/>
      <c r="AT2229" s="150" t="s">
        <v>346</v>
      </c>
      <c r="AU2229" s="150" t="s">
        <v>90</v>
      </c>
      <c r="AV2229" s="148" t="s">
        <v>90</v>
      </c>
      <c r="AW2229" s="148" t="s">
        <v>33</v>
      </c>
      <c r="AX2229" s="148" t="s">
        <v>80</v>
      </c>
      <c r="AY2229" s="150" t="s">
        <v>337</v>
      </c>
    </row>
    <row r="2230" spans="2:51" s="148" customFormat="1" x14ac:dyDescent="0.2">
      <c r="B2230" s="149"/>
      <c r="D2230" s="143" t="s">
        <v>346</v>
      </c>
      <c r="E2230" s="150"/>
      <c r="F2230" s="151" t="s">
        <v>1916</v>
      </c>
      <c r="H2230" s="152">
        <v>16.75</v>
      </c>
      <c r="L2230" s="149"/>
      <c r="M2230" s="153"/>
      <c r="T2230" s="154"/>
      <c r="AT2230" s="150" t="s">
        <v>346</v>
      </c>
      <c r="AU2230" s="150" t="s">
        <v>90</v>
      </c>
      <c r="AV2230" s="148" t="s">
        <v>90</v>
      </c>
      <c r="AW2230" s="148" t="s">
        <v>33</v>
      </c>
      <c r="AX2230" s="148" t="s">
        <v>80</v>
      </c>
      <c r="AY2230" s="150" t="s">
        <v>337</v>
      </c>
    </row>
    <row r="2231" spans="2:51" s="148" customFormat="1" x14ac:dyDescent="0.2">
      <c r="B2231" s="149"/>
      <c r="D2231" s="143" t="s">
        <v>346</v>
      </c>
      <c r="E2231" s="150"/>
      <c r="F2231" s="151" t="s">
        <v>1601</v>
      </c>
      <c r="H2231" s="152">
        <v>-0.8</v>
      </c>
      <c r="L2231" s="149"/>
      <c r="M2231" s="153"/>
      <c r="T2231" s="154"/>
      <c r="AT2231" s="150" t="s">
        <v>346</v>
      </c>
      <c r="AU2231" s="150" t="s">
        <v>90</v>
      </c>
      <c r="AV2231" s="148" t="s">
        <v>90</v>
      </c>
      <c r="AW2231" s="148" t="s">
        <v>33</v>
      </c>
      <c r="AX2231" s="148" t="s">
        <v>80</v>
      </c>
      <c r="AY2231" s="150" t="s">
        <v>337</v>
      </c>
    </row>
    <row r="2232" spans="2:51" s="148" customFormat="1" x14ac:dyDescent="0.2">
      <c r="B2232" s="149"/>
      <c r="D2232" s="143" t="s">
        <v>346</v>
      </c>
      <c r="E2232" s="150"/>
      <c r="F2232" s="151" t="s">
        <v>1917</v>
      </c>
      <c r="H2232" s="152">
        <v>16.350000000000001</v>
      </c>
      <c r="L2232" s="149"/>
      <c r="M2232" s="153"/>
      <c r="T2232" s="154"/>
      <c r="AT2232" s="150" t="s">
        <v>346</v>
      </c>
      <c r="AU2232" s="150" t="s">
        <v>90</v>
      </c>
      <c r="AV2232" s="148" t="s">
        <v>90</v>
      </c>
      <c r="AW2232" s="148" t="s">
        <v>33</v>
      </c>
      <c r="AX2232" s="148" t="s">
        <v>80</v>
      </c>
      <c r="AY2232" s="150" t="s">
        <v>337</v>
      </c>
    </row>
    <row r="2233" spans="2:51" s="148" customFormat="1" x14ac:dyDescent="0.2">
      <c r="B2233" s="149"/>
      <c r="D2233" s="143" t="s">
        <v>346</v>
      </c>
      <c r="E2233" s="150"/>
      <c r="F2233" s="151" t="s">
        <v>1601</v>
      </c>
      <c r="H2233" s="152">
        <v>-0.8</v>
      </c>
      <c r="L2233" s="149"/>
      <c r="M2233" s="153"/>
      <c r="T2233" s="154"/>
      <c r="AT2233" s="150" t="s">
        <v>346</v>
      </c>
      <c r="AU2233" s="150" t="s">
        <v>90</v>
      </c>
      <c r="AV2233" s="148" t="s">
        <v>90</v>
      </c>
      <c r="AW2233" s="148" t="s">
        <v>33</v>
      </c>
      <c r="AX2233" s="148" t="s">
        <v>80</v>
      </c>
      <c r="AY2233" s="150" t="s">
        <v>337</v>
      </c>
    </row>
    <row r="2234" spans="2:51" s="148" customFormat="1" x14ac:dyDescent="0.2">
      <c r="B2234" s="149"/>
      <c r="D2234" s="143" t="s">
        <v>346</v>
      </c>
      <c r="E2234" s="150"/>
      <c r="F2234" s="151" t="s">
        <v>1918</v>
      </c>
      <c r="H2234" s="152">
        <v>18.399999999999999</v>
      </c>
      <c r="L2234" s="149"/>
      <c r="M2234" s="153"/>
      <c r="T2234" s="154"/>
      <c r="AT2234" s="150" t="s">
        <v>346</v>
      </c>
      <c r="AU2234" s="150" t="s">
        <v>90</v>
      </c>
      <c r="AV2234" s="148" t="s">
        <v>90</v>
      </c>
      <c r="AW2234" s="148" t="s">
        <v>33</v>
      </c>
      <c r="AX2234" s="148" t="s">
        <v>80</v>
      </c>
      <c r="AY2234" s="150" t="s">
        <v>337</v>
      </c>
    </row>
    <row r="2235" spans="2:51" s="148" customFormat="1" x14ac:dyDescent="0.2">
      <c r="B2235" s="149"/>
      <c r="D2235" s="143" t="s">
        <v>346</v>
      </c>
      <c r="E2235" s="150"/>
      <c r="F2235" s="151" t="s">
        <v>1601</v>
      </c>
      <c r="H2235" s="152">
        <v>-0.8</v>
      </c>
      <c r="L2235" s="149"/>
      <c r="M2235" s="153"/>
      <c r="T2235" s="154"/>
      <c r="AT2235" s="150" t="s">
        <v>346</v>
      </c>
      <c r="AU2235" s="150" t="s">
        <v>90</v>
      </c>
      <c r="AV2235" s="148" t="s">
        <v>90</v>
      </c>
      <c r="AW2235" s="148" t="s">
        <v>33</v>
      </c>
      <c r="AX2235" s="148" t="s">
        <v>80</v>
      </c>
      <c r="AY2235" s="150" t="s">
        <v>337</v>
      </c>
    </row>
    <row r="2236" spans="2:51" s="148" customFormat="1" x14ac:dyDescent="0.2">
      <c r="B2236" s="149"/>
      <c r="D2236" s="143" t="s">
        <v>346</v>
      </c>
      <c r="E2236" s="150"/>
      <c r="F2236" s="151" t="s">
        <v>1919</v>
      </c>
      <c r="H2236" s="152">
        <v>12.65</v>
      </c>
      <c r="L2236" s="149"/>
      <c r="M2236" s="153"/>
      <c r="T2236" s="154"/>
      <c r="AT2236" s="150" t="s">
        <v>346</v>
      </c>
      <c r="AU2236" s="150" t="s">
        <v>90</v>
      </c>
      <c r="AV2236" s="148" t="s">
        <v>90</v>
      </c>
      <c r="AW2236" s="148" t="s">
        <v>33</v>
      </c>
      <c r="AX2236" s="148" t="s">
        <v>80</v>
      </c>
      <c r="AY2236" s="150" t="s">
        <v>337</v>
      </c>
    </row>
    <row r="2237" spans="2:51" s="148" customFormat="1" x14ac:dyDescent="0.2">
      <c r="B2237" s="149"/>
      <c r="D2237" s="143" t="s">
        <v>346</v>
      </c>
      <c r="E2237" s="150"/>
      <c r="F2237" s="151" t="s">
        <v>1859</v>
      </c>
      <c r="H2237" s="152">
        <v>-3.5</v>
      </c>
      <c r="L2237" s="149"/>
      <c r="M2237" s="153"/>
      <c r="T2237" s="154"/>
      <c r="AT2237" s="150" t="s">
        <v>346</v>
      </c>
      <c r="AU2237" s="150" t="s">
        <v>90</v>
      </c>
      <c r="AV2237" s="148" t="s">
        <v>90</v>
      </c>
      <c r="AW2237" s="148" t="s">
        <v>33</v>
      </c>
      <c r="AX2237" s="148" t="s">
        <v>80</v>
      </c>
      <c r="AY2237" s="150" t="s">
        <v>337</v>
      </c>
    </row>
    <row r="2238" spans="2:51" s="148" customFormat="1" x14ac:dyDescent="0.2">
      <c r="B2238" s="149"/>
      <c r="D2238" s="143" t="s">
        <v>346</v>
      </c>
      <c r="E2238" s="150"/>
      <c r="F2238" s="151" t="s">
        <v>1920</v>
      </c>
      <c r="H2238" s="152">
        <v>18.559999999999999</v>
      </c>
      <c r="L2238" s="149"/>
      <c r="M2238" s="153"/>
      <c r="T2238" s="154"/>
      <c r="AT2238" s="150" t="s">
        <v>346</v>
      </c>
      <c r="AU2238" s="150" t="s">
        <v>90</v>
      </c>
      <c r="AV2238" s="148" t="s">
        <v>90</v>
      </c>
      <c r="AW2238" s="148" t="s">
        <v>33</v>
      </c>
      <c r="AX2238" s="148" t="s">
        <v>80</v>
      </c>
      <c r="AY2238" s="150" t="s">
        <v>337</v>
      </c>
    </row>
    <row r="2239" spans="2:51" s="148" customFormat="1" x14ac:dyDescent="0.2">
      <c r="B2239" s="149"/>
      <c r="D2239" s="143" t="s">
        <v>346</v>
      </c>
      <c r="E2239" s="150"/>
      <c r="F2239" s="151" t="s">
        <v>1641</v>
      </c>
      <c r="H2239" s="152">
        <v>-0.9</v>
      </c>
      <c r="L2239" s="149"/>
      <c r="M2239" s="153"/>
      <c r="T2239" s="154"/>
      <c r="AT2239" s="150" t="s">
        <v>346</v>
      </c>
      <c r="AU2239" s="150" t="s">
        <v>90</v>
      </c>
      <c r="AV2239" s="148" t="s">
        <v>90</v>
      </c>
      <c r="AW2239" s="148" t="s">
        <v>33</v>
      </c>
      <c r="AX2239" s="148" t="s">
        <v>80</v>
      </c>
      <c r="AY2239" s="150" t="s">
        <v>337</v>
      </c>
    </row>
    <row r="2240" spans="2:51" s="148" customFormat="1" x14ac:dyDescent="0.2">
      <c r="B2240" s="149"/>
      <c r="D2240" s="143" t="s">
        <v>346</v>
      </c>
      <c r="E2240" s="150"/>
      <c r="F2240" s="151" t="s">
        <v>1921</v>
      </c>
      <c r="H2240" s="152">
        <v>15</v>
      </c>
      <c r="L2240" s="149"/>
      <c r="M2240" s="153"/>
      <c r="T2240" s="154"/>
      <c r="AT2240" s="150" t="s">
        <v>346</v>
      </c>
      <c r="AU2240" s="150" t="s">
        <v>90</v>
      </c>
      <c r="AV2240" s="148" t="s">
        <v>90</v>
      </c>
      <c r="AW2240" s="148" t="s">
        <v>33</v>
      </c>
      <c r="AX2240" s="148" t="s">
        <v>80</v>
      </c>
      <c r="AY2240" s="150" t="s">
        <v>337</v>
      </c>
    </row>
    <row r="2241" spans="2:51" s="148" customFormat="1" x14ac:dyDescent="0.2">
      <c r="B2241" s="149"/>
      <c r="D2241" s="143" t="s">
        <v>346</v>
      </c>
      <c r="E2241" s="150"/>
      <c r="F2241" s="151" t="s">
        <v>1601</v>
      </c>
      <c r="H2241" s="152">
        <v>-0.8</v>
      </c>
      <c r="L2241" s="149"/>
      <c r="M2241" s="153"/>
      <c r="T2241" s="154"/>
      <c r="AT2241" s="150" t="s">
        <v>346</v>
      </c>
      <c r="AU2241" s="150" t="s">
        <v>90</v>
      </c>
      <c r="AV2241" s="148" t="s">
        <v>90</v>
      </c>
      <c r="AW2241" s="148" t="s">
        <v>33</v>
      </c>
      <c r="AX2241" s="148" t="s">
        <v>80</v>
      </c>
      <c r="AY2241" s="150" t="s">
        <v>337</v>
      </c>
    </row>
    <row r="2242" spans="2:51" s="148" customFormat="1" x14ac:dyDescent="0.2">
      <c r="B2242" s="149"/>
      <c r="D2242" s="143" t="s">
        <v>346</v>
      </c>
      <c r="E2242" s="150"/>
      <c r="F2242" s="151" t="s">
        <v>1922</v>
      </c>
      <c r="H2242" s="152">
        <v>9.26</v>
      </c>
      <c r="L2242" s="149"/>
      <c r="M2242" s="153"/>
      <c r="T2242" s="154"/>
      <c r="AT2242" s="150" t="s">
        <v>346</v>
      </c>
      <c r="AU2242" s="150" t="s">
        <v>90</v>
      </c>
      <c r="AV2242" s="148" t="s">
        <v>90</v>
      </c>
      <c r="AW2242" s="148" t="s">
        <v>33</v>
      </c>
      <c r="AX2242" s="148" t="s">
        <v>80</v>
      </c>
      <c r="AY2242" s="150" t="s">
        <v>337</v>
      </c>
    </row>
    <row r="2243" spans="2:51" s="148" customFormat="1" x14ac:dyDescent="0.2">
      <c r="B2243" s="149"/>
      <c r="D2243" s="143" t="s">
        <v>346</v>
      </c>
      <c r="E2243" s="150"/>
      <c r="F2243" s="151" t="s">
        <v>1838</v>
      </c>
      <c r="H2243" s="152">
        <v>-3.8</v>
      </c>
      <c r="L2243" s="149"/>
      <c r="M2243" s="153"/>
      <c r="T2243" s="154"/>
      <c r="AT2243" s="150" t="s">
        <v>346</v>
      </c>
      <c r="AU2243" s="150" t="s">
        <v>90</v>
      </c>
      <c r="AV2243" s="148" t="s">
        <v>90</v>
      </c>
      <c r="AW2243" s="148" t="s">
        <v>33</v>
      </c>
      <c r="AX2243" s="148" t="s">
        <v>80</v>
      </c>
      <c r="AY2243" s="150" t="s">
        <v>337</v>
      </c>
    </row>
    <row r="2244" spans="2:51" s="148" customFormat="1" x14ac:dyDescent="0.2">
      <c r="B2244" s="149"/>
      <c r="D2244" s="143" t="s">
        <v>346</v>
      </c>
      <c r="E2244" s="150"/>
      <c r="F2244" s="151" t="s">
        <v>1923</v>
      </c>
      <c r="H2244" s="152">
        <v>15.2</v>
      </c>
      <c r="L2244" s="149"/>
      <c r="M2244" s="153"/>
      <c r="T2244" s="154"/>
      <c r="AT2244" s="150" t="s">
        <v>346</v>
      </c>
      <c r="AU2244" s="150" t="s">
        <v>90</v>
      </c>
      <c r="AV2244" s="148" t="s">
        <v>90</v>
      </c>
      <c r="AW2244" s="148" t="s">
        <v>33</v>
      </c>
      <c r="AX2244" s="148" t="s">
        <v>80</v>
      </c>
      <c r="AY2244" s="150" t="s">
        <v>337</v>
      </c>
    </row>
    <row r="2245" spans="2:51" s="148" customFormat="1" x14ac:dyDescent="0.2">
      <c r="B2245" s="149"/>
      <c r="D2245" s="143" t="s">
        <v>346</v>
      </c>
      <c r="E2245" s="150"/>
      <c r="F2245" s="151" t="s">
        <v>1601</v>
      </c>
      <c r="H2245" s="152">
        <v>-0.8</v>
      </c>
      <c r="L2245" s="149"/>
      <c r="M2245" s="153"/>
      <c r="T2245" s="154"/>
      <c r="AT2245" s="150" t="s">
        <v>346</v>
      </c>
      <c r="AU2245" s="150" t="s">
        <v>90</v>
      </c>
      <c r="AV2245" s="148" t="s">
        <v>90</v>
      </c>
      <c r="AW2245" s="148" t="s">
        <v>33</v>
      </c>
      <c r="AX2245" s="148" t="s">
        <v>80</v>
      </c>
      <c r="AY2245" s="150" t="s">
        <v>337</v>
      </c>
    </row>
    <row r="2246" spans="2:51" s="148" customFormat="1" x14ac:dyDescent="0.2">
      <c r="B2246" s="149"/>
      <c r="D2246" s="143" t="s">
        <v>346</v>
      </c>
      <c r="E2246" s="150"/>
      <c r="F2246" s="151" t="s">
        <v>1924</v>
      </c>
      <c r="H2246" s="152">
        <v>15.2</v>
      </c>
      <c r="L2246" s="149"/>
      <c r="M2246" s="153"/>
      <c r="T2246" s="154"/>
      <c r="AT2246" s="150" t="s">
        <v>346</v>
      </c>
      <c r="AU2246" s="150" t="s">
        <v>90</v>
      </c>
      <c r="AV2246" s="148" t="s">
        <v>90</v>
      </c>
      <c r="AW2246" s="148" t="s">
        <v>33</v>
      </c>
      <c r="AX2246" s="148" t="s">
        <v>80</v>
      </c>
      <c r="AY2246" s="150" t="s">
        <v>337</v>
      </c>
    </row>
    <row r="2247" spans="2:51" s="148" customFormat="1" x14ac:dyDescent="0.2">
      <c r="B2247" s="149"/>
      <c r="D2247" s="143" t="s">
        <v>346</v>
      </c>
      <c r="E2247" s="150"/>
      <c r="F2247" s="151" t="s">
        <v>1601</v>
      </c>
      <c r="H2247" s="152">
        <v>-0.8</v>
      </c>
      <c r="L2247" s="149"/>
      <c r="M2247" s="153"/>
      <c r="T2247" s="154"/>
      <c r="AT2247" s="150" t="s">
        <v>346</v>
      </c>
      <c r="AU2247" s="150" t="s">
        <v>90</v>
      </c>
      <c r="AV2247" s="148" t="s">
        <v>90</v>
      </c>
      <c r="AW2247" s="148" t="s">
        <v>33</v>
      </c>
      <c r="AX2247" s="148" t="s">
        <v>80</v>
      </c>
      <c r="AY2247" s="150" t="s">
        <v>337</v>
      </c>
    </row>
    <row r="2248" spans="2:51" s="148" customFormat="1" x14ac:dyDescent="0.2">
      <c r="B2248" s="149"/>
      <c r="D2248" s="143" t="s">
        <v>346</v>
      </c>
      <c r="E2248" s="150"/>
      <c r="F2248" s="151" t="s">
        <v>1925</v>
      </c>
      <c r="H2248" s="152">
        <v>8.66</v>
      </c>
      <c r="L2248" s="149"/>
      <c r="M2248" s="153"/>
      <c r="T2248" s="154"/>
      <c r="AT2248" s="150" t="s">
        <v>346</v>
      </c>
      <c r="AU2248" s="150" t="s">
        <v>90</v>
      </c>
      <c r="AV2248" s="148" t="s">
        <v>90</v>
      </c>
      <c r="AW2248" s="148" t="s">
        <v>33</v>
      </c>
      <c r="AX2248" s="148" t="s">
        <v>80</v>
      </c>
      <c r="AY2248" s="150" t="s">
        <v>337</v>
      </c>
    </row>
    <row r="2249" spans="2:51" s="148" customFormat="1" x14ac:dyDescent="0.2">
      <c r="B2249" s="149"/>
      <c r="D2249" s="143" t="s">
        <v>346</v>
      </c>
      <c r="E2249" s="150"/>
      <c r="F2249" s="151" t="s">
        <v>1838</v>
      </c>
      <c r="H2249" s="152">
        <v>-3.8</v>
      </c>
      <c r="L2249" s="149"/>
      <c r="M2249" s="153"/>
      <c r="T2249" s="154"/>
      <c r="AT2249" s="150" t="s">
        <v>346</v>
      </c>
      <c r="AU2249" s="150" t="s">
        <v>90</v>
      </c>
      <c r="AV2249" s="148" t="s">
        <v>90</v>
      </c>
      <c r="AW2249" s="148" t="s">
        <v>33</v>
      </c>
      <c r="AX2249" s="148" t="s">
        <v>80</v>
      </c>
      <c r="AY2249" s="150" t="s">
        <v>337</v>
      </c>
    </row>
    <row r="2250" spans="2:51" s="148" customFormat="1" x14ac:dyDescent="0.2">
      <c r="B2250" s="149"/>
      <c r="D2250" s="143" t="s">
        <v>346</v>
      </c>
      <c r="E2250" s="150"/>
      <c r="F2250" s="151" t="s">
        <v>1926</v>
      </c>
      <c r="H2250" s="152">
        <v>15.2</v>
      </c>
      <c r="L2250" s="149"/>
      <c r="M2250" s="153"/>
      <c r="T2250" s="154"/>
      <c r="AT2250" s="150" t="s">
        <v>346</v>
      </c>
      <c r="AU2250" s="150" t="s">
        <v>90</v>
      </c>
      <c r="AV2250" s="148" t="s">
        <v>90</v>
      </c>
      <c r="AW2250" s="148" t="s">
        <v>33</v>
      </c>
      <c r="AX2250" s="148" t="s">
        <v>80</v>
      </c>
      <c r="AY2250" s="150" t="s">
        <v>337</v>
      </c>
    </row>
    <row r="2251" spans="2:51" s="148" customFormat="1" x14ac:dyDescent="0.2">
      <c r="B2251" s="149"/>
      <c r="D2251" s="143" t="s">
        <v>346</v>
      </c>
      <c r="E2251" s="150"/>
      <c r="F2251" s="151" t="s">
        <v>1601</v>
      </c>
      <c r="H2251" s="152">
        <v>-0.8</v>
      </c>
      <c r="L2251" s="149"/>
      <c r="M2251" s="153"/>
      <c r="T2251" s="154"/>
      <c r="AT2251" s="150" t="s">
        <v>346</v>
      </c>
      <c r="AU2251" s="150" t="s">
        <v>90</v>
      </c>
      <c r="AV2251" s="148" t="s">
        <v>90</v>
      </c>
      <c r="AW2251" s="148" t="s">
        <v>33</v>
      </c>
      <c r="AX2251" s="148" t="s">
        <v>80</v>
      </c>
      <c r="AY2251" s="150" t="s">
        <v>337</v>
      </c>
    </row>
    <row r="2252" spans="2:51" s="148" customFormat="1" x14ac:dyDescent="0.2">
      <c r="B2252" s="149"/>
      <c r="D2252" s="143" t="s">
        <v>346</v>
      </c>
      <c r="E2252" s="150"/>
      <c r="F2252" s="151" t="s">
        <v>1927</v>
      </c>
      <c r="H2252" s="152">
        <v>15.2</v>
      </c>
      <c r="L2252" s="149"/>
      <c r="M2252" s="153"/>
      <c r="T2252" s="154"/>
      <c r="AT2252" s="150" t="s">
        <v>346</v>
      </c>
      <c r="AU2252" s="150" t="s">
        <v>90</v>
      </c>
      <c r="AV2252" s="148" t="s">
        <v>90</v>
      </c>
      <c r="AW2252" s="148" t="s">
        <v>33</v>
      </c>
      <c r="AX2252" s="148" t="s">
        <v>80</v>
      </c>
      <c r="AY2252" s="150" t="s">
        <v>337</v>
      </c>
    </row>
    <row r="2253" spans="2:51" s="148" customFormat="1" x14ac:dyDescent="0.2">
      <c r="B2253" s="149"/>
      <c r="D2253" s="143" t="s">
        <v>346</v>
      </c>
      <c r="E2253" s="150"/>
      <c r="F2253" s="151" t="s">
        <v>1601</v>
      </c>
      <c r="H2253" s="152">
        <v>-0.8</v>
      </c>
      <c r="L2253" s="149"/>
      <c r="M2253" s="153"/>
      <c r="T2253" s="154"/>
      <c r="AT2253" s="150" t="s">
        <v>346</v>
      </c>
      <c r="AU2253" s="150" t="s">
        <v>90</v>
      </c>
      <c r="AV2253" s="148" t="s">
        <v>90</v>
      </c>
      <c r="AW2253" s="148" t="s">
        <v>33</v>
      </c>
      <c r="AX2253" s="148" t="s">
        <v>80</v>
      </c>
      <c r="AY2253" s="150" t="s">
        <v>337</v>
      </c>
    </row>
    <row r="2254" spans="2:51" s="148" customFormat="1" x14ac:dyDescent="0.2">
      <c r="B2254" s="149"/>
      <c r="D2254" s="143" t="s">
        <v>346</v>
      </c>
      <c r="E2254" s="150"/>
      <c r="F2254" s="151" t="s">
        <v>1928</v>
      </c>
      <c r="H2254" s="152">
        <v>8.66</v>
      </c>
      <c r="L2254" s="149"/>
      <c r="M2254" s="153"/>
      <c r="T2254" s="154"/>
      <c r="AT2254" s="150" t="s">
        <v>346</v>
      </c>
      <c r="AU2254" s="150" t="s">
        <v>90</v>
      </c>
      <c r="AV2254" s="148" t="s">
        <v>90</v>
      </c>
      <c r="AW2254" s="148" t="s">
        <v>33</v>
      </c>
      <c r="AX2254" s="148" t="s">
        <v>80</v>
      </c>
      <c r="AY2254" s="150" t="s">
        <v>337</v>
      </c>
    </row>
    <row r="2255" spans="2:51" s="148" customFormat="1" x14ac:dyDescent="0.2">
      <c r="B2255" s="149"/>
      <c r="D2255" s="143" t="s">
        <v>346</v>
      </c>
      <c r="E2255" s="150"/>
      <c r="F2255" s="151" t="s">
        <v>1838</v>
      </c>
      <c r="H2255" s="152">
        <v>-3.8</v>
      </c>
      <c r="L2255" s="149"/>
      <c r="M2255" s="153"/>
      <c r="T2255" s="154"/>
      <c r="AT2255" s="150" t="s">
        <v>346</v>
      </c>
      <c r="AU2255" s="150" t="s">
        <v>90</v>
      </c>
      <c r="AV2255" s="148" t="s">
        <v>90</v>
      </c>
      <c r="AW2255" s="148" t="s">
        <v>33</v>
      </c>
      <c r="AX2255" s="148" t="s">
        <v>80</v>
      </c>
      <c r="AY2255" s="150" t="s">
        <v>337</v>
      </c>
    </row>
    <row r="2256" spans="2:51" s="148" customFormat="1" x14ac:dyDescent="0.2">
      <c r="B2256" s="149"/>
      <c r="D2256" s="143" t="s">
        <v>346</v>
      </c>
      <c r="E2256" s="150"/>
      <c r="F2256" s="151" t="s">
        <v>1929</v>
      </c>
      <c r="H2256" s="152">
        <v>15.2</v>
      </c>
      <c r="L2256" s="149"/>
      <c r="M2256" s="153"/>
      <c r="T2256" s="154"/>
      <c r="AT2256" s="150" t="s">
        <v>346</v>
      </c>
      <c r="AU2256" s="150" t="s">
        <v>90</v>
      </c>
      <c r="AV2256" s="148" t="s">
        <v>90</v>
      </c>
      <c r="AW2256" s="148" t="s">
        <v>33</v>
      </c>
      <c r="AX2256" s="148" t="s">
        <v>80</v>
      </c>
      <c r="AY2256" s="150" t="s">
        <v>337</v>
      </c>
    </row>
    <row r="2257" spans="2:51" s="148" customFormat="1" x14ac:dyDescent="0.2">
      <c r="B2257" s="149"/>
      <c r="D2257" s="143" t="s">
        <v>346</v>
      </c>
      <c r="E2257" s="150"/>
      <c r="F2257" s="151" t="s">
        <v>1601</v>
      </c>
      <c r="H2257" s="152">
        <v>-0.8</v>
      </c>
      <c r="L2257" s="149"/>
      <c r="M2257" s="153"/>
      <c r="T2257" s="154"/>
      <c r="AT2257" s="150" t="s">
        <v>346</v>
      </c>
      <c r="AU2257" s="150" t="s">
        <v>90</v>
      </c>
      <c r="AV2257" s="148" t="s">
        <v>90</v>
      </c>
      <c r="AW2257" s="148" t="s">
        <v>33</v>
      </c>
      <c r="AX2257" s="148" t="s">
        <v>80</v>
      </c>
      <c r="AY2257" s="150" t="s">
        <v>337</v>
      </c>
    </row>
    <row r="2258" spans="2:51" s="148" customFormat="1" x14ac:dyDescent="0.2">
      <c r="B2258" s="149"/>
      <c r="D2258" s="143" t="s">
        <v>346</v>
      </c>
      <c r="E2258" s="150"/>
      <c r="F2258" s="151" t="s">
        <v>1930</v>
      </c>
      <c r="H2258" s="152">
        <v>15.2</v>
      </c>
      <c r="L2258" s="149"/>
      <c r="M2258" s="153"/>
      <c r="T2258" s="154"/>
      <c r="AT2258" s="150" t="s">
        <v>346</v>
      </c>
      <c r="AU2258" s="150" t="s">
        <v>90</v>
      </c>
      <c r="AV2258" s="148" t="s">
        <v>90</v>
      </c>
      <c r="AW2258" s="148" t="s">
        <v>33</v>
      </c>
      <c r="AX2258" s="148" t="s">
        <v>80</v>
      </c>
      <c r="AY2258" s="150" t="s">
        <v>337</v>
      </c>
    </row>
    <row r="2259" spans="2:51" s="148" customFormat="1" x14ac:dyDescent="0.2">
      <c r="B2259" s="149"/>
      <c r="D2259" s="143" t="s">
        <v>346</v>
      </c>
      <c r="E2259" s="150"/>
      <c r="F2259" s="151" t="s">
        <v>1601</v>
      </c>
      <c r="H2259" s="152">
        <v>-0.8</v>
      </c>
      <c r="L2259" s="149"/>
      <c r="M2259" s="153"/>
      <c r="T2259" s="154"/>
      <c r="AT2259" s="150" t="s">
        <v>346</v>
      </c>
      <c r="AU2259" s="150" t="s">
        <v>90</v>
      </c>
      <c r="AV2259" s="148" t="s">
        <v>90</v>
      </c>
      <c r="AW2259" s="148" t="s">
        <v>33</v>
      </c>
      <c r="AX2259" s="148" t="s">
        <v>80</v>
      </c>
      <c r="AY2259" s="150" t="s">
        <v>337</v>
      </c>
    </row>
    <row r="2260" spans="2:51" s="148" customFormat="1" x14ac:dyDescent="0.2">
      <c r="B2260" s="149"/>
      <c r="D2260" s="143" t="s">
        <v>346</v>
      </c>
      <c r="E2260" s="150"/>
      <c r="F2260" s="151" t="s">
        <v>1931</v>
      </c>
      <c r="H2260" s="152">
        <v>14.9</v>
      </c>
      <c r="L2260" s="149"/>
      <c r="M2260" s="153"/>
      <c r="T2260" s="154"/>
      <c r="AT2260" s="150" t="s">
        <v>346</v>
      </c>
      <c r="AU2260" s="150" t="s">
        <v>90</v>
      </c>
      <c r="AV2260" s="148" t="s">
        <v>90</v>
      </c>
      <c r="AW2260" s="148" t="s">
        <v>33</v>
      </c>
      <c r="AX2260" s="148" t="s">
        <v>80</v>
      </c>
      <c r="AY2260" s="150" t="s">
        <v>337</v>
      </c>
    </row>
    <row r="2261" spans="2:51" s="148" customFormat="1" x14ac:dyDescent="0.2">
      <c r="B2261" s="149"/>
      <c r="D2261" s="143" t="s">
        <v>346</v>
      </c>
      <c r="E2261" s="150"/>
      <c r="F2261" s="151" t="s">
        <v>1838</v>
      </c>
      <c r="H2261" s="152">
        <v>-3.8</v>
      </c>
      <c r="L2261" s="149"/>
      <c r="M2261" s="153"/>
      <c r="T2261" s="154"/>
      <c r="AT2261" s="150" t="s">
        <v>346</v>
      </c>
      <c r="AU2261" s="150" t="s">
        <v>90</v>
      </c>
      <c r="AV2261" s="148" t="s">
        <v>90</v>
      </c>
      <c r="AW2261" s="148" t="s">
        <v>33</v>
      </c>
      <c r="AX2261" s="148" t="s">
        <v>80</v>
      </c>
      <c r="AY2261" s="150" t="s">
        <v>337</v>
      </c>
    </row>
    <row r="2262" spans="2:51" s="148" customFormat="1" x14ac:dyDescent="0.2">
      <c r="B2262" s="149"/>
      <c r="D2262" s="143" t="s">
        <v>346</v>
      </c>
      <c r="E2262" s="150"/>
      <c r="F2262" s="151" t="s">
        <v>1932</v>
      </c>
      <c r="H2262" s="152">
        <v>15.2</v>
      </c>
      <c r="L2262" s="149"/>
      <c r="M2262" s="153"/>
      <c r="T2262" s="154"/>
      <c r="AT2262" s="150" t="s">
        <v>346</v>
      </c>
      <c r="AU2262" s="150" t="s">
        <v>90</v>
      </c>
      <c r="AV2262" s="148" t="s">
        <v>90</v>
      </c>
      <c r="AW2262" s="148" t="s">
        <v>33</v>
      </c>
      <c r="AX2262" s="148" t="s">
        <v>80</v>
      </c>
      <c r="AY2262" s="150" t="s">
        <v>337</v>
      </c>
    </row>
    <row r="2263" spans="2:51" s="148" customFormat="1" x14ac:dyDescent="0.2">
      <c r="B2263" s="149"/>
      <c r="D2263" s="143" t="s">
        <v>346</v>
      </c>
      <c r="E2263" s="150"/>
      <c r="F2263" s="151" t="s">
        <v>1601</v>
      </c>
      <c r="H2263" s="152">
        <v>-0.8</v>
      </c>
      <c r="L2263" s="149"/>
      <c r="M2263" s="153"/>
      <c r="T2263" s="154"/>
      <c r="AT2263" s="150" t="s">
        <v>346</v>
      </c>
      <c r="AU2263" s="150" t="s">
        <v>90</v>
      </c>
      <c r="AV2263" s="148" t="s">
        <v>90</v>
      </c>
      <c r="AW2263" s="148" t="s">
        <v>33</v>
      </c>
      <c r="AX2263" s="148" t="s">
        <v>80</v>
      </c>
      <c r="AY2263" s="150" t="s">
        <v>337</v>
      </c>
    </row>
    <row r="2264" spans="2:51" s="148" customFormat="1" x14ac:dyDescent="0.2">
      <c r="B2264" s="149"/>
      <c r="D2264" s="143" t="s">
        <v>346</v>
      </c>
      <c r="E2264" s="150"/>
      <c r="F2264" s="151" t="s">
        <v>1933</v>
      </c>
      <c r="H2264" s="152">
        <v>15.2</v>
      </c>
      <c r="L2264" s="149"/>
      <c r="M2264" s="153"/>
      <c r="T2264" s="154"/>
      <c r="AT2264" s="150" t="s">
        <v>346</v>
      </c>
      <c r="AU2264" s="150" t="s">
        <v>90</v>
      </c>
      <c r="AV2264" s="148" t="s">
        <v>90</v>
      </c>
      <c r="AW2264" s="148" t="s">
        <v>33</v>
      </c>
      <c r="AX2264" s="148" t="s">
        <v>80</v>
      </c>
      <c r="AY2264" s="150" t="s">
        <v>337</v>
      </c>
    </row>
    <row r="2265" spans="2:51" s="148" customFormat="1" x14ac:dyDescent="0.2">
      <c r="B2265" s="149"/>
      <c r="D2265" s="143" t="s">
        <v>346</v>
      </c>
      <c r="E2265" s="150"/>
      <c r="F2265" s="151" t="s">
        <v>1601</v>
      </c>
      <c r="H2265" s="152">
        <v>-0.8</v>
      </c>
      <c r="L2265" s="149"/>
      <c r="M2265" s="153"/>
      <c r="T2265" s="154"/>
      <c r="AT2265" s="150" t="s">
        <v>346</v>
      </c>
      <c r="AU2265" s="150" t="s">
        <v>90</v>
      </c>
      <c r="AV2265" s="148" t="s">
        <v>90</v>
      </c>
      <c r="AW2265" s="148" t="s">
        <v>33</v>
      </c>
      <c r="AX2265" s="148" t="s">
        <v>80</v>
      </c>
      <c r="AY2265" s="150" t="s">
        <v>337</v>
      </c>
    </row>
    <row r="2266" spans="2:51" s="148" customFormat="1" x14ac:dyDescent="0.2">
      <c r="B2266" s="149"/>
      <c r="D2266" s="143" t="s">
        <v>346</v>
      </c>
      <c r="E2266" s="150"/>
      <c r="F2266" s="151" t="s">
        <v>1934</v>
      </c>
      <c r="H2266" s="152">
        <v>15.2</v>
      </c>
      <c r="L2266" s="149"/>
      <c r="M2266" s="153"/>
      <c r="T2266" s="154"/>
      <c r="AT2266" s="150" t="s">
        <v>346</v>
      </c>
      <c r="AU2266" s="150" t="s">
        <v>90</v>
      </c>
      <c r="AV2266" s="148" t="s">
        <v>90</v>
      </c>
      <c r="AW2266" s="148" t="s">
        <v>33</v>
      </c>
      <c r="AX2266" s="148" t="s">
        <v>80</v>
      </c>
      <c r="AY2266" s="150" t="s">
        <v>337</v>
      </c>
    </row>
    <row r="2267" spans="2:51" s="148" customFormat="1" x14ac:dyDescent="0.2">
      <c r="B2267" s="149"/>
      <c r="D2267" s="143" t="s">
        <v>346</v>
      </c>
      <c r="E2267" s="150"/>
      <c r="F2267" s="151" t="s">
        <v>1601</v>
      </c>
      <c r="H2267" s="152">
        <v>-0.8</v>
      </c>
      <c r="L2267" s="149"/>
      <c r="M2267" s="153"/>
      <c r="T2267" s="154"/>
      <c r="AT2267" s="150" t="s">
        <v>346</v>
      </c>
      <c r="AU2267" s="150" t="s">
        <v>90</v>
      </c>
      <c r="AV2267" s="148" t="s">
        <v>90</v>
      </c>
      <c r="AW2267" s="148" t="s">
        <v>33</v>
      </c>
      <c r="AX2267" s="148" t="s">
        <v>80</v>
      </c>
      <c r="AY2267" s="150" t="s">
        <v>337</v>
      </c>
    </row>
    <row r="2268" spans="2:51" s="148" customFormat="1" x14ac:dyDescent="0.2">
      <c r="B2268" s="149"/>
      <c r="D2268" s="143" t="s">
        <v>346</v>
      </c>
      <c r="E2268" s="150"/>
      <c r="F2268" s="151" t="s">
        <v>1935</v>
      </c>
      <c r="H2268" s="152">
        <v>9.41</v>
      </c>
      <c r="L2268" s="149"/>
      <c r="M2268" s="153"/>
      <c r="T2268" s="154"/>
      <c r="AT2268" s="150" t="s">
        <v>346</v>
      </c>
      <c r="AU2268" s="150" t="s">
        <v>90</v>
      </c>
      <c r="AV2268" s="148" t="s">
        <v>90</v>
      </c>
      <c r="AW2268" s="148" t="s">
        <v>33</v>
      </c>
      <c r="AX2268" s="148" t="s">
        <v>80</v>
      </c>
      <c r="AY2268" s="150" t="s">
        <v>337</v>
      </c>
    </row>
    <row r="2269" spans="2:51" s="148" customFormat="1" x14ac:dyDescent="0.2">
      <c r="B2269" s="149"/>
      <c r="D2269" s="143" t="s">
        <v>346</v>
      </c>
      <c r="E2269" s="150"/>
      <c r="F2269" s="151" t="s">
        <v>1838</v>
      </c>
      <c r="H2269" s="152">
        <v>-3.8</v>
      </c>
      <c r="L2269" s="149"/>
      <c r="M2269" s="153"/>
      <c r="T2269" s="154"/>
      <c r="AT2269" s="150" t="s">
        <v>346</v>
      </c>
      <c r="AU2269" s="150" t="s">
        <v>90</v>
      </c>
      <c r="AV2269" s="148" t="s">
        <v>90</v>
      </c>
      <c r="AW2269" s="148" t="s">
        <v>33</v>
      </c>
      <c r="AX2269" s="148" t="s">
        <v>80</v>
      </c>
      <c r="AY2269" s="150" t="s">
        <v>337</v>
      </c>
    </row>
    <row r="2270" spans="2:51" s="148" customFormat="1" x14ac:dyDescent="0.2">
      <c r="B2270" s="149"/>
      <c r="D2270" s="143" t="s">
        <v>346</v>
      </c>
      <c r="E2270" s="150"/>
      <c r="F2270" s="151" t="s">
        <v>1936</v>
      </c>
      <c r="H2270" s="152">
        <v>16.399999999999999</v>
      </c>
      <c r="L2270" s="149"/>
      <c r="M2270" s="153"/>
      <c r="T2270" s="154"/>
      <c r="AT2270" s="150" t="s">
        <v>346</v>
      </c>
      <c r="AU2270" s="150" t="s">
        <v>90</v>
      </c>
      <c r="AV2270" s="148" t="s">
        <v>90</v>
      </c>
      <c r="AW2270" s="148" t="s">
        <v>33</v>
      </c>
      <c r="AX2270" s="148" t="s">
        <v>80</v>
      </c>
      <c r="AY2270" s="150" t="s">
        <v>337</v>
      </c>
    </row>
    <row r="2271" spans="2:51" s="148" customFormat="1" x14ac:dyDescent="0.2">
      <c r="B2271" s="149"/>
      <c r="D2271" s="143" t="s">
        <v>346</v>
      </c>
      <c r="E2271" s="150"/>
      <c r="F2271" s="151" t="s">
        <v>1601</v>
      </c>
      <c r="H2271" s="152">
        <v>-0.8</v>
      </c>
      <c r="L2271" s="149"/>
      <c r="M2271" s="153"/>
      <c r="T2271" s="154"/>
      <c r="AT2271" s="150" t="s">
        <v>346</v>
      </c>
      <c r="AU2271" s="150" t="s">
        <v>90</v>
      </c>
      <c r="AV2271" s="148" t="s">
        <v>90</v>
      </c>
      <c r="AW2271" s="148" t="s">
        <v>33</v>
      </c>
      <c r="AX2271" s="148" t="s">
        <v>80</v>
      </c>
      <c r="AY2271" s="150" t="s">
        <v>337</v>
      </c>
    </row>
    <row r="2272" spans="2:51" s="148" customFormat="1" x14ac:dyDescent="0.2">
      <c r="B2272" s="149"/>
      <c r="D2272" s="143" t="s">
        <v>346</v>
      </c>
      <c r="E2272" s="150"/>
      <c r="F2272" s="151" t="s">
        <v>1937</v>
      </c>
      <c r="H2272" s="152">
        <v>15.2</v>
      </c>
      <c r="L2272" s="149"/>
      <c r="M2272" s="153"/>
      <c r="T2272" s="154"/>
      <c r="AT2272" s="150" t="s">
        <v>346</v>
      </c>
      <c r="AU2272" s="150" t="s">
        <v>90</v>
      </c>
      <c r="AV2272" s="148" t="s">
        <v>90</v>
      </c>
      <c r="AW2272" s="148" t="s">
        <v>33</v>
      </c>
      <c r="AX2272" s="148" t="s">
        <v>80</v>
      </c>
      <c r="AY2272" s="150" t="s">
        <v>337</v>
      </c>
    </row>
    <row r="2273" spans="2:51" s="148" customFormat="1" x14ac:dyDescent="0.2">
      <c r="B2273" s="149"/>
      <c r="D2273" s="143" t="s">
        <v>346</v>
      </c>
      <c r="E2273" s="150"/>
      <c r="F2273" s="151" t="s">
        <v>1601</v>
      </c>
      <c r="H2273" s="152">
        <v>-0.8</v>
      </c>
      <c r="L2273" s="149"/>
      <c r="M2273" s="153"/>
      <c r="T2273" s="154"/>
      <c r="AT2273" s="150" t="s">
        <v>346</v>
      </c>
      <c r="AU2273" s="150" t="s">
        <v>90</v>
      </c>
      <c r="AV2273" s="148" t="s">
        <v>90</v>
      </c>
      <c r="AW2273" s="148" t="s">
        <v>33</v>
      </c>
      <c r="AX2273" s="148" t="s">
        <v>80</v>
      </c>
      <c r="AY2273" s="150" t="s">
        <v>337</v>
      </c>
    </row>
    <row r="2274" spans="2:51" s="148" customFormat="1" x14ac:dyDescent="0.2">
      <c r="B2274" s="149"/>
      <c r="D2274" s="143" t="s">
        <v>346</v>
      </c>
      <c r="E2274" s="150"/>
      <c r="F2274" s="151" t="s">
        <v>1938</v>
      </c>
      <c r="H2274" s="152">
        <v>9.75</v>
      </c>
      <c r="L2274" s="149"/>
      <c r="M2274" s="153"/>
      <c r="T2274" s="154"/>
      <c r="AT2274" s="150" t="s">
        <v>346</v>
      </c>
      <c r="AU2274" s="150" t="s">
        <v>90</v>
      </c>
      <c r="AV2274" s="148" t="s">
        <v>90</v>
      </c>
      <c r="AW2274" s="148" t="s">
        <v>33</v>
      </c>
      <c r="AX2274" s="148" t="s">
        <v>80</v>
      </c>
      <c r="AY2274" s="150" t="s">
        <v>337</v>
      </c>
    </row>
    <row r="2275" spans="2:51" s="148" customFormat="1" x14ac:dyDescent="0.2">
      <c r="B2275" s="149"/>
      <c r="D2275" s="143" t="s">
        <v>346</v>
      </c>
      <c r="E2275" s="150"/>
      <c r="F2275" s="151" t="s">
        <v>1838</v>
      </c>
      <c r="H2275" s="152">
        <v>-3.8</v>
      </c>
      <c r="L2275" s="149"/>
      <c r="M2275" s="153"/>
      <c r="T2275" s="154"/>
      <c r="AT2275" s="150" t="s">
        <v>346</v>
      </c>
      <c r="AU2275" s="150" t="s">
        <v>90</v>
      </c>
      <c r="AV2275" s="148" t="s">
        <v>90</v>
      </c>
      <c r="AW2275" s="148" t="s">
        <v>33</v>
      </c>
      <c r="AX2275" s="148" t="s">
        <v>80</v>
      </c>
      <c r="AY2275" s="150" t="s">
        <v>337</v>
      </c>
    </row>
    <row r="2276" spans="2:51" s="148" customFormat="1" x14ac:dyDescent="0.2">
      <c r="B2276" s="149"/>
      <c r="D2276" s="143" t="s">
        <v>346</v>
      </c>
      <c r="E2276" s="150"/>
      <c r="F2276" s="151" t="s">
        <v>1939</v>
      </c>
      <c r="H2276" s="152">
        <v>15.2</v>
      </c>
      <c r="L2276" s="149"/>
      <c r="M2276" s="153"/>
      <c r="T2276" s="154"/>
      <c r="AT2276" s="150" t="s">
        <v>346</v>
      </c>
      <c r="AU2276" s="150" t="s">
        <v>90</v>
      </c>
      <c r="AV2276" s="148" t="s">
        <v>90</v>
      </c>
      <c r="AW2276" s="148" t="s">
        <v>33</v>
      </c>
      <c r="AX2276" s="148" t="s">
        <v>80</v>
      </c>
      <c r="AY2276" s="150" t="s">
        <v>337</v>
      </c>
    </row>
    <row r="2277" spans="2:51" s="148" customFormat="1" x14ac:dyDescent="0.2">
      <c r="B2277" s="149"/>
      <c r="D2277" s="143" t="s">
        <v>346</v>
      </c>
      <c r="E2277" s="150"/>
      <c r="F2277" s="151" t="s">
        <v>1601</v>
      </c>
      <c r="H2277" s="152">
        <v>-0.8</v>
      </c>
      <c r="L2277" s="149"/>
      <c r="M2277" s="153"/>
      <c r="T2277" s="154"/>
      <c r="AT2277" s="150" t="s">
        <v>346</v>
      </c>
      <c r="AU2277" s="150" t="s">
        <v>90</v>
      </c>
      <c r="AV2277" s="148" t="s">
        <v>90</v>
      </c>
      <c r="AW2277" s="148" t="s">
        <v>33</v>
      </c>
      <c r="AX2277" s="148" t="s">
        <v>80</v>
      </c>
      <c r="AY2277" s="150" t="s">
        <v>337</v>
      </c>
    </row>
    <row r="2278" spans="2:51" s="148" customFormat="1" x14ac:dyDescent="0.2">
      <c r="B2278" s="149"/>
      <c r="D2278" s="143" t="s">
        <v>346</v>
      </c>
      <c r="E2278" s="150"/>
      <c r="F2278" s="151" t="s">
        <v>1940</v>
      </c>
      <c r="H2278" s="152">
        <v>14.65</v>
      </c>
      <c r="L2278" s="149"/>
      <c r="M2278" s="153"/>
      <c r="T2278" s="154"/>
      <c r="AT2278" s="150" t="s">
        <v>346</v>
      </c>
      <c r="AU2278" s="150" t="s">
        <v>90</v>
      </c>
      <c r="AV2278" s="148" t="s">
        <v>90</v>
      </c>
      <c r="AW2278" s="148" t="s">
        <v>33</v>
      </c>
      <c r="AX2278" s="148" t="s">
        <v>80</v>
      </c>
      <c r="AY2278" s="150" t="s">
        <v>337</v>
      </c>
    </row>
    <row r="2279" spans="2:51" s="148" customFormat="1" x14ac:dyDescent="0.2">
      <c r="B2279" s="149"/>
      <c r="D2279" s="143" t="s">
        <v>346</v>
      </c>
      <c r="E2279" s="150"/>
      <c r="F2279" s="151" t="s">
        <v>1601</v>
      </c>
      <c r="H2279" s="152">
        <v>-0.8</v>
      </c>
      <c r="L2279" s="149"/>
      <c r="M2279" s="153"/>
      <c r="T2279" s="154"/>
      <c r="AT2279" s="150" t="s">
        <v>346</v>
      </c>
      <c r="AU2279" s="150" t="s">
        <v>90</v>
      </c>
      <c r="AV2279" s="148" t="s">
        <v>90</v>
      </c>
      <c r="AW2279" s="148" t="s">
        <v>33</v>
      </c>
      <c r="AX2279" s="148" t="s">
        <v>80</v>
      </c>
      <c r="AY2279" s="150" t="s">
        <v>337</v>
      </c>
    </row>
    <row r="2280" spans="2:51" s="148" customFormat="1" x14ac:dyDescent="0.2">
      <c r="B2280" s="149"/>
      <c r="D2280" s="143" t="s">
        <v>346</v>
      </c>
      <c r="E2280" s="150"/>
      <c r="F2280" s="151" t="s">
        <v>1941</v>
      </c>
      <c r="H2280" s="152">
        <v>19.100000000000001</v>
      </c>
      <c r="L2280" s="149"/>
      <c r="M2280" s="153"/>
      <c r="T2280" s="154"/>
      <c r="AT2280" s="150" t="s">
        <v>346</v>
      </c>
      <c r="AU2280" s="150" t="s">
        <v>90</v>
      </c>
      <c r="AV2280" s="148" t="s">
        <v>90</v>
      </c>
      <c r="AW2280" s="148" t="s">
        <v>33</v>
      </c>
      <c r="AX2280" s="148" t="s">
        <v>80</v>
      </c>
      <c r="AY2280" s="150" t="s">
        <v>337</v>
      </c>
    </row>
    <row r="2281" spans="2:51" s="148" customFormat="1" x14ac:dyDescent="0.2">
      <c r="B2281" s="149"/>
      <c r="D2281" s="143" t="s">
        <v>346</v>
      </c>
      <c r="E2281" s="150"/>
      <c r="F2281" s="151" t="s">
        <v>1882</v>
      </c>
      <c r="H2281" s="152">
        <v>-4.5999999999999996</v>
      </c>
      <c r="L2281" s="149"/>
      <c r="M2281" s="153"/>
      <c r="T2281" s="154"/>
      <c r="AT2281" s="150" t="s">
        <v>346</v>
      </c>
      <c r="AU2281" s="150" t="s">
        <v>90</v>
      </c>
      <c r="AV2281" s="148" t="s">
        <v>90</v>
      </c>
      <c r="AW2281" s="148" t="s">
        <v>33</v>
      </c>
      <c r="AX2281" s="148" t="s">
        <v>80</v>
      </c>
      <c r="AY2281" s="150" t="s">
        <v>337</v>
      </c>
    </row>
    <row r="2282" spans="2:51" s="148" customFormat="1" x14ac:dyDescent="0.2">
      <c r="B2282" s="149"/>
      <c r="D2282" s="143" t="s">
        <v>346</v>
      </c>
      <c r="E2282" s="150"/>
      <c r="F2282" s="151" t="s">
        <v>1942</v>
      </c>
      <c r="H2282" s="152">
        <v>15.9</v>
      </c>
      <c r="L2282" s="149"/>
      <c r="M2282" s="153"/>
      <c r="T2282" s="154"/>
      <c r="AT2282" s="150" t="s">
        <v>346</v>
      </c>
      <c r="AU2282" s="150" t="s">
        <v>90</v>
      </c>
      <c r="AV2282" s="148" t="s">
        <v>90</v>
      </c>
      <c r="AW2282" s="148" t="s">
        <v>33</v>
      </c>
      <c r="AX2282" s="148" t="s">
        <v>80</v>
      </c>
      <c r="AY2282" s="150" t="s">
        <v>337</v>
      </c>
    </row>
    <row r="2283" spans="2:51" s="148" customFormat="1" x14ac:dyDescent="0.2">
      <c r="B2283" s="149"/>
      <c r="D2283" s="143" t="s">
        <v>346</v>
      </c>
      <c r="E2283" s="150"/>
      <c r="F2283" s="151" t="s">
        <v>1601</v>
      </c>
      <c r="H2283" s="152">
        <v>-0.8</v>
      </c>
      <c r="L2283" s="149"/>
      <c r="M2283" s="153"/>
      <c r="T2283" s="154"/>
      <c r="AT2283" s="150" t="s">
        <v>346</v>
      </c>
      <c r="AU2283" s="150" t="s">
        <v>90</v>
      </c>
      <c r="AV2283" s="148" t="s">
        <v>90</v>
      </c>
      <c r="AW2283" s="148" t="s">
        <v>33</v>
      </c>
      <c r="AX2283" s="148" t="s">
        <v>80</v>
      </c>
      <c r="AY2283" s="150" t="s">
        <v>337</v>
      </c>
    </row>
    <row r="2284" spans="2:51" s="148" customFormat="1" x14ac:dyDescent="0.2">
      <c r="B2284" s="149"/>
      <c r="D2284" s="143" t="s">
        <v>346</v>
      </c>
      <c r="E2284" s="150"/>
      <c r="F2284" s="151" t="s">
        <v>1943</v>
      </c>
      <c r="H2284" s="152">
        <v>15.2</v>
      </c>
      <c r="L2284" s="149"/>
      <c r="M2284" s="153"/>
      <c r="T2284" s="154"/>
      <c r="AT2284" s="150" t="s">
        <v>346</v>
      </c>
      <c r="AU2284" s="150" t="s">
        <v>90</v>
      </c>
      <c r="AV2284" s="148" t="s">
        <v>90</v>
      </c>
      <c r="AW2284" s="148" t="s">
        <v>33</v>
      </c>
      <c r="AX2284" s="148" t="s">
        <v>80</v>
      </c>
      <c r="AY2284" s="150" t="s">
        <v>337</v>
      </c>
    </row>
    <row r="2285" spans="2:51" s="148" customFormat="1" x14ac:dyDescent="0.2">
      <c r="B2285" s="149"/>
      <c r="D2285" s="143" t="s">
        <v>346</v>
      </c>
      <c r="E2285" s="150"/>
      <c r="F2285" s="151" t="s">
        <v>1601</v>
      </c>
      <c r="H2285" s="152">
        <v>-0.8</v>
      </c>
      <c r="L2285" s="149"/>
      <c r="M2285" s="153"/>
      <c r="T2285" s="154"/>
      <c r="AT2285" s="150" t="s">
        <v>346</v>
      </c>
      <c r="AU2285" s="150" t="s">
        <v>90</v>
      </c>
      <c r="AV2285" s="148" t="s">
        <v>90</v>
      </c>
      <c r="AW2285" s="148" t="s">
        <v>33</v>
      </c>
      <c r="AX2285" s="148" t="s">
        <v>80</v>
      </c>
      <c r="AY2285" s="150" t="s">
        <v>337</v>
      </c>
    </row>
    <row r="2286" spans="2:51" s="148" customFormat="1" x14ac:dyDescent="0.2">
      <c r="B2286" s="149"/>
      <c r="D2286" s="143" t="s">
        <v>346</v>
      </c>
      <c r="E2286" s="150"/>
      <c r="F2286" s="151" t="s">
        <v>1944</v>
      </c>
      <c r="H2286" s="152">
        <v>15.8</v>
      </c>
      <c r="L2286" s="149"/>
      <c r="M2286" s="153"/>
      <c r="T2286" s="154"/>
      <c r="AT2286" s="150" t="s">
        <v>346</v>
      </c>
      <c r="AU2286" s="150" t="s">
        <v>90</v>
      </c>
      <c r="AV2286" s="148" t="s">
        <v>90</v>
      </c>
      <c r="AW2286" s="148" t="s">
        <v>33</v>
      </c>
      <c r="AX2286" s="148" t="s">
        <v>80</v>
      </c>
      <c r="AY2286" s="150" t="s">
        <v>337</v>
      </c>
    </row>
    <row r="2287" spans="2:51" s="148" customFormat="1" x14ac:dyDescent="0.2">
      <c r="B2287" s="149"/>
      <c r="D2287" s="143" t="s">
        <v>346</v>
      </c>
      <c r="E2287" s="150"/>
      <c r="F2287" s="151" t="s">
        <v>1601</v>
      </c>
      <c r="H2287" s="152">
        <v>-0.8</v>
      </c>
      <c r="L2287" s="149"/>
      <c r="M2287" s="153"/>
      <c r="T2287" s="154"/>
      <c r="AT2287" s="150" t="s">
        <v>346</v>
      </c>
      <c r="AU2287" s="150" t="s">
        <v>90</v>
      </c>
      <c r="AV2287" s="148" t="s">
        <v>90</v>
      </c>
      <c r="AW2287" s="148" t="s">
        <v>33</v>
      </c>
      <c r="AX2287" s="148" t="s">
        <v>80</v>
      </c>
      <c r="AY2287" s="150" t="s">
        <v>337</v>
      </c>
    </row>
    <row r="2288" spans="2:51" s="148" customFormat="1" x14ac:dyDescent="0.2">
      <c r="B2288" s="149"/>
      <c r="D2288" s="143" t="s">
        <v>346</v>
      </c>
      <c r="E2288" s="150"/>
      <c r="F2288" s="151" t="s">
        <v>1945</v>
      </c>
      <c r="H2288" s="152">
        <v>29.11</v>
      </c>
      <c r="L2288" s="149"/>
      <c r="M2288" s="153"/>
      <c r="T2288" s="154"/>
      <c r="AT2288" s="150" t="s">
        <v>346</v>
      </c>
      <c r="AU2288" s="150" t="s">
        <v>90</v>
      </c>
      <c r="AV2288" s="148" t="s">
        <v>90</v>
      </c>
      <c r="AW2288" s="148" t="s">
        <v>33</v>
      </c>
      <c r="AX2288" s="148" t="s">
        <v>80</v>
      </c>
      <c r="AY2288" s="150" t="s">
        <v>337</v>
      </c>
    </row>
    <row r="2289" spans="2:51" s="148" customFormat="1" x14ac:dyDescent="0.2">
      <c r="B2289" s="149"/>
      <c r="D2289" s="143" t="s">
        <v>346</v>
      </c>
      <c r="E2289" s="150"/>
      <c r="F2289" s="151" t="s">
        <v>1946</v>
      </c>
      <c r="H2289" s="152">
        <v>-8.1</v>
      </c>
      <c r="L2289" s="149"/>
      <c r="M2289" s="153"/>
      <c r="T2289" s="154"/>
      <c r="AT2289" s="150" t="s">
        <v>346</v>
      </c>
      <c r="AU2289" s="150" t="s">
        <v>90</v>
      </c>
      <c r="AV2289" s="148" t="s">
        <v>90</v>
      </c>
      <c r="AW2289" s="148" t="s">
        <v>33</v>
      </c>
      <c r="AX2289" s="148" t="s">
        <v>80</v>
      </c>
      <c r="AY2289" s="150" t="s">
        <v>337</v>
      </c>
    </row>
    <row r="2290" spans="2:51" s="148" customFormat="1" x14ac:dyDescent="0.2">
      <c r="B2290" s="149"/>
      <c r="D2290" s="143" t="s">
        <v>346</v>
      </c>
      <c r="E2290" s="150"/>
      <c r="F2290" s="151" t="s">
        <v>1947</v>
      </c>
      <c r="H2290" s="152">
        <v>16.850000000000001</v>
      </c>
      <c r="L2290" s="149"/>
      <c r="M2290" s="153"/>
      <c r="T2290" s="154"/>
      <c r="AT2290" s="150" t="s">
        <v>346</v>
      </c>
      <c r="AU2290" s="150" t="s">
        <v>90</v>
      </c>
      <c r="AV2290" s="148" t="s">
        <v>90</v>
      </c>
      <c r="AW2290" s="148" t="s">
        <v>33</v>
      </c>
      <c r="AX2290" s="148" t="s">
        <v>80</v>
      </c>
      <c r="AY2290" s="150" t="s">
        <v>337</v>
      </c>
    </row>
    <row r="2291" spans="2:51" s="148" customFormat="1" x14ac:dyDescent="0.2">
      <c r="B2291" s="149"/>
      <c r="D2291" s="143" t="s">
        <v>346</v>
      </c>
      <c r="E2291" s="150"/>
      <c r="F2291" s="151" t="s">
        <v>1588</v>
      </c>
      <c r="H2291" s="152">
        <v>-0.9</v>
      </c>
      <c r="L2291" s="149"/>
      <c r="M2291" s="153"/>
      <c r="T2291" s="154"/>
      <c r="AT2291" s="150" t="s">
        <v>346</v>
      </c>
      <c r="AU2291" s="150" t="s">
        <v>90</v>
      </c>
      <c r="AV2291" s="148" t="s">
        <v>90</v>
      </c>
      <c r="AW2291" s="148" t="s">
        <v>33</v>
      </c>
      <c r="AX2291" s="148" t="s">
        <v>80</v>
      </c>
      <c r="AY2291" s="150" t="s">
        <v>337</v>
      </c>
    </row>
    <row r="2292" spans="2:51" s="148" customFormat="1" x14ac:dyDescent="0.2">
      <c r="B2292" s="149"/>
      <c r="D2292" s="143" t="s">
        <v>346</v>
      </c>
      <c r="E2292" s="150"/>
      <c r="F2292" s="151" t="s">
        <v>1948</v>
      </c>
      <c r="H2292" s="152">
        <v>12.55</v>
      </c>
      <c r="L2292" s="149"/>
      <c r="M2292" s="153"/>
      <c r="T2292" s="154"/>
      <c r="AT2292" s="150" t="s">
        <v>346</v>
      </c>
      <c r="AU2292" s="150" t="s">
        <v>90</v>
      </c>
      <c r="AV2292" s="148" t="s">
        <v>90</v>
      </c>
      <c r="AW2292" s="148" t="s">
        <v>33</v>
      </c>
      <c r="AX2292" s="148" t="s">
        <v>80</v>
      </c>
      <c r="AY2292" s="150" t="s">
        <v>337</v>
      </c>
    </row>
    <row r="2293" spans="2:51" s="148" customFormat="1" x14ac:dyDescent="0.2">
      <c r="B2293" s="149"/>
      <c r="D2293" s="143" t="s">
        <v>346</v>
      </c>
      <c r="E2293" s="150"/>
      <c r="F2293" s="151" t="s">
        <v>1601</v>
      </c>
      <c r="H2293" s="152">
        <v>-0.8</v>
      </c>
      <c r="L2293" s="149"/>
      <c r="M2293" s="153"/>
      <c r="T2293" s="154"/>
      <c r="AT2293" s="150" t="s">
        <v>346</v>
      </c>
      <c r="AU2293" s="150" t="s">
        <v>90</v>
      </c>
      <c r="AV2293" s="148" t="s">
        <v>90</v>
      </c>
      <c r="AW2293" s="148" t="s">
        <v>33</v>
      </c>
      <c r="AX2293" s="148" t="s">
        <v>80</v>
      </c>
      <c r="AY2293" s="150" t="s">
        <v>337</v>
      </c>
    </row>
    <row r="2294" spans="2:51" s="148" customFormat="1" x14ac:dyDescent="0.2">
      <c r="B2294" s="149"/>
      <c r="D2294" s="143" t="s">
        <v>346</v>
      </c>
      <c r="E2294" s="150"/>
      <c r="F2294" s="151" t="s">
        <v>1949</v>
      </c>
      <c r="H2294" s="152">
        <v>17.45</v>
      </c>
      <c r="L2294" s="149"/>
      <c r="M2294" s="153"/>
      <c r="T2294" s="154"/>
      <c r="AT2294" s="150" t="s">
        <v>346</v>
      </c>
      <c r="AU2294" s="150" t="s">
        <v>90</v>
      </c>
      <c r="AV2294" s="148" t="s">
        <v>90</v>
      </c>
      <c r="AW2294" s="148" t="s">
        <v>33</v>
      </c>
      <c r="AX2294" s="148" t="s">
        <v>80</v>
      </c>
      <c r="AY2294" s="150" t="s">
        <v>337</v>
      </c>
    </row>
    <row r="2295" spans="2:51" s="148" customFormat="1" x14ac:dyDescent="0.2">
      <c r="B2295" s="149"/>
      <c r="D2295" s="143" t="s">
        <v>346</v>
      </c>
      <c r="E2295" s="150"/>
      <c r="F2295" s="151" t="s">
        <v>1641</v>
      </c>
      <c r="H2295" s="152">
        <v>-0.9</v>
      </c>
      <c r="L2295" s="149"/>
      <c r="M2295" s="153"/>
      <c r="T2295" s="154"/>
      <c r="AT2295" s="150" t="s">
        <v>346</v>
      </c>
      <c r="AU2295" s="150" t="s">
        <v>90</v>
      </c>
      <c r="AV2295" s="148" t="s">
        <v>90</v>
      </c>
      <c r="AW2295" s="148" t="s">
        <v>33</v>
      </c>
      <c r="AX2295" s="148" t="s">
        <v>80</v>
      </c>
      <c r="AY2295" s="150" t="s">
        <v>337</v>
      </c>
    </row>
    <row r="2296" spans="2:51" s="148" customFormat="1" x14ac:dyDescent="0.2">
      <c r="B2296" s="149"/>
      <c r="D2296" s="143" t="s">
        <v>346</v>
      </c>
      <c r="E2296" s="150"/>
      <c r="F2296" s="151" t="s">
        <v>1950</v>
      </c>
      <c r="H2296" s="152">
        <v>16.75</v>
      </c>
      <c r="L2296" s="149"/>
      <c r="M2296" s="153"/>
      <c r="T2296" s="154"/>
      <c r="AT2296" s="150" t="s">
        <v>346</v>
      </c>
      <c r="AU2296" s="150" t="s">
        <v>90</v>
      </c>
      <c r="AV2296" s="148" t="s">
        <v>90</v>
      </c>
      <c r="AW2296" s="148" t="s">
        <v>33</v>
      </c>
      <c r="AX2296" s="148" t="s">
        <v>80</v>
      </c>
      <c r="AY2296" s="150" t="s">
        <v>337</v>
      </c>
    </row>
    <row r="2297" spans="2:51" s="148" customFormat="1" x14ac:dyDescent="0.2">
      <c r="B2297" s="149"/>
      <c r="D2297" s="143" t="s">
        <v>346</v>
      </c>
      <c r="E2297" s="150"/>
      <c r="F2297" s="151" t="s">
        <v>1601</v>
      </c>
      <c r="H2297" s="152">
        <v>-0.8</v>
      </c>
      <c r="L2297" s="149"/>
      <c r="M2297" s="153"/>
      <c r="T2297" s="154"/>
      <c r="AT2297" s="150" t="s">
        <v>346</v>
      </c>
      <c r="AU2297" s="150" t="s">
        <v>90</v>
      </c>
      <c r="AV2297" s="148" t="s">
        <v>90</v>
      </c>
      <c r="AW2297" s="148" t="s">
        <v>33</v>
      </c>
      <c r="AX2297" s="148" t="s">
        <v>80</v>
      </c>
      <c r="AY2297" s="150" t="s">
        <v>337</v>
      </c>
    </row>
    <row r="2298" spans="2:51" s="148" customFormat="1" x14ac:dyDescent="0.2">
      <c r="B2298" s="149"/>
      <c r="D2298" s="143" t="s">
        <v>346</v>
      </c>
      <c r="E2298" s="150"/>
      <c r="F2298" s="151" t="s">
        <v>1951</v>
      </c>
      <c r="H2298" s="152">
        <v>15.95</v>
      </c>
      <c r="L2298" s="149"/>
      <c r="M2298" s="153"/>
      <c r="T2298" s="154"/>
      <c r="AT2298" s="150" t="s">
        <v>346</v>
      </c>
      <c r="AU2298" s="150" t="s">
        <v>90</v>
      </c>
      <c r="AV2298" s="148" t="s">
        <v>90</v>
      </c>
      <c r="AW2298" s="148" t="s">
        <v>33</v>
      </c>
      <c r="AX2298" s="148" t="s">
        <v>80</v>
      </c>
      <c r="AY2298" s="150" t="s">
        <v>337</v>
      </c>
    </row>
    <row r="2299" spans="2:51" s="148" customFormat="1" x14ac:dyDescent="0.2">
      <c r="B2299" s="149"/>
      <c r="D2299" s="143" t="s">
        <v>346</v>
      </c>
      <c r="E2299" s="150"/>
      <c r="F2299" s="151" t="s">
        <v>1601</v>
      </c>
      <c r="H2299" s="152">
        <v>-0.8</v>
      </c>
      <c r="L2299" s="149"/>
      <c r="M2299" s="153"/>
      <c r="T2299" s="154"/>
      <c r="AT2299" s="150" t="s">
        <v>346</v>
      </c>
      <c r="AU2299" s="150" t="s">
        <v>90</v>
      </c>
      <c r="AV2299" s="148" t="s">
        <v>90</v>
      </c>
      <c r="AW2299" s="148" t="s">
        <v>33</v>
      </c>
      <c r="AX2299" s="148" t="s">
        <v>80</v>
      </c>
      <c r="AY2299" s="150" t="s">
        <v>337</v>
      </c>
    </row>
    <row r="2300" spans="2:51" s="148" customFormat="1" x14ac:dyDescent="0.2">
      <c r="B2300" s="149"/>
      <c r="D2300" s="143" t="s">
        <v>346</v>
      </c>
      <c r="E2300" s="150"/>
      <c r="F2300" s="151" t="s">
        <v>1952</v>
      </c>
      <c r="H2300" s="152">
        <v>9.61</v>
      </c>
      <c r="L2300" s="149"/>
      <c r="M2300" s="153"/>
      <c r="T2300" s="154"/>
      <c r="AT2300" s="150" t="s">
        <v>346</v>
      </c>
      <c r="AU2300" s="150" t="s">
        <v>90</v>
      </c>
      <c r="AV2300" s="148" t="s">
        <v>90</v>
      </c>
      <c r="AW2300" s="148" t="s">
        <v>33</v>
      </c>
      <c r="AX2300" s="148" t="s">
        <v>80</v>
      </c>
      <c r="AY2300" s="150" t="s">
        <v>337</v>
      </c>
    </row>
    <row r="2301" spans="2:51" s="148" customFormat="1" x14ac:dyDescent="0.2">
      <c r="B2301" s="149"/>
      <c r="D2301" s="143" t="s">
        <v>346</v>
      </c>
      <c r="E2301" s="150"/>
      <c r="F2301" s="151" t="s">
        <v>1838</v>
      </c>
      <c r="H2301" s="152">
        <v>-3.8</v>
      </c>
      <c r="L2301" s="149"/>
      <c r="M2301" s="153"/>
      <c r="T2301" s="154"/>
      <c r="AT2301" s="150" t="s">
        <v>346</v>
      </c>
      <c r="AU2301" s="150" t="s">
        <v>90</v>
      </c>
      <c r="AV2301" s="148" t="s">
        <v>90</v>
      </c>
      <c r="AW2301" s="148" t="s">
        <v>33</v>
      </c>
      <c r="AX2301" s="148" t="s">
        <v>80</v>
      </c>
      <c r="AY2301" s="150" t="s">
        <v>337</v>
      </c>
    </row>
    <row r="2302" spans="2:51" s="148" customFormat="1" x14ac:dyDescent="0.2">
      <c r="B2302" s="149"/>
      <c r="D2302" s="143" t="s">
        <v>346</v>
      </c>
      <c r="E2302" s="150"/>
      <c r="F2302" s="151" t="s">
        <v>1953</v>
      </c>
      <c r="H2302" s="152">
        <v>16.350000000000001</v>
      </c>
      <c r="L2302" s="149"/>
      <c r="M2302" s="153"/>
      <c r="T2302" s="154"/>
      <c r="AT2302" s="150" t="s">
        <v>346</v>
      </c>
      <c r="AU2302" s="150" t="s">
        <v>90</v>
      </c>
      <c r="AV2302" s="148" t="s">
        <v>90</v>
      </c>
      <c r="AW2302" s="148" t="s">
        <v>33</v>
      </c>
      <c r="AX2302" s="148" t="s">
        <v>80</v>
      </c>
      <c r="AY2302" s="150" t="s">
        <v>337</v>
      </c>
    </row>
    <row r="2303" spans="2:51" s="148" customFormat="1" x14ac:dyDescent="0.2">
      <c r="B2303" s="149"/>
      <c r="D2303" s="143" t="s">
        <v>346</v>
      </c>
      <c r="E2303" s="150"/>
      <c r="F2303" s="151" t="s">
        <v>1601</v>
      </c>
      <c r="H2303" s="152">
        <v>-0.8</v>
      </c>
      <c r="L2303" s="149"/>
      <c r="M2303" s="153"/>
      <c r="T2303" s="154"/>
      <c r="AT2303" s="150" t="s">
        <v>346</v>
      </c>
      <c r="AU2303" s="150" t="s">
        <v>90</v>
      </c>
      <c r="AV2303" s="148" t="s">
        <v>90</v>
      </c>
      <c r="AW2303" s="148" t="s">
        <v>33</v>
      </c>
      <c r="AX2303" s="148" t="s">
        <v>80</v>
      </c>
      <c r="AY2303" s="150" t="s">
        <v>337</v>
      </c>
    </row>
    <row r="2304" spans="2:51" s="148" customFormat="1" x14ac:dyDescent="0.2">
      <c r="B2304" s="149"/>
      <c r="D2304" s="143" t="s">
        <v>346</v>
      </c>
      <c r="E2304" s="150"/>
      <c r="F2304" s="151" t="s">
        <v>1954</v>
      </c>
      <c r="H2304" s="152">
        <v>15.339</v>
      </c>
      <c r="L2304" s="149"/>
      <c r="M2304" s="153"/>
      <c r="T2304" s="154"/>
      <c r="AT2304" s="150" t="s">
        <v>346</v>
      </c>
      <c r="AU2304" s="150" t="s">
        <v>90</v>
      </c>
      <c r="AV2304" s="148" t="s">
        <v>90</v>
      </c>
      <c r="AW2304" s="148" t="s">
        <v>33</v>
      </c>
      <c r="AX2304" s="148" t="s">
        <v>80</v>
      </c>
      <c r="AY2304" s="150" t="s">
        <v>337</v>
      </c>
    </row>
    <row r="2305" spans="2:51" s="148" customFormat="1" x14ac:dyDescent="0.2">
      <c r="B2305" s="149"/>
      <c r="D2305" s="143" t="s">
        <v>346</v>
      </c>
      <c r="E2305" s="150"/>
      <c r="F2305" s="151" t="s">
        <v>1601</v>
      </c>
      <c r="H2305" s="152">
        <v>-0.8</v>
      </c>
      <c r="L2305" s="149"/>
      <c r="M2305" s="153"/>
      <c r="T2305" s="154"/>
      <c r="AT2305" s="150" t="s">
        <v>346</v>
      </c>
      <c r="AU2305" s="150" t="s">
        <v>90</v>
      </c>
      <c r="AV2305" s="148" t="s">
        <v>90</v>
      </c>
      <c r="AW2305" s="148" t="s">
        <v>33</v>
      </c>
      <c r="AX2305" s="148" t="s">
        <v>80</v>
      </c>
      <c r="AY2305" s="150" t="s">
        <v>337</v>
      </c>
    </row>
    <row r="2306" spans="2:51" s="148" customFormat="1" x14ac:dyDescent="0.2">
      <c r="B2306" s="149"/>
      <c r="D2306" s="143" t="s">
        <v>346</v>
      </c>
      <c r="E2306" s="150"/>
      <c r="F2306" s="151" t="s">
        <v>1955</v>
      </c>
      <c r="H2306" s="152">
        <v>9.1750000000000007</v>
      </c>
      <c r="L2306" s="149"/>
      <c r="M2306" s="153"/>
      <c r="T2306" s="154"/>
      <c r="AT2306" s="150" t="s">
        <v>346</v>
      </c>
      <c r="AU2306" s="150" t="s">
        <v>90</v>
      </c>
      <c r="AV2306" s="148" t="s">
        <v>90</v>
      </c>
      <c r="AW2306" s="148" t="s">
        <v>33</v>
      </c>
      <c r="AX2306" s="148" t="s">
        <v>80</v>
      </c>
      <c r="AY2306" s="150" t="s">
        <v>337</v>
      </c>
    </row>
    <row r="2307" spans="2:51" s="148" customFormat="1" x14ac:dyDescent="0.2">
      <c r="B2307" s="149"/>
      <c r="D2307" s="143" t="s">
        <v>346</v>
      </c>
      <c r="E2307" s="150"/>
      <c r="F2307" s="151" t="s">
        <v>1838</v>
      </c>
      <c r="H2307" s="152">
        <v>-3.8</v>
      </c>
      <c r="L2307" s="149"/>
      <c r="M2307" s="153"/>
      <c r="T2307" s="154"/>
      <c r="AT2307" s="150" t="s">
        <v>346</v>
      </c>
      <c r="AU2307" s="150" t="s">
        <v>90</v>
      </c>
      <c r="AV2307" s="148" t="s">
        <v>90</v>
      </c>
      <c r="AW2307" s="148" t="s">
        <v>33</v>
      </c>
      <c r="AX2307" s="148" t="s">
        <v>80</v>
      </c>
      <c r="AY2307" s="150" t="s">
        <v>337</v>
      </c>
    </row>
    <row r="2308" spans="2:51" s="148" customFormat="1" x14ac:dyDescent="0.2">
      <c r="B2308" s="149"/>
      <c r="D2308" s="143" t="s">
        <v>346</v>
      </c>
      <c r="E2308" s="150"/>
      <c r="F2308" s="151" t="s">
        <v>1956</v>
      </c>
      <c r="H2308" s="152">
        <v>15.24</v>
      </c>
      <c r="L2308" s="149"/>
      <c r="M2308" s="153"/>
      <c r="T2308" s="154"/>
      <c r="AT2308" s="150" t="s">
        <v>346</v>
      </c>
      <c r="AU2308" s="150" t="s">
        <v>90</v>
      </c>
      <c r="AV2308" s="148" t="s">
        <v>90</v>
      </c>
      <c r="AW2308" s="148" t="s">
        <v>33</v>
      </c>
      <c r="AX2308" s="148" t="s">
        <v>80</v>
      </c>
      <c r="AY2308" s="150" t="s">
        <v>337</v>
      </c>
    </row>
    <row r="2309" spans="2:51" s="148" customFormat="1" x14ac:dyDescent="0.2">
      <c r="B2309" s="149"/>
      <c r="D2309" s="143" t="s">
        <v>346</v>
      </c>
      <c r="E2309" s="150"/>
      <c r="F2309" s="151" t="s">
        <v>1601</v>
      </c>
      <c r="H2309" s="152">
        <v>-0.8</v>
      </c>
      <c r="L2309" s="149"/>
      <c r="M2309" s="153"/>
      <c r="T2309" s="154"/>
      <c r="AT2309" s="150" t="s">
        <v>346</v>
      </c>
      <c r="AU2309" s="150" t="s">
        <v>90</v>
      </c>
      <c r="AV2309" s="148" t="s">
        <v>90</v>
      </c>
      <c r="AW2309" s="148" t="s">
        <v>33</v>
      </c>
      <c r="AX2309" s="148" t="s">
        <v>80</v>
      </c>
      <c r="AY2309" s="150" t="s">
        <v>337</v>
      </c>
    </row>
    <row r="2310" spans="2:51" s="148" customFormat="1" x14ac:dyDescent="0.2">
      <c r="B2310" s="149"/>
      <c r="D2310" s="143" t="s">
        <v>346</v>
      </c>
      <c r="E2310" s="150"/>
      <c r="F2310" s="151" t="s">
        <v>1957</v>
      </c>
      <c r="H2310" s="152">
        <v>15.241</v>
      </c>
      <c r="L2310" s="149"/>
      <c r="M2310" s="153"/>
      <c r="T2310" s="154"/>
      <c r="AT2310" s="150" t="s">
        <v>346</v>
      </c>
      <c r="AU2310" s="150" t="s">
        <v>90</v>
      </c>
      <c r="AV2310" s="148" t="s">
        <v>90</v>
      </c>
      <c r="AW2310" s="148" t="s">
        <v>33</v>
      </c>
      <c r="AX2310" s="148" t="s">
        <v>80</v>
      </c>
      <c r="AY2310" s="150" t="s">
        <v>337</v>
      </c>
    </row>
    <row r="2311" spans="2:51" s="148" customFormat="1" x14ac:dyDescent="0.2">
      <c r="B2311" s="149"/>
      <c r="D2311" s="143" t="s">
        <v>346</v>
      </c>
      <c r="E2311" s="150"/>
      <c r="F2311" s="151" t="s">
        <v>1601</v>
      </c>
      <c r="H2311" s="152">
        <v>-0.8</v>
      </c>
      <c r="L2311" s="149"/>
      <c r="M2311" s="153"/>
      <c r="T2311" s="154"/>
      <c r="AT2311" s="150" t="s">
        <v>346</v>
      </c>
      <c r="AU2311" s="150" t="s">
        <v>90</v>
      </c>
      <c r="AV2311" s="148" t="s">
        <v>90</v>
      </c>
      <c r="AW2311" s="148" t="s">
        <v>33</v>
      </c>
      <c r="AX2311" s="148" t="s">
        <v>80</v>
      </c>
      <c r="AY2311" s="150" t="s">
        <v>337</v>
      </c>
    </row>
    <row r="2312" spans="2:51" s="148" customFormat="1" x14ac:dyDescent="0.2">
      <c r="B2312" s="149"/>
      <c r="D2312" s="143" t="s">
        <v>346</v>
      </c>
      <c r="E2312" s="150"/>
      <c r="F2312" s="151" t="s">
        <v>1958</v>
      </c>
      <c r="H2312" s="152">
        <v>8.66</v>
      </c>
      <c r="L2312" s="149"/>
      <c r="M2312" s="153"/>
      <c r="T2312" s="154"/>
      <c r="AT2312" s="150" t="s">
        <v>346</v>
      </c>
      <c r="AU2312" s="150" t="s">
        <v>90</v>
      </c>
      <c r="AV2312" s="148" t="s">
        <v>90</v>
      </c>
      <c r="AW2312" s="148" t="s">
        <v>33</v>
      </c>
      <c r="AX2312" s="148" t="s">
        <v>80</v>
      </c>
      <c r="AY2312" s="150" t="s">
        <v>337</v>
      </c>
    </row>
    <row r="2313" spans="2:51" s="148" customFormat="1" x14ac:dyDescent="0.2">
      <c r="B2313" s="149"/>
      <c r="D2313" s="143" t="s">
        <v>346</v>
      </c>
      <c r="E2313" s="150"/>
      <c r="F2313" s="151" t="s">
        <v>1838</v>
      </c>
      <c r="H2313" s="152">
        <v>-3.8</v>
      </c>
      <c r="L2313" s="149"/>
      <c r="M2313" s="153"/>
      <c r="T2313" s="154"/>
      <c r="AT2313" s="150" t="s">
        <v>346</v>
      </c>
      <c r="AU2313" s="150" t="s">
        <v>90</v>
      </c>
      <c r="AV2313" s="148" t="s">
        <v>90</v>
      </c>
      <c r="AW2313" s="148" t="s">
        <v>33</v>
      </c>
      <c r="AX2313" s="148" t="s">
        <v>80</v>
      </c>
      <c r="AY2313" s="150" t="s">
        <v>337</v>
      </c>
    </row>
    <row r="2314" spans="2:51" s="148" customFormat="1" x14ac:dyDescent="0.2">
      <c r="B2314" s="149"/>
      <c r="D2314" s="143" t="s">
        <v>346</v>
      </c>
      <c r="E2314" s="150"/>
      <c r="F2314" s="151" t="s">
        <v>1959</v>
      </c>
      <c r="H2314" s="152">
        <v>15.24</v>
      </c>
      <c r="L2314" s="149"/>
      <c r="M2314" s="153"/>
      <c r="T2314" s="154"/>
      <c r="AT2314" s="150" t="s">
        <v>346</v>
      </c>
      <c r="AU2314" s="150" t="s">
        <v>90</v>
      </c>
      <c r="AV2314" s="148" t="s">
        <v>90</v>
      </c>
      <c r="AW2314" s="148" t="s">
        <v>33</v>
      </c>
      <c r="AX2314" s="148" t="s">
        <v>80</v>
      </c>
      <c r="AY2314" s="150" t="s">
        <v>337</v>
      </c>
    </row>
    <row r="2315" spans="2:51" s="148" customFormat="1" x14ac:dyDescent="0.2">
      <c r="B2315" s="149"/>
      <c r="D2315" s="143" t="s">
        <v>346</v>
      </c>
      <c r="E2315" s="150"/>
      <c r="F2315" s="151" t="s">
        <v>1601</v>
      </c>
      <c r="H2315" s="152">
        <v>-0.8</v>
      </c>
      <c r="L2315" s="149"/>
      <c r="M2315" s="153"/>
      <c r="T2315" s="154"/>
      <c r="AT2315" s="150" t="s">
        <v>346</v>
      </c>
      <c r="AU2315" s="150" t="s">
        <v>90</v>
      </c>
      <c r="AV2315" s="148" t="s">
        <v>90</v>
      </c>
      <c r="AW2315" s="148" t="s">
        <v>33</v>
      </c>
      <c r="AX2315" s="148" t="s">
        <v>80</v>
      </c>
      <c r="AY2315" s="150" t="s">
        <v>337</v>
      </c>
    </row>
    <row r="2316" spans="2:51" s="148" customFormat="1" x14ac:dyDescent="0.2">
      <c r="B2316" s="149"/>
      <c r="D2316" s="143" t="s">
        <v>346</v>
      </c>
      <c r="E2316" s="150"/>
      <c r="F2316" s="151" t="s">
        <v>1960</v>
      </c>
      <c r="H2316" s="152">
        <v>15.24</v>
      </c>
      <c r="L2316" s="149"/>
      <c r="M2316" s="153"/>
      <c r="T2316" s="154"/>
      <c r="AT2316" s="150" t="s">
        <v>346</v>
      </c>
      <c r="AU2316" s="150" t="s">
        <v>90</v>
      </c>
      <c r="AV2316" s="148" t="s">
        <v>90</v>
      </c>
      <c r="AW2316" s="148" t="s">
        <v>33</v>
      </c>
      <c r="AX2316" s="148" t="s">
        <v>80</v>
      </c>
      <c r="AY2316" s="150" t="s">
        <v>337</v>
      </c>
    </row>
    <row r="2317" spans="2:51" s="148" customFormat="1" x14ac:dyDescent="0.2">
      <c r="B2317" s="149"/>
      <c r="D2317" s="143" t="s">
        <v>346</v>
      </c>
      <c r="E2317" s="150"/>
      <c r="F2317" s="151" t="s">
        <v>1601</v>
      </c>
      <c r="H2317" s="152">
        <v>-0.8</v>
      </c>
      <c r="L2317" s="149"/>
      <c r="M2317" s="153"/>
      <c r="T2317" s="154"/>
      <c r="AT2317" s="150" t="s">
        <v>346</v>
      </c>
      <c r="AU2317" s="150" t="s">
        <v>90</v>
      </c>
      <c r="AV2317" s="148" t="s">
        <v>90</v>
      </c>
      <c r="AW2317" s="148" t="s">
        <v>33</v>
      </c>
      <c r="AX2317" s="148" t="s">
        <v>80</v>
      </c>
      <c r="AY2317" s="150" t="s">
        <v>337</v>
      </c>
    </row>
    <row r="2318" spans="2:51" s="148" customFormat="1" x14ac:dyDescent="0.2">
      <c r="B2318" s="149"/>
      <c r="D2318" s="143" t="s">
        <v>346</v>
      </c>
      <c r="E2318" s="150"/>
      <c r="F2318" s="151" t="s">
        <v>1961</v>
      </c>
      <c r="H2318" s="152">
        <v>8.66</v>
      </c>
      <c r="L2318" s="149"/>
      <c r="M2318" s="153"/>
      <c r="T2318" s="154"/>
      <c r="AT2318" s="150" t="s">
        <v>346</v>
      </c>
      <c r="AU2318" s="150" t="s">
        <v>90</v>
      </c>
      <c r="AV2318" s="148" t="s">
        <v>90</v>
      </c>
      <c r="AW2318" s="148" t="s">
        <v>33</v>
      </c>
      <c r="AX2318" s="148" t="s">
        <v>80</v>
      </c>
      <c r="AY2318" s="150" t="s">
        <v>337</v>
      </c>
    </row>
    <row r="2319" spans="2:51" s="148" customFormat="1" x14ac:dyDescent="0.2">
      <c r="B2319" s="149"/>
      <c r="D2319" s="143" t="s">
        <v>346</v>
      </c>
      <c r="E2319" s="150"/>
      <c r="F2319" s="151" t="s">
        <v>1838</v>
      </c>
      <c r="H2319" s="152">
        <v>-3.8</v>
      </c>
      <c r="L2319" s="149"/>
      <c r="M2319" s="153"/>
      <c r="T2319" s="154"/>
      <c r="AT2319" s="150" t="s">
        <v>346</v>
      </c>
      <c r="AU2319" s="150" t="s">
        <v>90</v>
      </c>
      <c r="AV2319" s="148" t="s">
        <v>90</v>
      </c>
      <c r="AW2319" s="148" t="s">
        <v>33</v>
      </c>
      <c r="AX2319" s="148" t="s">
        <v>80</v>
      </c>
      <c r="AY2319" s="150" t="s">
        <v>337</v>
      </c>
    </row>
    <row r="2320" spans="2:51" s="148" customFormat="1" x14ac:dyDescent="0.2">
      <c r="B2320" s="149"/>
      <c r="D2320" s="143" t="s">
        <v>346</v>
      </c>
      <c r="E2320" s="150"/>
      <c r="F2320" s="151" t="s">
        <v>1962</v>
      </c>
      <c r="H2320" s="152">
        <v>15.24</v>
      </c>
      <c r="L2320" s="149"/>
      <c r="M2320" s="153"/>
      <c r="T2320" s="154"/>
      <c r="AT2320" s="150" t="s">
        <v>346</v>
      </c>
      <c r="AU2320" s="150" t="s">
        <v>90</v>
      </c>
      <c r="AV2320" s="148" t="s">
        <v>90</v>
      </c>
      <c r="AW2320" s="148" t="s">
        <v>33</v>
      </c>
      <c r="AX2320" s="148" t="s">
        <v>80</v>
      </c>
      <c r="AY2320" s="150" t="s">
        <v>337</v>
      </c>
    </row>
    <row r="2321" spans="2:51" s="148" customFormat="1" x14ac:dyDescent="0.2">
      <c r="B2321" s="149"/>
      <c r="D2321" s="143" t="s">
        <v>346</v>
      </c>
      <c r="E2321" s="150"/>
      <c r="F2321" s="151" t="s">
        <v>1601</v>
      </c>
      <c r="H2321" s="152">
        <v>-0.8</v>
      </c>
      <c r="L2321" s="149"/>
      <c r="M2321" s="153"/>
      <c r="T2321" s="154"/>
      <c r="AT2321" s="150" t="s">
        <v>346</v>
      </c>
      <c r="AU2321" s="150" t="s">
        <v>90</v>
      </c>
      <c r="AV2321" s="148" t="s">
        <v>90</v>
      </c>
      <c r="AW2321" s="148" t="s">
        <v>33</v>
      </c>
      <c r="AX2321" s="148" t="s">
        <v>80</v>
      </c>
      <c r="AY2321" s="150" t="s">
        <v>337</v>
      </c>
    </row>
    <row r="2322" spans="2:51" s="148" customFormat="1" x14ac:dyDescent="0.2">
      <c r="B2322" s="149"/>
      <c r="D2322" s="143" t="s">
        <v>346</v>
      </c>
      <c r="E2322" s="150"/>
      <c r="F2322" s="151" t="s">
        <v>1963</v>
      </c>
      <c r="H2322" s="152">
        <v>15.24</v>
      </c>
      <c r="L2322" s="149"/>
      <c r="M2322" s="153"/>
      <c r="T2322" s="154"/>
      <c r="AT2322" s="150" t="s">
        <v>346</v>
      </c>
      <c r="AU2322" s="150" t="s">
        <v>90</v>
      </c>
      <c r="AV2322" s="148" t="s">
        <v>90</v>
      </c>
      <c r="AW2322" s="148" t="s">
        <v>33</v>
      </c>
      <c r="AX2322" s="148" t="s">
        <v>80</v>
      </c>
      <c r="AY2322" s="150" t="s">
        <v>337</v>
      </c>
    </row>
    <row r="2323" spans="2:51" s="148" customFormat="1" x14ac:dyDescent="0.2">
      <c r="B2323" s="149"/>
      <c r="D2323" s="143" t="s">
        <v>346</v>
      </c>
      <c r="E2323" s="150"/>
      <c r="F2323" s="151" t="s">
        <v>1601</v>
      </c>
      <c r="H2323" s="152">
        <v>-0.8</v>
      </c>
      <c r="L2323" s="149"/>
      <c r="M2323" s="153"/>
      <c r="T2323" s="154"/>
      <c r="AT2323" s="150" t="s">
        <v>346</v>
      </c>
      <c r="AU2323" s="150" t="s">
        <v>90</v>
      </c>
      <c r="AV2323" s="148" t="s">
        <v>90</v>
      </c>
      <c r="AW2323" s="148" t="s">
        <v>33</v>
      </c>
      <c r="AX2323" s="148" t="s">
        <v>80</v>
      </c>
      <c r="AY2323" s="150" t="s">
        <v>337</v>
      </c>
    </row>
    <row r="2324" spans="2:51" s="148" customFormat="1" x14ac:dyDescent="0.2">
      <c r="B2324" s="149"/>
      <c r="D2324" s="143" t="s">
        <v>346</v>
      </c>
      <c r="E2324" s="150"/>
      <c r="F2324" s="151" t="s">
        <v>1964</v>
      </c>
      <c r="H2324" s="152">
        <v>15.06</v>
      </c>
      <c r="L2324" s="149"/>
      <c r="M2324" s="153"/>
      <c r="T2324" s="154"/>
      <c r="AT2324" s="150" t="s">
        <v>346</v>
      </c>
      <c r="AU2324" s="150" t="s">
        <v>90</v>
      </c>
      <c r="AV2324" s="148" t="s">
        <v>90</v>
      </c>
      <c r="AW2324" s="148" t="s">
        <v>33</v>
      </c>
      <c r="AX2324" s="148" t="s">
        <v>80</v>
      </c>
      <c r="AY2324" s="150" t="s">
        <v>337</v>
      </c>
    </row>
    <row r="2325" spans="2:51" s="148" customFormat="1" x14ac:dyDescent="0.2">
      <c r="B2325" s="149"/>
      <c r="D2325" s="143" t="s">
        <v>346</v>
      </c>
      <c r="E2325" s="150"/>
      <c r="F2325" s="151" t="s">
        <v>1838</v>
      </c>
      <c r="H2325" s="152">
        <v>-3.8</v>
      </c>
      <c r="L2325" s="149"/>
      <c r="M2325" s="153"/>
      <c r="T2325" s="154"/>
      <c r="AT2325" s="150" t="s">
        <v>346</v>
      </c>
      <c r="AU2325" s="150" t="s">
        <v>90</v>
      </c>
      <c r="AV2325" s="148" t="s">
        <v>90</v>
      </c>
      <c r="AW2325" s="148" t="s">
        <v>33</v>
      </c>
      <c r="AX2325" s="148" t="s">
        <v>80</v>
      </c>
      <c r="AY2325" s="150" t="s">
        <v>337</v>
      </c>
    </row>
    <row r="2326" spans="2:51" s="148" customFormat="1" x14ac:dyDescent="0.2">
      <c r="B2326" s="149"/>
      <c r="D2326" s="143" t="s">
        <v>346</v>
      </c>
      <c r="E2326" s="150"/>
      <c r="F2326" s="151" t="s">
        <v>1965</v>
      </c>
      <c r="H2326" s="152">
        <v>15.24</v>
      </c>
      <c r="L2326" s="149"/>
      <c r="M2326" s="153"/>
      <c r="T2326" s="154"/>
      <c r="AT2326" s="150" t="s">
        <v>346</v>
      </c>
      <c r="AU2326" s="150" t="s">
        <v>90</v>
      </c>
      <c r="AV2326" s="148" t="s">
        <v>90</v>
      </c>
      <c r="AW2326" s="148" t="s">
        <v>33</v>
      </c>
      <c r="AX2326" s="148" t="s">
        <v>80</v>
      </c>
      <c r="AY2326" s="150" t="s">
        <v>337</v>
      </c>
    </row>
    <row r="2327" spans="2:51" s="148" customFormat="1" x14ac:dyDescent="0.2">
      <c r="B2327" s="149"/>
      <c r="D2327" s="143" t="s">
        <v>346</v>
      </c>
      <c r="E2327" s="150"/>
      <c r="F2327" s="151" t="s">
        <v>1601</v>
      </c>
      <c r="H2327" s="152">
        <v>-0.8</v>
      </c>
      <c r="L2327" s="149"/>
      <c r="M2327" s="153"/>
      <c r="T2327" s="154"/>
      <c r="AT2327" s="150" t="s">
        <v>346</v>
      </c>
      <c r="AU2327" s="150" t="s">
        <v>90</v>
      </c>
      <c r="AV2327" s="148" t="s">
        <v>90</v>
      </c>
      <c r="AW2327" s="148" t="s">
        <v>33</v>
      </c>
      <c r="AX2327" s="148" t="s">
        <v>80</v>
      </c>
      <c r="AY2327" s="150" t="s">
        <v>337</v>
      </c>
    </row>
    <row r="2328" spans="2:51" s="148" customFormat="1" x14ac:dyDescent="0.2">
      <c r="B2328" s="149"/>
      <c r="D2328" s="143" t="s">
        <v>346</v>
      </c>
      <c r="E2328" s="150"/>
      <c r="F2328" s="151" t="s">
        <v>1966</v>
      </c>
      <c r="H2328" s="152">
        <v>15.24</v>
      </c>
      <c r="L2328" s="149"/>
      <c r="M2328" s="153"/>
      <c r="T2328" s="154"/>
      <c r="AT2328" s="150" t="s">
        <v>346</v>
      </c>
      <c r="AU2328" s="150" t="s">
        <v>90</v>
      </c>
      <c r="AV2328" s="148" t="s">
        <v>90</v>
      </c>
      <c r="AW2328" s="148" t="s">
        <v>33</v>
      </c>
      <c r="AX2328" s="148" t="s">
        <v>80</v>
      </c>
      <c r="AY2328" s="150" t="s">
        <v>337</v>
      </c>
    </row>
    <row r="2329" spans="2:51" s="148" customFormat="1" x14ac:dyDescent="0.2">
      <c r="B2329" s="149"/>
      <c r="D2329" s="143" t="s">
        <v>346</v>
      </c>
      <c r="E2329" s="150"/>
      <c r="F2329" s="151" t="s">
        <v>1601</v>
      </c>
      <c r="H2329" s="152">
        <v>-0.8</v>
      </c>
      <c r="L2329" s="149"/>
      <c r="M2329" s="153"/>
      <c r="T2329" s="154"/>
      <c r="AT2329" s="150" t="s">
        <v>346</v>
      </c>
      <c r="AU2329" s="150" t="s">
        <v>90</v>
      </c>
      <c r="AV2329" s="148" t="s">
        <v>90</v>
      </c>
      <c r="AW2329" s="148" t="s">
        <v>33</v>
      </c>
      <c r="AX2329" s="148" t="s">
        <v>80</v>
      </c>
      <c r="AY2329" s="150" t="s">
        <v>337</v>
      </c>
    </row>
    <row r="2330" spans="2:51" s="148" customFormat="1" x14ac:dyDescent="0.2">
      <c r="B2330" s="149"/>
      <c r="D2330" s="143" t="s">
        <v>346</v>
      </c>
      <c r="E2330" s="150"/>
      <c r="F2330" s="151" t="s">
        <v>1967</v>
      </c>
      <c r="H2330" s="152">
        <v>15.351000000000001</v>
      </c>
      <c r="L2330" s="149"/>
      <c r="M2330" s="153"/>
      <c r="T2330" s="154"/>
      <c r="AT2330" s="150" t="s">
        <v>346</v>
      </c>
      <c r="AU2330" s="150" t="s">
        <v>90</v>
      </c>
      <c r="AV2330" s="148" t="s">
        <v>90</v>
      </c>
      <c r="AW2330" s="148" t="s">
        <v>33</v>
      </c>
      <c r="AX2330" s="148" t="s">
        <v>80</v>
      </c>
      <c r="AY2330" s="150" t="s">
        <v>337</v>
      </c>
    </row>
    <row r="2331" spans="2:51" s="148" customFormat="1" x14ac:dyDescent="0.2">
      <c r="B2331" s="149"/>
      <c r="D2331" s="143" t="s">
        <v>346</v>
      </c>
      <c r="E2331" s="150"/>
      <c r="F2331" s="151" t="s">
        <v>1601</v>
      </c>
      <c r="H2331" s="152">
        <v>-0.8</v>
      </c>
      <c r="L2331" s="149"/>
      <c r="M2331" s="153"/>
      <c r="T2331" s="154"/>
      <c r="AT2331" s="150" t="s">
        <v>346</v>
      </c>
      <c r="AU2331" s="150" t="s">
        <v>90</v>
      </c>
      <c r="AV2331" s="148" t="s">
        <v>90</v>
      </c>
      <c r="AW2331" s="148" t="s">
        <v>33</v>
      </c>
      <c r="AX2331" s="148" t="s">
        <v>80</v>
      </c>
      <c r="AY2331" s="150" t="s">
        <v>337</v>
      </c>
    </row>
    <row r="2332" spans="2:51" s="148" customFormat="1" x14ac:dyDescent="0.2">
      <c r="B2332" s="149"/>
      <c r="D2332" s="143" t="s">
        <v>346</v>
      </c>
      <c r="E2332" s="150"/>
      <c r="F2332" s="151" t="s">
        <v>1968</v>
      </c>
      <c r="H2332" s="152">
        <v>9.41</v>
      </c>
      <c r="L2332" s="149"/>
      <c r="M2332" s="153"/>
      <c r="T2332" s="154"/>
      <c r="AT2332" s="150" t="s">
        <v>346</v>
      </c>
      <c r="AU2332" s="150" t="s">
        <v>90</v>
      </c>
      <c r="AV2332" s="148" t="s">
        <v>90</v>
      </c>
      <c r="AW2332" s="148" t="s">
        <v>33</v>
      </c>
      <c r="AX2332" s="148" t="s">
        <v>80</v>
      </c>
      <c r="AY2332" s="150" t="s">
        <v>337</v>
      </c>
    </row>
    <row r="2333" spans="2:51" s="148" customFormat="1" x14ac:dyDescent="0.2">
      <c r="B2333" s="149"/>
      <c r="D2333" s="143" t="s">
        <v>346</v>
      </c>
      <c r="E2333" s="150"/>
      <c r="F2333" s="151" t="s">
        <v>1838</v>
      </c>
      <c r="H2333" s="152">
        <v>-3.8</v>
      </c>
      <c r="L2333" s="149"/>
      <c r="M2333" s="153"/>
      <c r="T2333" s="154"/>
      <c r="AT2333" s="150" t="s">
        <v>346</v>
      </c>
      <c r="AU2333" s="150" t="s">
        <v>90</v>
      </c>
      <c r="AV2333" s="148" t="s">
        <v>90</v>
      </c>
      <c r="AW2333" s="148" t="s">
        <v>33</v>
      </c>
      <c r="AX2333" s="148" t="s">
        <v>80</v>
      </c>
      <c r="AY2333" s="150" t="s">
        <v>337</v>
      </c>
    </row>
    <row r="2334" spans="2:51" s="148" customFormat="1" x14ac:dyDescent="0.2">
      <c r="B2334" s="149"/>
      <c r="D2334" s="143" t="s">
        <v>346</v>
      </c>
      <c r="E2334" s="150"/>
      <c r="F2334" s="151" t="s">
        <v>1969</v>
      </c>
      <c r="H2334" s="152">
        <v>15.24</v>
      </c>
      <c r="L2334" s="149"/>
      <c r="M2334" s="153"/>
      <c r="T2334" s="154"/>
      <c r="AT2334" s="150" t="s">
        <v>346</v>
      </c>
      <c r="AU2334" s="150" t="s">
        <v>90</v>
      </c>
      <c r="AV2334" s="148" t="s">
        <v>90</v>
      </c>
      <c r="AW2334" s="148" t="s">
        <v>33</v>
      </c>
      <c r="AX2334" s="148" t="s">
        <v>80</v>
      </c>
      <c r="AY2334" s="150" t="s">
        <v>337</v>
      </c>
    </row>
    <row r="2335" spans="2:51" s="148" customFormat="1" x14ac:dyDescent="0.2">
      <c r="B2335" s="149"/>
      <c r="D2335" s="143" t="s">
        <v>346</v>
      </c>
      <c r="E2335" s="150"/>
      <c r="F2335" s="151" t="s">
        <v>1601</v>
      </c>
      <c r="H2335" s="152">
        <v>-0.8</v>
      </c>
      <c r="L2335" s="149"/>
      <c r="M2335" s="153"/>
      <c r="T2335" s="154"/>
      <c r="AT2335" s="150" t="s">
        <v>346</v>
      </c>
      <c r="AU2335" s="150" t="s">
        <v>90</v>
      </c>
      <c r="AV2335" s="148" t="s">
        <v>90</v>
      </c>
      <c r="AW2335" s="148" t="s">
        <v>33</v>
      </c>
      <c r="AX2335" s="148" t="s">
        <v>80</v>
      </c>
      <c r="AY2335" s="150" t="s">
        <v>337</v>
      </c>
    </row>
    <row r="2336" spans="2:51" s="148" customFormat="1" x14ac:dyDescent="0.2">
      <c r="B2336" s="149"/>
      <c r="D2336" s="143" t="s">
        <v>346</v>
      </c>
      <c r="E2336" s="150"/>
      <c r="F2336" s="151" t="s">
        <v>1970</v>
      </c>
      <c r="H2336" s="152">
        <v>16.399999999999999</v>
      </c>
      <c r="L2336" s="149"/>
      <c r="M2336" s="153"/>
      <c r="T2336" s="154"/>
      <c r="AT2336" s="150" t="s">
        <v>346</v>
      </c>
      <c r="AU2336" s="150" t="s">
        <v>90</v>
      </c>
      <c r="AV2336" s="148" t="s">
        <v>90</v>
      </c>
      <c r="AW2336" s="148" t="s">
        <v>33</v>
      </c>
      <c r="AX2336" s="148" t="s">
        <v>80</v>
      </c>
      <c r="AY2336" s="150" t="s">
        <v>337</v>
      </c>
    </row>
    <row r="2337" spans="2:65" s="148" customFormat="1" x14ac:dyDescent="0.2">
      <c r="B2337" s="149"/>
      <c r="D2337" s="143" t="s">
        <v>346</v>
      </c>
      <c r="E2337" s="150"/>
      <c r="F2337" s="151" t="s">
        <v>1601</v>
      </c>
      <c r="H2337" s="152">
        <v>-0.8</v>
      </c>
      <c r="L2337" s="149"/>
      <c r="M2337" s="153"/>
      <c r="T2337" s="154"/>
      <c r="AT2337" s="150" t="s">
        <v>346</v>
      </c>
      <c r="AU2337" s="150" t="s">
        <v>90</v>
      </c>
      <c r="AV2337" s="148" t="s">
        <v>90</v>
      </c>
      <c r="AW2337" s="148" t="s">
        <v>33</v>
      </c>
      <c r="AX2337" s="148" t="s">
        <v>80</v>
      </c>
      <c r="AY2337" s="150" t="s">
        <v>337</v>
      </c>
    </row>
    <row r="2338" spans="2:65" s="148" customFormat="1" x14ac:dyDescent="0.2">
      <c r="B2338" s="149"/>
      <c r="D2338" s="143" t="s">
        <v>346</v>
      </c>
      <c r="E2338" s="150"/>
      <c r="F2338" s="151" t="s">
        <v>1971</v>
      </c>
      <c r="H2338" s="152">
        <v>9.09</v>
      </c>
      <c r="L2338" s="149"/>
      <c r="M2338" s="153"/>
      <c r="T2338" s="154"/>
      <c r="AT2338" s="150" t="s">
        <v>346</v>
      </c>
      <c r="AU2338" s="150" t="s">
        <v>90</v>
      </c>
      <c r="AV2338" s="148" t="s">
        <v>90</v>
      </c>
      <c r="AW2338" s="148" t="s">
        <v>33</v>
      </c>
      <c r="AX2338" s="148" t="s">
        <v>80</v>
      </c>
      <c r="AY2338" s="150" t="s">
        <v>337</v>
      </c>
    </row>
    <row r="2339" spans="2:65" s="148" customFormat="1" x14ac:dyDescent="0.2">
      <c r="B2339" s="149"/>
      <c r="D2339" s="143" t="s">
        <v>346</v>
      </c>
      <c r="E2339" s="150"/>
      <c r="F2339" s="151" t="s">
        <v>1838</v>
      </c>
      <c r="H2339" s="152">
        <v>-3.8</v>
      </c>
      <c r="L2339" s="149"/>
      <c r="M2339" s="153"/>
      <c r="T2339" s="154"/>
      <c r="AT2339" s="150" t="s">
        <v>346</v>
      </c>
      <c r="AU2339" s="150" t="s">
        <v>90</v>
      </c>
      <c r="AV2339" s="148" t="s">
        <v>90</v>
      </c>
      <c r="AW2339" s="148" t="s">
        <v>33</v>
      </c>
      <c r="AX2339" s="148" t="s">
        <v>80</v>
      </c>
      <c r="AY2339" s="150" t="s">
        <v>337</v>
      </c>
    </row>
    <row r="2340" spans="2:65" s="148" customFormat="1" x14ac:dyDescent="0.2">
      <c r="B2340" s="149"/>
      <c r="D2340" s="143" t="s">
        <v>346</v>
      </c>
      <c r="E2340" s="150"/>
      <c r="F2340" s="151" t="s">
        <v>1972</v>
      </c>
      <c r="H2340" s="152">
        <v>15.5</v>
      </c>
      <c r="L2340" s="149"/>
      <c r="M2340" s="153"/>
      <c r="T2340" s="154"/>
      <c r="AT2340" s="150" t="s">
        <v>346</v>
      </c>
      <c r="AU2340" s="150" t="s">
        <v>90</v>
      </c>
      <c r="AV2340" s="148" t="s">
        <v>90</v>
      </c>
      <c r="AW2340" s="148" t="s">
        <v>33</v>
      </c>
      <c r="AX2340" s="148" t="s">
        <v>80</v>
      </c>
      <c r="AY2340" s="150" t="s">
        <v>337</v>
      </c>
    </row>
    <row r="2341" spans="2:65" s="148" customFormat="1" x14ac:dyDescent="0.2">
      <c r="B2341" s="149"/>
      <c r="D2341" s="143" t="s">
        <v>346</v>
      </c>
      <c r="E2341" s="150"/>
      <c r="F2341" s="151" t="s">
        <v>1601</v>
      </c>
      <c r="H2341" s="152">
        <v>-0.8</v>
      </c>
      <c r="L2341" s="149"/>
      <c r="M2341" s="153"/>
      <c r="T2341" s="154"/>
      <c r="AT2341" s="150" t="s">
        <v>346</v>
      </c>
      <c r="AU2341" s="150" t="s">
        <v>90</v>
      </c>
      <c r="AV2341" s="148" t="s">
        <v>90</v>
      </c>
      <c r="AW2341" s="148" t="s">
        <v>33</v>
      </c>
      <c r="AX2341" s="148" t="s">
        <v>80</v>
      </c>
      <c r="AY2341" s="150" t="s">
        <v>337</v>
      </c>
    </row>
    <row r="2342" spans="2:65" s="148" customFormat="1" x14ac:dyDescent="0.2">
      <c r="B2342" s="149"/>
      <c r="D2342" s="143" t="s">
        <v>346</v>
      </c>
      <c r="E2342" s="150"/>
      <c r="F2342" s="151" t="s">
        <v>1973</v>
      </c>
      <c r="H2342" s="152">
        <v>15.28</v>
      </c>
      <c r="L2342" s="149"/>
      <c r="M2342" s="153"/>
      <c r="T2342" s="154"/>
      <c r="AT2342" s="150" t="s">
        <v>346</v>
      </c>
      <c r="AU2342" s="150" t="s">
        <v>90</v>
      </c>
      <c r="AV2342" s="148" t="s">
        <v>90</v>
      </c>
      <c r="AW2342" s="148" t="s">
        <v>33</v>
      </c>
      <c r="AX2342" s="148" t="s">
        <v>80</v>
      </c>
      <c r="AY2342" s="150" t="s">
        <v>337</v>
      </c>
    </row>
    <row r="2343" spans="2:65" s="148" customFormat="1" x14ac:dyDescent="0.2">
      <c r="B2343" s="149"/>
      <c r="D2343" s="143" t="s">
        <v>346</v>
      </c>
      <c r="E2343" s="150"/>
      <c r="F2343" s="151" t="s">
        <v>1601</v>
      </c>
      <c r="H2343" s="152">
        <v>-0.8</v>
      </c>
      <c r="L2343" s="149"/>
      <c r="M2343" s="153"/>
      <c r="T2343" s="154"/>
      <c r="AT2343" s="150" t="s">
        <v>346</v>
      </c>
      <c r="AU2343" s="150" t="s">
        <v>90</v>
      </c>
      <c r="AV2343" s="148" t="s">
        <v>90</v>
      </c>
      <c r="AW2343" s="148" t="s">
        <v>33</v>
      </c>
      <c r="AX2343" s="148" t="s">
        <v>80</v>
      </c>
      <c r="AY2343" s="150" t="s">
        <v>337</v>
      </c>
    </row>
    <row r="2344" spans="2:65" s="172" customFormat="1" x14ac:dyDescent="0.2">
      <c r="B2344" s="173"/>
      <c r="D2344" s="143" t="s">
        <v>346</v>
      </c>
      <c r="E2344" s="174" t="s">
        <v>200</v>
      </c>
      <c r="F2344" s="175" t="s">
        <v>609</v>
      </c>
      <c r="H2344" s="176">
        <v>1688.2670000000001</v>
      </c>
      <c r="L2344" s="173"/>
      <c r="M2344" s="177"/>
      <c r="T2344" s="178"/>
      <c r="AT2344" s="174" t="s">
        <v>346</v>
      </c>
      <c r="AU2344" s="174" t="s">
        <v>90</v>
      </c>
      <c r="AV2344" s="172" t="s">
        <v>113</v>
      </c>
      <c r="AW2344" s="172" t="s">
        <v>33</v>
      </c>
      <c r="AX2344" s="172" t="s">
        <v>80</v>
      </c>
      <c r="AY2344" s="174" t="s">
        <v>337</v>
      </c>
    </row>
    <row r="2345" spans="2:65" s="155" customFormat="1" x14ac:dyDescent="0.2">
      <c r="B2345" s="156"/>
      <c r="D2345" s="143" t="s">
        <v>346</v>
      </c>
      <c r="E2345" s="157"/>
      <c r="F2345" s="158" t="s">
        <v>351</v>
      </c>
      <c r="H2345" s="159">
        <v>1873.78700000001</v>
      </c>
      <c r="L2345" s="156"/>
      <c r="M2345" s="160"/>
      <c r="T2345" s="161"/>
      <c r="AT2345" s="157" t="s">
        <v>346</v>
      </c>
      <c r="AU2345" s="157" t="s">
        <v>90</v>
      </c>
      <c r="AV2345" s="155" t="s">
        <v>344</v>
      </c>
      <c r="AW2345" s="155" t="s">
        <v>33</v>
      </c>
      <c r="AX2345" s="155" t="s">
        <v>87</v>
      </c>
      <c r="AY2345" s="157" t="s">
        <v>337</v>
      </c>
    </row>
    <row r="2346" spans="2:65" s="16" customFormat="1" ht="16.5" customHeight="1" x14ac:dyDescent="0.2">
      <c r="B2346" s="17"/>
      <c r="C2346" s="128">
        <v>176</v>
      </c>
      <c r="D2346" s="162" t="s">
        <v>519</v>
      </c>
      <c r="E2346" s="163" t="s">
        <v>1975</v>
      </c>
      <c r="F2346" s="164" t="s">
        <v>1976</v>
      </c>
      <c r="G2346" s="165" t="s">
        <v>724</v>
      </c>
      <c r="H2346" s="166">
        <v>2061.1660000000002</v>
      </c>
      <c r="I2346" s="167"/>
      <c r="J2346" s="168">
        <f>ROUND(I2346*H2346,2)</f>
        <v>0</v>
      </c>
      <c r="K2346" s="164"/>
      <c r="L2346" s="169"/>
      <c r="M2346" s="170"/>
      <c r="N2346" s="171" t="s">
        <v>45</v>
      </c>
      <c r="P2346" s="137">
        <f>O2346*H2346</f>
        <v>0</v>
      </c>
      <c r="Q2346" s="137">
        <v>3.5E-4</v>
      </c>
      <c r="R2346" s="137">
        <f>Q2346*H2346</f>
        <v>0.7214081</v>
      </c>
      <c r="S2346" s="137">
        <v>0</v>
      </c>
      <c r="T2346" s="138">
        <f>S2346*H2346</f>
        <v>0</v>
      </c>
      <c r="AR2346" s="139" t="s">
        <v>621</v>
      </c>
      <c r="AT2346" s="139" t="s">
        <v>519</v>
      </c>
      <c r="AU2346" s="139" t="s">
        <v>90</v>
      </c>
      <c r="AY2346" s="2" t="s">
        <v>337</v>
      </c>
      <c r="BE2346" s="140">
        <f>IF(N2346="základní",J2346,0)</f>
        <v>0</v>
      </c>
      <c r="BF2346" s="140">
        <f>IF(N2346="snížená",J2346,0)</f>
        <v>0</v>
      </c>
      <c r="BG2346" s="140">
        <f>IF(N2346="zákl. přenesená",J2346,0)</f>
        <v>0</v>
      </c>
      <c r="BH2346" s="140">
        <f>IF(N2346="sníž. přenesená",J2346,0)</f>
        <v>0</v>
      </c>
      <c r="BI2346" s="140">
        <f>IF(N2346="nulová",J2346,0)</f>
        <v>0</v>
      </c>
      <c r="BJ2346" s="2" t="s">
        <v>87</v>
      </c>
      <c r="BK2346" s="140">
        <f>ROUND(I2346*H2346,2)</f>
        <v>0</v>
      </c>
      <c r="BL2346" s="2" t="s">
        <v>496</v>
      </c>
      <c r="BM2346" s="139" t="s">
        <v>1977</v>
      </c>
    </row>
    <row r="2347" spans="2:65" s="148" customFormat="1" x14ac:dyDescent="0.2">
      <c r="B2347" s="149"/>
      <c r="D2347" s="143" t="s">
        <v>346</v>
      </c>
      <c r="F2347" s="151" t="s">
        <v>1978</v>
      </c>
      <c r="H2347" s="152">
        <v>2061.1660000000002</v>
      </c>
      <c r="L2347" s="149"/>
      <c r="M2347" s="153"/>
      <c r="T2347" s="154"/>
      <c r="AT2347" s="150" t="s">
        <v>346</v>
      </c>
      <c r="AU2347" s="150" t="s">
        <v>90</v>
      </c>
      <c r="AV2347" s="148" t="s">
        <v>90</v>
      </c>
      <c r="AW2347" s="148" t="s">
        <v>3</v>
      </c>
      <c r="AX2347" s="148" t="s">
        <v>87</v>
      </c>
      <c r="AY2347" s="150" t="s">
        <v>337</v>
      </c>
    </row>
    <row r="2348" spans="2:65" s="16" customFormat="1" ht="16.5" customHeight="1" x14ac:dyDescent="0.2">
      <c r="B2348" s="17"/>
      <c r="C2348" s="128">
        <v>177</v>
      </c>
      <c r="D2348" s="128" t="s">
        <v>339</v>
      </c>
      <c r="E2348" s="129" t="s">
        <v>1979</v>
      </c>
      <c r="F2348" s="130" t="s">
        <v>1980</v>
      </c>
      <c r="G2348" s="131" t="s">
        <v>724</v>
      </c>
      <c r="H2348" s="132">
        <v>1873.787</v>
      </c>
      <c r="I2348" s="133"/>
      <c r="J2348" s="134">
        <f>ROUND(I2348*H2348,2)</f>
        <v>0</v>
      </c>
      <c r="K2348" s="130" t="s">
        <v>343</v>
      </c>
      <c r="L2348" s="17"/>
      <c r="M2348" s="135"/>
      <c r="N2348" s="136" t="s">
        <v>45</v>
      </c>
      <c r="P2348" s="137">
        <f>O2348*H2348</f>
        <v>0</v>
      </c>
      <c r="Q2348" s="137">
        <v>0</v>
      </c>
      <c r="R2348" s="137">
        <f>Q2348*H2348</f>
        <v>0</v>
      </c>
      <c r="S2348" s="137">
        <v>0</v>
      </c>
      <c r="T2348" s="138">
        <f>S2348*H2348</f>
        <v>0</v>
      </c>
      <c r="AR2348" s="139" t="s">
        <v>496</v>
      </c>
      <c r="AT2348" s="139" t="s">
        <v>339</v>
      </c>
      <c r="AU2348" s="139" t="s">
        <v>90</v>
      </c>
      <c r="AY2348" s="2" t="s">
        <v>337</v>
      </c>
      <c r="BE2348" s="140">
        <f>IF(N2348="základní",J2348,0)</f>
        <v>0</v>
      </c>
      <c r="BF2348" s="140">
        <f>IF(N2348="snížená",J2348,0)</f>
        <v>0</v>
      </c>
      <c r="BG2348" s="140">
        <f>IF(N2348="zákl. přenesená",J2348,0)</f>
        <v>0</v>
      </c>
      <c r="BH2348" s="140">
        <f>IF(N2348="sníž. přenesená",J2348,0)</f>
        <v>0</v>
      </c>
      <c r="BI2348" s="140">
        <f>IF(N2348="nulová",J2348,0)</f>
        <v>0</v>
      </c>
      <c r="BJ2348" s="2" t="s">
        <v>87</v>
      </c>
      <c r="BK2348" s="140">
        <f>ROUND(I2348*H2348,2)</f>
        <v>0</v>
      </c>
      <c r="BL2348" s="2" t="s">
        <v>496</v>
      </c>
      <c r="BM2348" s="139" t="s">
        <v>1981</v>
      </c>
    </row>
    <row r="2349" spans="2:65" s="148" customFormat="1" x14ac:dyDescent="0.2">
      <c r="B2349" s="149"/>
      <c r="D2349" s="143" t="s">
        <v>346</v>
      </c>
      <c r="E2349" s="150"/>
      <c r="F2349" s="151" t="s">
        <v>194</v>
      </c>
      <c r="H2349" s="152">
        <v>185.52</v>
      </c>
      <c r="L2349" s="149"/>
      <c r="M2349" s="153"/>
      <c r="T2349" s="154"/>
      <c r="AT2349" s="150" t="s">
        <v>346</v>
      </c>
      <c r="AU2349" s="150" t="s">
        <v>90</v>
      </c>
      <c r="AV2349" s="148" t="s">
        <v>90</v>
      </c>
      <c r="AW2349" s="148" t="s">
        <v>33</v>
      </c>
      <c r="AX2349" s="148" t="s">
        <v>80</v>
      </c>
      <c r="AY2349" s="150" t="s">
        <v>337</v>
      </c>
    </row>
    <row r="2350" spans="2:65" s="148" customFormat="1" x14ac:dyDescent="0.2">
      <c r="B2350" s="149"/>
      <c r="D2350" s="143" t="s">
        <v>346</v>
      </c>
      <c r="E2350" s="150"/>
      <c r="F2350" s="151" t="s">
        <v>200</v>
      </c>
      <c r="H2350" s="152">
        <v>1688.2670000000001</v>
      </c>
      <c r="L2350" s="149"/>
      <c r="M2350" s="153"/>
      <c r="T2350" s="154"/>
      <c r="AT2350" s="150" t="s">
        <v>346</v>
      </c>
      <c r="AU2350" s="150" t="s">
        <v>90</v>
      </c>
      <c r="AV2350" s="148" t="s">
        <v>90</v>
      </c>
      <c r="AW2350" s="148" t="s">
        <v>33</v>
      </c>
      <c r="AX2350" s="148" t="s">
        <v>80</v>
      </c>
      <c r="AY2350" s="150" t="s">
        <v>337</v>
      </c>
    </row>
    <row r="2351" spans="2:65" s="155" customFormat="1" x14ac:dyDescent="0.2">
      <c r="B2351" s="156"/>
      <c r="D2351" s="143" t="s">
        <v>346</v>
      </c>
      <c r="E2351" s="157"/>
      <c r="F2351" s="158" t="s">
        <v>351</v>
      </c>
      <c r="H2351" s="159">
        <v>1873.787</v>
      </c>
      <c r="L2351" s="156"/>
      <c r="M2351" s="160"/>
      <c r="T2351" s="161"/>
      <c r="AT2351" s="157" t="s">
        <v>346</v>
      </c>
      <c r="AU2351" s="157" t="s">
        <v>90</v>
      </c>
      <c r="AV2351" s="155" t="s">
        <v>344</v>
      </c>
      <c r="AW2351" s="155" t="s">
        <v>33</v>
      </c>
      <c r="AX2351" s="155" t="s">
        <v>87</v>
      </c>
      <c r="AY2351" s="157" t="s">
        <v>337</v>
      </c>
    </row>
    <row r="2352" spans="2:65" s="16" customFormat="1" ht="16.5" customHeight="1" x14ac:dyDescent="0.2">
      <c r="B2352" s="17"/>
      <c r="C2352" s="128">
        <v>178</v>
      </c>
      <c r="D2352" s="128" t="s">
        <v>339</v>
      </c>
      <c r="E2352" s="129" t="s">
        <v>1983</v>
      </c>
      <c r="F2352" s="130" t="s">
        <v>1984</v>
      </c>
      <c r="G2352" s="131" t="s">
        <v>425</v>
      </c>
      <c r="H2352" s="132">
        <v>17.87</v>
      </c>
      <c r="I2352" s="133"/>
      <c r="J2352" s="134">
        <f>ROUND(I2352*H2352,2)</f>
        <v>0</v>
      </c>
      <c r="K2352" s="130" t="s">
        <v>343</v>
      </c>
      <c r="L2352" s="17"/>
      <c r="M2352" s="135"/>
      <c r="N2352" s="136" t="s">
        <v>45</v>
      </c>
      <c r="P2352" s="137">
        <f>O2352*H2352</f>
        <v>0</v>
      </c>
      <c r="Q2352" s="137">
        <v>5.0000000000000001E-4</v>
      </c>
      <c r="R2352" s="137">
        <f>Q2352*H2352</f>
        <v>8.9350000000000002E-3</v>
      </c>
      <c r="S2352" s="137">
        <v>0</v>
      </c>
      <c r="T2352" s="138">
        <f>S2352*H2352</f>
        <v>0</v>
      </c>
      <c r="AR2352" s="139" t="s">
        <v>496</v>
      </c>
      <c r="AT2352" s="139" t="s">
        <v>339</v>
      </c>
      <c r="AU2352" s="139" t="s">
        <v>90</v>
      </c>
      <c r="AY2352" s="2" t="s">
        <v>337</v>
      </c>
      <c r="BE2352" s="140">
        <f>IF(N2352="základní",J2352,0)</f>
        <v>0</v>
      </c>
      <c r="BF2352" s="140">
        <f>IF(N2352="snížená",J2352,0)</f>
        <v>0</v>
      </c>
      <c r="BG2352" s="140">
        <f>IF(N2352="zákl. přenesená",J2352,0)</f>
        <v>0</v>
      </c>
      <c r="BH2352" s="140">
        <f>IF(N2352="sníž. přenesená",J2352,0)</f>
        <v>0</v>
      </c>
      <c r="BI2352" s="140">
        <f>IF(N2352="nulová",J2352,0)</f>
        <v>0</v>
      </c>
      <c r="BJ2352" s="2" t="s">
        <v>87</v>
      </c>
      <c r="BK2352" s="140">
        <f>ROUND(I2352*H2352,2)</f>
        <v>0</v>
      </c>
      <c r="BL2352" s="2" t="s">
        <v>496</v>
      </c>
      <c r="BM2352" s="139" t="s">
        <v>1985</v>
      </c>
    </row>
    <row r="2353" spans="2:65" s="141" customFormat="1" x14ac:dyDescent="0.2">
      <c r="B2353" s="142"/>
      <c r="D2353" s="143" t="s">
        <v>346</v>
      </c>
      <c r="E2353" s="144"/>
      <c r="F2353" s="145" t="s">
        <v>1986</v>
      </c>
      <c r="H2353" s="144"/>
      <c r="L2353" s="142"/>
      <c r="M2353" s="146"/>
      <c r="T2353" s="147"/>
      <c r="AT2353" s="144" t="s">
        <v>346</v>
      </c>
      <c r="AU2353" s="144" t="s">
        <v>90</v>
      </c>
      <c r="AV2353" s="141" t="s">
        <v>87</v>
      </c>
      <c r="AW2353" s="141" t="s">
        <v>33</v>
      </c>
      <c r="AX2353" s="141" t="s">
        <v>80</v>
      </c>
      <c r="AY2353" s="144" t="s">
        <v>337</v>
      </c>
    </row>
    <row r="2354" spans="2:65" s="141" customFormat="1" x14ac:dyDescent="0.2">
      <c r="B2354" s="142"/>
      <c r="D2354" s="143" t="s">
        <v>346</v>
      </c>
      <c r="E2354" s="144"/>
      <c r="F2354" s="145" t="s">
        <v>680</v>
      </c>
      <c r="H2354" s="144"/>
      <c r="L2354" s="142"/>
      <c r="M2354" s="146"/>
      <c r="T2354" s="147"/>
      <c r="AT2354" s="144" t="s">
        <v>346</v>
      </c>
      <c r="AU2354" s="144" t="s">
        <v>90</v>
      </c>
      <c r="AV2354" s="141" t="s">
        <v>87</v>
      </c>
      <c r="AW2354" s="141" t="s">
        <v>33</v>
      </c>
      <c r="AX2354" s="141" t="s">
        <v>80</v>
      </c>
      <c r="AY2354" s="144" t="s">
        <v>337</v>
      </c>
    </row>
    <row r="2355" spans="2:65" s="148" customFormat="1" x14ac:dyDescent="0.2">
      <c r="B2355" s="149"/>
      <c r="D2355" s="143" t="s">
        <v>346</v>
      </c>
      <c r="E2355" s="150"/>
      <c r="F2355" s="151" t="s">
        <v>242</v>
      </c>
      <c r="H2355" s="152">
        <v>17.87</v>
      </c>
      <c r="L2355" s="149"/>
      <c r="M2355" s="153"/>
      <c r="T2355" s="154"/>
      <c r="AT2355" s="150" t="s">
        <v>346</v>
      </c>
      <c r="AU2355" s="150" t="s">
        <v>90</v>
      </c>
      <c r="AV2355" s="148" t="s">
        <v>90</v>
      </c>
      <c r="AW2355" s="148" t="s">
        <v>33</v>
      </c>
      <c r="AX2355" s="148" t="s">
        <v>80</v>
      </c>
      <c r="AY2355" s="150" t="s">
        <v>337</v>
      </c>
    </row>
    <row r="2356" spans="2:65" s="172" customFormat="1" x14ac:dyDescent="0.2">
      <c r="B2356" s="173"/>
      <c r="D2356" s="143" t="s">
        <v>346</v>
      </c>
      <c r="E2356" s="174" t="s">
        <v>241</v>
      </c>
      <c r="F2356" s="175" t="s">
        <v>609</v>
      </c>
      <c r="H2356" s="176">
        <v>17.87</v>
      </c>
      <c r="L2356" s="173"/>
      <c r="M2356" s="177"/>
      <c r="T2356" s="178"/>
      <c r="AT2356" s="174" t="s">
        <v>346</v>
      </c>
      <c r="AU2356" s="174" t="s">
        <v>90</v>
      </c>
      <c r="AV2356" s="172" t="s">
        <v>113</v>
      </c>
      <c r="AW2356" s="172" t="s">
        <v>33</v>
      </c>
      <c r="AX2356" s="172" t="s">
        <v>87</v>
      </c>
      <c r="AY2356" s="174" t="s">
        <v>337</v>
      </c>
    </row>
    <row r="2357" spans="2:65" s="16" customFormat="1" ht="16.5" customHeight="1" x14ac:dyDescent="0.2">
      <c r="B2357" s="17"/>
      <c r="C2357" s="128">
        <v>179</v>
      </c>
      <c r="D2357" s="162" t="s">
        <v>519</v>
      </c>
      <c r="E2357" s="163" t="s">
        <v>1987</v>
      </c>
      <c r="F2357" s="164" t="s">
        <v>1988</v>
      </c>
      <c r="G2357" s="165" t="s">
        <v>425</v>
      </c>
      <c r="H2357" s="166">
        <v>19.657</v>
      </c>
      <c r="I2357" s="167"/>
      <c r="J2357" s="168">
        <f>ROUND(I2357*H2357,2)</f>
        <v>0</v>
      </c>
      <c r="K2357" s="164"/>
      <c r="L2357" s="169"/>
      <c r="M2357" s="170"/>
      <c r="N2357" s="171" t="s">
        <v>45</v>
      </c>
      <c r="P2357" s="137">
        <f>O2357*H2357</f>
        <v>0</v>
      </c>
      <c r="Q2357" s="137">
        <v>3.5000000000000001E-3</v>
      </c>
      <c r="R2357" s="137">
        <f>Q2357*H2357</f>
        <v>6.87995E-2</v>
      </c>
      <c r="S2357" s="137">
        <v>0</v>
      </c>
      <c r="T2357" s="138">
        <f>S2357*H2357</f>
        <v>0</v>
      </c>
      <c r="AR2357" s="139" t="s">
        <v>621</v>
      </c>
      <c r="AT2357" s="139" t="s">
        <v>519</v>
      </c>
      <c r="AU2357" s="139" t="s">
        <v>90</v>
      </c>
      <c r="AY2357" s="2" t="s">
        <v>337</v>
      </c>
      <c r="BE2357" s="140">
        <f>IF(N2357="základní",J2357,0)</f>
        <v>0</v>
      </c>
      <c r="BF2357" s="140">
        <f>IF(N2357="snížená",J2357,0)</f>
        <v>0</v>
      </c>
      <c r="BG2357" s="140">
        <f>IF(N2357="zákl. přenesená",J2357,0)</f>
        <v>0</v>
      </c>
      <c r="BH2357" s="140">
        <f>IF(N2357="sníž. přenesená",J2357,0)</f>
        <v>0</v>
      </c>
      <c r="BI2357" s="140">
        <f>IF(N2357="nulová",J2357,0)</f>
        <v>0</v>
      </c>
      <c r="BJ2357" s="2" t="s">
        <v>87</v>
      </c>
      <c r="BK2357" s="140">
        <f>ROUND(I2357*H2357,2)</f>
        <v>0</v>
      </c>
      <c r="BL2357" s="2" t="s">
        <v>496</v>
      </c>
      <c r="BM2357" s="139" t="s">
        <v>1989</v>
      </c>
    </row>
    <row r="2358" spans="2:65" s="148" customFormat="1" x14ac:dyDescent="0.2">
      <c r="B2358" s="149"/>
      <c r="D2358" s="143" t="s">
        <v>346</v>
      </c>
      <c r="F2358" s="151" t="s">
        <v>1990</v>
      </c>
      <c r="H2358" s="152">
        <v>19.657</v>
      </c>
      <c r="L2358" s="149"/>
      <c r="M2358" s="153"/>
      <c r="T2358" s="154"/>
      <c r="AT2358" s="150" t="s">
        <v>346</v>
      </c>
      <c r="AU2358" s="150" t="s">
        <v>90</v>
      </c>
      <c r="AV2358" s="148" t="s">
        <v>90</v>
      </c>
      <c r="AW2358" s="148" t="s">
        <v>3</v>
      </c>
      <c r="AX2358" s="148" t="s">
        <v>87</v>
      </c>
      <c r="AY2358" s="150" t="s">
        <v>337</v>
      </c>
    </row>
    <row r="2359" spans="2:65" s="16" customFormat="1" ht="16.5" customHeight="1" x14ac:dyDescent="0.2">
      <c r="B2359" s="17"/>
      <c r="C2359" s="128">
        <v>180</v>
      </c>
      <c r="D2359" s="128" t="s">
        <v>339</v>
      </c>
      <c r="E2359" s="129" t="s">
        <v>1992</v>
      </c>
      <c r="F2359" s="130" t="s">
        <v>1993</v>
      </c>
      <c r="G2359" s="131" t="s">
        <v>990</v>
      </c>
      <c r="H2359" s="132">
        <v>7.3010000000000002</v>
      </c>
      <c r="I2359" s="133"/>
      <c r="J2359" s="134">
        <f>ROUND(I2359*H2359,2)</f>
        <v>0</v>
      </c>
      <c r="K2359" s="130" t="s">
        <v>343</v>
      </c>
      <c r="L2359" s="17"/>
      <c r="M2359" s="135"/>
      <c r="N2359" s="136" t="s">
        <v>45</v>
      </c>
      <c r="P2359" s="137">
        <f>O2359*H2359</f>
        <v>0</v>
      </c>
      <c r="Q2359" s="137">
        <v>0</v>
      </c>
      <c r="R2359" s="137">
        <f>Q2359*H2359</f>
        <v>0</v>
      </c>
      <c r="S2359" s="137">
        <v>0</v>
      </c>
      <c r="T2359" s="138">
        <f>S2359*H2359</f>
        <v>0</v>
      </c>
      <c r="AR2359" s="139" t="s">
        <v>496</v>
      </c>
      <c r="AT2359" s="139" t="s">
        <v>339</v>
      </c>
      <c r="AU2359" s="139" t="s">
        <v>90</v>
      </c>
      <c r="AY2359" s="2" t="s">
        <v>337</v>
      </c>
      <c r="BE2359" s="140">
        <f>IF(N2359="základní",J2359,0)</f>
        <v>0</v>
      </c>
      <c r="BF2359" s="140">
        <f>IF(N2359="snížená",J2359,0)</f>
        <v>0</v>
      </c>
      <c r="BG2359" s="140">
        <f>IF(N2359="zákl. přenesená",J2359,0)</f>
        <v>0</v>
      </c>
      <c r="BH2359" s="140">
        <f>IF(N2359="sníž. přenesená",J2359,0)</f>
        <v>0</v>
      </c>
      <c r="BI2359" s="140">
        <f>IF(N2359="nulová",J2359,0)</f>
        <v>0</v>
      </c>
      <c r="BJ2359" s="2" t="s">
        <v>87</v>
      </c>
      <c r="BK2359" s="140">
        <f>ROUND(I2359*H2359,2)</f>
        <v>0</v>
      </c>
      <c r="BL2359" s="2" t="s">
        <v>496</v>
      </c>
      <c r="BM2359" s="139" t="s">
        <v>1994</v>
      </c>
    </row>
    <row r="2360" spans="2:65" s="116" customFormat="1" ht="22.9" customHeight="1" x14ac:dyDescent="0.2">
      <c r="B2360" s="117"/>
      <c r="D2360" s="118" t="s">
        <v>79</v>
      </c>
      <c r="E2360" s="126" t="s">
        <v>1995</v>
      </c>
      <c r="F2360" s="126" t="s">
        <v>1996</v>
      </c>
      <c r="J2360" s="127">
        <f>BK2360</f>
        <v>0</v>
      </c>
      <c r="L2360" s="117"/>
      <c r="M2360" s="121"/>
      <c r="P2360" s="122">
        <f>SUM(P2361:P2429)</f>
        <v>0</v>
      </c>
      <c r="R2360" s="122">
        <f>SUM(R2361:R2429)</f>
        <v>0.82953156000000006</v>
      </c>
      <c r="T2360" s="123">
        <f>SUM(T2361:T2429)</f>
        <v>0</v>
      </c>
      <c r="AR2360" s="118" t="s">
        <v>90</v>
      </c>
      <c r="AT2360" s="124" t="s">
        <v>79</v>
      </c>
      <c r="AU2360" s="124" t="s">
        <v>87</v>
      </c>
      <c r="AY2360" s="118" t="s">
        <v>337</v>
      </c>
      <c r="BK2360" s="125">
        <f>SUM(BK2361:BK2429)</f>
        <v>0</v>
      </c>
    </row>
    <row r="2361" spans="2:65" s="16" customFormat="1" ht="16.5" customHeight="1" x14ac:dyDescent="0.2">
      <c r="B2361" s="17"/>
      <c r="C2361" s="128">
        <v>181</v>
      </c>
      <c r="D2361" s="128" t="s">
        <v>339</v>
      </c>
      <c r="E2361" s="129" t="s">
        <v>1997</v>
      </c>
      <c r="F2361" s="130" t="s">
        <v>1998</v>
      </c>
      <c r="G2361" s="131" t="s">
        <v>425</v>
      </c>
      <c r="H2361" s="132">
        <v>379.73399999999998</v>
      </c>
      <c r="I2361" s="133"/>
      <c r="J2361" s="134">
        <f>ROUND(I2361*H2361,2)</f>
        <v>0</v>
      </c>
      <c r="K2361" s="130" t="s">
        <v>343</v>
      </c>
      <c r="L2361" s="17"/>
      <c r="M2361" s="135"/>
      <c r="N2361" s="136" t="s">
        <v>45</v>
      </c>
      <c r="P2361" s="137">
        <f>O2361*H2361</f>
        <v>0</v>
      </c>
      <c r="Q2361" s="137">
        <v>0</v>
      </c>
      <c r="R2361" s="137">
        <f>Q2361*H2361</f>
        <v>0</v>
      </c>
      <c r="S2361" s="137">
        <v>0</v>
      </c>
      <c r="T2361" s="138">
        <f>S2361*H2361</f>
        <v>0</v>
      </c>
      <c r="AR2361" s="139" t="s">
        <v>496</v>
      </c>
      <c r="AT2361" s="139" t="s">
        <v>339</v>
      </c>
      <c r="AU2361" s="139" t="s">
        <v>90</v>
      </c>
      <c r="AY2361" s="2" t="s">
        <v>337</v>
      </c>
      <c r="BE2361" s="140">
        <f>IF(N2361="základní",J2361,0)</f>
        <v>0</v>
      </c>
      <c r="BF2361" s="140">
        <f>IF(N2361="snížená",J2361,0)</f>
        <v>0</v>
      </c>
      <c r="BG2361" s="140">
        <f>IF(N2361="zákl. přenesená",J2361,0)</f>
        <v>0</v>
      </c>
      <c r="BH2361" s="140">
        <f>IF(N2361="sníž. přenesená",J2361,0)</f>
        <v>0</v>
      </c>
      <c r="BI2361" s="140">
        <f>IF(N2361="nulová",J2361,0)</f>
        <v>0</v>
      </c>
      <c r="BJ2361" s="2" t="s">
        <v>87</v>
      </c>
      <c r="BK2361" s="140">
        <f>ROUND(I2361*H2361,2)</f>
        <v>0</v>
      </c>
      <c r="BL2361" s="2" t="s">
        <v>496</v>
      </c>
      <c r="BM2361" s="139" t="s">
        <v>1999</v>
      </c>
    </row>
    <row r="2362" spans="2:65" s="148" customFormat="1" x14ac:dyDescent="0.2">
      <c r="B2362" s="149"/>
      <c r="D2362" s="143" t="s">
        <v>346</v>
      </c>
      <c r="E2362" s="150"/>
      <c r="F2362" s="151" t="s">
        <v>218</v>
      </c>
      <c r="H2362" s="152">
        <v>232.77</v>
      </c>
      <c r="L2362" s="149"/>
      <c r="M2362" s="153"/>
      <c r="T2362" s="154"/>
      <c r="AT2362" s="150" t="s">
        <v>346</v>
      </c>
      <c r="AU2362" s="150" t="s">
        <v>90</v>
      </c>
      <c r="AV2362" s="148" t="s">
        <v>90</v>
      </c>
      <c r="AW2362" s="148" t="s">
        <v>33</v>
      </c>
      <c r="AX2362" s="148" t="s">
        <v>80</v>
      </c>
      <c r="AY2362" s="150" t="s">
        <v>337</v>
      </c>
    </row>
    <row r="2363" spans="2:65" s="148" customFormat="1" x14ac:dyDescent="0.2">
      <c r="B2363" s="149"/>
      <c r="D2363" s="143" t="s">
        <v>346</v>
      </c>
      <c r="E2363" s="150"/>
      <c r="F2363" s="151" t="s">
        <v>230</v>
      </c>
      <c r="H2363" s="152">
        <v>140.63999999999999</v>
      </c>
      <c r="L2363" s="149"/>
      <c r="M2363" s="153"/>
      <c r="T2363" s="154"/>
      <c r="AT2363" s="150" t="s">
        <v>346</v>
      </c>
      <c r="AU2363" s="150" t="s">
        <v>90</v>
      </c>
      <c r="AV2363" s="148" t="s">
        <v>90</v>
      </c>
      <c r="AW2363" s="148" t="s">
        <v>33</v>
      </c>
      <c r="AX2363" s="148" t="s">
        <v>80</v>
      </c>
      <c r="AY2363" s="150" t="s">
        <v>337</v>
      </c>
    </row>
    <row r="2364" spans="2:65" s="148" customFormat="1" x14ac:dyDescent="0.2">
      <c r="B2364" s="149"/>
      <c r="D2364" s="143" t="s">
        <v>346</v>
      </c>
      <c r="E2364" s="150"/>
      <c r="F2364" s="151" t="s">
        <v>232</v>
      </c>
      <c r="H2364" s="152">
        <v>6.3239999999999998</v>
      </c>
      <c r="L2364" s="149"/>
      <c r="M2364" s="153"/>
      <c r="T2364" s="154"/>
      <c r="AT2364" s="150" t="s">
        <v>346</v>
      </c>
      <c r="AU2364" s="150" t="s">
        <v>90</v>
      </c>
      <c r="AV2364" s="148" t="s">
        <v>90</v>
      </c>
      <c r="AW2364" s="148" t="s">
        <v>33</v>
      </c>
      <c r="AX2364" s="148" t="s">
        <v>80</v>
      </c>
      <c r="AY2364" s="150" t="s">
        <v>337</v>
      </c>
    </row>
    <row r="2365" spans="2:65" s="155" customFormat="1" x14ac:dyDescent="0.2">
      <c r="B2365" s="156"/>
      <c r="D2365" s="143" t="s">
        <v>346</v>
      </c>
      <c r="E2365" s="157"/>
      <c r="F2365" s="158" t="s">
        <v>351</v>
      </c>
      <c r="H2365" s="159">
        <v>379.73399999999998</v>
      </c>
      <c r="L2365" s="156"/>
      <c r="M2365" s="160"/>
      <c r="T2365" s="161"/>
      <c r="AT2365" s="157" t="s">
        <v>346</v>
      </c>
      <c r="AU2365" s="157" t="s">
        <v>90</v>
      </c>
      <c r="AV2365" s="155" t="s">
        <v>344</v>
      </c>
      <c r="AW2365" s="155" t="s">
        <v>33</v>
      </c>
      <c r="AX2365" s="155" t="s">
        <v>87</v>
      </c>
      <c r="AY2365" s="157" t="s">
        <v>337</v>
      </c>
    </row>
    <row r="2366" spans="2:65" s="16" customFormat="1" ht="16.5" customHeight="1" x14ac:dyDescent="0.2">
      <c r="B2366" s="17"/>
      <c r="C2366" s="128">
        <v>182</v>
      </c>
      <c r="D2366" s="128" t="s">
        <v>339</v>
      </c>
      <c r="E2366" s="129" t="s">
        <v>2001</v>
      </c>
      <c r="F2366" s="130" t="s">
        <v>2002</v>
      </c>
      <c r="G2366" s="131" t="s">
        <v>425</v>
      </c>
      <c r="H2366" s="132">
        <v>379.73399999999998</v>
      </c>
      <c r="I2366" s="133"/>
      <c r="J2366" s="134">
        <f>ROUND(I2366*H2366,2)</f>
        <v>0</v>
      </c>
      <c r="K2366" s="130" t="s">
        <v>343</v>
      </c>
      <c r="L2366" s="17"/>
      <c r="M2366" s="135"/>
      <c r="N2366" s="136" t="s">
        <v>45</v>
      </c>
      <c r="P2366" s="137">
        <f>O2366*H2366</f>
        <v>0</v>
      </c>
      <c r="Q2366" s="137">
        <v>5.4000000000000001E-4</v>
      </c>
      <c r="R2366" s="137">
        <f>Q2366*H2366</f>
        <v>0.20505635999999999</v>
      </c>
      <c r="S2366" s="137">
        <v>0</v>
      </c>
      <c r="T2366" s="138">
        <f>S2366*H2366</f>
        <v>0</v>
      </c>
      <c r="AR2366" s="139" t="s">
        <v>496</v>
      </c>
      <c r="AT2366" s="139" t="s">
        <v>339</v>
      </c>
      <c r="AU2366" s="139" t="s">
        <v>90</v>
      </c>
      <c r="AY2366" s="2" t="s">
        <v>337</v>
      </c>
      <c r="BE2366" s="140">
        <f>IF(N2366="základní",J2366,0)</f>
        <v>0</v>
      </c>
      <c r="BF2366" s="140">
        <f>IF(N2366="snížená",J2366,0)</f>
        <v>0</v>
      </c>
      <c r="BG2366" s="140">
        <f>IF(N2366="zákl. přenesená",J2366,0)</f>
        <v>0</v>
      </c>
      <c r="BH2366" s="140">
        <f>IF(N2366="sníž. přenesená",J2366,0)</f>
        <v>0</v>
      </c>
      <c r="BI2366" s="140">
        <f>IF(N2366="nulová",J2366,0)</f>
        <v>0</v>
      </c>
      <c r="BJ2366" s="2" t="s">
        <v>87</v>
      </c>
      <c r="BK2366" s="140">
        <f>ROUND(I2366*H2366,2)</f>
        <v>0</v>
      </c>
      <c r="BL2366" s="2" t="s">
        <v>496</v>
      </c>
      <c r="BM2366" s="139" t="s">
        <v>2003</v>
      </c>
    </row>
    <row r="2367" spans="2:65" s="148" customFormat="1" x14ac:dyDescent="0.2">
      <c r="B2367" s="149"/>
      <c r="D2367" s="143" t="s">
        <v>346</v>
      </c>
      <c r="E2367" s="150"/>
      <c r="F2367" s="151" t="s">
        <v>230</v>
      </c>
      <c r="H2367" s="152">
        <v>140.63999999999999</v>
      </c>
      <c r="L2367" s="149"/>
      <c r="M2367" s="153"/>
      <c r="T2367" s="154"/>
      <c r="AT2367" s="150" t="s">
        <v>346</v>
      </c>
      <c r="AU2367" s="150" t="s">
        <v>90</v>
      </c>
      <c r="AV2367" s="148" t="s">
        <v>90</v>
      </c>
      <c r="AW2367" s="148" t="s">
        <v>33</v>
      </c>
      <c r="AX2367" s="148" t="s">
        <v>80</v>
      </c>
      <c r="AY2367" s="150" t="s">
        <v>337</v>
      </c>
    </row>
    <row r="2368" spans="2:65" s="148" customFormat="1" x14ac:dyDescent="0.2">
      <c r="B2368" s="149"/>
      <c r="D2368" s="143" t="s">
        <v>346</v>
      </c>
      <c r="E2368" s="150"/>
      <c r="F2368" s="151" t="s">
        <v>232</v>
      </c>
      <c r="H2368" s="152">
        <v>6.3239999999999998</v>
      </c>
      <c r="L2368" s="149"/>
      <c r="M2368" s="153"/>
      <c r="T2368" s="154"/>
      <c r="AT2368" s="150" t="s">
        <v>346</v>
      </c>
      <c r="AU2368" s="150" t="s">
        <v>90</v>
      </c>
      <c r="AV2368" s="148" t="s">
        <v>90</v>
      </c>
      <c r="AW2368" s="148" t="s">
        <v>33</v>
      </c>
      <c r="AX2368" s="148" t="s">
        <v>80</v>
      </c>
      <c r="AY2368" s="150" t="s">
        <v>337</v>
      </c>
    </row>
    <row r="2369" spans="2:65" s="148" customFormat="1" x14ac:dyDescent="0.2">
      <c r="B2369" s="149"/>
      <c r="D2369" s="143" t="s">
        <v>346</v>
      </c>
      <c r="E2369" s="150"/>
      <c r="F2369" s="151" t="s">
        <v>298</v>
      </c>
      <c r="H2369" s="152">
        <v>232.77</v>
      </c>
      <c r="L2369" s="149"/>
      <c r="M2369" s="153"/>
      <c r="T2369" s="154"/>
      <c r="AT2369" s="150" t="s">
        <v>346</v>
      </c>
      <c r="AU2369" s="150" t="s">
        <v>90</v>
      </c>
      <c r="AV2369" s="148" t="s">
        <v>90</v>
      </c>
      <c r="AW2369" s="148" t="s">
        <v>33</v>
      </c>
      <c r="AX2369" s="148" t="s">
        <v>80</v>
      </c>
      <c r="AY2369" s="150" t="s">
        <v>337</v>
      </c>
    </row>
    <row r="2370" spans="2:65" s="155" customFormat="1" x14ac:dyDescent="0.2">
      <c r="B2370" s="156"/>
      <c r="D2370" s="143" t="s">
        <v>346</v>
      </c>
      <c r="E2370" s="157"/>
      <c r="F2370" s="158" t="s">
        <v>351</v>
      </c>
      <c r="H2370" s="159">
        <v>379.73399999999998</v>
      </c>
      <c r="L2370" s="156"/>
      <c r="M2370" s="160"/>
      <c r="T2370" s="161"/>
      <c r="AT2370" s="157" t="s">
        <v>346</v>
      </c>
      <c r="AU2370" s="157" t="s">
        <v>90</v>
      </c>
      <c r="AV2370" s="155" t="s">
        <v>344</v>
      </c>
      <c r="AW2370" s="155" t="s">
        <v>33</v>
      </c>
      <c r="AX2370" s="155" t="s">
        <v>87</v>
      </c>
      <c r="AY2370" s="157" t="s">
        <v>337</v>
      </c>
    </row>
    <row r="2371" spans="2:65" s="16" customFormat="1" ht="16.5" customHeight="1" x14ac:dyDescent="0.2">
      <c r="B2371" s="17"/>
      <c r="C2371" s="128">
        <v>183</v>
      </c>
      <c r="D2371" s="128" t="s">
        <v>339</v>
      </c>
      <c r="E2371" s="129" t="s">
        <v>2004</v>
      </c>
      <c r="F2371" s="130" t="s">
        <v>2005</v>
      </c>
      <c r="G2371" s="131" t="s">
        <v>425</v>
      </c>
      <c r="H2371" s="132">
        <v>379.73399999999998</v>
      </c>
      <c r="I2371" s="133"/>
      <c r="J2371" s="134">
        <f>ROUND(I2371*H2371,2)</f>
        <v>0</v>
      </c>
      <c r="K2371" s="130" t="s">
        <v>343</v>
      </c>
      <c r="L2371" s="17"/>
      <c r="M2371" s="135"/>
      <c r="N2371" s="136" t="s">
        <v>45</v>
      </c>
      <c r="P2371" s="137">
        <f>O2371*H2371</f>
        <v>0</v>
      </c>
      <c r="Q2371" s="137">
        <v>2.5000000000000001E-4</v>
      </c>
      <c r="R2371" s="137">
        <f>Q2371*H2371</f>
        <v>9.4933500000000004E-2</v>
      </c>
      <c r="S2371" s="137">
        <v>0</v>
      </c>
      <c r="T2371" s="138">
        <f>S2371*H2371</f>
        <v>0</v>
      </c>
      <c r="AR2371" s="139" t="s">
        <v>496</v>
      </c>
      <c r="AT2371" s="139" t="s">
        <v>339</v>
      </c>
      <c r="AU2371" s="139" t="s">
        <v>90</v>
      </c>
      <c r="AY2371" s="2" t="s">
        <v>337</v>
      </c>
      <c r="BE2371" s="140">
        <f>IF(N2371="základní",J2371,0)</f>
        <v>0</v>
      </c>
      <c r="BF2371" s="140">
        <f>IF(N2371="snížená",J2371,0)</f>
        <v>0</v>
      </c>
      <c r="BG2371" s="140">
        <f>IF(N2371="zákl. přenesená",J2371,0)</f>
        <v>0</v>
      </c>
      <c r="BH2371" s="140">
        <f>IF(N2371="sníž. přenesená",J2371,0)</f>
        <v>0</v>
      </c>
      <c r="BI2371" s="140">
        <f>IF(N2371="nulová",J2371,0)</f>
        <v>0</v>
      </c>
      <c r="BJ2371" s="2" t="s">
        <v>87</v>
      </c>
      <c r="BK2371" s="140">
        <f>ROUND(I2371*H2371,2)</f>
        <v>0</v>
      </c>
      <c r="BL2371" s="2" t="s">
        <v>496</v>
      </c>
      <c r="BM2371" s="139" t="s">
        <v>2006</v>
      </c>
    </row>
    <row r="2372" spans="2:65" s="141" customFormat="1" x14ac:dyDescent="0.2">
      <c r="B2372" s="142"/>
      <c r="D2372" s="143" t="s">
        <v>346</v>
      </c>
      <c r="E2372" s="144"/>
      <c r="F2372" s="145" t="s">
        <v>1688</v>
      </c>
      <c r="H2372" s="144"/>
      <c r="L2372" s="142"/>
      <c r="M2372" s="146"/>
      <c r="T2372" s="147"/>
      <c r="AT2372" s="144" t="s">
        <v>346</v>
      </c>
      <c r="AU2372" s="144" t="s">
        <v>90</v>
      </c>
      <c r="AV2372" s="141" t="s">
        <v>87</v>
      </c>
      <c r="AW2372" s="141" t="s">
        <v>33</v>
      </c>
      <c r="AX2372" s="141" t="s">
        <v>80</v>
      </c>
      <c r="AY2372" s="144" t="s">
        <v>337</v>
      </c>
    </row>
    <row r="2373" spans="2:65" s="148" customFormat="1" x14ac:dyDescent="0.2">
      <c r="B2373" s="149"/>
      <c r="D2373" s="143" t="s">
        <v>346</v>
      </c>
      <c r="E2373" s="150"/>
      <c r="F2373" s="151" t="s">
        <v>231</v>
      </c>
      <c r="H2373" s="152">
        <v>140.63999999999999</v>
      </c>
      <c r="L2373" s="149"/>
      <c r="M2373" s="153"/>
      <c r="T2373" s="154"/>
      <c r="AT2373" s="150" t="s">
        <v>346</v>
      </c>
      <c r="AU2373" s="150" t="s">
        <v>90</v>
      </c>
      <c r="AV2373" s="148" t="s">
        <v>90</v>
      </c>
      <c r="AW2373" s="148" t="s">
        <v>33</v>
      </c>
      <c r="AX2373" s="148" t="s">
        <v>80</v>
      </c>
      <c r="AY2373" s="150" t="s">
        <v>337</v>
      </c>
    </row>
    <row r="2374" spans="2:65" s="172" customFormat="1" x14ac:dyDescent="0.2">
      <c r="B2374" s="173"/>
      <c r="D2374" s="143" t="s">
        <v>346</v>
      </c>
      <c r="E2374" s="174" t="s">
        <v>230</v>
      </c>
      <c r="F2374" s="175" t="s">
        <v>609</v>
      </c>
      <c r="H2374" s="176">
        <v>140.63999999999999</v>
      </c>
      <c r="L2374" s="173"/>
      <c r="M2374" s="177"/>
      <c r="T2374" s="178"/>
      <c r="AT2374" s="174" t="s">
        <v>346</v>
      </c>
      <c r="AU2374" s="174" t="s">
        <v>90</v>
      </c>
      <c r="AV2374" s="172" t="s">
        <v>113</v>
      </c>
      <c r="AW2374" s="172" t="s">
        <v>33</v>
      </c>
      <c r="AX2374" s="172" t="s">
        <v>80</v>
      </c>
      <c r="AY2374" s="174" t="s">
        <v>337</v>
      </c>
    </row>
    <row r="2375" spans="2:65" s="141" customFormat="1" x14ac:dyDescent="0.2">
      <c r="B2375" s="142"/>
      <c r="D2375" s="143" t="s">
        <v>346</v>
      </c>
      <c r="E2375" s="144"/>
      <c r="F2375" s="145" t="s">
        <v>2007</v>
      </c>
      <c r="H2375" s="144"/>
      <c r="L2375" s="142"/>
      <c r="M2375" s="146"/>
      <c r="T2375" s="147"/>
      <c r="AT2375" s="144" t="s">
        <v>346</v>
      </c>
      <c r="AU2375" s="144" t="s">
        <v>90</v>
      </c>
      <c r="AV2375" s="141" t="s">
        <v>87</v>
      </c>
      <c r="AW2375" s="141" t="s">
        <v>33</v>
      </c>
      <c r="AX2375" s="141" t="s">
        <v>80</v>
      </c>
      <c r="AY2375" s="144" t="s">
        <v>337</v>
      </c>
    </row>
    <row r="2376" spans="2:65" s="141" customFormat="1" ht="22.5" x14ac:dyDescent="0.2">
      <c r="B2376" s="142"/>
      <c r="D2376" s="143" t="s">
        <v>346</v>
      </c>
      <c r="E2376" s="144"/>
      <c r="F2376" s="145" t="s">
        <v>1583</v>
      </c>
      <c r="H2376" s="144"/>
      <c r="L2376" s="142"/>
      <c r="M2376" s="146"/>
      <c r="T2376" s="147"/>
      <c r="AT2376" s="144" t="s">
        <v>346</v>
      </c>
      <c r="AU2376" s="144" t="s">
        <v>90</v>
      </c>
      <c r="AV2376" s="141" t="s">
        <v>87</v>
      </c>
      <c r="AW2376" s="141" t="s">
        <v>33</v>
      </c>
      <c r="AX2376" s="141" t="s">
        <v>80</v>
      </c>
      <c r="AY2376" s="144" t="s">
        <v>337</v>
      </c>
    </row>
    <row r="2377" spans="2:65" s="148" customFormat="1" x14ac:dyDescent="0.2">
      <c r="B2377" s="149"/>
      <c r="D2377" s="143" t="s">
        <v>346</v>
      </c>
      <c r="E2377" s="150"/>
      <c r="F2377" s="151" t="s">
        <v>2008</v>
      </c>
      <c r="H2377" s="152">
        <v>1.5449999999999999</v>
      </c>
      <c r="L2377" s="149"/>
      <c r="M2377" s="153"/>
      <c r="T2377" s="154"/>
      <c r="AT2377" s="150" t="s">
        <v>346</v>
      </c>
      <c r="AU2377" s="150" t="s">
        <v>90</v>
      </c>
      <c r="AV2377" s="148" t="s">
        <v>90</v>
      </c>
      <c r="AW2377" s="148" t="s">
        <v>33</v>
      </c>
      <c r="AX2377" s="148" t="s">
        <v>80</v>
      </c>
      <c r="AY2377" s="150" t="s">
        <v>337</v>
      </c>
    </row>
    <row r="2378" spans="2:65" s="148" customFormat="1" x14ac:dyDescent="0.2">
      <c r="B2378" s="149"/>
      <c r="D2378" s="143" t="s">
        <v>346</v>
      </c>
      <c r="E2378" s="150"/>
      <c r="F2378" s="151" t="s">
        <v>2009</v>
      </c>
      <c r="H2378" s="152">
        <v>-5.3999999999999999E-2</v>
      </c>
      <c r="L2378" s="149"/>
      <c r="M2378" s="153"/>
      <c r="T2378" s="154"/>
      <c r="AT2378" s="150" t="s">
        <v>346</v>
      </c>
      <c r="AU2378" s="150" t="s">
        <v>90</v>
      </c>
      <c r="AV2378" s="148" t="s">
        <v>90</v>
      </c>
      <c r="AW2378" s="148" t="s">
        <v>33</v>
      </c>
      <c r="AX2378" s="148" t="s">
        <v>80</v>
      </c>
      <c r="AY2378" s="150" t="s">
        <v>337</v>
      </c>
    </row>
    <row r="2379" spans="2:65" s="148" customFormat="1" x14ac:dyDescent="0.2">
      <c r="B2379" s="149"/>
      <c r="D2379" s="143" t="s">
        <v>346</v>
      </c>
      <c r="E2379" s="150"/>
      <c r="F2379" s="151" t="s">
        <v>2010</v>
      </c>
      <c r="H2379" s="152">
        <v>1.032</v>
      </c>
      <c r="L2379" s="149"/>
      <c r="M2379" s="153"/>
      <c r="T2379" s="154"/>
      <c r="AT2379" s="150" t="s">
        <v>346</v>
      </c>
      <c r="AU2379" s="150" t="s">
        <v>90</v>
      </c>
      <c r="AV2379" s="148" t="s">
        <v>90</v>
      </c>
      <c r="AW2379" s="148" t="s">
        <v>33</v>
      </c>
      <c r="AX2379" s="148" t="s">
        <v>80</v>
      </c>
      <c r="AY2379" s="150" t="s">
        <v>337</v>
      </c>
    </row>
    <row r="2380" spans="2:65" s="148" customFormat="1" x14ac:dyDescent="0.2">
      <c r="B2380" s="149"/>
      <c r="D2380" s="143" t="s">
        <v>346</v>
      </c>
      <c r="E2380" s="150"/>
      <c r="F2380" s="151" t="s">
        <v>2009</v>
      </c>
      <c r="H2380" s="152">
        <v>-5.3999999999999999E-2</v>
      </c>
      <c r="L2380" s="149"/>
      <c r="M2380" s="153"/>
      <c r="T2380" s="154"/>
      <c r="AT2380" s="150" t="s">
        <v>346</v>
      </c>
      <c r="AU2380" s="150" t="s">
        <v>90</v>
      </c>
      <c r="AV2380" s="148" t="s">
        <v>90</v>
      </c>
      <c r="AW2380" s="148" t="s">
        <v>33</v>
      </c>
      <c r="AX2380" s="148" t="s">
        <v>80</v>
      </c>
      <c r="AY2380" s="150" t="s">
        <v>337</v>
      </c>
    </row>
    <row r="2381" spans="2:65" s="148" customFormat="1" x14ac:dyDescent="0.2">
      <c r="B2381" s="149"/>
      <c r="D2381" s="143" t="s">
        <v>346</v>
      </c>
      <c r="E2381" s="150"/>
      <c r="F2381" s="151" t="s">
        <v>2011</v>
      </c>
      <c r="H2381" s="152">
        <v>1.1819999999999999</v>
      </c>
      <c r="L2381" s="149"/>
      <c r="M2381" s="153"/>
      <c r="T2381" s="154"/>
      <c r="AT2381" s="150" t="s">
        <v>346</v>
      </c>
      <c r="AU2381" s="150" t="s">
        <v>90</v>
      </c>
      <c r="AV2381" s="148" t="s">
        <v>90</v>
      </c>
      <c r="AW2381" s="148" t="s">
        <v>33</v>
      </c>
      <c r="AX2381" s="148" t="s">
        <v>80</v>
      </c>
      <c r="AY2381" s="150" t="s">
        <v>337</v>
      </c>
    </row>
    <row r="2382" spans="2:65" s="148" customFormat="1" x14ac:dyDescent="0.2">
      <c r="B2382" s="149"/>
      <c r="D2382" s="143" t="s">
        <v>346</v>
      </c>
      <c r="E2382" s="150"/>
      <c r="F2382" s="151" t="s">
        <v>2009</v>
      </c>
      <c r="H2382" s="152">
        <v>-5.3999999999999999E-2</v>
      </c>
      <c r="L2382" s="149"/>
      <c r="M2382" s="153"/>
      <c r="T2382" s="154"/>
      <c r="AT2382" s="150" t="s">
        <v>346</v>
      </c>
      <c r="AU2382" s="150" t="s">
        <v>90</v>
      </c>
      <c r="AV2382" s="148" t="s">
        <v>90</v>
      </c>
      <c r="AW2382" s="148" t="s">
        <v>33</v>
      </c>
      <c r="AX2382" s="148" t="s">
        <v>80</v>
      </c>
      <c r="AY2382" s="150" t="s">
        <v>337</v>
      </c>
    </row>
    <row r="2383" spans="2:65" s="148" customFormat="1" x14ac:dyDescent="0.2">
      <c r="B2383" s="149"/>
      <c r="D2383" s="143" t="s">
        <v>346</v>
      </c>
      <c r="E2383" s="150"/>
      <c r="F2383" s="151" t="s">
        <v>2012</v>
      </c>
      <c r="H2383" s="152">
        <v>2.343</v>
      </c>
      <c r="L2383" s="149"/>
      <c r="M2383" s="153"/>
      <c r="T2383" s="154"/>
      <c r="AT2383" s="150" t="s">
        <v>346</v>
      </c>
      <c r="AU2383" s="150" t="s">
        <v>90</v>
      </c>
      <c r="AV2383" s="148" t="s">
        <v>90</v>
      </c>
      <c r="AW2383" s="148" t="s">
        <v>33</v>
      </c>
      <c r="AX2383" s="148" t="s">
        <v>80</v>
      </c>
      <c r="AY2383" s="150" t="s">
        <v>337</v>
      </c>
    </row>
    <row r="2384" spans="2:65" s="148" customFormat="1" x14ac:dyDescent="0.2">
      <c r="B2384" s="149"/>
      <c r="D2384" s="143" t="s">
        <v>346</v>
      </c>
      <c r="E2384" s="150"/>
      <c r="F2384" s="151" t="s">
        <v>2013</v>
      </c>
      <c r="H2384" s="152">
        <v>-8.4000000000000005E-2</v>
      </c>
      <c r="L2384" s="149"/>
      <c r="M2384" s="153"/>
      <c r="T2384" s="154"/>
      <c r="AT2384" s="150" t="s">
        <v>346</v>
      </c>
      <c r="AU2384" s="150" t="s">
        <v>90</v>
      </c>
      <c r="AV2384" s="148" t="s">
        <v>90</v>
      </c>
      <c r="AW2384" s="148" t="s">
        <v>33</v>
      </c>
      <c r="AX2384" s="148" t="s">
        <v>80</v>
      </c>
      <c r="AY2384" s="150" t="s">
        <v>337</v>
      </c>
    </row>
    <row r="2385" spans="2:51" s="148" customFormat="1" x14ac:dyDescent="0.2">
      <c r="B2385" s="149"/>
      <c r="D2385" s="143" t="s">
        <v>346</v>
      </c>
      <c r="E2385" s="150"/>
      <c r="F2385" s="151" t="s">
        <v>2014</v>
      </c>
      <c r="H2385" s="152">
        <v>0.52200000000000002</v>
      </c>
      <c r="L2385" s="149"/>
      <c r="M2385" s="153"/>
      <c r="T2385" s="154"/>
      <c r="AT2385" s="150" t="s">
        <v>346</v>
      </c>
      <c r="AU2385" s="150" t="s">
        <v>90</v>
      </c>
      <c r="AV2385" s="148" t="s">
        <v>90</v>
      </c>
      <c r="AW2385" s="148" t="s">
        <v>33</v>
      </c>
      <c r="AX2385" s="148" t="s">
        <v>80</v>
      </c>
      <c r="AY2385" s="150" t="s">
        <v>337</v>
      </c>
    </row>
    <row r="2386" spans="2:51" s="148" customFormat="1" x14ac:dyDescent="0.2">
      <c r="B2386" s="149"/>
      <c r="D2386" s="143" t="s">
        <v>346</v>
      </c>
      <c r="E2386" s="150"/>
      <c r="F2386" s="151" t="s">
        <v>2009</v>
      </c>
      <c r="H2386" s="152">
        <v>-5.3999999999999999E-2</v>
      </c>
      <c r="L2386" s="149"/>
      <c r="M2386" s="153"/>
      <c r="T2386" s="154"/>
      <c r="AT2386" s="150" t="s">
        <v>346</v>
      </c>
      <c r="AU2386" s="150" t="s">
        <v>90</v>
      </c>
      <c r="AV2386" s="148" t="s">
        <v>90</v>
      </c>
      <c r="AW2386" s="148" t="s">
        <v>33</v>
      </c>
      <c r="AX2386" s="148" t="s">
        <v>80</v>
      </c>
      <c r="AY2386" s="150" t="s">
        <v>337</v>
      </c>
    </row>
    <row r="2387" spans="2:51" s="172" customFormat="1" x14ac:dyDescent="0.2">
      <c r="B2387" s="173"/>
      <c r="D2387" s="143" t="s">
        <v>346</v>
      </c>
      <c r="E2387" s="174" t="s">
        <v>232</v>
      </c>
      <c r="F2387" s="175" t="s">
        <v>609</v>
      </c>
      <c r="H2387" s="176">
        <v>6.3239999999999998</v>
      </c>
      <c r="L2387" s="173"/>
      <c r="M2387" s="177"/>
      <c r="T2387" s="178"/>
      <c r="AT2387" s="174" t="s">
        <v>346</v>
      </c>
      <c r="AU2387" s="174" t="s">
        <v>90</v>
      </c>
      <c r="AV2387" s="172" t="s">
        <v>113</v>
      </c>
      <c r="AW2387" s="172" t="s">
        <v>33</v>
      </c>
      <c r="AX2387" s="172" t="s">
        <v>80</v>
      </c>
      <c r="AY2387" s="174" t="s">
        <v>337</v>
      </c>
    </row>
    <row r="2388" spans="2:51" s="141" customFormat="1" x14ac:dyDescent="0.2">
      <c r="B2388" s="142"/>
      <c r="D2388" s="143" t="s">
        <v>346</v>
      </c>
      <c r="E2388" s="144"/>
      <c r="F2388" s="145" t="s">
        <v>2015</v>
      </c>
      <c r="H2388" s="144"/>
      <c r="L2388" s="142"/>
      <c r="M2388" s="146"/>
      <c r="T2388" s="147"/>
      <c r="AT2388" s="144" t="s">
        <v>346</v>
      </c>
      <c r="AU2388" s="144" t="s">
        <v>90</v>
      </c>
      <c r="AV2388" s="141" t="s">
        <v>87</v>
      </c>
      <c r="AW2388" s="141" t="s">
        <v>33</v>
      </c>
      <c r="AX2388" s="141" t="s">
        <v>80</v>
      </c>
      <c r="AY2388" s="144" t="s">
        <v>337</v>
      </c>
    </row>
    <row r="2389" spans="2:51" s="141" customFormat="1" x14ac:dyDescent="0.2">
      <c r="B2389" s="142"/>
      <c r="D2389" s="143" t="s">
        <v>346</v>
      </c>
      <c r="E2389" s="144"/>
      <c r="F2389" s="145" t="s">
        <v>2016</v>
      </c>
      <c r="H2389" s="144"/>
      <c r="L2389" s="142"/>
      <c r="M2389" s="146"/>
      <c r="T2389" s="147"/>
      <c r="AT2389" s="144" t="s">
        <v>346</v>
      </c>
      <c r="AU2389" s="144" t="s">
        <v>90</v>
      </c>
      <c r="AV2389" s="141" t="s">
        <v>87</v>
      </c>
      <c r="AW2389" s="141" t="s">
        <v>33</v>
      </c>
      <c r="AX2389" s="141" t="s">
        <v>80</v>
      </c>
      <c r="AY2389" s="144" t="s">
        <v>337</v>
      </c>
    </row>
    <row r="2390" spans="2:51" s="148" customFormat="1" x14ac:dyDescent="0.2">
      <c r="B2390" s="149"/>
      <c r="D2390" s="143" t="s">
        <v>346</v>
      </c>
      <c r="E2390" s="150"/>
      <c r="F2390" s="151" t="s">
        <v>2017</v>
      </c>
      <c r="H2390" s="152">
        <v>6.62</v>
      </c>
      <c r="L2390" s="149"/>
      <c r="M2390" s="153"/>
      <c r="T2390" s="154"/>
      <c r="AT2390" s="150" t="s">
        <v>346</v>
      </c>
      <c r="AU2390" s="150" t="s">
        <v>90</v>
      </c>
      <c r="AV2390" s="148" t="s">
        <v>90</v>
      </c>
      <c r="AW2390" s="148" t="s">
        <v>33</v>
      </c>
      <c r="AX2390" s="148" t="s">
        <v>80</v>
      </c>
      <c r="AY2390" s="150" t="s">
        <v>337</v>
      </c>
    </row>
    <row r="2391" spans="2:51" s="141" customFormat="1" x14ac:dyDescent="0.2">
      <c r="B2391" s="142"/>
      <c r="D2391" s="143" t="s">
        <v>346</v>
      </c>
      <c r="E2391" s="144"/>
      <c r="F2391" s="145" t="s">
        <v>2018</v>
      </c>
      <c r="H2391" s="144"/>
      <c r="L2391" s="142"/>
      <c r="M2391" s="146"/>
      <c r="T2391" s="147"/>
      <c r="AT2391" s="144" t="s">
        <v>346</v>
      </c>
      <c r="AU2391" s="144" t="s">
        <v>90</v>
      </c>
      <c r="AV2391" s="141" t="s">
        <v>87</v>
      </c>
      <c r="AW2391" s="141" t="s">
        <v>33</v>
      </c>
      <c r="AX2391" s="141" t="s">
        <v>80</v>
      </c>
      <c r="AY2391" s="144" t="s">
        <v>337</v>
      </c>
    </row>
    <row r="2392" spans="2:51" s="148" customFormat="1" x14ac:dyDescent="0.2">
      <c r="B2392" s="149"/>
      <c r="D2392" s="143" t="s">
        <v>346</v>
      </c>
      <c r="E2392" s="150"/>
      <c r="F2392" s="151" t="s">
        <v>2019</v>
      </c>
      <c r="H2392" s="152">
        <v>13.76</v>
      </c>
      <c r="L2392" s="149"/>
      <c r="M2392" s="153"/>
      <c r="T2392" s="154"/>
      <c r="AT2392" s="150" t="s">
        <v>346</v>
      </c>
      <c r="AU2392" s="150" t="s">
        <v>90</v>
      </c>
      <c r="AV2392" s="148" t="s">
        <v>90</v>
      </c>
      <c r="AW2392" s="148" t="s">
        <v>33</v>
      </c>
      <c r="AX2392" s="148" t="s">
        <v>80</v>
      </c>
      <c r="AY2392" s="150" t="s">
        <v>337</v>
      </c>
    </row>
    <row r="2393" spans="2:51" s="141" customFormat="1" x14ac:dyDescent="0.2">
      <c r="B2393" s="142"/>
      <c r="D2393" s="143" t="s">
        <v>346</v>
      </c>
      <c r="E2393" s="144"/>
      <c r="F2393" s="145" t="s">
        <v>2020</v>
      </c>
      <c r="H2393" s="144"/>
      <c r="L2393" s="142"/>
      <c r="M2393" s="146"/>
      <c r="T2393" s="147"/>
      <c r="AT2393" s="144" t="s">
        <v>346</v>
      </c>
      <c r="AU2393" s="144" t="s">
        <v>90</v>
      </c>
      <c r="AV2393" s="141" t="s">
        <v>87</v>
      </c>
      <c r="AW2393" s="141" t="s">
        <v>33</v>
      </c>
      <c r="AX2393" s="141" t="s">
        <v>80</v>
      </c>
      <c r="AY2393" s="144" t="s">
        <v>337</v>
      </c>
    </row>
    <row r="2394" spans="2:51" s="148" customFormat="1" x14ac:dyDescent="0.2">
      <c r="B2394" s="149"/>
      <c r="D2394" s="143" t="s">
        <v>346</v>
      </c>
      <c r="E2394" s="150"/>
      <c r="F2394" s="151" t="s">
        <v>2021</v>
      </c>
      <c r="H2394" s="152">
        <v>11.83</v>
      </c>
      <c r="L2394" s="149"/>
      <c r="M2394" s="153"/>
      <c r="T2394" s="154"/>
      <c r="AT2394" s="150" t="s">
        <v>346</v>
      </c>
      <c r="AU2394" s="150" t="s">
        <v>90</v>
      </c>
      <c r="AV2394" s="148" t="s">
        <v>90</v>
      </c>
      <c r="AW2394" s="148" t="s">
        <v>33</v>
      </c>
      <c r="AX2394" s="148" t="s">
        <v>80</v>
      </c>
      <c r="AY2394" s="150" t="s">
        <v>337</v>
      </c>
    </row>
    <row r="2395" spans="2:51" s="141" customFormat="1" x14ac:dyDescent="0.2">
      <c r="B2395" s="142"/>
      <c r="D2395" s="143" t="s">
        <v>346</v>
      </c>
      <c r="E2395" s="144"/>
      <c r="F2395" s="145" t="s">
        <v>2022</v>
      </c>
      <c r="H2395" s="144"/>
      <c r="L2395" s="142"/>
      <c r="M2395" s="146"/>
      <c r="T2395" s="147"/>
      <c r="AT2395" s="144" t="s">
        <v>346</v>
      </c>
      <c r="AU2395" s="144" t="s">
        <v>90</v>
      </c>
      <c r="AV2395" s="141" t="s">
        <v>87</v>
      </c>
      <c r="AW2395" s="141" t="s">
        <v>33</v>
      </c>
      <c r="AX2395" s="141" t="s">
        <v>80</v>
      </c>
      <c r="AY2395" s="144" t="s">
        <v>337</v>
      </c>
    </row>
    <row r="2396" spans="2:51" s="148" customFormat="1" x14ac:dyDescent="0.2">
      <c r="B2396" s="149"/>
      <c r="D2396" s="143" t="s">
        <v>346</v>
      </c>
      <c r="E2396" s="150"/>
      <c r="F2396" s="151" t="s">
        <v>2023</v>
      </c>
      <c r="H2396" s="152">
        <v>3.72</v>
      </c>
      <c r="L2396" s="149"/>
      <c r="M2396" s="153"/>
      <c r="T2396" s="154"/>
      <c r="AT2396" s="150" t="s">
        <v>346</v>
      </c>
      <c r="AU2396" s="150" t="s">
        <v>90</v>
      </c>
      <c r="AV2396" s="148" t="s">
        <v>90</v>
      </c>
      <c r="AW2396" s="148" t="s">
        <v>33</v>
      </c>
      <c r="AX2396" s="148" t="s">
        <v>80</v>
      </c>
      <c r="AY2396" s="150" t="s">
        <v>337</v>
      </c>
    </row>
    <row r="2397" spans="2:51" s="141" customFormat="1" x14ac:dyDescent="0.2">
      <c r="B2397" s="142"/>
      <c r="D2397" s="143" t="s">
        <v>346</v>
      </c>
      <c r="E2397" s="144"/>
      <c r="F2397" s="145" t="s">
        <v>2024</v>
      </c>
      <c r="H2397" s="144"/>
      <c r="L2397" s="142"/>
      <c r="M2397" s="146"/>
      <c r="T2397" s="147"/>
      <c r="AT2397" s="144" t="s">
        <v>346</v>
      </c>
      <c r="AU2397" s="144" t="s">
        <v>90</v>
      </c>
      <c r="AV2397" s="141" t="s">
        <v>87</v>
      </c>
      <c r="AW2397" s="141" t="s">
        <v>33</v>
      </c>
      <c r="AX2397" s="141" t="s">
        <v>80</v>
      </c>
      <c r="AY2397" s="144" t="s">
        <v>337</v>
      </c>
    </row>
    <row r="2398" spans="2:51" s="148" customFormat="1" x14ac:dyDescent="0.2">
      <c r="B2398" s="149"/>
      <c r="D2398" s="143" t="s">
        <v>346</v>
      </c>
      <c r="E2398" s="150"/>
      <c r="F2398" s="151" t="s">
        <v>2025</v>
      </c>
      <c r="H2398" s="152">
        <v>63.37</v>
      </c>
      <c r="L2398" s="149"/>
      <c r="M2398" s="153"/>
      <c r="T2398" s="154"/>
      <c r="AT2398" s="150" t="s">
        <v>346</v>
      </c>
      <c r="AU2398" s="150" t="s">
        <v>90</v>
      </c>
      <c r="AV2398" s="148" t="s">
        <v>90</v>
      </c>
      <c r="AW2398" s="148" t="s">
        <v>33</v>
      </c>
      <c r="AX2398" s="148" t="s">
        <v>80</v>
      </c>
      <c r="AY2398" s="150" t="s">
        <v>337</v>
      </c>
    </row>
    <row r="2399" spans="2:51" s="141" customFormat="1" x14ac:dyDescent="0.2">
      <c r="B2399" s="142"/>
      <c r="D2399" s="143" t="s">
        <v>346</v>
      </c>
      <c r="E2399" s="144"/>
      <c r="F2399" s="145" t="s">
        <v>2026</v>
      </c>
      <c r="H2399" s="144"/>
      <c r="L2399" s="142"/>
      <c r="M2399" s="146"/>
      <c r="T2399" s="147"/>
      <c r="AT2399" s="144" t="s">
        <v>346</v>
      </c>
      <c r="AU2399" s="144" t="s">
        <v>90</v>
      </c>
      <c r="AV2399" s="141" t="s">
        <v>87</v>
      </c>
      <c r="AW2399" s="141" t="s">
        <v>33</v>
      </c>
      <c r="AX2399" s="141" t="s">
        <v>80</v>
      </c>
      <c r="AY2399" s="144" t="s">
        <v>337</v>
      </c>
    </row>
    <row r="2400" spans="2:51" s="148" customFormat="1" x14ac:dyDescent="0.2">
      <c r="B2400" s="149"/>
      <c r="D2400" s="143" t="s">
        <v>346</v>
      </c>
      <c r="E2400" s="150"/>
      <c r="F2400" s="151" t="s">
        <v>2027</v>
      </c>
      <c r="H2400" s="152">
        <v>35.92</v>
      </c>
      <c r="L2400" s="149"/>
      <c r="M2400" s="153"/>
      <c r="T2400" s="154"/>
      <c r="AT2400" s="150" t="s">
        <v>346</v>
      </c>
      <c r="AU2400" s="150" t="s">
        <v>90</v>
      </c>
      <c r="AV2400" s="148" t="s">
        <v>90</v>
      </c>
      <c r="AW2400" s="148" t="s">
        <v>33</v>
      </c>
      <c r="AX2400" s="148" t="s">
        <v>80</v>
      </c>
      <c r="AY2400" s="150" t="s">
        <v>337</v>
      </c>
    </row>
    <row r="2401" spans="2:65" s="141" customFormat="1" x14ac:dyDescent="0.2">
      <c r="B2401" s="142"/>
      <c r="D2401" s="143" t="s">
        <v>346</v>
      </c>
      <c r="E2401" s="144"/>
      <c r="F2401" s="145" t="s">
        <v>2028</v>
      </c>
      <c r="H2401" s="144"/>
      <c r="L2401" s="142"/>
      <c r="M2401" s="146"/>
      <c r="T2401" s="147"/>
      <c r="AT2401" s="144" t="s">
        <v>346</v>
      </c>
      <c r="AU2401" s="144" t="s">
        <v>90</v>
      </c>
      <c r="AV2401" s="141" t="s">
        <v>87</v>
      </c>
      <c r="AW2401" s="141" t="s">
        <v>33</v>
      </c>
      <c r="AX2401" s="141" t="s">
        <v>80</v>
      </c>
      <c r="AY2401" s="144" t="s">
        <v>337</v>
      </c>
    </row>
    <row r="2402" spans="2:65" s="148" customFormat="1" x14ac:dyDescent="0.2">
      <c r="B2402" s="149"/>
      <c r="D2402" s="143" t="s">
        <v>346</v>
      </c>
      <c r="E2402" s="150"/>
      <c r="F2402" s="151" t="s">
        <v>2029</v>
      </c>
      <c r="H2402" s="152">
        <v>21.42</v>
      </c>
      <c r="L2402" s="149"/>
      <c r="M2402" s="153"/>
      <c r="T2402" s="154"/>
      <c r="AT2402" s="150" t="s">
        <v>346</v>
      </c>
      <c r="AU2402" s="150" t="s">
        <v>90</v>
      </c>
      <c r="AV2402" s="148" t="s">
        <v>90</v>
      </c>
      <c r="AW2402" s="148" t="s">
        <v>33</v>
      </c>
      <c r="AX2402" s="148" t="s">
        <v>80</v>
      </c>
      <c r="AY2402" s="150" t="s">
        <v>337</v>
      </c>
    </row>
    <row r="2403" spans="2:65" s="141" customFormat="1" x14ac:dyDescent="0.2">
      <c r="B2403" s="142"/>
      <c r="D2403" s="143" t="s">
        <v>346</v>
      </c>
      <c r="E2403" s="144"/>
      <c r="F2403" s="145" t="s">
        <v>2030</v>
      </c>
      <c r="H2403" s="144"/>
      <c r="L2403" s="142"/>
      <c r="M2403" s="146"/>
      <c r="T2403" s="147"/>
      <c r="AT2403" s="144" t="s">
        <v>346</v>
      </c>
      <c r="AU2403" s="144" t="s">
        <v>90</v>
      </c>
      <c r="AV2403" s="141" t="s">
        <v>87</v>
      </c>
      <c r="AW2403" s="141" t="s">
        <v>33</v>
      </c>
      <c r="AX2403" s="141" t="s">
        <v>80</v>
      </c>
      <c r="AY2403" s="144" t="s">
        <v>337</v>
      </c>
    </row>
    <row r="2404" spans="2:65" s="148" customFormat="1" x14ac:dyDescent="0.2">
      <c r="B2404" s="149"/>
      <c r="D2404" s="143" t="s">
        <v>346</v>
      </c>
      <c r="E2404" s="150"/>
      <c r="F2404" s="151" t="s">
        <v>2031</v>
      </c>
      <c r="H2404" s="152">
        <v>25.8</v>
      </c>
      <c r="L2404" s="149"/>
      <c r="M2404" s="153"/>
      <c r="T2404" s="154"/>
      <c r="AT2404" s="150" t="s">
        <v>346</v>
      </c>
      <c r="AU2404" s="150" t="s">
        <v>90</v>
      </c>
      <c r="AV2404" s="148" t="s">
        <v>90</v>
      </c>
      <c r="AW2404" s="148" t="s">
        <v>33</v>
      </c>
      <c r="AX2404" s="148" t="s">
        <v>80</v>
      </c>
      <c r="AY2404" s="150" t="s">
        <v>337</v>
      </c>
    </row>
    <row r="2405" spans="2:65" s="141" customFormat="1" x14ac:dyDescent="0.2">
      <c r="B2405" s="142"/>
      <c r="D2405" s="143" t="s">
        <v>346</v>
      </c>
      <c r="E2405" s="144"/>
      <c r="F2405" s="145" t="s">
        <v>2032</v>
      </c>
      <c r="H2405" s="144"/>
      <c r="L2405" s="142"/>
      <c r="M2405" s="146"/>
      <c r="T2405" s="147"/>
      <c r="AT2405" s="144" t="s">
        <v>346</v>
      </c>
      <c r="AU2405" s="144" t="s">
        <v>90</v>
      </c>
      <c r="AV2405" s="141" t="s">
        <v>87</v>
      </c>
      <c r="AW2405" s="141" t="s">
        <v>33</v>
      </c>
      <c r="AX2405" s="141" t="s">
        <v>80</v>
      </c>
      <c r="AY2405" s="144" t="s">
        <v>337</v>
      </c>
    </row>
    <row r="2406" spans="2:65" s="148" customFormat="1" x14ac:dyDescent="0.2">
      <c r="B2406" s="149"/>
      <c r="D2406" s="143" t="s">
        <v>346</v>
      </c>
      <c r="E2406" s="150"/>
      <c r="F2406" s="151" t="s">
        <v>2033</v>
      </c>
      <c r="H2406" s="152">
        <v>17.38</v>
      </c>
      <c r="L2406" s="149"/>
      <c r="M2406" s="153"/>
      <c r="T2406" s="154"/>
      <c r="AT2406" s="150" t="s">
        <v>346</v>
      </c>
      <c r="AU2406" s="150" t="s">
        <v>90</v>
      </c>
      <c r="AV2406" s="148" t="s">
        <v>90</v>
      </c>
      <c r="AW2406" s="148" t="s">
        <v>33</v>
      </c>
      <c r="AX2406" s="148" t="s">
        <v>80</v>
      </c>
      <c r="AY2406" s="150" t="s">
        <v>337</v>
      </c>
    </row>
    <row r="2407" spans="2:65" s="141" customFormat="1" x14ac:dyDescent="0.2">
      <c r="B2407" s="142"/>
      <c r="D2407" s="143" t="s">
        <v>346</v>
      </c>
      <c r="E2407" s="144"/>
      <c r="F2407" s="145" t="s">
        <v>2034</v>
      </c>
      <c r="H2407" s="144"/>
      <c r="L2407" s="142"/>
      <c r="M2407" s="146"/>
      <c r="T2407" s="147"/>
      <c r="AT2407" s="144" t="s">
        <v>346</v>
      </c>
      <c r="AU2407" s="144" t="s">
        <v>90</v>
      </c>
      <c r="AV2407" s="141" t="s">
        <v>87</v>
      </c>
      <c r="AW2407" s="141" t="s">
        <v>33</v>
      </c>
      <c r="AX2407" s="141" t="s">
        <v>80</v>
      </c>
      <c r="AY2407" s="144" t="s">
        <v>337</v>
      </c>
    </row>
    <row r="2408" spans="2:65" s="148" customFormat="1" x14ac:dyDescent="0.2">
      <c r="B2408" s="149"/>
      <c r="D2408" s="143" t="s">
        <v>346</v>
      </c>
      <c r="E2408" s="150"/>
      <c r="F2408" s="151" t="s">
        <v>2035</v>
      </c>
      <c r="H2408" s="152">
        <v>21.64</v>
      </c>
      <c r="L2408" s="149"/>
      <c r="M2408" s="153"/>
      <c r="T2408" s="154"/>
      <c r="AT2408" s="150" t="s">
        <v>346</v>
      </c>
      <c r="AU2408" s="150" t="s">
        <v>90</v>
      </c>
      <c r="AV2408" s="148" t="s">
        <v>90</v>
      </c>
      <c r="AW2408" s="148" t="s">
        <v>33</v>
      </c>
      <c r="AX2408" s="148" t="s">
        <v>80</v>
      </c>
      <c r="AY2408" s="150" t="s">
        <v>337</v>
      </c>
    </row>
    <row r="2409" spans="2:65" s="141" customFormat="1" x14ac:dyDescent="0.2">
      <c r="B2409" s="142"/>
      <c r="D2409" s="143" t="s">
        <v>346</v>
      </c>
      <c r="E2409" s="144"/>
      <c r="F2409" s="145" t="s">
        <v>2036</v>
      </c>
      <c r="H2409" s="144"/>
      <c r="L2409" s="142"/>
      <c r="M2409" s="146"/>
      <c r="T2409" s="147"/>
      <c r="AT2409" s="144" t="s">
        <v>346</v>
      </c>
      <c r="AU2409" s="144" t="s">
        <v>90</v>
      </c>
      <c r="AV2409" s="141" t="s">
        <v>87</v>
      </c>
      <c r="AW2409" s="141" t="s">
        <v>33</v>
      </c>
      <c r="AX2409" s="141" t="s">
        <v>80</v>
      </c>
      <c r="AY2409" s="144" t="s">
        <v>337</v>
      </c>
    </row>
    <row r="2410" spans="2:65" s="148" customFormat="1" x14ac:dyDescent="0.2">
      <c r="B2410" s="149"/>
      <c r="D2410" s="143" t="s">
        <v>346</v>
      </c>
      <c r="E2410" s="150"/>
      <c r="F2410" s="151" t="s">
        <v>2037</v>
      </c>
      <c r="H2410" s="152">
        <v>11.31</v>
      </c>
      <c r="L2410" s="149"/>
      <c r="M2410" s="153"/>
      <c r="T2410" s="154"/>
      <c r="AT2410" s="150" t="s">
        <v>346</v>
      </c>
      <c r="AU2410" s="150" t="s">
        <v>90</v>
      </c>
      <c r="AV2410" s="148" t="s">
        <v>90</v>
      </c>
      <c r="AW2410" s="148" t="s">
        <v>33</v>
      </c>
      <c r="AX2410" s="148" t="s">
        <v>80</v>
      </c>
      <c r="AY2410" s="150" t="s">
        <v>337</v>
      </c>
    </row>
    <row r="2411" spans="2:65" s="172" customFormat="1" x14ac:dyDescent="0.2">
      <c r="B2411" s="173"/>
      <c r="D2411" s="143" t="s">
        <v>346</v>
      </c>
      <c r="E2411" s="174" t="s">
        <v>298</v>
      </c>
      <c r="F2411" s="175" t="s">
        <v>609</v>
      </c>
      <c r="H2411" s="176">
        <v>232.77</v>
      </c>
      <c r="L2411" s="173"/>
      <c r="M2411" s="177"/>
      <c r="T2411" s="178"/>
      <c r="AT2411" s="174" t="s">
        <v>346</v>
      </c>
      <c r="AU2411" s="174" t="s">
        <v>90</v>
      </c>
      <c r="AV2411" s="172" t="s">
        <v>113</v>
      </c>
      <c r="AW2411" s="172" t="s">
        <v>33</v>
      </c>
      <c r="AX2411" s="172" t="s">
        <v>80</v>
      </c>
      <c r="AY2411" s="174" t="s">
        <v>337</v>
      </c>
    </row>
    <row r="2412" spans="2:65" s="155" customFormat="1" x14ac:dyDescent="0.2">
      <c r="B2412" s="156"/>
      <c r="D2412" s="143" t="s">
        <v>346</v>
      </c>
      <c r="E2412" s="157"/>
      <c r="F2412" s="158" t="s">
        <v>351</v>
      </c>
      <c r="H2412" s="159">
        <v>379.73399999999998</v>
      </c>
      <c r="L2412" s="156"/>
      <c r="M2412" s="160"/>
      <c r="T2412" s="161"/>
      <c r="AT2412" s="157" t="s">
        <v>346</v>
      </c>
      <c r="AU2412" s="157" t="s">
        <v>90</v>
      </c>
      <c r="AV2412" s="155" t="s">
        <v>344</v>
      </c>
      <c r="AW2412" s="155" t="s">
        <v>33</v>
      </c>
      <c r="AX2412" s="155" t="s">
        <v>87</v>
      </c>
      <c r="AY2412" s="157" t="s">
        <v>337</v>
      </c>
    </row>
    <row r="2413" spans="2:65" s="16" customFormat="1" ht="16.5" customHeight="1" x14ac:dyDescent="0.2">
      <c r="B2413" s="17"/>
      <c r="C2413" s="128">
        <v>184</v>
      </c>
      <c r="D2413" s="128" t="s">
        <v>339</v>
      </c>
      <c r="E2413" s="129" t="s">
        <v>2039</v>
      </c>
      <c r="F2413" s="130" t="s">
        <v>2040</v>
      </c>
      <c r="G2413" s="131" t="s">
        <v>724</v>
      </c>
      <c r="H2413" s="132">
        <v>105.4</v>
      </c>
      <c r="I2413" s="133"/>
      <c r="J2413" s="134">
        <f>ROUND(I2413*H2413,2)</f>
        <v>0</v>
      </c>
      <c r="K2413" s="130" t="s">
        <v>343</v>
      </c>
      <c r="L2413" s="17"/>
      <c r="M2413" s="135"/>
      <c r="N2413" s="136" t="s">
        <v>45</v>
      </c>
      <c r="P2413" s="137">
        <f>O2413*H2413</f>
        <v>0</v>
      </c>
      <c r="Q2413" s="137">
        <v>3.1199999999999999E-3</v>
      </c>
      <c r="R2413" s="137">
        <f>Q2413*H2413</f>
        <v>0.32884800000000003</v>
      </c>
      <c r="S2413" s="137">
        <v>0</v>
      </c>
      <c r="T2413" s="138">
        <f>S2413*H2413</f>
        <v>0</v>
      </c>
      <c r="AR2413" s="139" t="s">
        <v>496</v>
      </c>
      <c r="AT2413" s="139" t="s">
        <v>339</v>
      </c>
      <c r="AU2413" s="139" t="s">
        <v>90</v>
      </c>
      <c r="AY2413" s="2" t="s">
        <v>337</v>
      </c>
      <c r="BE2413" s="140">
        <f>IF(N2413="základní",J2413,0)</f>
        <v>0</v>
      </c>
      <c r="BF2413" s="140">
        <f>IF(N2413="snížená",J2413,0)</f>
        <v>0</v>
      </c>
      <c r="BG2413" s="140">
        <f>IF(N2413="zákl. přenesená",J2413,0)</f>
        <v>0</v>
      </c>
      <c r="BH2413" s="140">
        <f>IF(N2413="sníž. přenesená",J2413,0)</f>
        <v>0</v>
      </c>
      <c r="BI2413" s="140">
        <f>IF(N2413="nulová",J2413,0)</f>
        <v>0</v>
      </c>
      <c r="BJ2413" s="2" t="s">
        <v>87</v>
      </c>
      <c r="BK2413" s="140">
        <f>ROUND(I2413*H2413,2)</f>
        <v>0</v>
      </c>
      <c r="BL2413" s="2" t="s">
        <v>496</v>
      </c>
      <c r="BM2413" s="139" t="s">
        <v>2041</v>
      </c>
    </row>
    <row r="2414" spans="2:65" s="148" customFormat="1" x14ac:dyDescent="0.2">
      <c r="B2414" s="149"/>
      <c r="D2414" s="143" t="s">
        <v>346</v>
      </c>
      <c r="E2414" s="150"/>
      <c r="F2414" s="151" t="s">
        <v>2042</v>
      </c>
      <c r="H2414" s="152">
        <v>105.4</v>
      </c>
      <c r="L2414" s="149"/>
      <c r="M2414" s="153"/>
      <c r="T2414" s="154"/>
      <c r="AT2414" s="150" t="s">
        <v>346</v>
      </c>
      <c r="AU2414" s="150" t="s">
        <v>90</v>
      </c>
      <c r="AV2414" s="148" t="s">
        <v>90</v>
      </c>
      <c r="AW2414" s="148" t="s">
        <v>33</v>
      </c>
      <c r="AX2414" s="148" t="s">
        <v>87</v>
      </c>
      <c r="AY2414" s="150" t="s">
        <v>337</v>
      </c>
    </row>
    <row r="2415" spans="2:65" s="16" customFormat="1" ht="16.5" customHeight="1" x14ac:dyDescent="0.2">
      <c r="B2415" s="17"/>
      <c r="C2415" s="128">
        <v>185</v>
      </c>
      <c r="D2415" s="128" t="s">
        <v>339</v>
      </c>
      <c r="E2415" s="129" t="s">
        <v>2043</v>
      </c>
      <c r="F2415" s="130" t="s">
        <v>2044</v>
      </c>
      <c r="G2415" s="131" t="s">
        <v>425</v>
      </c>
      <c r="H2415" s="132">
        <v>247.77</v>
      </c>
      <c r="I2415" s="133"/>
      <c r="J2415" s="134">
        <f>ROUND(I2415*H2415,2)</f>
        <v>0</v>
      </c>
      <c r="K2415" s="130" t="s">
        <v>343</v>
      </c>
      <c r="L2415" s="17"/>
      <c r="M2415" s="135"/>
      <c r="N2415" s="136" t="s">
        <v>45</v>
      </c>
      <c r="P2415" s="137">
        <f>O2415*H2415</f>
        <v>0</v>
      </c>
      <c r="Q2415" s="137">
        <v>7.5000000000000002E-4</v>
      </c>
      <c r="R2415" s="137">
        <f>Q2415*H2415</f>
        <v>0.18582750000000001</v>
      </c>
      <c r="S2415" s="137">
        <v>0</v>
      </c>
      <c r="T2415" s="138">
        <f>S2415*H2415</f>
        <v>0</v>
      </c>
      <c r="AR2415" s="139" t="s">
        <v>496</v>
      </c>
      <c r="AT2415" s="139" t="s">
        <v>339</v>
      </c>
      <c r="AU2415" s="139" t="s">
        <v>90</v>
      </c>
      <c r="AY2415" s="2" t="s">
        <v>337</v>
      </c>
      <c r="BE2415" s="140">
        <f>IF(N2415="základní",J2415,0)</f>
        <v>0</v>
      </c>
      <c r="BF2415" s="140">
        <f>IF(N2415="snížená",J2415,0)</f>
        <v>0</v>
      </c>
      <c r="BG2415" s="140">
        <f>IF(N2415="zákl. přenesená",J2415,0)</f>
        <v>0</v>
      </c>
      <c r="BH2415" s="140">
        <f>IF(N2415="sníž. přenesená",J2415,0)</f>
        <v>0</v>
      </c>
      <c r="BI2415" s="140">
        <f>IF(N2415="nulová",J2415,0)</f>
        <v>0</v>
      </c>
      <c r="BJ2415" s="2" t="s">
        <v>87</v>
      </c>
      <c r="BK2415" s="140">
        <f>ROUND(I2415*H2415,2)</f>
        <v>0</v>
      </c>
      <c r="BL2415" s="2" t="s">
        <v>496</v>
      </c>
      <c r="BM2415" s="139" t="s">
        <v>2045</v>
      </c>
    </row>
    <row r="2416" spans="2:65" s="141" customFormat="1" x14ac:dyDescent="0.2">
      <c r="B2416" s="142"/>
      <c r="D2416" s="143" t="s">
        <v>346</v>
      </c>
      <c r="E2416" s="144"/>
      <c r="F2416" s="145" t="s">
        <v>833</v>
      </c>
      <c r="H2416" s="144"/>
      <c r="L2416" s="142"/>
      <c r="M2416" s="146"/>
      <c r="T2416" s="147"/>
      <c r="AT2416" s="144" t="s">
        <v>346</v>
      </c>
      <c r="AU2416" s="144" t="s">
        <v>90</v>
      </c>
      <c r="AV2416" s="141" t="s">
        <v>87</v>
      </c>
      <c r="AW2416" s="141" t="s">
        <v>33</v>
      </c>
      <c r="AX2416" s="141" t="s">
        <v>80</v>
      </c>
      <c r="AY2416" s="144" t="s">
        <v>337</v>
      </c>
    </row>
    <row r="2417" spans="2:65" s="141" customFormat="1" x14ac:dyDescent="0.2">
      <c r="B2417" s="142"/>
      <c r="D2417" s="143" t="s">
        <v>346</v>
      </c>
      <c r="E2417" s="144"/>
      <c r="F2417" s="145" t="s">
        <v>2046</v>
      </c>
      <c r="H2417" s="144"/>
      <c r="L2417" s="142"/>
      <c r="M2417" s="146"/>
      <c r="T2417" s="147"/>
      <c r="AT2417" s="144" t="s">
        <v>346</v>
      </c>
      <c r="AU2417" s="144" t="s">
        <v>90</v>
      </c>
      <c r="AV2417" s="141" t="s">
        <v>87</v>
      </c>
      <c r="AW2417" s="141" t="s">
        <v>33</v>
      </c>
      <c r="AX2417" s="141" t="s">
        <v>80</v>
      </c>
      <c r="AY2417" s="144" t="s">
        <v>337</v>
      </c>
    </row>
    <row r="2418" spans="2:65" s="141" customFormat="1" x14ac:dyDescent="0.2">
      <c r="B2418" s="142"/>
      <c r="D2418" s="143" t="s">
        <v>346</v>
      </c>
      <c r="E2418" s="144"/>
      <c r="F2418" s="145" t="s">
        <v>1688</v>
      </c>
      <c r="H2418" s="144"/>
      <c r="L2418" s="142"/>
      <c r="M2418" s="146"/>
      <c r="T2418" s="147"/>
      <c r="AT2418" s="144" t="s">
        <v>346</v>
      </c>
      <c r="AU2418" s="144" t="s">
        <v>90</v>
      </c>
      <c r="AV2418" s="141" t="s">
        <v>87</v>
      </c>
      <c r="AW2418" s="141" t="s">
        <v>33</v>
      </c>
      <c r="AX2418" s="141" t="s">
        <v>80</v>
      </c>
      <c r="AY2418" s="144" t="s">
        <v>337</v>
      </c>
    </row>
    <row r="2419" spans="2:65" s="148" customFormat="1" x14ac:dyDescent="0.2">
      <c r="B2419" s="149"/>
      <c r="D2419" s="143" t="s">
        <v>346</v>
      </c>
      <c r="E2419" s="150"/>
      <c r="F2419" s="151" t="s">
        <v>219</v>
      </c>
      <c r="H2419" s="152">
        <v>232.77</v>
      </c>
      <c r="L2419" s="149"/>
      <c r="M2419" s="153"/>
      <c r="T2419" s="154"/>
      <c r="AT2419" s="150" t="s">
        <v>346</v>
      </c>
      <c r="AU2419" s="150" t="s">
        <v>90</v>
      </c>
      <c r="AV2419" s="148" t="s">
        <v>90</v>
      </c>
      <c r="AW2419" s="148" t="s">
        <v>33</v>
      </c>
      <c r="AX2419" s="148" t="s">
        <v>80</v>
      </c>
      <c r="AY2419" s="150" t="s">
        <v>337</v>
      </c>
    </row>
    <row r="2420" spans="2:65" s="172" customFormat="1" x14ac:dyDescent="0.2">
      <c r="B2420" s="173"/>
      <c r="D2420" s="143" t="s">
        <v>346</v>
      </c>
      <c r="E2420" s="174" t="s">
        <v>218</v>
      </c>
      <c r="F2420" s="175" t="s">
        <v>609</v>
      </c>
      <c r="H2420" s="176">
        <v>232.77</v>
      </c>
      <c r="L2420" s="173"/>
      <c r="M2420" s="177"/>
      <c r="T2420" s="178"/>
      <c r="AT2420" s="174" t="s">
        <v>346</v>
      </c>
      <c r="AU2420" s="174" t="s">
        <v>90</v>
      </c>
      <c r="AV2420" s="172" t="s">
        <v>113</v>
      </c>
      <c r="AW2420" s="172" t="s">
        <v>33</v>
      </c>
      <c r="AX2420" s="172" t="s">
        <v>80</v>
      </c>
      <c r="AY2420" s="174" t="s">
        <v>337</v>
      </c>
    </row>
    <row r="2421" spans="2:65" s="141" customFormat="1" x14ac:dyDescent="0.2">
      <c r="B2421" s="142"/>
      <c r="D2421" s="143" t="s">
        <v>346</v>
      </c>
      <c r="E2421" s="144"/>
      <c r="F2421" s="145" t="s">
        <v>2047</v>
      </c>
      <c r="H2421" s="144"/>
      <c r="L2421" s="142"/>
      <c r="M2421" s="146"/>
      <c r="T2421" s="147"/>
      <c r="AT2421" s="144" t="s">
        <v>346</v>
      </c>
      <c r="AU2421" s="144" t="s">
        <v>90</v>
      </c>
      <c r="AV2421" s="141" t="s">
        <v>87</v>
      </c>
      <c r="AW2421" s="141" t="s">
        <v>33</v>
      </c>
      <c r="AX2421" s="141" t="s">
        <v>80</v>
      </c>
      <c r="AY2421" s="144" t="s">
        <v>337</v>
      </c>
    </row>
    <row r="2422" spans="2:65" s="148" customFormat="1" x14ac:dyDescent="0.2">
      <c r="B2422" s="149"/>
      <c r="D2422" s="143" t="s">
        <v>346</v>
      </c>
      <c r="E2422" s="150"/>
      <c r="F2422" s="151" t="s">
        <v>2048</v>
      </c>
      <c r="H2422" s="152">
        <v>15</v>
      </c>
      <c r="L2422" s="149"/>
      <c r="M2422" s="153"/>
      <c r="T2422" s="154"/>
      <c r="AT2422" s="150" t="s">
        <v>346</v>
      </c>
      <c r="AU2422" s="150" t="s">
        <v>90</v>
      </c>
      <c r="AV2422" s="148" t="s">
        <v>90</v>
      </c>
      <c r="AW2422" s="148" t="s">
        <v>33</v>
      </c>
      <c r="AX2422" s="148" t="s">
        <v>80</v>
      </c>
      <c r="AY2422" s="150" t="s">
        <v>337</v>
      </c>
    </row>
    <row r="2423" spans="2:65" s="155" customFormat="1" x14ac:dyDescent="0.2">
      <c r="B2423" s="156"/>
      <c r="D2423" s="143" t="s">
        <v>346</v>
      </c>
      <c r="E2423" s="157"/>
      <c r="F2423" s="158" t="s">
        <v>351</v>
      </c>
      <c r="H2423" s="159">
        <v>247.77</v>
      </c>
      <c r="L2423" s="156"/>
      <c r="M2423" s="160"/>
      <c r="T2423" s="161"/>
      <c r="AT2423" s="157" t="s">
        <v>346</v>
      </c>
      <c r="AU2423" s="157" t="s">
        <v>90</v>
      </c>
      <c r="AV2423" s="155" t="s">
        <v>344</v>
      </c>
      <c r="AW2423" s="155" t="s">
        <v>33</v>
      </c>
      <c r="AX2423" s="155" t="s">
        <v>87</v>
      </c>
      <c r="AY2423" s="157" t="s">
        <v>337</v>
      </c>
    </row>
    <row r="2424" spans="2:65" s="16" customFormat="1" ht="16.5" customHeight="1" x14ac:dyDescent="0.2">
      <c r="B2424" s="17"/>
      <c r="C2424" s="128">
        <v>186</v>
      </c>
      <c r="D2424" s="128" t="s">
        <v>339</v>
      </c>
      <c r="E2424" s="129" t="s">
        <v>2050</v>
      </c>
      <c r="F2424" s="130" t="s">
        <v>2051</v>
      </c>
      <c r="G2424" s="131" t="s">
        <v>425</v>
      </c>
      <c r="H2424" s="132">
        <v>247.77</v>
      </c>
      <c r="I2424" s="133"/>
      <c r="J2424" s="134">
        <f>ROUND(I2424*H2424,2)</f>
        <v>0</v>
      </c>
      <c r="K2424" s="130" t="s">
        <v>343</v>
      </c>
      <c r="L2424" s="17"/>
      <c r="M2424" s="135"/>
      <c r="N2424" s="136" t="s">
        <v>45</v>
      </c>
      <c r="P2424" s="137">
        <f>O2424*H2424</f>
        <v>0</v>
      </c>
      <c r="Q2424" s="137">
        <v>6.0000000000000002E-5</v>
      </c>
      <c r="R2424" s="137">
        <f>Q2424*H2424</f>
        <v>1.4866200000000001E-2</v>
      </c>
      <c r="S2424" s="137">
        <v>0</v>
      </c>
      <c r="T2424" s="138">
        <f>S2424*H2424</f>
        <v>0</v>
      </c>
      <c r="AR2424" s="139" t="s">
        <v>496</v>
      </c>
      <c r="AT2424" s="139" t="s">
        <v>339</v>
      </c>
      <c r="AU2424" s="139" t="s">
        <v>90</v>
      </c>
      <c r="AY2424" s="2" t="s">
        <v>337</v>
      </c>
      <c r="BE2424" s="140">
        <f>IF(N2424="základní",J2424,0)</f>
        <v>0</v>
      </c>
      <c r="BF2424" s="140">
        <f>IF(N2424="snížená",J2424,0)</f>
        <v>0</v>
      </c>
      <c r="BG2424" s="140">
        <f>IF(N2424="zákl. přenesená",J2424,0)</f>
        <v>0</v>
      </c>
      <c r="BH2424" s="140">
        <f>IF(N2424="sníž. přenesená",J2424,0)</f>
        <v>0</v>
      </c>
      <c r="BI2424" s="140">
        <f>IF(N2424="nulová",J2424,0)</f>
        <v>0</v>
      </c>
      <c r="BJ2424" s="2" t="s">
        <v>87</v>
      </c>
      <c r="BK2424" s="140">
        <f>ROUND(I2424*H2424,2)</f>
        <v>0</v>
      </c>
      <c r="BL2424" s="2" t="s">
        <v>496</v>
      </c>
      <c r="BM2424" s="139" t="s">
        <v>2052</v>
      </c>
    </row>
    <row r="2425" spans="2:65" s="148" customFormat="1" x14ac:dyDescent="0.2">
      <c r="B2425" s="149"/>
      <c r="D2425" s="143" t="s">
        <v>346</v>
      </c>
      <c r="E2425" s="150"/>
      <c r="F2425" s="151" t="s">
        <v>218</v>
      </c>
      <c r="H2425" s="152">
        <v>232.77</v>
      </c>
      <c r="L2425" s="149"/>
      <c r="M2425" s="153"/>
      <c r="T2425" s="154"/>
      <c r="AT2425" s="150" t="s">
        <v>346</v>
      </c>
      <c r="AU2425" s="150" t="s">
        <v>90</v>
      </c>
      <c r="AV2425" s="148" t="s">
        <v>90</v>
      </c>
      <c r="AW2425" s="148" t="s">
        <v>33</v>
      </c>
      <c r="AX2425" s="148" t="s">
        <v>80</v>
      </c>
      <c r="AY2425" s="150" t="s">
        <v>337</v>
      </c>
    </row>
    <row r="2426" spans="2:65" s="141" customFormat="1" x14ac:dyDescent="0.2">
      <c r="B2426" s="142"/>
      <c r="D2426" s="143" t="s">
        <v>346</v>
      </c>
      <c r="E2426" s="144"/>
      <c r="F2426" s="145" t="s">
        <v>2053</v>
      </c>
      <c r="H2426" s="144"/>
      <c r="L2426" s="142"/>
      <c r="M2426" s="146"/>
      <c r="T2426" s="147"/>
      <c r="AT2426" s="144" t="s">
        <v>346</v>
      </c>
      <c r="AU2426" s="144" t="s">
        <v>90</v>
      </c>
      <c r="AV2426" s="141" t="s">
        <v>87</v>
      </c>
      <c r="AW2426" s="141" t="s">
        <v>33</v>
      </c>
      <c r="AX2426" s="141" t="s">
        <v>80</v>
      </c>
      <c r="AY2426" s="144" t="s">
        <v>337</v>
      </c>
    </row>
    <row r="2427" spans="2:65" s="148" customFormat="1" x14ac:dyDescent="0.2">
      <c r="B2427" s="149"/>
      <c r="D2427" s="143" t="s">
        <v>346</v>
      </c>
      <c r="E2427" s="150"/>
      <c r="F2427" s="151" t="s">
        <v>2048</v>
      </c>
      <c r="H2427" s="152">
        <v>15</v>
      </c>
      <c r="L2427" s="149"/>
      <c r="M2427" s="153"/>
      <c r="T2427" s="154"/>
      <c r="AT2427" s="150" t="s">
        <v>346</v>
      </c>
      <c r="AU2427" s="150" t="s">
        <v>90</v>
      </c>
      <c r="AV2427" s="148" t="s">
        <v>90</v>
      </c>
      <c r="AW2427" s="148" t="s">
        <v>33</v>
      </c>
      <c r="AX2427" s="148" t="s">
        <v>80</v>
      </c>
      <c r="AY2427" s="150" t="s">
        <v>337</v>
      </c>
    </row>
    <row r="2428" spans="2:65" s="155" customFormat="1" x14ac:dyDescent="0.2">
      <c r="B2428" s="156"/>
      <c r="D2428" s="143" t="s">
        <v>346</v>
      </c>
      <c r="E2428" s="157"/>
      <c r="F2428" s="158" t="s">
        <v>351</v>
      </c>
      <c r="H2428" s="159">
        <v>247.77</v>
      </c>
      <c r="L2428" s="156"/>
      <c r="M2428" s="160"/>
      <c r="T2428" s="161"/>
      <c r="AT2428" s="157" t="s">
        <v>346</v>
      </c>
      <c r="AU2428" s="157" t="s">
        <v>90</v>
      </c>
      <c r="AV2428" s="155" t="s">
        <v>344</v>
      </c>
      <c r="AW2428" s="155" t="s">
        <v>33</v>
      </c>
      <c r="AX2428" s="155" t="s">
        <v>87</v>
      </c>
      <c r="AY2428" s="157" t="s">
        <v>337</v>
      </c>
    </row>
    <row r="2429" spans="2:65" s="16" customFormat="1" ht="16.5" customHeight="1" x14ac:dyDescent="0.2">
      <c r="B2429" s="17"/>
      <c r="C2429" s="128">
        <v>187</v>
      </c>
      <c r="D2429" s="128" t="s">
        <v>339</v>
      </c>
      <c r="E2429" s="129" t="s">
        <v>2054</v>
      </c>
      <c r="F2429" s="130" t="s">
        <v>2055</v>
      </c>
      <c r="G2429" s="131" t="s">
        <v>990</v>
      </c>
      <c r="H2429" s="132">
        <v>0.83</v>
      </c>
      <c r="I2429" s="133"/>
      <c r="J2429" s="134">
        <f>ROUND(I2429*H2429,2)</f>
        <v>0</v>
      </c>
      <c r="K2429" s="130" t="s">
        <v>343</v>
      </c>
      <c r="L2429" s="17"/>
      <c r="M2429" s="135"/>
      <c r="N2429" s="136" t="s">
        <v>45</v>
      </c>
      <c r="P2429" s="137">
        <f>O2429*H2429</f>
        <v>0</v>
      </c>
      <c r="Q2429" s="137">
        <v>0</v>
      </c>
      <c r="R2429" s="137">
        <f>Q2429*H2429</f>
        <v>0</v>
      </c>
      <c r="S2429" s="137">
        <v>0</v>
      </c>
      <c r="T2429" s="138">
        <f>S2429*H2429</f>
        <v>0</v>
      </c>
      <c r="AR2429" s="139" t="s">
        <v>496</v>
      </c>
      <c r="AT2429" s="139" t="s">
        <v>339</v>
      </c>
      <c r="AU2429" s="139" t="s">
        <v>90</v>
      </c>
      <c r="AY2429" s="2" t="s">
        <v>337</v>
      </c>
      <c r="BE2429" s="140">
        <f>IF(N2429="základní",J2429,0)</f>
        <v>0</v>
      </c>
      <c r="BF2429" s="140">
        <f>IF(N2429="snížená",J2429,0)</f>
        <v>0</v>
      </c>
      <c r="BG2429" s="140">
        <f>IF(N2429="zákl. přenesená",J2429,0)</f>
        <v>0</v>
      </c>
      <c r="BH2429" s="140">
        <f>IF(N2429="sníž. přenesená",J2429,0)</f>
        <v>0</v>
      </c>
      <c r="BI2429" s="140">
        <f>IF(N2429="nulová",J2429,0)</f>
        <v>0</v>
      </c>
      <c r="BJ2429" s="2" t="s">
        <v>87</v>
      </c>
      <c r="BK2429" s="140">
        <f>ROUND(I2429*H2429,2)</f>
        <v>0</v>
      </c>
      <c r="BL2429" s="2" t="s">
        <v>496</v>
      </c>
      <c r="BM2429" s="139" t="s">
        <v>2056</v>
      </c>
    </row>
    <row r="2430" spans="2:65" s="116" customFormat="1" ht="22.9" customHeight="1" x14ac:dyDescent="0.2">
      <c r="B2430" s="117"/>
      <c r="D2430" s="118" t="s">
        <v>79</v>
      </c>
      <c r="E2430" s="126" t="s">
        <v>2057</v>
      </c>
      <c r="F2430" s="126" t="s">
        <v>2058</v>
      </c>
      <c r="J2430" s="127">
        <f>BK2430</f>
        <v>0</v>
      </c>
      <c r="L2430" s="117"/>
      <c r="M2430" s="121"/>
      <c r="P2430" s="122">
        <f>SUM(P2431:P2830)</f>
        <v>0</v>
      </c>
      <c r="R2430" s="122">
        <f>SUM(R2431:R2830)</f>
        <v>31.879208479999999</v>
      </c>
      <c r="T2430" s="123">
        <f>SUM(T2431:T2830)</f>
        <v>0</v>
      </c>
      <c r="AR2430" s="118" t="s">
        <v>90</v>
      </c>
      <c r="AT2430" s="124" t="s">
        <v>79</v>
      </c>
      <c r="AU2430" s="124" t="s">
        <v>87</v>
      </c>
      <c r="AY2430" s="118" t="s">
        <v>337</v>
      </c>
      <c r="BK2430" s="125">
        <f>SUM(BK2431:BK2830)</f>
        <v>0</v>
      </c>
    </row>
    <row r="2431" spans="2:65" s="16" customFormat="1" ht="16.5" customHeight="1" x14ac:dyDescent="0.2">
      <c r="B2431" s="17"/>
      <c r="C2431" s="128">
        <v>188</v>
      </c>
      <c r="D2431" s="128" t="s">
        <v>339</v>
      </c>
      <c r="E2431" s="129" t="s">
        <v>2060</v>
      </c>
      <c r="F2431" s="130" t="s">
        <v>2061</v>
      </c>
      <c r="G2431" s="131" t="s">
        <v>425</v>
      </c>
      <c r="H2431" s="132">
        <v>10722.981</v>
      </c>
      <c r="I2431" s="133"/>
      <c r="J2431" s="134">
        <f>ROUND(I2431*H2431,2)</f>
        <v>0</v>
      </c>
      <c r="K2431" s="130" t="s">
        <v>343</v>
      </c>
      <c r="L2431" s="17"/>
      <c r="M2431" s="135"/>
      <c r="N2431" s="136" t="s">
        <v>45</v>
      </c>
      <c r="P2431" s="137">
        <f>O2431*H2431</f>
        <v>0</v>
      </c>
      <c r="Q2431" s="137">
        <v>0</v>
      </c>
      <c r="R2431" s="137">
        <f>Q2431*H2431</f>
        <v>0</v>
      </c>
      <c r="S2431" s="137">
        <v>0</v>
      </c>
      <c r="T2431" s="138">
        <f>S2431*H2431</f>
        <v>0</v>
      </c>
      <c r="AR2431" s="139" t="s">
        <v>496</v>
      </c>
      <c r="AT2431" s="139" t="s">
        <v>339</v>
      </c>
      <c r="AU2431" s="139" t="s">
        <v>90</v>
      </c>
      <c r="AY2431" s="2" t="s">
        <v>337</v>
      </c>
      <c r="BE2431" s="140">
        <f>IF(N2431="základní",J2431,0)</f>
        <v>0</v>
      </c>
      <c r="BF2431" s="140">
        <f>IF(N2431="snížená",J2431,0)</f>
        <v>0</v>
      </c>
      <c r="BG2431" s="140">
        <f>IF(N2431="zákl. přenesená",J2431,0)</f>
        <v>0</v>
      </c>
      <c r="BH2431" s="140">
        <f>IF(N2431="sníž. přenesená",J2431,0)</f>
        <v>0</v>
      </c>
      <c r="BI2431" s="140">
        <f>IF(N2431="nulová",J2431,0)</f>
        <v>0</v>
      </c>
      <c r="BJ2431" s="2" t="s">
        <v>87</v>
      </c>
      <c r="BK2431" s="140">
        <f>ROUND(I2431*H2431,2)</f>
        <v>0</v>
      </c>
      <c r="BL2431" s="2" t="s">
        <v>496</v>
      </c>
      <c r="BM2431" s="139" t="s">
        <v>2062</v>
      </c>
    </row>
    <row r="2432" spans="2:65" s="141" customFormat="1" x14ac:dyDescent="0.2">
      <c r="B2432" s="142"/>
      <c r="D2432" s="143" t="s">
        <v>346</v>
      </c>
      <c r="E2432" s="144"/>
      <c r="F2432" s="145" t="s">
        <v>2063</v>
      </c>
      <c r="H2432" s="144"/>
      <c r="L2432" s="142"/>
      <c r="M2432" s="146"/>
      <c r="T2432" s="147"/>
      <c r="AT2432" s="144" t="s">
        <v>346</v>
      </c>
      <c r="AU2432" s="144" t="s">
        <v>90</v>
      </c>
      <c r="AV2432" s="141" t="s">
        <v>87</v>
      </c>
      <c r="AW2432" s="141" t="s">
        <v>33</v>
      </c>
      <c r="AX2432" s="141" t="s">
        <v>80</v>
      </c>
      <c r="AY2432" s="144" t="s">
        <v>337</v>
      </c>
    </row>
    <row r="2433" spans="2:65" s="148" customFormat="1" x14ac:dyDescent="0.2">
      <c r="B2433" s="149"/>
      <c r="D2433" s="143" t="s">
        <v>346</v>
      </c>
      <c r="E2433" s="150"/>
      <c r="F2433" s="151" t="s">
        <v>237</v>
      </c>
      <c r="H2433" s="152">
        <v>932.84</v>
      </c>
      <c r="L2433" s="149"/>
      <c r="M2433" s="153"/>
      <c r="T2433" s="154"/>
      <c r="AT2433" s="150" t="s">
        <v>346</v>
      </c>
      <c r="AU2433" s="150" t="s">
        <v>90</v>
      </c>
      <c r="AV2433" s="148" t="s">
        <v>90</v>
      </c>
      <c r="AW2433" s="148" t="s">
        <v>33</v>
      </c>
      <c r="AX2433" s="148" t="s">
        <v>80</v>
      </c>
      <c r="AY2433" s="150" t="s">
        <v>337</v>
      </c>
    </row>
    <row r="2434" spans="2:65" s="148" customFormat="1" x14ac:dyDescent="0.2">
      <c r="B2434" s="149"/>
      <c r="D2434" s="143" t="s">
        <v>346</v>
      </c>
      <c r="E2434" s="150"/>
      <c r="F2434" s="151" t="s">
        <v>239</v>
      </c>
      <c r="H2434" s="152">
        <v>215.51</v>
      </c>
      <c r="L2434" s="149"/>
      <c r="M2434" s="153"/>
      <c r="T2434" s="154"/>
      <c r="AT2434" s="150" t="s">
        <v>346</v>
      </c>
      <c r="AU2434" s="150" t="s">
        <v>90</v>
      </c>
      <c r="AV2434" s="148" t="s">
        <v>90</v>
      </c>
      <c r="AW2434" s="148" t="s">
        <v>33</v>
      </c>
      <c r="AX2434" s="148" t="s">
        <v>80</v>
      </c>
      <c r="AY2434" s="150" t="s">
        <v>337</v>
      </c>
    </row>
    <row r="2435" spans="2:65" s="148" customFormat="1" x14ac:dyDescent="0.2">
      <c r="B2435" s="149"/>
      <c r="D2435" s="143" t="s">
        <v>346</v>
      </c>
      <c r="E2435" s="150"/>
      <c r="F2435" s="151" t="s">
        <v>715</v>
      </c>
      <c r="H2435" s="152">
        <v>5.76</v>
      </c>
      <c r="L2435" s="149"/>
      <c r="M2435" s="153"/>
      <c r="T2435" s="154"/>
      <c r="AT2435" s="150" t="s">
        <v>346</v>
      </c>
      <c r="AU2435" s="150" t="s">
        <v>90</v>
      </c>
      <c r="AV2435" s="148" t="s">
        <v>90</v>
      </c>
      <c r="AW2435" s="148" t="s">
        <v>33</v>
      </c>
      <c r="AX2435" s="148" t="s">
        <v>80</v>
      </c>
      <c r="AY2435" s="150" t="s">
        <v>337</v>
      </c>
    </row>
    <row r="2436" spans="2:65" s="141" customFormat="1" x14ac:dyDescent="0.2">
      <c r="B2436" s="142"/>
      <c r="D2436" s="143" t="s">
        <v>346</v>
      </c>
      <c r="E2436" s="144"/>
      <c r="F2436" s="145" t="s">
        <v>2064</v>
      </c>
      <c r="H2436" s="144"/>
      <c r="L2436" s="142"/>
      <c r="M2436" s="146"/>
      <c r="T2436" s="147"/>
      <c r="AT2436" s="144" t="s">
        <v>346</v>
      </c>
      <c r="AU2436" s="144" t="s">
        <v>90</v>
      </c>
      <c r="AV2436" s="141" t="s">
        <v>87</v>
      </c>
      <c r="AW2436" s="141" t="s">
        <v>33</v>
      </c>
      <c r="AX2436" s="141" t="s">
        <v>80</v>
      </c>
      <c r="AY2436" s="144" t="s">
        <v>337</v>
      </c>
    </row>
    <row r="2437" spans="2:65" s="148" customFormat="1" x14ac:dyDescent="0.2">
      <c r="B2437" s="149"/>
      <c r="D2437" s="143" t="s">
        <v>346</v>
      </c>
      <c r="E2437" s="150"/>
      <c r="F2437" s="151" t="s">
        <v>267</v>
      </c>
      <c r="H2437" s="152">
        <v>7327.5789999999997</v>
      </c>
      <c r="L2437" s="149"/>
      <c r="M2437" s="153"/>
      <c r="T2437" s="154"/>
      <c r="AT2437" s="150" t="s">
        <v>346</v>
      </c>
      <c r="AU2437" s="150" t="s">
        <v>90</v>
      </c>
      <c r="AV2437" s="148" t="s">
        <v>90</v>
      </c>
      <c r="AW2437" s="148" t="s">
        <v>33</v>
      </c>
      <c r="AX2437" s="148" t="s">
        <v>80</v>
      </c>
      <c r="AY2437" s="150" t="s">
        <v>337</v>
      </c>
    </row>
    <row r="2438" spans="2:65" s="148" customFormat="1" x14ac:dyDescent="0.2">
      <c r="B2438" s="149"/>
      <c r="D2438" s="143" t="s">
        <v>346</v>
      </c>
      <c r="E2438" s="150"/>
      <c r="F2438" s="151" t="s">
        <v>271</v>
      </c>
      <c r="H2438" s="152">
        <v>271.28100000000001</v>
      </c>
      <c r="L2438" s="149"/>
      <c r="M2438" s="153"/>
      <c r="T2438" s="154"/>
      <c r="AT2438" s="150" t="s">
        <v>346</v>
      </c>
      <c r="AU2438" s="150" t="s">
        <v>90</v>
      </c>
      <c r="AV2438" s="148" t="s">
        <v>90</v>
      </c>
      <c r="AW2438" s="148" t="s">
        <v>33</v>
      </c>
      <c r="AX2438" s="148" t="s">
        <v>80</v>
      </c>
      <c r="AY2438" s="150" t="s">
        <v>337</v>
      </c>
    </row>
    <row r="2439" spans="2:65" s="148" customFormat="1" x14ac:dyDescent="0.2">
      <c r="B2439" s="149"/>
      <c r="D2439" s="143" t="s">
        <v>346</v>
      </c>
      <c r="E2439" s="150"/>
      <c r="F2439" s="151" t="s">
        <v>271</v>
      </c>
      <c r="H2439" s="152">
        <v>271.28100000000001</v>
      </c>
      <c r="L2439" s="149"/>
      <c r="M2439" s="153"/>
      <c r="T2439" s="154"/>
      <c r="AT2439" s="150" t="s">
        <v>346</v>
      </c>
      <c r="AU2439" s="150" t="s">
        <v>90</v>
      </c>
      <c r="AV2439" s="148" t="s">
        <v>90</v>
      </c>
      <c r="AW2439" s="148" t="s">
        <v>33</v>
      </c>
      <c r="AX2439" s="148" t="s">
        <v>80</v>
      </c>
      <c r="AY2439" s="150" t="s">
        <v>337</v>
      </c>
    </row>
    <row r="2440" spans="2:65" s="148" customFormat="1" x14ac:dyDescent="0.2">
      <c r="B2440" s="149"/>
      <c r="D2440" s="143" t="s">
        <v>346</v>
      </c>
      <c r="E2440" s="150"/>
      <c r="F2440" s="151" t="s">
        <v>273</v>
      </c>
      <c r="H2440" s="152">
        <v>135.30000000000001</v>
      </c>
      <c r="L2440" s="149"/>
      <c r="M2440" s="153"/>
      <c r="T2440" s="154"/>
      <c r="AT2440" s="150" t="s">
        <v>346</v>
      </c>
      <c r="AU2440" s="150" t="s">
        <v>90</v>
      </c>
      <c r="AV2440" s="148" t="s">
        <v>90</v>
      </c>
      <c r="AW2440" s="148" t="s">
        <v>33</v>
      </c>
      <c r="AX2440" s="148" t="s">
        <v>80</v>
      </c>
      <c r="AY2440" s="150" t="s">
        <v>337</v>
      </c>
    </row>
    <row r="2441" spans="2:65" s="148" customFormat="1" x14ac:dyDescent="0.2">
      <c r="B2441" s="149"/>
      <c r="D2441" s="143" t="s">
        <v>346</v>
      </c>
      <c r="E2441" s="150"/>
      <c r="F2441" s="151" t="s">
        <v>275</v>
      </c>
      <c r="H2441" s="152">
        <v>233.07</v>
      </c>
      <c r="L2441" s="149"/>
      <c r="M2441" s="153"/>
      <c r="T2441" s="154"/>
      <c r="AT2441" s="150" t="s">
        <v>346</v>
      </c>
      <c r="AU2441" s="150" t="s">
        <v>90</v>
      </c>
      <c r="AV2441" s="148" t="s">
        <v>90</v>
      </c>
      <c r="AW2441" s="148" t="s">
        <v>33</v>
      </c>
      <c r="AX2441" s="148" t="s">
        <v>80</v>
      </c>
      <c r="AY2441" s="150" t="s">
        <v>337</v>
      </c>
    </row>
    <row r="2442" spans="2:65" s="148" customFormat="1" x14ac:dyDescent="0.2">
      <c r="B2442" s="149"/>
      <c r="D2442" s="143" t="s">
        <v>346</v>
      </c>
      <c r="E2442" s="150"/>
      <c r="F2442" s="151" t="s">
        <v>277</v>
      </c>
      <c r="H2442" s="152">
        <v>102.72</v>
      </c>
      <c r="L2442" s="149"/>
      <c r="M2442" s="153"/>
      <c r="T2442" s="154"/>
      <c r="AT2442" s="150" t="s">
        <v>346</v>
      </c>
      <c r="AU2442" s="150" t="s">
        <v>90</v>
      </c>
      <c r="AV2442" s="148" t="s">
        <v>90</v>
      </c>
      <c r="AW2442" s="148" t="s">
        <v>33</v>
      </c>
      <c r="AX2442" s="148" t="s">
        <v>80</v>
      </c>
      <c r="AY2442" s="150" t="s">
        <v>337</v>
      </c>
    </row>
    <row r="2443" spans="2:65" s="148" customFormat="1" x14ac:dyDescent="0.2">
      <c r="B2443" s="149"/>
      <c r="D2443" s="143" t="s">
        <v>346</v>
      </c>
      <c r="E2443" s="150"/>
      <c r="F2443" s="151" t="s">
        <v>287</v>
      </c>
      <c r="H2443" s="152">
        <v>32.716999999999999</v>
      </c>
      <c r="L2443" s="149"/>
      <c r="M2443" s="153"/>
      <c r="T2443" s="154"/>
      <c r="AT2443" s="150" t="s">
        <v>346</v>
      </c>
      <c r="AU2443" s="150" t="s">
        <v>90</v>
      </c>
      <c r="AV2443" s="148" t="s">
        <v>90</v>
      </c>
      <c r="AW2443" s="148" t="s">
        <v>33</v>
      </c>
      <c r="AX2443" s="148" t="s">
        <v>80</v>
      </c>
      <c r="AY2443" s="150" t="s">
        <v>337</v>
      </c>
    </row>
    <row r="2444" spans="2:65" s="148" customFormat="1" x14ac:dyDescent="0.2">
      <c r="B2444" s="149"/>
      <c r="D2444" s="143" t="s">
        <v>346</v>
      </c>
      <c r="E2444" s="150"/>
      <c r="F2444" s="151" t="s">
        <v>294</v>
      </c>
      <c r="H2444" s="152">
        <v>18.113</v>
      </c>
      <c r="L2444" s="149"/>
      <c r="M2444" s="153"/>
      <c r="T2444" s="154"/>
      <c r="AT2444" s="150" t="s">
        <v>346</v>
      </c>
      <c r="AU2444" s="150" t="s">
        <v>90</v>
      </c>
      <c r="AV2444" s="148" t="s">
        <v>90</v>
      </c>
      <c r="AW2444" s="148" t="s">
        <v>33</v>
      </c>
      <c r="AX2444" s="148" t="s">
        <v>80</v>
      </c>
      <c r="AY2444" s="150" t="s">
        <v>337</v>
      </c>
    </row>
    <row r="2445" spans="2:65" s="148" customFormat="1" x14ac:dyDescent="0.2">
      <c r="B2445" s="149"/>
      <c r="D2445" s="143" t="s">
        <v>346</v>
      </c>
      <c r="E2445" s="150"/>
      <c r="F2445" s="151" t="s">
        <v>285</v>
      </c>
      <c r="H2445" s="152">
        <v>1142.143</v>
      </c>
      <c r="L2445" s="149"/>
      <c r="M2445" s="153"/>
      <c r="T2445" s="154"/>
      <c r="AT2445" s="150" t="s">
        <v>346</v>
      </c>
      <c r="AU2445" s="150" t="s">
        <v>90</v>
      </c>
      <c r="AV2445" s="148" t="s">
        <v>90</v>
      </c>
      <c r="AW2445" s="148" t="s">
        <v>33</v>
      </c>
      <c r="AX2445" s="148" t="s">
        <v>80</v>
      </c>
      <c r="AY2445" s="150" t="s">
        <v>337</v>
      </c>
    </row>
    <row r="2446" spans="2:65" s="148" customFormat="1" x14ac:dyDescent="0.2">
      <c r="B2446" s="149"/>
      <c r="D2446" s="143" t="s">
        <v>346</v>
      </c>
      <c r="E2446" s="150"/>
      <c r="F2446" s="151" t="s">
        <v>296</v>
      </c>
      <c r="H2446" s="152">
        <v>34.667000000000002</v>
      </c>
      <c r="L2446" s="149"/>
      <c r="M2446" s="153"/>
      <c r="T2446" s="154"/>
      <c r="AT2446" s="150" t="s">
        <v>346</v>
      </c>
      <c r="AU2446" s="150" t="s">
        <v>90</v>
      </c>
      <c r="AV2446" s="148" t="s">
        <v>90</v>
      </c>
      <c r="AW2446" s="148" t="s">
        <v>33</v>
      </c>
      <c r="AX2446" s="148" t="s">
        <v>80</v>
      </c>
      <c r="AY2446" s="150" t="s">
        <v>337</v>
      </c>
    </row>
    <row r="2447" spans="2:65" s="155" customFormat="1" x14ac:dyDescent="0.2">
      <c r="B2447" s="156"/>
      <c r="D2447" s="143" t="s">
        <v>346</v>
      </c>
      <c r="E2447" s="157"/>
      <c r="F2447" s="158" t="s">
        <v>351</v>
      </c>
      <c r="H2447" s="159">
        <v>10722.981</v>
      </c>
      <c r="L2447" s="156"/>
      <c r="M2447" s="160"/>
      <c r="T2447" s="161"/>
      <c r="AT2447" s="157" t="s">
        <v>346</v>
      </c>
      <c r="AU2447" s="157" t="s">
        <v>90</v>
      </c>
      <c r="AV2447" s="155" t="s">
        <v>344</v>
      </c>
      <c r="AW2447" s="155" t="s">
        <v>33</v>
      </c>
      <c r="AX2447" s="155" t="s">
        <v>87</v>
      </c>
      <c r="AY2447" s="157" t="s">
        <v>337</v>
      </c>
    </row>
    <row r="2448" spans="2:65" s="16" customFormat="1" ht="16.5" customHeight="1" x14ac:dyDescent="0.2">
      <c r="B2448" s="17"/>
      <c r="C2448" s="128">
        <v>189</v>
      </c>
      <c r="D2448" s="128" t="s">
        <v>339</v>
      </c>
      <c r="E2448" s="129" t="s">
        <v>2065</v>
      </c>
      <c r="F2448" s="130" t="s">
        <v>2066</v>
      </c>
      <c r="G2448" s="131" t="s">
        <v>425</v>
      </c>
      <c r="H2448" s="132">
        <v>1786.0029999999999</v>
      </c>
      <c r="I2448" s="133"/>
      <c r="J2448" s="134">
        <f>ROUND(I2448*H2448,2)</f>
        <v>0</v>
      </c>
      <c r="K2448" s="130" t="s">
        <v>343</v>
      </c>
      <c r="L2448" s="17"/>
      <c r="M2448" s="135"/>
      <c r="N2448" s="136" t="s">
        <v>45</v>
      </c>
      <c r="P2448" s="137">
        <f>O2448*H2448</f>
        <v>0</v>
      </c>
      <c r="Q2448" s="137">
        <v>2.9999999999999997E-4</v>
      </c>
      <c r="R2448" s="137">
        <f>Q2448*H2448</f>
        <v>0.53580089999999991</v>
      </c>
      <c r="S2448" s="137">
        <v>0</v>
      </c>
      <c r="T2448" s="138">
        <f>S2448*H2448</f>
        <v>0</v>
      </c>
      <c r="AR2448" s="139" t="s">
        <v>496</v>
      </c>
      <c r="AT2448" s="139" t="s">
        <v>339</v>
      </c>
      <c r="AU2448" s="139" t="s">
        <v>90</v>
      </c>
      <c r="AY2448" s="2" t="s">
        <v>337</v>
      </c>
      <c r="BE2448" s="140">
        <f>IF(N2448="základní",J2448,0)</f>
        <v>0</v>
      </c>
      <c r="BF2448" s="140">
        <f>IF(N2448="snížená",J2448,0)</f>
        <v>0</v>
      </c>
      <c r="BG2448" s="140">
        <f>IF(N2448="zákl. přenesená",J2448,0)</f>
        <v>0</v>
      </c>
      <c r="BH2448" s="140">
        <f>IF(N2448="sníž. přenesená",J2448,0)</f>
        <v>0</v>
      </c>
      <c r="BI2448" s="140">
        <f>IF(N2448="nulová",J2448,0)</f>
        <v>0</v>
      </c>
      <c r="BJ2448" s="2" t="s">
        <v>87</v>
      </c>
      <c r="BK2448" s="140">
        <f>ROUND(I2448*H2448,2)</f>
        <v>0</v>
      </c>
      <c r="BL2448" s="2" t="s">
        <v>496</v>
      </c>
      <c r="BM2448" s="139" t="s">
        <v>2067</v>
      </c>
    </row>
    <row r="2449" spans="2:65" s="148" customFormat="1" x14ac:dyDescent="0.2">
      <c r="B2449" s="149"/>
      <c r="D2449" s="143" t="s">
        <v>346</v>
      </c>
      <c r="E2449" s="150"/>
      <c r="F2449" s="151" t="s">
        <v>226</v>
      </c>
      <c r="H2449" s="152">
        <v>619.78300000000002</v>
      </c>
      <c r="L2449" s="149"/>
      <c r="M2449" s="153"/>
      <c r="T2449" s="154"/>
      <c r="AT2449" s="150" t="s">
        <v>346</v>
      </c>
      <c r="AU2449" s="150" t="s">
        <v>90</v>
      </c>
      <c r="AV2449" s="148" t="s">
        <v>90</v>
      </c>
      <c r="AW2449" s="148" t="s">
        <v>33</v>
      </c>
      <c r="AX2449" s="148" t="s">
        <v>80</v>
      </c>
      <c r="AY2449" s="150" t="s">
        <v>337</v>
      </c>
    </row>
    <row r="2450" spans="2:65" s="148" customFormat="1" x14ac:dyDescent="0.2">
      <c r="B2450" s="149"/>
      <c r="D2450" s="143" t="s">
        <v>346</v>
      </c>
      <c r="E2450" s="150"/>
      <c r="F2450" s="151" t="s">
        <v>237</v>
      </c>
      <c r="H2450" s="152">
        <v>932.84</v>
      </c>
      <c r="L2450" s="149"/>
      <c r="M2450" s="153"/>
      <c r="T2450" s="154"/>
      <c r="AT2450" s="150" t="s">
        <v>346</v>
      </c>
      <c r="AU2450" s="150" t="s">
        <v>90</v>
      </c>
      <c r="AV2450" s="148" t="s">
        <v>90</v>
      </c>
      <c r="AW2450" s="148" t="s">
        <v>33</v>
      </c>
      <c r="AX2450" s="148" t="s">
        <v>80</v>
      </c>
      <c r="AY2450" s="150" t="s">
        <v>337</v>
      </c>
    </row>
    <row r="2451" spans="2:65" s="148" customFormat="1" x14ac:dyDescent="0.2">
      <c r="B2451" s="149"/>
      <c r="D2451" s="143" t="s">
        <v>346</v>
      </c>
      <c r="E2451" s="150"/>
      <c r="F2451" s="151" t="s">
        <v>239</v>
      </c>
      <c r="H2451" s="152">
        <v>215.51</v>
      </c>
      <c r="L2451" s="149"/>
      <c r="M2451" s="153"/>
      <c r="T2451" s="154"/>
      <c r="AT2451" s="150" t="s">
        <v>346</v>
      </c>
      <c r="AU2451" s="150" t="s">
        <v>90</v>
      </c>
      <c r="AV2451" s="148" t="s">
        <v>90</v>
      </c>
      <c r="AW2451" s="148" t="s">
        <v>33</v>
      </c>
      <c r="AX2451" s="148" t="s">
        <v>80</v>
      </c>
      <c r="AY2451" s="150" t="s">
        <v>337</v>
      </c>
    </row>
    <row r="2452" spans="2:65" s="148" customFormat="1" x14ac:dyDescent="0.2">
      <c r="B2452" s="149"/>
      <c r="D2452" s="143" t="s">
        <v>346</v>
      </c>
      <c r="E2452" s="150"/>
      <c r="F2452" s="151" t="s">
        <v>241</v>
      </c>
      <c r="H2452" s="152">
        <v>17.87</v>
      </c>
      <c r="L2452" s="149"/>
      <c r="M2452" s="153"/>
      <c r="T2452" s="154"/>
      <c r="AT2452" s="150" t="s">
        <v>346</v>
      </c>
      <c r="AU2452" s="150" t="s">
        <v>90</v>
      </c>
      <c r="AV2452" s="148" t="s">
        <v>90</v>
      </c>
      <c r="AW2452" s="148" t="s">
        <v>33</v>
      </c>
      <c r="AX2452" s="148" t="s">
        <v>80</v>
      </c>
      <c r="AY2452" s="150" t="s">
        <v>337</v>
      </c>
    </row>
    <row r="2453" spans="2:65" s="155" customFormat="1" x14ac:dyDescent="0.2">
      <c r="B2453" s="156"/>
      <c r="D2453" s="143" t="s">
        <v>346</v>
      </c>
      <c r="E2453" s="157"/>
      <c r="F2453" s="158" t="s">
        <v>351</v>
      </c>
      <c r="H2453" s="159">
        <v>1786.0029999999999</v>
      </c>
      <c r="L2453" s="156"/>
      <c r="M2453" s="160"/>
      <c r="T2453" s="161"/>
      <c r="AT2453" s="157" t="s">
        <v>346</v>
      </c>
      <c r="AU2453" s="157" t="s">
        <v>90</v>
      </c>
      <c r="AV2453" s="155" t="s">
        <v>344</v>
      </c>
      <c r="AW2453" s="155" t="s">
        <v>33</v>
      </c>
      <c r="AX2453" s="155" t="s">
        <v>87</v>
      </c>
      <c r="AY2453" s="157" t="s">
        <v>337</v>
      </c>
    </row>
    <row r="2454" spans="2:65" s="16" customFormat="1" ht="16.5" customHeight="1" x14ac:dyDescent="0.2">
      <c r="B2454" s="17"/>
      <c r="C2454" s="128">
        <v>190</v>
      </c>
      <c r="D2454" s="128" t="s">
        <v>339</v>
      </c>
      <c r="E2454" s="129" t="s">
        <v>2069</v>
      </c>
      <c r="F2454" s="130" t="s">
        <v>2070</v>
      </c>
      <c r="G2454" s="131" t="s">
        <v>425</v>
      </c>
      <c r="H2454" s="132">
        <v>619.78300000000002</v>
      </c>
      <c r="I2454" s="133"/>
      <c r="J2454" s="134">
        <f>ROUND(I2454*H2454,2)</f>
        <v>0</v>
      </c>
      <c r="K2454" s="130" t="s">
        <v>343</v>
      </c>
      <c r="L2454" s="17"/>
      <c r="M2454" s="135"/>
      <c r="N2454" s="136" t="s">
        <v>45</v>
      </c>
      <c r="P2454" s="137">
        <f>O2454*H2454</f>
        <v>0</v>
      </c>
      <c r="Q2454" s="137">
        <v>1.5E-3</v>
      </c>
      <c r="R2454" s="137">
        <f>Q2454*H2454</f>
        <v>0.92967450000000007</v>
      </c>
      <c r="S2454" s="137">
        <v>0</v>
      </c>
      <c r="T2454" s="138">
        <f>S2454*H2454</f>
        <v>0</v>
      </c>
      <c r="AR2454" s="139" t="s">
        <v>496</v>
      </c>
      <c r="AT2454" s="139" t="s">
        <v>339</v>
      </c>
      <c r="AU2454" s="139" t="s">
        <v>90</v>
      </c>
      <c r="AY2454" s="2" t="s">
        <v>337</v>
      </c>
      <c r="BE2454" s="140">
        <f>IF(N2454="základní",J2454,0)</f>
        <v>0</v>
      </c>
      <c r="BF2454" s="140">
        <f>IF(N2454="snížená",J2454,0)</f>
        <v>0</v>
      </c>
      <c r="BG2454" s="140">
        <f>IF(N2454="zákl. přenesená",J2454,0)</f>
        <v>0</v>
      </c>
      <c r="BH2454" s="140">
        <f>IF(N2454="sníž. přenesená",J2454,0)</f>
        <v>0</v>
      </c>
      <c r="BI2454" s="140">
        <f>IF(N2454="nulová",J2454,0)</f>
        <v>0</v>
      </c>
      <c r="BJ2454" s="2" t="s">
        <v>87</v>
      </c>
      <c r="BK2454" s="140">
        <f>ROUND(I2454*H2454,2)</f>
        <v>0</v>
      </c>
      <c r="BL2454" s="2" t="s">
        <v>496</v>
      </c>
      <c r="BM2454" s="139" t="s">
        <v>2071</v>
      </c>
    </row>
    <row r="2455" spans="2:65" s="141" customFormat="1" ht="22.5" x14ac:dyDescent="0.2">
      <c r="B2455" s="142"/>
      <c r="D2455" s="143" t="s">
        <v>346</v>
      </c>
      <c r="E2455" s="144"/>
      <c r="F2455" s="145" t="s">
        <v>2072</v>
      </c>
      <c r="H2455" s="144"/>
      <c r="L2455" s="142"/>
      <c r="M2455" s="146"/>
      <c r="T2455" s="147"/>
      <c r="AT2455" s="144" t="s">
        <v>346</v>
      </c>
      <c r="AU2455" s="144" t="s">
        <v>90</v>
      </c>
      <c r="AV2455" s="141" t="s">
        <v>87</v>
      </c>
      <c r="AW2455" s="141" t="s">
        <v>33</v>
      </c>
      <c r="AX2455" s="141" t="s">
        <v>80</v>
      </c>
      <c r="AY2455" s="144" t="s">
        <v>337</v>
      </c>
    </row>
    <row r="2456" spans="2:65" s="141" customFormat="1" x14ac:dyDescent="0.2">
      <c r="B2456" s="142"/>
      <c r="D2456" s="143" t="s">
        <v>346</v>
      </c>
      <c r="E2456" s="144"/>
      <c r="F2456" s="145" t="s">
        <v>357</v>
      </c>
      <c r="H2456" s="144"/>
      <c r="L2456" s="142"/>
      <c r="M2456" s="146"/>
      <c r="T2456" s="147"/>
      <c r="AT2456" s="144" t="s">
        <v>346</v>
      </c>
      <c r="AU2456" s="144" t="s">
        <v>90</v>
      </c>
      <c r="AV2456" s="141" t="s">
        <v>87</v>
      </c>
      <c r="AW2456" s="141" t="s">
        <v>33</v>
      </c>
      <c r="AX2456" s="141" t="s">
        <v>80</v>
      </c>
      <c r="AY2456" s="144" t="s">
        <v>337</v>
      </c>
    </row>
    <row r="2457" spans="2:65" s="141" customFormat="1" x14ac:dyDescent="0.2">
      <c r="B2457" s="142"/>
      <c r="D2457" s="143" t="s">
        <v>346</v>
      </c>
      <c r="E2457" s="144"/>
      <c r="F2457" s="145" t="s">
        <v>2073</v>
      </c>
      <c r="H2457" s="144"/>
      <c r="L2457" s="142"/>
      <c r="M2457" s="146"/>
      <c r="T2457" s="147"/>
      <c r="AT2457" s="144" t="s">
        <v>346</v>
      </c>
      <c r="AU2457" s="144" t="s">
        <v>90</v>
      </c>
      <c r="AV2457" s="141" t="s">
        <v>87</v>
      </c>
      <c r="AW2457" s="141" t="s">
        <v>33</v>
      </c>
      <c r="AX2457" s="141" t="s">
        <v>80</v>
      </c>
      <c r="AY2457" s="144" t="s">
        <v>337</v>
      </c>
    </row>
    <row r="2458" spans="2:65" s="141" customFormat="1" x14ac:dyDescent="0.2">
      <c r="B2458" s="142"/>
      <c r="D2458" s="143" t="s">
        <v>346</v>
      </c>
      <c r="E2458" s="144"/>
      <c r="F2458" s="145" t="s">
        <v>2074</v>
      </c>
      <c r="H2458" s="144"/>
      <c r="L2458" s="142"/>
      <c r="M2458" s="146"/>
      <c r="T2458" s="147"/>
      <c r="AT2458" s="144" t="s">
        <v>346</v>
      </c>
      <c r="AU2458" s="144" t="s">
        <v>90</v>
      </c>
      <c r="AV2458" s="141" t="s">
        <v>87</v>
      </c>
      <c r="AW2458" s="141" t="s">
        <v>33</v>
      </c>
      <c r="AX2458" s="141" t="s">
        <v>80</v>
      </c>
      <c r="AY2458" s="144" t="s">
        <v>337</v>
      </c>
    </row>
    <row r="2459" spans="2:65" s="148" customFormat="1" x14ac:dyDescent="0.2">
      <c r="B2459" s="149"/>
      <c r="D2459" s="143" t="s">
        <v>346</v>
      </c>
      <c r="E2459" s="150"/>
      <c r="F2459" s="151" t="s">
        <v>2075</v>
      </c>
      <c r="H2459" s="152">
        <v>10.119999999999999</v>
      </c>
      <c r="L2459" s="149"/>
      <c r="M2459" s="153"/>
      <c r="T2459" s="154"/>
      <c r="AT2459" s="150" t="s">
        <v>346</v>
      </c>
      <c r="AU2459" s="150" t="s">
        <v>90</v>
      </c>
      <c r="AV2459" s="148" t="s">
        <v>90</v>
      </c>
      <c r="AW2459" s="148" t="s">
        <v>33</v>
      </c>
      <c r="AX2459" s="148" t="s">
        <v>80</v>
      </c>
      <c r="AY2459" s="150" t="s">
        <v>337</v>
      </c>
    </row>
    <row r="2460" spans="2:65" s="148" customFormat="1" x14ac:dyDescent="0.2">
      <c r="B2460" s="149"/>
      <c r="D2460" s="143" t="s">
        <v>346</v>
      </c>
      <c r="E2460" s="150"/>
      <c r="F2460" s="151" t="s">
        <v>560</v>
      </c>
      <c r="H2460" s="152">
        <v>-1.379</v>
      </c>
      <c r="L2460" s="149"/>
      <c r="M2460" s="153"/>
      <c r="T2460" s="154"/>
      <c r="AT2460" s="150" t="s">
        <v>346</v>
      </c>
      <c r="AU2460" s="150" t="s">
        <v>90</v>
      </c>
      <c r="AV2460" s="148" t="s">
        <v>90</v>
      </c>
      <c r="AW2460" s="148" t="s">
        <v>33</v>
      </c>
      <c r="AX2460" s="148" t="s">
        <v>80</v>
      </c>
      <c r="AY2460" s="150" t="s">
        <v>337</v>
      </c>
    </row>
    <row r="2461" spans="2:65" s="141" customFormat="1" x14ac:dyDescent="0.2">
      <c r="B2461" s="142"/>
      <c r="D2461" s="143" t="s">
        <v>346</v>
      </c>
      <c r="E2461" s="144"/>
      <c r="F2461" s="145" t="s">
        <v>651</v>
      </c>
      <c r="H2461" s="144"/>
      <c r="L2461" s="142"/>
      <c r="M2461" s="146"/>
      <c r="T2461" s="147"/>
      <c r="AT2461" s="144" t="s">
        <v>346</v>
      </c>
      <c r="AU2461" s="144" t="s">
        <v>90</v>
      </c>
      <c r="AV2461" s="141" t="s">
        <v>87</v>
      </c>
      <c r="AW2461" s="141" t="s">
        <v>33</v>
      </c>
      <c r="AX2461" s="141" t="s">
        <v>80</v>
      </c>
      <c r="AY2461" s="144" t="s">
        <v>337</v>
      </c>
    </row>
    <row r="2462" spans="2:65" s="148" customFormat="1" x14ac:dyDescent="0.2">
      <c r="B2462" s="149"/>
      <c r="D2462" s="143" t="s">
        <v>346</v>
      </c>
      <c r="E2462" s="150"/>
      <c r="F2462" s="151" t="s">
        <v>2076</v>
      </c>
      <c r="H2462" s="152">
        <v>4.4000000000000004</v>
      </c>
      <c r="L2462" s="149"/>
      <c r="M2462" s="153"/>
      <c r="T2462" s="154"/>
      <c r="AT2462" s="150" t="s">
        <v>346</v>
      </c>
      <c r="AU2462" s="150" t="s">
        <v>90</v>
      </c>
      <c r="AV2462" s="148" t="s">
        <v>90</v>
      </c>
      <c r="AW2462" s="148" t="s">
        <v>33</v>
      </c>
      <c r="AX2462" s="148" t="s">
        <v>80</v>
      </c>
      <c r="AY2462" s="150" t="s">
        <v>337</v>
      </c>
    </row>
    <row r="2463" spans="2:65" s="141" customFormat="1" x14ac:dyDescent="0.2">
      <c r="B2463" s="142"/>
      <c r="D2463" s="143" t="s">
        <v>346</v>
      </c>
      <c r="E2463" s="144"/>
      <c r="F2463" s="145" t="s">
        <v>2077</v>
      </c>
      <c r="H2463" s="144"/>
      <c r="L2463" s="142"/>
      <c r="M2463" s="146"/>
      <c r="T2463" s="147"/>
      <c r="AT2463" s="144" t="s">
        <v>346</v>
      </c>
      <c r="AU2463" s="144" t="s">
        <v>90</v>
      </c>
      <c r="AV2463" s="141" t="s">
        <v>87</v>
      </c>
      <c r="AW2463" s="141" t="s">
        <v>33</v>
      </c>
      <c r="AX2463" s="141" t="s">
        <v>80</v>
      </c>
      <c r="AY2463" s="144" t="s">
        <v>337</v>
      </c>
    </row>
    <row r="2464" spans="2:65" s="148" customFormat="1" x14ac:dyDescent="0.2">
      <c r="B2464" s="149"/>
      <c r="D2464" s="143" t="s">
        <v>346</v>
      </c>
      <c r="E2464" s="150"/>
      <c r="F2464" s="151" t="s">
        <v>2078</v>
      </c>
      <c r="H2464" s="152">
        <v>7</v>
      </c>
      <c r="L2464" s="149"/>
      <c r="M2464" s="153"/>
      <c r="T2464" s="154"/>
      <c r="AT2464" s="150" t="s">
        <v>346</v>
      </c>
      <c r="AU2464" s="150" t="s">
        <v>90</v>
      </c>
      <c r="AV2464" s="148" t="s">
        <v>90</v>
      </c>
      <c r="AW2464" s="148" t="s">
        <v>33</v>
      </c>
      <c r="AX2464" s="148" t="s">
        <v>80</v>
      </c>
      <c r="AY2464" s="150" t="s">
        <v>337</v>
      </c>
    </row>
    <row r="2465" spans="2:51" s="141" customFormat="1" x14ac:dyDescent="0.2">
      <c r="B2465" s="142"/>
      <c r="D2465" s="143" t="s">
        <v>346</v>
      </c>
      <c r="E2465" s="144"/>
      <c r="F2465" s="145" t="s">
        <v>362</v>
      </c>
      <c r="H2465" s="144"/>
      <c r="L2465" s="142"/>
      <c r="M2465" s="146"/>
      <c r="T2465" s="147"/>
      <c r="AT2465" s="144" t="s">
        <v>346</v>
      </c>
      <c r="AU2465" s="144" t="s">
        <v>90</v>
      </c>
      <c r="AV2465" s="141" t="s">
        <v>87</v>
      </c>
      <c r="AW2465" s="141" t="s">
        <v>33</v>
      </c>
      <c r="AX2465" s="141" t="s">
        <v>80</v>
      </c>
      <c r="AY2465" s="144" t="s">
        <v>337</v>
      </c>
    </row>
    <row r="2466" spans="2:51" s="141" customFormat="1" x14ac:dyDescent="0.2">
      <c r="B2466" s="142"/>
      <c r="D2466" s="143" t="s">
        <v>346</v>
      </c>
      <c r="E2466" s="144"/>
      <c r="F2466" s="145" t="s">
        <v>2079</v>
      </c>
      <c r="H2466" s="144"/>
      <c r="L2466" s="142"/>
      <c r="M2466" s="146"/>
      <c r="T2466" s="147"/>
      <c r="AT2466" s="144" t="s">
        <v>346</v>
      </c>
      <c r="AU2466" s="144" t="s">
        <v>90</v>
      </c>
      <c r="AV2466" s="141" t="s">
        <v>87</v>
      </c>
      <c r="AW2466" s="141" t="s">
        <v>33</v>
      </c>
      <c r="AX2466" s="141" t="s">
        <v>80</v>
      </c>
      <c r="AY2466" s="144" t="s">
        <v>337</v>
      </c>
    </row>
    <row r="2467" spans="2:51" s="148" customFormat="1" x14ac:dyDescent="0.2">
      <c r="B2467" s="149"/>
      <c r="D2467" s="143" t="s">
        <v>346</v>
      </c>
      <c r="E2467" s="150"/>
      <c r="F2467" s="151" t="s">
        <v>2080</v>
      </c>
      <c r="H2467" s="152">
        <v>42.24</v>
      </c>
      <c r="L2467" s="149"/>
      <c r="M2467" s="153"/>
      <c r="T2467" s="154"/>
      <c r="AT2467" s="150" t="s">
        <v>346</v>
      </c>
      <c r="AU2467" s="150" t="s">
        <v>90</v>
      </c>
      <c r="AV2467" s="148" t="s">
        <v>90</v>
      </c>
      <c r="AW2467" s="148" t="s">
        <v>33</v>
      </c>
      <c r="AX2467" s="148" t="s">
        <v>80</v>
      </c>
      <c r="AY2467" s="150" t="s">
        <v>337</v>
      </c>
    </row>
    <row r="2468" spans="2:51" s="141" customFormat="1" x14ac:dyDescent="0.2">
      <c r="B2468" s="142"/>
      <c r="D2468" s="143" t="s">
        <v>346</v>
      </c>
      <c r="E2468" s="144"/>
      <c r="F2468" s="145" t="s">
        <v>2081</v>
      </c>
      <c r="H2468" s="144"/>
      <c r="L2468" s="142"/>
      <c r="M2468" s="146"/>
      <c r="T2468" s="147"/>
      <c r="AT2468" s="144" t="s">
        <v>346</v>
      </c>
      <c r="AU2468" s="144" t="s">
        <v>90</v>
      </c>
      <c r="AV2468" s="141" t="s">
        <v>87</v>
      </c>
      <c r="AW2468" s="141" t="s">
        <v>33</v>
      </c>
      <c r="AX2468" s="141" t="s">
        <v>80</v>
      </c>
      <c r="AY2468" s="144" t="s">
        <v>337</v>
      </c>
    </row>
    <row r="2469" spans="2:51" s="148" customFormat="1" x14ac:dyDescent="0.2">
      <c r="B2469" s="149"/>
      <c r="D2469" s="143" t="s">
        <v>346</v>
      </c>
      <c r="E2469" s="150"/>
      <c r="F2469" s="151" t="s">
        <v>2082</v>
      </c>
      <c r="H2469" s="152">
        <v>20</v>
      </c>
      <c r="L2469" s="149"/>
      <c r="M2469" s="153"/>
      <c r="T2469" s="154"/>
      <c r="AT2469" s="150" t="s">
        <v>346</v>
      </c>
      <c r="AU2469" s="150" t="s">
        <v>90</v>
      </c>
      <c r="AV2469" s="148" t="s">
        <v>90</v>
      </c>
      <c r="AW2469" s="148" t="s">
        <v>33</v>
      </c>
      <c r="AX2469" s="148" t="s">
        <v>80</v>
      </c>
      <c r="AY2469" s="150" t="s">
        <v>337</v>
      </c>
    </row>
    <row r="2470" spans="2:51" s="141" customFormat="1" x14ac:dyDescent="0.2">
      <c r="B2470" s="142"/>
      <c r="D2470" s="143" t="s">
        <v>346</v>
      </c>
      <c r="E2470" s="144"/>
      <c r="F2470" s="145" t="s">
        <v>367</v>
      </c>
      <c r="H2470" s="144"/>
      <c r="L2470" s="142"/>
      <c r="M2470" s="146"/>
      <c r="T2470" s="147"/>
      <c r="AT2470" s="144" t="s">
        <v>346</v>
      </c>
      <c r="AU2470" s="144" t="s">
        <v>90</v>
      </c>
      <c r="AV2470" s="141" t="s">
        <v>87</v>
      </c>
      <c r="AW2470" s="141" t="s">
        <v>33</v>
      </c>
      <c r="AX2470" s="141" t="s">
        <v>80</v>
      </c>
      <c r="AY2470" s="144" t="s">
        <v>337</v>
      </c>
    </row>
    <row r="2471" spans="2:51" s="141" customFormat="1" x14ac:dyDescent="0.2">
      <c r="B2471" s="142"/>
      <c r="D2471" s="143" t="s">
        <v>346</v>
      </c>
      <c r="E2471" s="144"/>
      <c r="F2471" s="145" t="s">
        <v>2083</v>
      </c>
      <c r="H2471" s="144"/>
      <c r="L2471" s="142"/>
      <c r="M2471" s="146"/>
      <c r="T2471" s="147"/>
      <c r="AT2471" s="144" t="s">
        <v>346</v>
      </c>
      <c r="AU2471" s="144" t="s">
        <v>90</v>
      </c>
      <c r="AV2471" s="141" t="s">
        <v>87</v>
      </c>
      <c r="AW2471" s="141" t="s">
        <v>33</v>
      </c>
      <c r="AX2471" s="141" t="s">
        <v>80</v>
      </c>
      <c r="AY2471" s="144" t="s">
        <v>337</v>
      </c>
    </row>
    <row r="2472" spans="2:51" s="148" customFormat="1" x14ac:dyDescent="0.2">
      <c r="B2472" s="149"/>
      <c r="D2472" s="143" t="s">
        <v>346</v>
      </c>
      <c r="E2472" s="150"/>
      <c r="F2472" s="151" t="s">
        <v>2084</v>
      </c>
      <c r="H2472" s="152">
        <v>49.28</v>
      </c>
      <c r="L2472" s="149"/>
      <c r="M2472" s="153"/>
      <c r="T2472" s="154"/>
      <c r="AT2472" s="150" t="s">
        <v>346</v>
      </c>
      <c r="AU2472" s="150" t="s">
        <v>90</v>
      </c>
      <c r="AV2472" s="148" t="s">
        <v>90</v>
      </c>
      <c r="AW2472" s="148" t="s">
        <v>33</v>
      </c>
      <c r="AX2472" s="148" t="s">
        <v>80</v>
      </c>
      <c r="AY2472" s="150" t="s">
        <v>337</v>
      </c>
    </row>
    <row r="2473" spans="2:51" s="148" customFormat="1" x14ac:dyDescent="0.2">
      <c r="B2473" s="149"/>
      <c r="D2473" s="143" t="s">
        <v>346</v>
      </c>
      <c r="E2473" s="150"/>
      <c r="F2473" s="151" t="s">
        <v>2085</v>
      </c>
      <c r="H2473" s="152">
        <v>4.84</v>
      </c>
      <c r="L2473" s="149"/>
      <c r="M2473" s="153"/>
      <c r="T2473" s="154"/>
      <c r="AT2473" s="150" t="s">
        <v>346</v>
      </c>
      <c r="AU2473" s="150" t="s">
        <v>90</v>
      </c>
      <c r="AV2473" s="148" t="s">
        <v>90</v>
      </c>
      <c r="AW2473" s="148" t="s">
        <v>33</v>
      </c>
      <c r="AX2473" s="148" t="s">
        <v>80</v>
      </c>
      <c r="AY2473" s="150" t="s">
        <v>337</v>
      </c>
    </row>
    <row r="2474" spans="2:51" s="141" customFormat="1" x14ac:dyDescent="0.2">
      <c r="B2474" s="142"/>
      <c r="D2474" s="143" t="s">
        <v>346</v>
      </c>
      <c r="E2474" s="144"/>
      <c r="F2474" s="145" t="s">
        <v>2081</v>
      </c>
      <c r="H2474" s="144"/>
      <c r="L2474" s="142"/>
      <c r="M2474" s="146"/>
      <c r="T2474" s="147"/>
      <c r="AT2474" s="144" t="s">
        <v>346</v>
      </c>
      <c r="AU2474" s="144" t="s">
        <v>90</v>
      </c>
      <c r="AV2474" s="141" t="s">
        <v>87</v>
      </c>
      <c r="AW2474" s="141" t="s">
        <v>33</v>
      </c>
      <c r="AX2474" s="141" t="s">
        <v>80</v>
      </c>
      <c r="AY2474" s="144" t="s">
        <v>337</v>
      </c>
    </row>
    <row r="2475" spans="2:51" s="148" customFormat="1" x14ac:dyDescent="0.2">
      <c r="B2475" s="149"/>
      <c r="D2475" s="143" t="s">
        <v>346</v>
      </c>
      <c r="E2475" s="150"/>
      <c r="F2475" s="151" t="s">
        <v>2086</v>
      </c>
      <c r="H2475" s="152">
        <v>31</v>
      </c>
      <c r="L2475" s="149"/>
      <c r="M2475" s="153"/>
      <c r="T2475" s="154"/>
      <c r="AT2475" s="150" t="s">
        <v>346</v>
      </c>
      <c r="AU2475" s="150" t="s">
        <v>90</v>
      </c>
      <c r="AV2475" s="148" t="s">
        <v>90</v>
      </c>
      <c r="AW2475" s="148" t="s">
        <v>33</v>
      </c>
      <c r="AX2475" s="148" t="s">
        <v>80</v>
      </c>
      <c r="AY2475" s="150" t="s">
        <v>337</v>
      </c>
    </row>
    <row r="2476" spans="2:51" s="141" customFormat="1" x14ac:dyDescent="0.2">
      <c r="B2476" s="142"/>
      <c r="D2476" s="143" t="s">
        <v>346</v>
      </c>
      <c r="E2476" s="144"/>
      <c r="F2476" s="145" t="s">
        <v>368</v>
      </c>
      <c r="H2476" s="144"/>
      <c r="L2476" s="142"/>
      <c r="M2476" s="146"/>
      <c r="T2476" s="147"/>
      <c r="AT2476" s="144" t="s">
        <v>346</v>
      </c>
      <c r="AU2476" s="144" t="s">
        <v>90</v>
      </c>
      <c r="AV2476" s="141" t="s">
        <v>87</v>
      </c>
      <c r="AW2476" s="141" t="s">
        <v>33</v>
      </c>
      <c r="AX2476" s="141" t="s">
        <v>80</v>
      </c>
      <c r="AY2476" s="144" t="s">
        <v>337</v>
      </c>
    </row>
    <row r="2477" spans="2:51" s="141" customFormat="1" x14ac:dyDescent="0.2">
      <c r="B2477" s="142"/>
      <c r="D2477" s="143" t="s">
        <v>346</v>
      </c>
      <c r="E2477" s="144"/>
      <c r="F2477" s="145" t="s">
        <v>2083</v>
      </c>
      <c r="H2477" s="144"/>
      <c r="L2477" s="142"/>
      <c r="M2477" s="146"/>
      <c r="T2477" s="147"/>
      <c r="AT2477" s="144" t="s">
        <v>346</v>
      </c>
      <c r="AU2477" s="144" t="s">
        <v>90</v>
      </c>
      <c r="AV2477" s="141" t="s">
        <v>87</v>
      </c>
      <c r="AW2477" s="141" t="s">
        <v>33</v>
      </c>
      <c r="AX2477" s="141" t="s">
        <v>80</v>
      </c>
      <c r="AY2477" s="144" t="s">
        <v>337</v>
      </c>
    </row>
    <row r="2478" spans="2:51" s="148" customFormat="1" x14ac:dyDescent="0.2">
      <c r="B2478" s="149"/>
      <c r="D2478" s="143" t="s">
        <v>346</v>
      </c>
      <c r="E2478" s="150"/>
      <c r="F2478" s="151" t="s">
        <v>2084</v>
      </c>
      <c r="H2478" s="152">
        <v>49.28</v>
      </c>
      <c r="L2478" s="149"/>
      <c r="M2478" s="153"/>
      <c r="T2478" s="154"/>
      <c r="AT2478" s="150" t="s">
        <v>346</v>
      </c>
      <c r="AU2478" s="150" t="s">
        <v>90</v>
      </c>
      <c r="AV2478" s="148" t="s">
        <v>90</v>
      </c>
      <c r="AW2478" s="148" t="s">
        <v>33</v>
      </c>
      <c r="AX2478" s="148" t="s">
        <v>80</v>
      </c>
      <c r="AY2478" s="150" t="s">
        <v>337</v>
      </c>
    </row>
    <row r="2479" spans="2:51" s="148" customFormat="1" x14ac:dyDescent="0.2">
      <c r="B2479" s="149"/>
      <c r="D2479" s="143" t="s">
        <v>346</v>
      </c>
      <c r="E2479" s="150"/>
      <c r="F2479" s="151" t="s">
        <v>2087</v>
      </c>
      <c r="H2479" s="152">
        <v>4.84</v>
      </c>
      <c r="L2479" s="149"/>
      <c r="M2479" s="153"/>
      <c r="T2479" s="154"/>
      <c r="AT2479" s="150" t="s">
        <v>346</v>
      </c>
      <c r="AU2479" s="150" t="s">
        <v>90</v>
      </c>
      <c r="AV2479" s="148" t="s">
        <v>90</v>
      </c>
      <c r="AW2479" s="148" t="s">
        <v>33</v>
      </c>
      <c r="AX2479" s="148" t="s">
        <v>80</v>
      </c>
      <c r="AY2479" s="150" t="s">
        <v>337</v>
      </c>
    </row>
    <row r="2480" spans="2:51" s="148" customFormat="1" x14ac:dyDescent="0.2">
      <c r="B2480" s="149"/>
      <c r="D2480" s="143" t="s">
        <v>346</v>
      </c>
      <c r="E2480" s="150"/>
      <c r="F2480" s="151" t="s">
        <v>2088</v>
      </c>
      <c r="H2480" s="152">
        <v>13.97</v>
      </c>
      <c r="L2480" s="149"/>
      <c r="M2480" s="153"/>
      <c r="T2480" s="154"/>
      <c r="AT2480" s="150" t="s">
        <v>346</v>
      </c>
      <c r="AU2480" s="150" t="s">
        <v>90</v>
      </c>
      <c r="AV2480" s="148" t="s">
        <v>90</v>
      </c>
      <c r="AW2480" s="148" t="s">
        <v>33</v>
      </c>
      <c r="AX2480" s="148" t="s">
        <v>80</v>
      </c>
      <c r="AY2480" s="150" t="s">
        <v>337</v>
      </c>
    </row>
    <row r="2481" spans="2:51" s="141" customFormat="1" x14ac:dyDescent="0.2">
      <c r="B2481" s="142"/>
      <c r="D2481" s="143" t="s">
        <v>346</v>
      </c>
      <c r="E2481" s="144"/>
      <c r="F2481" s="145" t="s">
        <v>2077</v>
      </c>
      <c r="H2481" s="144"/>
      <c r="L2481" s="142"/>
      <c r="M2481" s="146"/>
      <c r="T2481" s="147"/>
      <c r="AT2481" s="144" t="s">
        <v>346</v>
      </c>
      <c r="AU2481" s="144" t="s">
        <v>90</v>
      </c>
      <c r="AV2481" s="141" t="s">
        <v>87</v>
      </c>
      <c r="AW2481" s="141" t="s">
        <v>33</v>
      </c>
      <c r="AX2481" s="141" t="s">
        <v>80</v>
      </c>
      <c r="AY2481" s="144" t="s">
        <v>337</v>
      </c>
    </row>
    <row r="2482" spans="2:51" s="148" customFormat="1" x14ac:dyDescent="0.2">
      <c r="B2482" s="149"/>
      <c r="D2482" s="143" t="s">
        <v>346</v>
      </c>
      <c r="E2482" s="150"/>
      <c r="F2482" s="151" t="s">
        <v>2089</v>
      </c>
      <c r="H2482" s="152">
        <v>33</v>
      </c>
      <c r="L2482" s="149"/>
      <c r="M2482" s="153"/>
      <c r="T2482" s="154"/>
      <c r="AT2482" s="150" t="s">
        <v>346</v>
      </c>
      <c r="AU2482" s="150" t="s">
        <v>90</v>
      </c>
      <c r="AV2482" s="148" t="s">
        <v>90</v>
      </c>
      <c r="AW2482" s="148" t="s">
        <v>33</v>
      </c>
      <c r="AX2482" s="148" t="s">
        <v>80</v>
      </c>
      <c r="AY2482" s="150" t="s">
        <v>337</v>
      </c>
    </row>
    <row r="2483" spans="2:51" s="141" customFormat="1" x14ac:dyDescent="0.2">
      <c r="B2483" s="142"/>
      <c r="D2483" s="143" t="s">
        <v>346</v>
      </c>
      <c r="E2483" s="144"/>
      <c r="F2483" s="145" t="s">
        <v>370</v>
      </c>
      <c r="H2483" s="144"/>
      <c r="L2483" s="142"/>
      <c r="M2483" s="146"/>
      <c r="T2483" s="147"/>
      <c r="AT2483" s="144" t="s">
        <v>346</v>
      </c>
      <c r="AU2483" s="144" t="s">
        <v>90</v>
      </c>
      <c r="AV2483" s="141" t="s">
        <v>87</v>
      </c>
      <c r="AW2483" s="141" t="s">
        <v>33</v>
      </c>
      <c r="AX2483" s="141" t="s">
        <v>80</v>
      </c>
      <c r="AY2483" s="144" t="s">
        <v>337</v>
      </c>
    </row>
    <row r="2484" spans="2:51" s="141" customFormat="1" x14ac:dyDescent="0.2">
      <c r="B2484" s="142"/>
      <c r="D2484" s="143" t="s">
        <v>346</v>
      </c>
      <c r="E2484" s="144"/>
      <c r="F2484" s="145" t="s">
        <v>2083</v>
      </c>
      <c r="H2484" s="144"/>
      <c r="L2484" s="142"/>
      <c r="M2484" s="146"/>
      <c r="T2484" s="147"/>
      <c r="AT2484" s="144" t="s">
        <v>346</v>
      </c>
      <c r="AU2484" s="144" t="s">
        <v>90</v>
      </c>
      <c r="AV2484" s="141" t="s">
        <v>87</v>
      </c>
      <c r="AW2484" s="141" t="s">
        <v>33</v>
      </c>
      <c r="AX2484" s="141" t="s">
        <v>80</v>
      </c>
      <c r="AY2484" s="144" t="s">
        <v>337</v>
      </c>
    </row>
    <row r="2485" spans="2:51" s="148" customFormat="1" x14ac:dyDescent="0.2">
      <c r="B2485" s="149"/>
      <c r="D2485" s="143" t="s">
        <v>346</v>
      </c>
      <c r="E2485" s="150"/>
      <c r="F2485" s="151" t="s">
        <v>2084</v>
      </c>
      <c r="H2485" s="152">
        <v>49.28</v>
      </c>
      <c r="L2485" s="149"/>
      <c r="M2485" s="153"/>
      <c r="T2485" s="154"/>
      <c r="AT2485" s="150" t="s">
        <v>346</v>
      </c>
      <c r="AU2485" s="150" t="s">
        <v>90</v>
      </c>
      <c r="AV2485" s="148" t="s">
        <v>90</v>
      </c>
      <c r="AW2485" s="148" t="s">
        <v>33</v>
      </c>
      <c r="AX2485" s="148" t="s">
        <v>80</v>
      </c>
      <c r="AY2485" s="150" t="s">
        <v>337</v>
      </c>
    </row>
    <row r="2486" spans="2:51" s="148" customFormat="1" x14ac:dyDescent="0.2">
      <c r="B2486" s="149"/>
      <c r="D2486" s="143" t="s">
        <v>346</v>
      </c>
      <c r="E2486" s="150"/>
      <c r="F2486" s="151" t="s">
        <v>2090</v>
      </c>
      <c r="H2486" s="152">
        <v>4.84</v>
      </c>
      <c r="L2486" s="149"/>
      <c r="M2486" s="153"/>
      <c r="T2486" s="154"/>
      <c r="AT2486" s="150" t="s">
        <v>346</v>
      </c>
      <c r="AU2486" s="150" t="s">
        <v>90</v>
      </c>
      <c r="AV2486" s="148" t="s">
        <v>90</v>
      </c>
      <c r="AW2486" s="148" t="s">
        <v>33</v>
      </c>
      <c r="AX2486" s="148" t="s">
        <v>80</v>
      </c>
      <c r="AY2486" s="150" t="s">
        <v>337</v>
      </c>
    </row>
    <row r="2487" spans="2:51" s="148" customFormat="1" x14ac:dyDescent="0.2">
      <c r="B2487" s="149"/>
      <c r="D2487" s="143" t="s">
        <v>346</v>
      </c>
      <c r="E2487" s="150"/>
      <c r="F2487" s="151" t="s">
        <v>2091</v>
      </c>
      <c r="H2487" s="152">
        <v>11.44</v>
      </c>
      <c r="L2487" s="149"/>
      <c r="M2487" s="153"/>
      <c r="T2487" s="154"/>
      <c r="AT2487" s="150" t="s">
        <v>346</v>
      </c>
      <c r="AU2487" s="150" t="s">
        <v>90</v>
      </c>
      <c r="AV2487" s="148" t="s">
        <v>90</v>
      </c>
      <c r="AW2487" s="148" t="s">
        <v>33</v>
      </c>
      <c r="AX2487" s="148" t="s">
        <v>80</v>
      </c>
      <c r="AY2487" s="150" t="s">
        <v>337</v>
      </c>
    </row>
    <row r="2488" spans="2:51" s="141" customFormat="1" x14ac:dyDescent="0.2">
      <c r="B2488" s="142"/>
      <c r="D2488" s="143" t="s">
        <v>346</v>
      </c>
      <c r="E2488" s="144"/>
      <c r="F2488" s="145" t="s">
        <v>2081</v>
      </c>
      <c r="H2488" s="144"/>
      <c r="L2488" s="142"/>
      <c r="M2488" s="146"/>
      <c r="T2488" s="147"/>
      <c r="AT2488" s="144" t="s">
        <v>346</v>
      </c>
      <c r="AU2488" s="144" t="s">
        <v>90</v>
      </c>
      <c r="AV2488" s="141" t="s">
        <v>87</v>
      </c>
      <c r="AW2488" s="141" t="s">
        <v>33</v>
      </c>
      <c r="AX2488" s="141" t="s">
        <v>80</v>
      </c>
      <c r="AY2488" s="144" t="s">
        <v>337</v>
      </c>
    </row>
    <row r="2489" spans="2:51" s="148" customFormat="1" x14ac:dyDescent="0.2">
      <c r="B2489" s="149"/>
      <c r="D2489" s="143" t="s">
        <v>346</v>
      </c>
      <c r="E2489" s="150"/>
      <c r="F2489" s="151" t="s">
        <v>2092</v>
      </c>
      <c r="H2489" s="152">
        <v>29</v>
      </c>
      <c r="L2489" s="149"/>
      <c r="M2489" s="153"/>
      <c r="T2489" s="154"/>
      <c r="AT2489" s="150" t="s">
        <v>346</v>
      </c>
      <c r="AU2489" s="150" t="s">
        <v>90</v>
      </c>
      <c r="AV2489" s="148" t="s">
        <v>90</v>
      </c>
      <c r="AW2489" s="148" t="s">
        <v>33</v>
      </c>
      <c r="AX2489" s="148" t="s">
        <v>80</v>
      </c>
      <c r="AY2489" s="150" t="s">
        <v>337</v>
      </c>
    </row>
    <row r="2490" spans="2:51" s="141" customFormat="1" x14ac:dyDescent="0.2">
      <c r="B2490" s="142"/>
      <c r="D2490" s="143" t="s">
        <v>346</v>
      </c>
      <c r="E2490" s="144"/>
      <c r="F2490" s="145" t="s">
        <v>434</v>
      </c>
      <c r="H2490" s="144"/>
      <c r="L2490" s="142"/>
      <c r="M2490" s="146"/>
      <c r="T2490" s="147"/>
      <c r="AT2490" s="144" t="s">
        <v>346</v>
      </c>
      <c r="AU2490" s="144" t="s">
        <v>90</v>
      </c>
      <c r="AV2490" s="141" t="s">
        <v>87</v>
      </c>
      <c r="AW2490" s="141" t="s">
        <v>33</v>
      </c>
      <c r="AX2490" s="141" t="s">
        <v>80</v>
      </c>
      <c r="AY2490" s="144" t="s">
        <v>337</v>
      </c>
    </row>
    <row r="2491" spans="2:51" s="141" customFormat="1" x14ac:dyDescent="0.2">
      <c r="B2491" s="142"/>
      <c r="D2491" s="143" t="s">
        <v>346</v>
      </c>
      <c r="E2491" s="144"/>
      <c r="F2491" s="145" t="s">
        <v>2083</v>
      </c>
      <c r="H2491" s="144"/>
      <c r="L2491" s="142"/>
      <c r="M2491" s="146"/>
      <c r="T2491" s="147"/>
      <c r="AT2491" s="144" t="s">
        <v>346</v>
      </c>
      <c r="AU2491" s="144" t="s">
        <v>90</v>
      </c>
      <c r="AV2491" s="141" t="s">
        <v>87</v>
      </c>
      <c r="AW2491" s="141" t="s">
        <v>33</v>
      </c>
      <c r="AX2491" s="141" t="s">
        <v>80</v>
      </c>
      <c r="AY2491" s="144" t="s">
        <v>337</v>
      </c>
    </row>
    <row r="2492" spans="2:51" s="148" customFormat="1" x14ac:dyDescent="0.2">
      <c r="B2492" s="149"/>
      <c r="D2492" s="143" t="s">
        <v>346</v>
      </c>
      <c r="E2492" s="150"/>
      <c r="F2492" s="151" t="s">
        <v>2093</v>
      </c>
      <c r="H2492" s="152">
        <v>51.281999999999996</v>
      </c>
      <c r="L2492" s="149"/>
      <c r="M2492" s="153"/>
      <c r="T2492" s="154"/>
      <c r="AT2492" s="150" t="s">
        <v>346</v>
      </c>
      <c r="AU2492" s="150" t="s">
        <v>90</v>
      </c>
      <c r="AV2492" s="148" t="s">
        <v>90</v>
      </c>
      <c r="AW2492" s="148" t="s">
        <v>33</v>
      </c>
      <c r="AX2492" s="148" t="s">
        <v>80</v>
      </c>
      <c r="AY2492" s="150" t="s">
        <v>337</v>
      </c>
    </row>
    <row r="2493" spans="2:51" s="141" customFormat="1" x14ac:dyDescent="0.2">
      <c r="B2493" s="142"/>
      <c r="D2493" s="143" t="s">
        <v>346</v>
      </c>
      <c r="E2493" s="144"/>
      <c r="F2493" s="145" t="s">
        <v>2081</v>
      </c>
      <c r="H2493" s="144"/>
      <c r="L2493" s="142"/>
      <c r="M2493" s="146"/>
      <c r="T2493" s="147"/>
      <c r="AT2493" s="144" t="s">
        <v>346</v>
      </c>
      <c r="AU2493" s="144" t="s">
        <v>90</v>
      </c>
      <c r="AV2493" s="141" t="s">
        <v>87</v>
      </c>
      <c r="AW2493" s="141" t="s">
        <v>33</v>
      </c>
      <c r="AX2493" s="141" t="s">
        <v>80</v>
      </c>
      <c r="AY2493" s="144" t="s">
        <v>337</v>
      </c>
    </row>
    <row r="2494" spans="2:51" s="148" customFormat="1" x14ac:dyDescent="0.2">
      <c r="B2494" s="149"/>
      <c r="D2494" s="143" t="s">
        <v>346</v>
      </c>
      <c r="E2494" s="150"/>
      <c r="F2494" s="151" t="s">
        <v>2094</v>
      </c>
      <c r="H2494" s="152">
        <v>22</v>
      </c>
      <c r="L2494" s="149"/>
      <c r="M2494" s="153"/>
      <c r="T2494" s="154"/>
      <c r="AT2494" s="150" t="s">
        <v>346</v>
      </c>
      <c r="AU2494" s="150" t="s">
        <v>90</v>
      </c>
      <c r="AV2494" s="148" t="s">
        <v>90</v>
      </c>
      <c r="AW2494" s="148" t="s">
        <v>33</v>
      </c>
      <c r="AX2494" s="148" t="s">
        <v>80</v>
      </c>
      <c r="AY2494" s="150" t="s">
        <v>337</v>
      </c>
    </row>
    <row r="2495" spans="2:51" s="172" customFormat="1" x14ac:dyDescent="0.2">
      <c r="B2495" s="173"/>
      <c r="D2495" s="143" t="s">
        <v>346</v>
      </c>
      <c r="E2495" s="174"/>
      <c r="F2495" s="175" t="s">
        <v>609</v>
      </c>
      <c r="H2495" s="176">
        <v>436.43299999999999</v>
      </c>
      <c r="L2495" s="173"/>
      <c r="M2495" s="177"/>
      <c r="T2495" s="178"/>
      <c r="AT2495" s="174" t="s">
        <v>346</v>
      </c>
      <c r="AU2495" s="174" t="s">
        <v>90</v>
      </c>
      <c r="AV2495" s="172" t="s">
        <v>113</v>
      </c>
      <c r="AW2495" s="172" t="s">
        <v>33</v>
      </c>
      <c r="AX2495" s="172" t="s">
        <v>80</v>
      </c>
      <c r="AY2495" s="174" t="s">
        <v>337</v>
      </c>
    </row>
    <row r="2496" spans="2:51" s="141" customFormat="1" x14ac:dyDescent="0.2">
      <c r="B2496" s="142"/>
      <c r="D2496" s="143" t="s">
        <v>346</v>
      </c>
      <c r="E2496" s="144"/>
      <c r="F2496" s="145" t="s">
        <v>2095</v>
      </c>
      <c r="H2496" s="144"/>
      <c r="L2496" s="142"/>
      <c r="M2496" s="146"/>
      <c r="T2496" s="147"/>
      <c r="AT2496" s="144" t="s">
        <v>346</v>
      </c>
      <c r="AU2496" s="144" t="s">
        <v>90</v>
      </c>
      <c r="AV2496" s="141" t="s">
        <v>87</v>
      </c>
      <c r="AW2496" s="141" t="s">
        <v>33</v>
      </c>
      <c r="AX2496" s="141" t="s">
        <v>80</v>
      </c>
      <c r="AY2496" s="144" t="s">
        <v>337</v>
      </c>
    </row>
    <row r="2497" spans="2:51" s="141" customFormat="1" x14ac:dyDescent="0.2">
      <c r="B2497" s="142"/>
      <c r="D2497" s="143" t="s">
        <v>346</v>
      </c>
      <c r="E2497" s="144"/>
      <c r="F2497" s="145" t="s">
        <v>2096</v>
      </c>
      <c r="H2497" s="144"/>
      <c r="L2497" s="142"/>
      <c r="M2497" s="146"/>
      <c r="T2497" s="147"/>
      <c r="AT2497" s="144" t="s">
        <v>346</v>
      </c>
      <c r="AU2497" s="144" t="s">
        <v>90</v>
      </c>
      <c r="AV2497" s="141" t="s">
        <v>87</v>
      </c>
      <c r="AW2497" s="141" t="s">
        <v>33</v>
      </c>
      <c r="AX2497" s="141" t="s">
        <v>80</v>
      </c>
      <c r="AY2497" s="144" t="s">
        <v>337</v>
      </c>
    </row>
    <row r="2498" spans="2:51" s="141" customFormat="1" x14ac:dyDescent="0.2">
      <c r="B2498" s="142"/>
      <c r="D2498" s="143" t="s">
        <v>346</v>
      </c>
      <c r="E2498" s="144"/>
      <c r="F2498" s="145" t="s">
        <v>2097</v>
      </c>
      <c r="H2498" s="144"/>
      <c r="L2498" s="142"/>
      <c r="M2498" s="146"/>
      <c r="T2498" s="147"/>
      <c r="AT2498" s="144" t="s">
        <v>346</v>
      </c>
      <c r="AU2498" s="144" t="s">
        <v>90</v>
      </c>
      <c r="AV2498" s="141" t="s">
        <v>87</v>
      </c>
      <c r="AW2498" s="141" t="s">
        <v>33</v>
      </c>
      <c r="AX2498" s="141" t="s">
        <v>80</v>
      </c>
      <c r="AY2498" s="144" t="s">
        <v>337</v>
      </c>
    </row>
    <row r="2499" spans="2:51" s="148" customFormat="1" x14ac:dyDescent="0.2">
      <c r="B2499" s="149"/>
      <c r="D2499" s="143" t="s">
        <v>346</v>
      </c>
      <c r="E2499" s="150"/>
      <c r="F2499" s="151" t="s">
        <v>2098</v>
      </c>
      <c r="H2499" s="152">
        <v>6.7</v>
      </c>
      <c r="L2499" s="149"/>
      <c r="M2499" s="153"/>
      <c r="T2499" s="154"/>
      <c r="AT2499" s="150" t="s">
        <v>346</v>
      </c>
      <c r="AU2499" s="150" t="s">
        <v>90</v>
      </c>
      <c r="AV2499" s="148" t="s">
        <v>90</v>
      </c>
      <c r="AW2499" s="148" t="s">
        <v>33</v>
      </c>
      <c r="AX2499" s="148" t="s">
        <v>80</v>
      </c>
      <c r="AY2499" s="150" t="s">
        <v>337</v>
      </c>
    </row>
    <row r="2500" spans="2:51" s="148" customFormat="1" x14ac:dyDescent="0.2">
      <c r="B2500" s="149"/>
      <c r="D2500" s="143" t="s">
        <v>346</v>
      </c>
      <c r="E2500" s="150"/>
      <c r="F2500" s="151" t="s">
        <v>1601</v>
      </c>
      <c r="H2500" s="152">
        <v>-0.8</v>
      </c>
      <c r="L2500" s="149"/>
      <c r="M2500" s="153"/>
      <c r="T2500" s="154"/>
      <c r="AT2500" s="150" t="s">
        <v>346</v>
      </c>
      <c r="AU2500" s="150" t="s">
        <v>90</v>
      </c>
      <c r="AV2500" s="148" t="s">
        <v>90</v>
      </c>
      <c r="AW2500" s="148" t="s">
        <v>33</v>
      </c>
      <c r="AX2500" s="148" t="s">
        <v>80</v>
      </c>
      <c r="AY2500" s="150" t="s">
        <v>337</v>
      </c>
    </row>
    <row r="2501" spans="2:51" s="148" customFormat="1" x14ac:dyDescent="0.2">
      <c r="B2501" s="149"/>
      <c r="D2501" s="143" t="s">
        <v>346</v>
      </c>
      <c r="E2501" s="150"/>
      <c r="F2501" s="151" t="s">
        <v>1600</v>
      </c>
      <c r="H2501" s="152">
        <v>20.149999999999999</v>
      </c>
      <c r="L2501" s="149"/>
      <c r="M2501" s="153"/>
      <c r="T2501" s="154"/>
      <c r="AT2501" s="150" t="s">
        <v>346</v>
      </c>
      <c r="AU2501" s="150" t="s">
        <v>90</v>
      </c>
      <c r="AV2501" s="148" t="s">
        <v>90</v>
      </c>
      <c r="AW2501" s="148" t="s">
        <v>33</v>
      </c>
      <c r="AX2501" s="148" t="s">
        <v>80</v>
      </c>
      <c r="AY2501" s="150" t="s">
        <v>337</v>
      </c>
    </row>
    <row r="2502" spans="2:51" s="148" customFormat="1" x14ac:dyDescent="0.2">
      <c r="B2502" s="149"/>
      <c r="D2502" s="143" t="s">
        <v>346</v>
      </c>
      <c r="E2502" s="150"/>
      <c r="F2502" s="151" t="s">
        <v>1601</v>
      </c>
      <c r="H2502" s="152">
        <v>-0.8</v>
      </c>
      <c r="L2502" s="149"/>
      <c r="M2502" s="153"/>
      <c r="T2502" s="154"/>
      <c r="AT2502" s="150" t="s">
        <v>346</v>
      </c>
      <c r="AU2502" s="150" t="s">
        <v>90</v>
      </c>
      <c r="AV2502" s="148" t="s">
        <v>90</v>
      </c>
      <c r="AW2502" s="148" t="s">
        <v>33</v>
      </c>
      <c r="AX2502" s="148" t="s">
        <v>80</v>
      </c>
      <c r="AY2502" s="150" t="s">
        <v>337</v>
      </c>
    </row>
    <row r="2503" spans="2:51" s="148" customFormat="1" x14ac:dyDescent="0.2">
      <c r="B2503" s="149"/>
      <c r="D2503" s="143" t="s">
        <v>346</v>
      </c>
      <c r="E2503" s="150"/>
      <c r="F2503" s="151" t="s">
        <v>2099</v>
      </c>
      <c r="H2503" s="152">
        <v>10.06</v>
      </c>
      <c r="L2503" s="149"/>
      <c r="M2503" s="153"/>
      <c r="T2503" s="154"/>
      <c r="AT2503" s="150" t="s">
        <v>346</v>
      </c>
      <c r="AU2503" s="150" t="s">
        <v>90</v>
      </c>
      <c r="AV2503" s="148" t="s">
        <v>90</v>
      </c>
      <c r="AW2503" s="148" t="s">
        <v>33</v>
      </c>
      <c r="AX2503" s="148" t="s">
        <v>80</v>
      </c>
      <c r="AY2503" s="150" t="s">
        <v>337</v>
      </c>
    </row>
    <row r="2504" spans="2:51" s="148" customFormat="1" x14ac:dyDescent="0.2">
      <c r="B2504" s="149"/>
      <c r="D2504" s="143" t="s">
        <v>346</v>
      </c>
      <c r="E2504" s="150"/>
      <c r="F2504" s="151" t="s">
        <v>2100</v>
      </c>
      <c r="H2504" s="152">
        <v>-1.4</v>
      </c>
      <c r="L2504" s="149"/>
      <c r="M2504" s="153"/>
      <c r="T2504" s="154"/>
      <c r="AT2504" s="150" t="s">
        <v>346</v>
      </c>
      <c r="AU2504" s="150" t="s">
        <v>90</v>
      </c>
      <c r="AV2504" s="148" t="s">
        <v>90</v>
      </c>
      <c r="AW2504" s="148" t="s">
        <v>33</v>
      </c>
      <c r="AX2504" s="148" t="s">
        <v>80</v>
      </c>
      <c r="AY2504" s="150" t="s">
        <v>337</v>
      </c>
    </row>
    <row r="2505" spans="2:51" s="148" customFormat="1" x14ac:dyDescent="0.2">
      <c r="B2505" s="149"/>
      <c r="D2505" s="143" t="s">
        <v>346</v>
      </c>
      <c r="E2505" s="150"/>
      <c r="F2505" s="151" t="s">
        <v>1653</v>
      </c>
      <c r="H2505" s="152">
        <v>13.3</v>
      </c>
      <c r="L2505" s="149"/>
      <c r="M2505" s="153"/>
      <c r="T2505" s="154"/>
      <c r="AT2505" s="150" t="s">
        <v>346</v>
      </c>
      <c r="AU2505" s="150" t="s">
        <v>90</v>
      </c>
      <c r="AV2505" s="148" t="s">
        <v>90</v>
      </c>
      <c r="AW2505" s="148" t="s">
        <v>33</v>
      </c>
      <c r="AX2505" s="148" t="s">
        <v>80</v>
      </c>
      <c r="AY2505" s="150" t="s">
        <v>337</v>
      </c>
    </row>
    <row r="2506" spans="2:51" s="148" customFormat="1" x14ac:dyDescent="0.2">
      <c r="B2506" s="149"/>
      <c r="D2506" s="143" t="s">
        <v>346</v>
      </c>
      <c r="E2506" s="150"/>
      <c r="F2506" s="151" t="s">
        <v>1601</v>
      </c>
      <c r="H2506" s="152">
        <v>-0.8</v>
      </c>
      <c r="L2506" s="149"/>
      <c r="M2506" s="153"/>
      <c r="T2506" s="154"/>
      <c r="AT2506" s="150" t="s">
        <v>346</v>
      </c>
      <c r="AU2506" s="150" t="s">
        <v>90</v>
      </c>
      <c r="AV2506" s="148" t="s">
        <v>90</v>
      </c>
      <c r="AW2506" s="148" t="s">
        <v>33</v>
      </c>
      <c r="AX2506" s="148" t="s">
        <v>80</v>
      </c>
      <c r="AY2506" s="150" t="s">
        <v>337</v>
      </c>
    </row>
    <row r="2507" spans="2:51" s="148" customFormat="1" x14ac:dyDescent="0.2">
      <c r="B2507" s="149"/>
      <c r="D2507" s="143" t="s">
        <v>346</v>
      </c>
      <c r="E2507" s="150"/>
      <c r="F2507" s="151" t="s">
        <v>2101</v>
      </c>
      <c r="H2507" s="152">
        <v>6.26</v>
      </c>
      <c r="L2507" s="149"/>
      <c r="M2507" s="153"/>
      <c r="T2507" s="154"/>
      <c r="AT2507" s="150" t="s">
        <v>346</v>
      </c>
      <c r="AU2507" s="150" t="s">
        <v>90</v>
      </c>
      <c r="AV2507" s="148" t="s">
        <v>90</v>
      </c>
      <c r="AW2507" s="148" t="s">
        <v>33</v>
      </c>
      <c r="AX2507" s="148" t="s">
        <v>80</v>
      </c>
      <c r="AY2507" s="150" t="s">
        <v>337</v>
      </c>
    </row>
    <row r="2508" spans="2:51" s="148" customFormat="1" x14ac:dyDescent="0.2">
      <c r="B2508" s="149"/>
      <c r="D2508" s="143" t="s">
        <v>346</v>
      </c>
      <c r="E2508" s="150"/>
      <c r="F2508" s="151" t="s">
        <v>2102</v>
      </c>
      <c r="H2508" s="152">
        <v>-0.7</v>
      </c>
      <c r="L2508" s="149"/>
      <c r="M2508" s="153"/>
      <c r="T2508" s="154"/>
      <c r="AT2508" s="150" t="s">
        <v>346</v>
      </c>
      <c r="AU2508" s="150" t="s">
        <v>90</v>
      </c>
      <c r="AV2508" s="148" t="s">
        <v>90</v>
      </c>
      <c r="AW2508" s="148" t="s">
        <v>33</v>
      </c>
      <c r="AX2508" s="148" t="s">
        <v>80</v>
      </c>
      <c r="AY2508" s="150" t="s">
        <v>337</v>
      </c>
    </row>
    <row r="2509" spans="2:51" s="148" customFormat="1" x14ac:dyDescent="0.2">
      <c r="B2509" s="149"/>
      <c r="D2509" s="143" t="s">
        <v>346</v>
      </c>
      <c r="E2509" s="150"/>
      <c r="F2509" s="151" t="s">
        <v>2103</v>
      </c>
      <c r="H2509" s="152">
        <v>4.34</v>
      </c>
      <c r="L2509" s="149"/>
      <c r="M2509" s="153"/>
      <c r="T2509" s="154"/>
      <c r="AT2509" s="150" t="s">
        <v>346</v>
      </c>
      <c r="AU2509" s="150" t="s">
        <v>90</v>
      </c>
      <c r="AV2509" s="148" t="s">
        <v>90</v>
      </c>
      <c r="AW2509" s="148" t="s">
        <v>33</v>
      </c>
      <c r="AX2509" s="148" t="s">
        <v>80</v>
      </c>
      <c r="AY2509" s="150" t="s">
        <v>337</v>
      </c>
    </row>
    <row r="2510" spans="2:51" s="148" customFormat="1" x14ac:dyDescent="0.2">
      <c r="B2510" s="149"/>
      <c r="D2510" s="143" t="s">
        <v>346</v>
      </c>
      <c r="E2510" s="150"/>
      <c r="F2510" s="151" t="s">
        <v>2102</v>
      </c>
      <c r="H2510" s="152">
        <v>-0.7</v>
      </c>
      <c r="L2510" s="149"/>
      <c r="M2510" s="153"/>
      <c r="T2510" s="154"/>
      <c r="AT2510" s="150" t="s">
        <v>346</v>
      </c>
      <c r="AU2510" s="150" t="s">
        <v>90</v>
      </c>
      <c r="AV2510" s="148" t="s">
        <v>90</v>
      </c>
      <c r="AW2510" s="148" t="s">
        <v>33</v>
      </c>
      <c r="AX2510" s="148" t="s">
        <v>80</v>
      </c>
      <c r="AY2510" s="150" t="s">
        <v>337</v>
      </c>
    </row>
    <row r="2511" spans="2:51" s="148" customFormat="1" x14ac:dyDescent="0.2">
      <c r="B2511" s="149"/>
      <c r="D2511" s="143" t="s">
        <v>346</v>
      </c>
      <c r="E2511" s="150"/>
      <c r="F2511" s="151" t="s">
        <v>2104</v>
      </c>
      <c r="H2511" s="152">
        <v>6.26</v>
      </c>
      <c r="L2511" s="149"/>
      <c r="M2511" s="153"/>
      <c r="T2511" s="154"/>
      <c r="AT2511" s="150" t="s">
        <v>346</v>
      </c>
      <c r="AU2511" s="150" t="s">
        <v>90</v>
      </c>
      <c r="AV2511" s="148" t="s">
        <v>90</v>
      </c>
      <c r="AW2511" s="148" t="s">
        <v>33</v>
      </c>
      <c r="AX2511" s="148" t="s">
        <v>80</v>
      </c>
      <c r="AY2511" s="150" t="s">
        <v>337</v>
      </c>
    </row>
    <row r="2512" spans="2:51" s="148" customFormat="1" x14ac:dyDescent="0.2">
      <c r="B2512" s="149"/>
      <c r="D2512" s="143" t="s">
        <v>346</v>
      </c>
      <c r="E2512" s="150"/>
      <c r="F2512" s="151" t="s">
        <v>2102</v>
      </c>
      <c r="H2512" s="152">
        <v>-0.7</v>
      </c>
      <c r="L2512" s="149"/>
      <c r="M2512" s="153"/>
      <c r="T2512" s="154"/>
      <c r="AT2512" s="150" t="s">
        <v>346</v>
      </c>
      <c r="AU2512" s="150" t="s">
        <v>90</v>
      </c>
      <c r="AV2512" s="148" t="s">
        <v>90</v>
      </c>
      <c r="AW2512" s="148" t="s">
        <v>33</v>
      </c>
      <c r="AX2512" s="148" t="s">
        <v>80</v>
      </c>
      <c r="AY2512" s="150" t="s">
        <v>337</v>
      </c>
    </row>
    <row r="2513" spans="2:51" s="148" customFormat="1" x14ac:dyDescent="0.2">
      <c r="B2513" s="149"/>
      <c r="D2513" s="143" t="s">
        <v>346</v>
      </c>
      <c r="E2513" s="150"/>
      <c r="F2513" s="151" t="s">
        <v>2105</v>
      </c>
      <c r="H2513" s="152">
        <v>4.34</v>
      </c>
      <c r="L2513" s="149"/>
      <c r="M2513" s="153"/>
      <c r="T2513" s="154"/>
      <c r="AT2513" s="150" t="s">
        <v>346</v>
      </c>
      <c r="AU2513" s="150" t="s">
        <v>90</v>
      </c>
      <c r="AV2513" s="148" t="s">
        <v>90</v>
      </c>
      <c r="AW2513" s="148" t="s">
        <v>33</v>
      </c>
      <c r="AX2513" s="148" t="s">
        <v>80</v>
      </c>
      <c r="AY2513" s="150" t="s">
        <v>337</v>
      </c>
    </row>
    <row r="2514" spans="2:51" s="148" customFormat="1" x14ac:dyDescent="0.2">
      <c r="B2514" s="149"/>
      <c r="D2514" s="143" t="s">
        <v>346</v>
      </c>
      <c r="E2514" s="150"/>
      <c r="F2514" s="151" t="s">
        <v>2102</v>
      </c>
      <c r="H2514" s="152">
        <v>-0.7</v>
      </c>
      <c r="L2514" s="149"/>
      <c r="M2514" s="153"/>
      <c r="T2514" s="154"/>
      <c r="AT2514" s="150" t="s">
        <v>346</v>
      </c>
      <c r="AU2514" s="150" t="s">
        <v>90</v>
      </c>
      <c r="AV2514" s="148" t="s">
        <v>90</v>
      </c>
      <c r="AW2514" s="148" t="s">
        <v>33</v>
      </c>
      <c r="AX2514" s="148" t="s">
        <v>80</v>
      </c>
      <c r="AY2514" s="150" t="s">
        <v>337</v>
      </c>
    </row>
    <row r="2515" spans="2:51" s="148" customFormat="1" x14ac:dyDescent="0.2">
      <c r="B2515" s="149"/>
      <c r="D2515" s="143" t="s">
        <v>346</v>
      </c>
      <c r="E2515" s="150"/>
      <c r="F2515" s="151" t="s">
        <v>2106</v>
      </c>
      <c r="H2515" s="152">
        <v>4.34</v>
      </c>
      <c r="L2515" s="149"/>
      <c r="M2515" s="153"/>
      <c r="T2515" s="154"/>
      <c r="AT2515" s="150" t="s">
        <v>346</v>
      </c>
      <c r="AU2515" s="150" t="s">
        <v>90</v>
      </c>
      <c r="AV2515" s="148" t="s">
        <v>90</v>
      </c>
      <c r="AW2515" s="148" t="s">
        <v>33</v>
      </c>
      <c r="AX2515" s="148" t="s">
        <v>80</v>
      </c>
      <c r="AY2515" s="150" t="s">
        <v>337</v>
      </c>
    </row>
    <row r="2516" spans="2:51" s="148" customFormat="1" x14ac:dyDescent="0.2">
      <c r="B2516" s="149"/>
      <c r="D2516" s="143" t="s">
        <v>346</v>
      </c>
      <c r="E2516" s="150"/>
      <c r="F2516" s="151" t="s">
        <v>2102</v>
      </c>
      <c r="H2516" s="152">
        <v>-0.7</v>
      </c>
      <c r="L2516" s="149"/>
      <c r="M2516" s="153"/>
      <c r="T2516" s="154"/>
      <c r="AT2516" s="150" t="s">
        <v>346</v>
      </c>
      <c r="AU2516" s="150" t="s">
        <v>90</v>
      </c>
      <c r="AV2516" s="148" t="s">
        <v>90</v>
      </c>
      <c r="AW2516" s="148" t="s">
        <v>33</v>
      </c>
      <c r="AX2516" s="148" t="s">
        <v>80</v>
      </c>
      <c r="AY2516" s="150" t="s">
        <v>337</v>
      </c>
    </row>
    <row r="2517" spans="2:51" s="148" customFormat="1" x14ac:dyDescent="0.2">
      <c r="B2517" s="149"/>
      <c r="D2517" s="143" t="s">
        <v>346</v>
      </c>
      <c r="E2517" s="150"/>
      <c r="F2517" s="151" t="s">
        <v>2107</v>
      </c>
      <c r="H2517" s="152">
        <v>5.89</v>
      </c>
      <c r="L2517" s="149"/>
      <c r="M2517" s="153"/>
      <c r="T2517" s="154"/>
      <c r="AT2517" s="150" t="s">
        <v>346</v>
      </c>
      <c r="AU2517" s="150" t="s">
        <v>90</v>
      </c>
      <c r="AV2517" s="148" t="s">
        <v>90</v>
      </c>
      <c r="AW2517" s="148" t="s">
        <v>33</v>
      </c>
      <c r="AX2517" s="148" t="s">
        <v>80</v>
      </c>
      <c r="AY2517" s="150" t="s">
        <v>337</v>
      </c>
    </row>
    <row r="2518" spans="2:51" s="148" customFormat="1" x14ac:dyDescent="0.2">
      <c r="B2518" s="149"/>
      <c r="D2518" s="143" t="s">
        <v>346</v>
      </c>
      <c r="E2518" s="150"/>
      <c r="F2518" s="151" t="s">
        <v>2102</v>
      </c>
      <c r="H2518" s="152">
        <v>-0.7</v>
      </c>
      <c r="L2518" s="149"/>
      <c r="M2518" s="153"/>
      <c r="T2518" s="154"/>
      <c r="AT2518" s="150" t="s">
        <v>346</v>
      </c>
      <c r="AU2518" s="150" t="s">
        <v>90</v>
      </c>
      <c r="AV2518" s="148" t="s">
        <v>90</v>
      </c>
      <c r="AW2518" s="148" t="s">
        <v>33</v>
      </c>
      <c r="AX2518" s="148" t="s">
        <v>80</v>
      </c>
      <c r="AY2518" s="150" t="s">
        <v>337</v>
      </c>
    </row>
    <row r="2519" spans="2:51" s="148" customFormat="1" x14ac:dyDescent="0.2">
      <c r="B2519" s="149"/>
      <c r="D2519" s="143" t="s">
        <v>346</v>
      </c>
      <c r="E2519" s="150"/>
      <c r="F2519" s="151" t="s">
        <v>2108</v>
      </c>
      <c r="H2519" s="152">
        <v>6.26</v>
      </c>
      <c r="L2519" s="149"/>
      <c r="M2519" s="153"/>
      <c r="T2519" s="154"/>
      <c r="AT2519" s="150" t="s">
        <v>346</v>
      </c>
      <c r="AU2519" s="150" t="s">
        <v>90</v>
      </c>
      <c r="AV2519" s="148" t="s">
        <v>90</v>
      </c>
      <c r="AW2519" s="148" t="s">
        <v>33</v>
      </c>
      <c r="AX2519" s="148" t="s">
        <v>80</v>
      </c>
      <c r="AY2519" s="150" t="s">
        <v>337</v>
      </c>
    </row>
    <row r="2520" spans="2:51" s="148" customFormat="1" x14ac:dyDescent="0.2">
      <c r="B2520" s="149"/>
      <c r="D2520" s="143" t="s">
        <v>346</v>
      </c>
      <c r="E2520" s="150"/>
      <c r="F2520" s="151" t="s">
        <v>2102</v>
      </c>
      <c r="H2520" s="152">
        <v>-0.7</v>
      </c>
      <c r="L2520" s="149"/>
      <c r="M2520" s="153"/>
      <c r="T2520" s="154"/>
      <c r="AT2520" s="150" t="s">
        <v>346</v>
      </c>
      <c r="AU2520" s="150" t="s">
        <v>90</v>
      </c>
      <c r="AV2520" s="148" t="s">
        <v>90</v>
      </c>
      <c r="AW2520" s="148" t="s">
        <v>33</v>
      </c>
      <c r="AX2520" s="148" t="s">
        <v>80</v>
      </c>
      <c r="AY2520" s="150" t="s">
        <v>337</v>
      </c>
    </row>
    <row r="2521" spans="2:51" s="148" customFormat="1" x14ac:dyDescent="0.2">
      <c r="B2521" s="149"/>
      <c r="D2521" s="143" t="s">
        <v>346</v>
      </c>
      <c r="E2521" s="150"/>
      <c r="F2521" s="151" t="s">
        <v>2109</v>
      </c>
      <c r="H2521" s="152">
        <v>4.34</v>
      </c>
      <c r="L2521" s="149"/>
      <c r="M2521" s="153"/>
      <c r="T2521" s="154"/>
      <c r="AT2521" s="150" t="s">
        <v>346</v>
      </c>
      <c r="AU2521" s="150" t="s">
        <v>90</v>
      </c>
      <c r="AV2521" s="148" t="s">
        <v>90</v>
      </c>
      <c r="AW2521" s="148" t="s">
        <v>33</v>
      </c>
      <c r="AX2521" s="148" t="s">
        <v>80</v>
      </c>
      <c r="AY2521" s="150" t="s">
        <v>337</v>
      </c>
    </row>
    <row r="2522" spans="2:51" s="148" customFormat="1" x14ac:dyDescent="0.2">
      <c r="B2522" s="149"/>
      <c r="D2522" s="143" t="s">
        <v>346</v>
      </c>
      <c r="E2522" s="150"/>
      <c r="F2522" s="151" t="s">
        <v>2102</v>
      </c>
      <c r="H2522" s="152">
        <v>-0.7</v>
      </c>
      <c r="L2522" s="149"/>
      <c r="M2522" s="153"/>
      <c r="T2522" s="154"/>
      <c r="AT2522" s="150" t="s">
        <v>346</v>
      </c>
      <c r="AU2522" s="150" t="s">
        <v>90</v>
      </c>
      <c r="AV2522" s="148" t="s">
        <v>90</v>
      </c>
      <c r="AW2522" s="148" t="s">
        <v>33</v>
      </c>
      <c r="AX2522" s="148" t="s">
        <v>80</v>
      </c>
      <c r="AY2522" s="150" t="s">
        <v>337</v>
      </c>
    </row>
    <row r="2523" spans="2:51" s="148" customFormat="1" x14ac:dyDescent="0.2">
      <c r="B2523" s="149"/>
      <c r="D2523" s="143" t="s">
        <v>346</v>
      </c>
      <c r="E2523" s="150"/>
      <c r="F2523" s="151" t="s">
        <v>2110</v>
      </c>
      <c r="H2523" s="152">
        <v>6.26</v>
      </c>
      <c r="L2523" s="149"/>
      <c r="M2523" s="153"/>
      <c r="T2523" s="154"/>
      <c r="AT2523" s="150" t="s">
        <v>346</v>
      </c>
      <c r="AU2523" s="150" t="s">
        <v>90</v>
      </c>
      <c r="AV2523" s="148" t="s">
        <v>90</v>
      </c>
      <c r="AW2523" s="148" t="s">
        <v>33</v>
      </c>
      <c r="AX2523" s="148" t="s">
        <v>80</v>
      </c>
      <c r="AY2523" s="150" t="s">
        <v>337</v>
      </c>
    </row>
    <row r="2524" spans="2:51" s="148" customFormat="1" x14ac:dyDescent="0.2">
      <c r="B2524" s="149"/>
      <c r="D2524" s="143" t="s">
        <v>346</v>
      </c>
      <c r="E2524" s="150"/>
      <c r="F2524" s="151" t="s">
        <v>2102</v>
      </c>
      <c r="H2524" s="152">
        <v>-0.7</v>
      </c>
      <c r="L2524" s="149"/>
      <c r="M2524" s="153"/>
      <c r="T2524" s="154"/>
      <c r="AT2524" s="150" t="s">
        <v>346</v>
      </c>
      <c r="AU2524" s="150" t="s">
        <v>90</v>
      </c>
      <c r="AV2524" s="148" t="s">
        <v>90</v>
      </c>
      <c r="AW2524" s="148" t="s">
        <v>33</v>
      </c>
      <c r="AX2524" s="148" t="s">
        <v>80</v>
      </c>
      <c r="AY2524" s="150" t="s">
        <v>337</v>
      </c>
    </row>
    <row r="2525" spans="2:51" s="148" customFormat="1" x14ac:dyDescent="0.2">
      <c r="B2525" s="149"/>
      <c r="D2525" s="143" t="s">
        <v>346</v>
      </c>
      <c r="E2525" s="150"/>
      <c r="F2525" s="151" t="s">
        <v>2111</v>
      </c>
      <c r="H2525" s="152">
        <v>4.71</v>
      </c>
      <c r="L2525" s="149"/>
      <c r="M2525" s="153"/>
      <c r="T2525" s="154"/>
      <c r="AT2525" s="150" t="s">
        <v>346</v>
      </c>
      <c r="AU2525" s="150" t="s">
        <v>90</v>
      </c>
      <c r="AV2525" s="148" t="s">
        <v>90</v>
      </c>
      <c r="AW2525" s="148" t="s">
        <v>33</v>
      </c>
      <c r="AX2525" s="148" t="s">
        <v>80</v>
      </c>
      <c r="AY2525" s="150" t="s">
        <v>337</v>
      </c>
    </row>
    <row r="2526" spans="2:51" s="148" customFormat="1" x14ac:dyDescent="0.2">
      <c r="B2526" s="149"/>
      <c r="D2526" s="143" t="s">
        <v>346</v>
      </c>
      <c r="E2526" s="150"/>
      <c r="F2526" s="151" t="s">
        <v>2102</v>
      </c>
      <c r="H2526" s="152">
        <v>-0.7</v>
      </c>
      <c r="L2526" s="149"/>
      <c r="M2526" s="153"/>
      <c r="T2526" s="154"/>
      <c r="AT2526" s="150" t="s">
        <v>346</v>
      </c>
      <c r="AU2526" s="150" t="s">
        <v>90</v>
      </c>
      <c r="AV2526" s="148" t="s">
        <v>90</v>
      </c>
      <c r="AW2526" s="148" t="s">
        <v>33</v>
      </c>
      <c r="AX2526" s="148" t="s">
        <v>80</v>
      </c>
      <c r="AY2526" s="150" t="s">
        <v>337</v>
      </c>
    </row>
    <row r="2527" spans="2:51" s="148" customFormat="1" x14ac:dyDescent="0.2">
      <c r="B2527" s="149"/>
      <c r="D2527" s="143" t="s">
        <v>346</v>
      </c>
      <c r="E2527" s="150"/>
      <c r="F2527" s="151" t="s">
        <v>2112</v>
      </c>
      <c r="H2527" s="152">
        <v>5.4</v>
      </c>
      <c r="L2527" s="149"/>
      <c r="M2527" s="153"/>
      <c r="T2527" s="154"/>
      <c r="AT2527" s="150" t="s">
        <v>346</v>
      </c>
      <c r="AU2527" s="150" t="s">
        <v>90</v>
      </c>
      <c r="AV2527" s="148" t="s">
        <v>90</v>
      </c>
      <c r="AW2527" s="148" t="s">
        <v>33</v>
      </c>
      <c r="AX2527" s="148" t="s">
        <v>80</v>
      </c>
      <c r="AY2527" s="150" t="s">
        <v>337</v>
      </c>
    </row>
    <row r="2528" spans="2:51" s="148" customFormat="1" x14ac:dyDescent="0.2">
      <c r="B2528" s="149"/>
      <c r="D2528" s="143" t="s">
        <v>346</v>
      </c>
      <c r="E2528" s="150"/>
      <c r="F2528" s="151" t="s">
        <v>2102</v>
      </c>
      <c r="H2528" s="152">
        <v>-0.7</v>
      </c>
      <c r="L2528" s="149"/>
      <c r="M2528" s="153"/>
      <c r="T2528" s="154"/>
      <c r="AT2528" s="150" t="s">
        <v>346</v>
      </c>
      <c r="AU2528" s="150" t="s">
        <v>90</v>
      </c>
      <c r="AV2528" s="148" t="s">
        <v>90</v>
      </c>
      <c r="AW2528" s="148" t="s">
        <v>33</v>
      </c>
      <c r="AX2528" s="148" t="s">
        <v>80</v>
      </c>
      <c r="AY2528" s="150" t="s">
        <v>337</v>
      </c>
    </row>
    <row r="2529" spans="2:51" s="148" customFormat="1" x14ac:dyDescent="0.2">
      <c r="B2529" s="149"/>
      <c r="D2529" s="143" t="s">
        <v>346</v>
      </c>
      <c r="E2529" s="150"/>
      <c r="F2529" s="151" t="s">
        <v>2113</v>
      </c>
      <c r="H2529" s="152">
        <v>6.45</v>
      </c>
      <c r="L2529" s="149"/>
      <c r="M2529" s="153"/>
      <c r="T2529" s="154"/>
      <c r="AT2529" s="150" t="s">
        <v>346</v>
      </c>
      <c r="AU2529" s="150" t="s">
        <v>90</v>
      </c>
      <c r="AV2529" s="148" t="s">
        <v>90</v>
      </c>
      <c r="AW2529" s="148" t="s">
        <v>33</v>
      </c>
      <c r="AX2529" s="148" t="s">
        <v>80</v>
      </c>
      <c r="AY2529" s="150" t="s">
        <v>337</v>
      </c>
    </row>
    <row r="2530" spans="2:51" s="148" customFormat="1" x14ac:dyDescent="0.2">
      <c r="B2530" s="149"/>
      <c r="D2530" s="143" t="s">
        <v>346</v>
      </c>
      <c r="E2530" s="150"/>
      <c r="F2530" s="151" t="s">
        <v>2102</v>
      </c>
      <c r="H2530" s="152">
        <v>-0.7</v>
      </c>
      <c r="L2530" s="149"/>
      <c r="M2530" s="153"/>
      <c r="T2530" s="154"/>
      <c r="AT2530" s="150" t="s">
        <v>346</v>
      </c>
      <c r="AU2530" s="150" t="s">
        <v>90</v>
      </c>
      <c r="AV2530" s="148" t="s">
        <v>90</v>
      </c>
      <c r="AW2530" s="148" t="s">
        <v>33</v>
      </c>
      <c r="AX2530" s="148" t="s">
        <v>80</v>
      </c>
      <c r="AY2530" s="150" t="s">
        <v>337</v>
      </c>
    </row>
    <row r="2531" spans="2:51" s="148" customFormat="1" x14ac:dyDescent="0.2">
      <c r="B2531" s="149"/>
      <c r="D2531" s="143" t="s">
        <v>346</v>
      </c>
      <c r="E2531" s="150"/>
      <c r="F2531" s="151" t="s">
        <v>1654</v>
      </c>
      <c r="H2531" s="152">
        <v>7.1</v>
      </c>
      <c r="L2531" s="149"/>
      <c r="M2531" s="153"/>
      <c r="T2531" s="154"/>
      <c r="AT2531" s="150" t="s">
        <v>346</v>
      </c>
      <c r="AU2531" s="150" t="s">
        <v>90</v>
      </c>
      <c r="AV2531" s="148" t="s">
        <v>90</v>
      </c>
      <c r="AW2531" s="148" t="s">
        <v>33</v>
      </c>
      <c r="AX2531" s="148" t="s">
        <v>80</v>
      </c>
      <c r="AY2531" s="150" t="s">
        <v>337</v>
      </c>
    </row>
    <row r="2532" spans="2:51" s="148" customFormat="1" x14ac:dyDescent="0.2">
      <c r="B2532" s="149"/>
      <c r="D2532" s="143" t="s">
        <v>346</v>
      </c>
      <c r="E2532" s="150"/>
      <c r="F2532" s="151" t="s">
        <v>1601</v>
      </c>
      <c r="H2532" s="152">
        <v>-0.8</v>
      </c>
      <c r="L2532" s="149"/>
      <c r="M2532" s="153"/>
      <c r="T2532" s="154"/>
      <c r="AT2532" s="150" t="s">
        <v>346</v>
      </c>
      <c r="AU2532" s="150" t="s">
        <v>90</v>
      </c>
      <c r="AV2532" s="148" t="s">
        <v>90</v>
      </c>
      <c r="AW2532" s="148" t="s">
        <v>33</v>
      </c>
      <c r="AX2532" s="148" t="s">
        <v>80</v>
      </c>
      <c r="AY2532" s="150" t="s">
        <v>337</v>
      </c>
    </row>
    <row r="2533" spans="2:51" s="148" customFormat="1" x14ac:dyDescent="0.2">
      <c r="B2533" s="149"/>
      <c r="D2533" s="143" t="s">
        <v>346</v>
      </c>
      <c r="E2533" s="150"/>
      <c r="F2533" s="151" t="s">
        <v>1615</v>
      </c>
      <c r="H2533" s="152">
        <v>20.149999999999999</v>
      </c>
      <c r="L2533" s="149"/>
      <c r="M2533" s="153"/>
      <c r="T2533" s="154"/>
      <c r="AT2533" s="150" t="s">
        <v>346</v>
      </c>
      <c r="AU2533" s="150" t="s">
        <v>90</v>
      </c>
      <c r="AV2533" s="148" t="s">
        <v>90</v>
      </c>
      <c r="AW2533" s="148" t="s">
        <v>33</v>
      </c>
      <c r="AX2533" s="148" t="s">
        <v>80</v>
      </c>
      <c r="AY2533" s="150" t="s">
        <v>337</v>
      </c>
    </row>
    <row r="2534" spans="2:51" s="148" customFormat="1" x14ac:dyDescent="0.2">
      <c r="B2534" s="149"/>
      <c r="D2534" s="143" t="s">
        <v>346</v>
      </c>
      <c r="E2534" s="150"/>
      <c r="F2534" s="151" t="s">
        <v>1601</v>
      </c>
      <c r="H2534" s="152">
        <v>-0.8</v>
      </c>
      <c r="L2534" s="149"/>
      <c r="M2534" s="153"/>
      <c r="T2534" s="154"/>
      <c r="AT2534" s="150" t="s">
        <v>346</v>
      </c>
      <c r="AU2534" s="150" t="s">
        <v>90</v>
      </c>
      <c r="AV2534" s="148" t="s">
        <v>90</v>
      </c>
      <c r="AW2534" s="148" t="s">
        <v>33</v>
      </c>
      <c r="AX2534" s="148" t="s">
        <v>80</v>
      </c>
      <c r="AY2534" s="150" t="s">
        <v>337</v>
      </c>
    </row>
    <row r="2535" spans="2:51" s="148" customFormat="1" x14ac:dyDescent="0.2">
      <c r="B2535" s="149"/>
      <c r="D2535" s="143" t="s">
        <v>346</v>
      </c>
      <c r="E2535" s="150"/>
      <c r="F2535" s="151" t="s">
        <v>1655</v>
      </c>
      <c r="H2535" s="152">
        <v>13.348000000000001</v>
      </c>
      <c r="L2535" s="149"/>
      <c r="M2535" s="153"/>
      <c r="T2535" s="154"/>
      <c r="AT2535" s="150" t="s">
        <v>346</v>
      </c>
      <c r="AU2535" s="150" t="s">
        <v>90</v>
      </c>
      <c r="AV2535" s="148" t="s">
        <v>90</v>
      </c>
      <c r="AW2535" s="148" t="s">
        <v>33</v>
      </c>
      <c r="AX2535" s="148" t="s">
        <v>80</v>
      </c>
      <c r="AY2535" s="150" t="s">
        <v>337</v>
      </c>
    </row>
    <row r="2536" spans="2:51" s="148" customFormat="1" x14ac:dyDescent="0.2">
      <c r="B2536" s="149"/>
      <c r="D2536" s="143" t="s">
        <v>346</v>
      </c>
      <c r="E2536" s="150"/>
      <c r="F2536" s="151" t="s">
        <v>1601</v>
      </c>
      <c r="H2536" s="152">
        <v>-0.8</v>
      </c>
      <c r="L2536" s="149"/>
      <c r="M2536" s="153"/>
      <c r="T2536" s="154"/>
      <c r="AT2536" s="150" t="s">
        <v>346</v>
      </c>
      <c r="AU2536" s="150" t="s">
        <v>90</v>
      </c>
      <c r="AV2536" s="148" t="s">
        <v>90</v>
      </c>
      <c r="AW2536" s="148" t="s">
        <v>33</v>
      </c>
      <c r="AX2536" s="148" t="s">
        <v>80</v>
      </c>
      <c r="AY2536" s="150" t="s">
        <v>337</v>
      </c>
    </row>
    <row r="2537" spans="2:51" s="148" customFormat="1" x14ac:dyDescent="0.2">
      <c r="B2537" s="149"/>
      <c r="D2537" s="143" t="s">
        <v>346</v>
      </c>
      <c r="E2537" s="150"/>
      <c r="F2537" s="151" t="s">
        <v>2114</v>
      </c>
      <c r="H2537" s="152">
        <v>5.3</v>
      </c>
      <c r="L2537" s="149"/>
      <c r="M2537" s="153"/>
      <c r="T2537" s="154"/>
      <c r="AT2537" s="150" t="s">
        <v>346</v>
      </c>
      <c r="AU2537" s="150" t="s">
        <v>90</v>
      </c>
      <c r="AV2537" s="148" t="s">
        <v>90</v>
      </c>
      <c r="AW2537" s="148" t="s">
        <v>33</v>
      </c>
      <c r="AX2537" s="148" t="s">
        <v>80</v>
      </c>
      <c r="AY2537" s="150" t="s">
        <v>337</v>
      </c>
    </row>
    <row r="2538" spans="2:51" s="148" customFormat="1" x14ac:dyDescent="0.2">
      <c r="B2538" s="149"/>
      <c r="D2538" s="143" t="s">
        <v>346</v>
      </c>
      <c r="E2538" s="150"/>
      <c r="F2538" s="151" t="s">
        <v>2100</v>
      </c>
      <c r="H2538" s="152">
        <v>-1.4</v>
      </c>
      <c r="L2538" s="149"/>
      <c r="M2538" s="153"/>
      <c r="T2538" s="154"/>
      <c r="AT2538" s="150" t="s">
        <v>346</v>
      </c>
      <c r="AU2538" s="150" t="s">
        <v>90</v>
      </c>
      <c r="AV2538" s="148" t="s">
        <v>90</v>
      </c>
      <c r="AW2538" s="148" t="s">
        <v>33</v>
      </c>
      <c r="AX2538" s="148" t="s">
        <v>80</v>
      </c>
      <c r="AY2538" s="150" t="s">
        <v>337</v>
      </c>
    </row>
    <row r="2539" spans="2:51" s="148" customFormat="1" x14ac:dyDescent="0.2">
      <c r="B2539" s="149"/>
      <c r="D2539" s="143" t="s">
        <v>346</v>
      </c>
      <c r="E2539" s="150"/>
      <c r="F2539" s="151" t="s">
        <v>2115</v>
      </c>
      <c r="H2539" s="152">
        <v>5.0599999999999996</v>
      </c>
      <c r="L2539" s="149"/>
      <c r="M2539" s="153"/>
      <c r="T2539" s="154"/>
      <c r="AT2539" s="150" t="s">
        <v>346</v>
      </c>
      <c r="AU2539" s="150" t="s">
        <v>90</v>
      </c>
      <c r="AV2539" s="148" t="s">
        <v>90</v>
      </c>
      <c r="AW2539" s="148" t="s">
        <v>33</v>
      </c>
      <c r="AX2539" s="148" t="s">
        <v>80</v>
      </c>
      <c r="AY2539" s="150" t="s">
        <v>337</v>
      </c>
    </row>
    <row r="2540" spans="2:51" s="148" customFormat="1" x14ac:dyDescent="0.2">
      <c r="B2540" s="149"/>
      <c r="D2540" s="143" t="s">
        <v>346</v>
      </c>
      <c r="E2540" s="150"/>
      <c r="F2540" s="151" t="s">
        <v>1648</v>
      </c>
      <c r="H2540" s="152">
        <v>-0.7</v>
      </c>
      <c r="L2540" s="149"/>
      <c r="M2540" s="153"/>
      <c r="T2540" s="154"/>
      <c r="AT2540" s="150" t="s">
        <v>346</v>
      </c>
      <c r="AU2540" s="150" t="s">
        <v>90</v>
      </c>
      <c r="AV2540" s="148" t="s">
        <v>90</v>
      </c>
      <c r="AW2540" s="148" t="s">
        <v>33</v>
      </c>
      <c r="AX2540" s="148" t="s">
        <v>80</v>
      </c>
      <c r="AY2540" s="150" t="s">
        <v>337</v>
      </c>
    </row>
    <row r="2541" spans="2:51" s="148" customFormat="1" x14ac:dyDescent="0.2">
      <c r="B2541" s="149"/>
      <c r="D2541" s="143" t="s">
        <v>346</v>
      </c>
      <c r="E2541" s="150"/>
      <c r="F2541" s="151" t="s">
        <v>2116</v>
      </c>
      <c r="H2541" s="152">
        <v>4.9000000000000004</v>
      </c>
      <c r="L2541" s="149"/>
      <c r="M2541" s="153"/>
      <c r="T2541" s="154"/>
      <c r="AT2541" s="150" t="s">
        <v>346</v>
      </c>
      <c r="AU2541" s="150" t="s">
        <v>90</v>
      </c>
      <c r="AV2541" s="148" t="s">
        <v>90</v>
      </c>
      <c r="AW2541" s="148" t="s">
        <v>33</v>
      </c>
      <c r="AX2541" s="148" t="s">
        <v>80</v>
      </c>
      <c r="AY2541" s="150" t="s">
        <v>337</v>
      </c>
    </row>
    <row r="2542" spans="2:51" s="148" customFormat="1" x14ac:dyDescent="0.2">
      <c r="B2542" s="149"/>
      <c r="D2542" s="143" t="s">
        <v>346</v>
      </c>
      <c r="E2542" s="150"/>
      <c r="F2542" s="151" t="s">
        <v>1648</v>
      </c>
      <c r="H2542" s="152">
        <v>-0.7</v>
      </c>
      <c r="L2542" s="149"/>
      <c r="M2542" s="153"/>
      <c r="T2542" s="154"/>
      <c r="AT2542" s="150" t="s">
        <v>346</v>
      </c>
      <c r="AU2542" s="150" t="s">
        <v>90</v>
      </c>
      <c r="AV2542" s="148" t="s">
        <v>90</v>
      </c>
      <c r="AW2542" s="148" t="s">
        <v>33</v>
      </c>
      <c r="AX2542" s="148" t="s">
        <v>80</v>
      </c>
      <c r="AY2542" s="150" t="s">
        <v>337</v>
      </c>
    </row>
    <row r="2543" spans="2:51" s="148" customFormat="1" x14ac:dyDescent="0.2">
      <c r="B2543" s="149"/>
      <c r="D2543" s="143" t="s">
        <v>346</v>
      </c>
      <c r="E2543" s="150"/>
      <c r="F2543" s="151" t="s">
        <v>2117</v>
      </c>
      <c r="H2543" s="152">
        <v>4.8</v>
      </c>
      <c r="L2543" s="149"/>
      <c r="M2543" s="153"/>
      <c r="T2543" s="154"/>
      <c r="AT2543" s="150" t="s">
        <v>346</v>
      </c>
      <c r="AU2543" s="150" t="s">
        <v>90</v>
      </c>
      <c r="AV2543" s="148" t="s">
        <v>90</v>
      </c>
      <c r="AW2543" s="148" t="s">
        <v>33</v>
      </c>
      <c r="AX2543" s="148" t="s">
        <v>80</v>
      </c>
      <c r="AY2543" s="150" t="s">
        <v>337</v>
      </c>
    </row>
    <row r="2544" spans="2:51" s="148" customFormat="1" x14ac:dyDescent="0.2">
      <c r="B2544" s="149"/>
      <c r="D2544" s="143" t="s">
        <v>346</v>
      </c>
      <c r="E2544" s="150"/>
      <c r="F2544" s="151" t="s">
        <v>2100</v>
      </c>
      <c r="H2544" s="152">
        <v>-1.4</v>
      </c>
      <c r="L2544" s="149"/>
      <c r="M2544" s="153"/>
      <c r="T2544" s="154"/>
      <c r="AT2544" s="150" t="s">
        <v>346</v>
      </c>
      <c r="AU2544" s="150" t="s">
        <v>90</v>
      </c>
      <c r="AV2544" s="148" t="s">
        <v>90</v>
      </c>
      <c r="AW2544" s="148" t="s">
        <v>33</v>
      </c>
      <c r="AX2544" s="148" t="s">
        <v>80</v>
      </c>
      <c r="AY2544" s="150" t="s">
        <v>337</v>
      </c>
    </row>
    <row r="2545" spans="2:51" s="148" customFormat="1" x14ac:dyDescent="0.2">
      <c r="B2545" s="149"/>
      <c r="D2545" s="143" t="s">
        <v>346</v>
      </c>
      <c r="E2545" s="150"/>
      <c r="F2545" s="151" t="s">
        <v>2118</v>
      </c>
      <c r="H2545" s="152">
        <v>4.4000000000000004</v>
      </c>
      <c r="L2545" s="149"/>
      <c r="M2545" s="153"/>
      <c r="T2545" s="154"/>
      <c r="AT2545" s="150" t="s">
        <v>346</v>
      </c>
      <c r="AU2545" s="150" t="s">
        <v>90</v>
      </c>
      <c r="AV2545" s="148" t="s">
        <v>90</v>
      </c>
      <c r="AW2545" s="148" t="s">
        <v>33</v>
      </c>
      <c r="AX2545" s="148" t="s">
        <v>80</v>
      </c>
      <c r="AY2545" s="150" t="s">
        <v>337</v>
      </c>
    </row>
    <row r="2546" spans="2:51" s="148" customFormat="1" x14ac:dyDescent="0.2">
      <c r="B2546" s="149"/>
      <c r="D2546" s="143" t="s">
        <v>346</v>
      </c>
      <c r="E2546" s="150"/>
      <c r="F2546" s="151" t="s">
        <v>2100</v>
      </c>
      <c r="H2546" s="152">
        <v>-1.4</v>
      </c>
      <c r="L2546" s="149"/>
      <c r="M2546" s="153"/>
      <c r="T2546" s="154"/>
      <c r="AT2546" s="150" t="s">
        <v>346</v>
      </c>
      <c r="AU2546" s="150" t="s">
        <v>90</v>
      </c>
      <c r="AV2546" s="148" t="s">
        <v>90</v>
      </c>
      <c r="AW2546" s="148" t="s">
        <v>33</v>
      </c>
      <c r="AX2546" s="148" t="s">
        <v>80</v>
      </c>
      <c r="AY2546" s="150" t="s">
        <v>337</v>
      </c>
    </row>
    <row r="2547" spans="2:51" s="148" customFormat="1" x14ac:dyDescent="0.2">
      <c r="B2547" s="149"/>
      <c r="D2547" s="143" t="s">
        <v>346</v>
      </c>
      <c r="E2547" s="150"/>
      <c r="F2547" s="151" t="s">
        <v>2119</v>
      </c>
      <c r="H2547" s="152">
        <v>4.0599999999999996</v>
      </c>
      <c r="L2547" s="149"/>
      <c r="M2547" s="153"/>
      <c r="T2547" s="154"/>
      <c r="AT2547" s="150" t="s">
        <v>346</v>
      </c>
      <c r="AU2547" s="150" t="s">
        <v>90</v>
      </c>
      <c r="AV2547" s="148" t="s">
        <v>90</v>
      </c>
      <c r="AW2547" s="148" t="s">
        <v>33</v>
      </c>
      <c r="AX2547" s="148" t="s">
        <v>80</v>
      </c>
      <c r="AY2547" s="150" t="s">
        <v>337</v>
      </c>
    </row>
    <row r="2548" spans="2:51" s="148" customFormat="1" x14ac:dyDescent="0.2">
      <c r="B2548" s="149"/>
      <c r="D2548" s="143" t="s">
        <v>346</v>
      </c>
      <c r="E2548" s="150"/>
      <c r="F2548" s="151" t="s">
        <v>1648</v>
      </c>
      <c r="H2548" s="152">
        <v>-0.7</v>
      </c>
      <c r="L2548" s="149"/>
      <c r="M2548" s="153"/>
      <c r="T2548" s="154"/>
      <c r="AT2548" s="150" t="s">
        <v>346</v>
      </c>
      <c r="AU2548" s="150" t="s">
        <v>90</v>
      </c>
      <c r="AV2548" s="148" t="s">
        <v>90</v>
      </c>
      <c r="AW2548" s="148" t="s">
        <v>33</v>
      </c>
      <c r="AX2548" s="148" t="s">
        <v>80</v>
      </c>
      <c r="AY2548" s="150" t="s">
        <v>337</v>
      </c>
    </row>
    <row r="2549" spans="2:51" s="148" customFormat="1" x14ac:dyDescent="0.2">
      <c r="B2549" s="149"/>
      <c r="D2549" s="143" t="s">
        <v>346</v>
      </c>
      <c r="E2549" s="150"/>
      <c r="F2549" s="151" t="s">
        <v>2120</v>
      </c>
      <c r="H2549" s="152">
        <v>10.86</v>
      </c>
      <c r="L2549" s="149"/>
      <c r="M2549" s="153"/>
      <c r="T2549" s="154"/>
      <c r="AT2549" s="150" t="s">
        <v>346</v>
      </c>
      <c r="AU2549" s="150" t="s">
        <v>90</v>
      </c>
      <c r="AV2549" s="148" t="s">
        <v>90</v>
      </c>
      <c r="AW2549" s="148" t="s">
        <v>33</v>
      </c>
      <c r="AX2549" s="148" t="s">
        <v>80</v>
      </c>
      <c r="AY2549" s="150" t="s">
        <v>337</v>
      </c>
    </row>
    <row r="2550" spans="2:51" s="148" customFormat="1" x14ac:dyDescent="0.2">
      <c r="B2550" s="149"/>
      <c r="D2550" s="143" t="s">
        <v>346</v>
      </c>
      <c r="E2550" s="150"/>
      <c r="F2550" s="151" t="s">
        <v>1588</v>
      </c>
      <c r="H2550" s="152">
        <v>-0.9</v>
      </c>
      <c r="L2550" s="149"/>
      <c r="M2550" s="153"/>
      <c r="T2550" s="154"/>
      <c r="AT2550" s="150" t="s">
        <v>346</v>
      </c>
      <c r="AU2550" s="150" t="s">
        <v>90</v>
      </c>
      <c r="AV2550" s="148" t="s">
        <v>90</v>
      </c>
      <c r="AW2550" s="148" t="s">
        <v>33</v>
      </c>
      <c r="AX2550" s="148" t="s">
        <v>80</v>
      </c>
      <c r="AY2550" s="150" t="s">
        <v>337</v>
      </c>
    </row>
    <row r="2551" spans="2:51" s="148" customFormat="1" x14ac:dyDescent="0.2">
      <c r="B2551" s="149"/>
      <c r="D2551" s="143" t="s">
        <v>346</v>
      </c>
      <c r="E2551" s="150"/>
      <c r="F2551" s="151" t="s">
        <v>2121</v>
      </c>
      <c r="H2551" s="152">
        <v>6.26</v>
      </c>
      <c r="L2551" s="149"/>
      <c r="M2551" s="153"/>
      <c r="T2551" s="154"/>
      <c r="AT2551" s="150" t="s">
        <v>346</v>
      </c>
      <c r="AU2551" s="150" t="s">
        <v>90</v>
      </c>
      <c r="AV2551" s="148" t="s">
        <v>90</v>
      </c>
      <c r="AW2551" s="148" t="s">
        <v>33</v>
      </c>
      <c r="AX2551" s="148" t="s">
        <v>80</v>
      </c>
      <c r="AY2551" s="150" t="s">
        <v>337</v>
      </c>
    </row>
    <row r="2552" spans="2:51" s="148" customFormat="1" x14ac:dyDescent="0.2">
      <c r="B2552" s="149"/>
      <c r="D2552" s="143" t="s">
        <v>346</v>
      </c>
      <c r="E2552" s="150"/>
      <c r="F2552" s="151" t="s">
        <v>2102</v>
      </c>
      <c r="H2552" s="152">
        <v>-0.7</v>
      </c>
      <c r="L2552" s="149"/>
      <c r="M2552" s="153"/>
      <c r="T2552" s="154"/>
      <c r="AT2552" s="150" t="s">
        <v>346</v>
      </c>
      <c r="AU2552" s="150" t="s">
        <v>90</v>
      </c>
      <c r="AV2552" s="148" t="s">
        <v>90</v>
      </c>
      <c r="AW2552" s="148" t="s">
        <v>33</v>
      </c>
      <c r="AX2552" s="148" t="s">
        <v>80</v>
      </c>
      <c r="AY2552" s="150" t="s">
        <v>337</v>
      </c>
    </row>
    <row r="2553" spans="2:51" s="148" customFormat="1" x14ac:dyDescent="0.2">
      <c r="B2553" s="149"/>
      <c r="D2553" s="143" t="s">
        <v>346</v>
      </c>
      <c r="E2553" s="150"/>
      <c r="F2553" s="151" t="s">
        <v>2122</v>
      </c>
      <c r="H2553" s="152">
        <v>4.34</v>
      </c>
      <c r="L2553" s="149"/>
      <c r="M2553" s="153"/>
      <c r="T2553" s="154"/>
      <c r="AT2553" s="150" t="s">
        <v>346</v>
      </c>
      <c r="AU2553" s="150" t="s">
        <v>90</v>
      </c>
      <c r="AV2553" s="148" t="s">
        <v>90</v>
      </c>
      <c r="AW2553" s="148" t="s">
        <v>33</v>
      </c>
      <c r="AX2553" s="148" t="s">
        <v>80</v>
      </c>
      <c r="AY2553" s="150" t="s">
        <v>337</v>
      </c>
    </row>
    <row r="2554" spans="2:51" s="148" customFormat="1" x14ac:dyDescent="0.2">
      <c r="B2554" s="149"/>
      <c r="D2554" s="143" t="s">
        <v>346</v>
      </c>
      <c r="E2554" s="150"/>
      <c r="F2554" s="151" t="s">
        <v>2102</v>
      </c>
      <c r="H2554" s="152">
        <v>-0.7</v>
      </c>
      <c r="L2554" s="149"/>
      <c r="M2554" s="153"/>
      <c r="T2554" s="154"/>
      <c r="AT2554" s="150" t="s">
        <v>346</v>
      </c>
      <c r="AU2554" s="150" t="s">
        <v>90</v>
      </c>
      <c r="AV2554" s="148" t="s">
        <v>90</v>
      </c>
      <c r="AW2554" s="148" t="s">
        <v>33</v>
      </c>
      <c r="AX2554" s="148" t="s">
        <v>80</v>
      </c>
      <c r="AY2554" s="150" t="s">
        <v>337</v>
      </c>
    </row>
    <row r="2555" spans="2:51" s="148" customFormat="1" x14ac:dyDescent="0.2">
      <c r="B2555" s="149"/>
      <c r="D2555" s="143" t="s">
        <v>346</v>
      </c>
      <c r="E2555" s="150"/>
      <c r="F2555" s="151" t="s">
        <v>2123</v>
      </c>
      <c r="H2555" s="152">
        <v>6.26</v>
      </c>
      <c r="L2555" s="149"/>
      <c r="M2555" s="153"/>
      <c r="T2555" s="154"/>
      <c r="AT2555" s="150" t="s">
        <v>346</v>
      </c>
      <c r="AU2555" s="150" t="s">
        <v>90</v>
      </c>
      <c r="AV2555" s="148" t="s">
        <v>90</v>
      </c>
      <c r="AW2555" s="148" t="s">
        <v>33</v>
      </c>
      <c r="AX2555" s="148" t="s">
        <v>80</v>
      </c>
      <c r="AY2555" s="150" t="s">
        <v>337</v>
      </c>
    </row>
    <row r="2556" spans="2:51" s="148" customFormat="1" x14ac:dyDescent="0.2">
      <c r="B2556" s="149"/>
      <c r="D2556" s="143" t="s">
        <v>346</v>
      </c>
      <c r="E2556" s="150"/>
      <c r="F2556" s="151" t="s">
        <v>2102</v>
      </c>
      <c r="H2556" s="152">
        <v>-0.7</v>
      </c>
      <c r="L2556" s="149"/>
      <c r="M2556" s="153"/>
      <c r="T2556" s="154"/>
      <c r="AT2556" s="150" t="s">
        <v>346</v>
      </c>
      <c r="AU2556" s="150" t="s">
        <v>90</v>
      </c>
      <c r="AV2556" s="148" t="s">
        <v>90</v>
      </c>
      <c r="AW2556" s="148" t="s">
        <v>33</v>
      </c>
      <c r="AX2556" s="148" t="s">
        <v>80</v>
      </c>
      <c r="AY2556" s="150" t="s">
        <v>337</v>
      </c>
    </row>
    <row r="2557" spans="2:51" s="148" customFormat="1" x14ac:dyDescent="0.2">
      <c r="B2557" s="149"/>
      <c r="D2557" s="143" t="s">
        <v>346</v>
      </c>
      <c r="E2557" s="150"/>
      <c r="F2557" s="151" t="s">
        <v>2124</v>
      </c>
      <c r="H2557" s="152">
        <v>4.34</v>
      </c>
      <c r="L2557" s="149"/>
      <c r="M2557" s="153"/>
      <c r="T2557" s="154"/>
      <c r="AT2557" s="150" t="s">
        <v>346</v>
      </c>
      <c r="AU2557" s="150" t="s">
        <v>90</v>
      </c>
      <c r="AV2557" s="148" t="s">
        <v>90</v>
      </c>
      <c r="AW2557" s="148" t="s">
        <v>33</v>
      </c>
      <c r="AX2557" s="148" t="s">
        <v>80</v>
      </c>
      <c r="AY2557" s="150" t="s">
        <v>337</v>
      </c>
    </row>
    <row r="2558" spans="2:51" s="148" customFormat="1" x14ac:dyDescent="0.2">
      <c r="B2558" s="149"/>
      <c r="D2558" s="143" t="s">
        <v>346</v>
      </c>
      <c r="E2558" s="150"/>
      <c r="F2558" s="151" t="s">
        <v>2102</v>
      </c>
      <c r="H2558" s="152">
        <v>-0.7</v>
      </c>
      <c r="L2558" s="149"/>
      <c r="M2558" s="153"/>
      <c r="T2558" s="154"/>
      <c r="AT2558" s="150" t="s">
        <v>346</v>
      </c>
      <c r="AU2558" s="150" t="s">
        <v>90</v>
      </c>
      <c r="AV2558" s="148" t="s">
        <v>90</v>
      </c>
      <c r="AW2558" s="148" t="s">
        <v>33</v>
      </c>
      <c r="AX2558" s="148" t="s">
        <v>80</v>
      </c>
      <c r="AY2558" s="150" t="s">
        <v>337</v>
      </c>
    </row>
    <row r="2559" spans="2:51" s="148" customFormat="1" x14ac:dyDescent="0.2">
      <c r="B2559" s="149"/>
      <c r="D2559" s="143" t="s">
        <v>346</v>
      </c>
      <c r="E2559" s="150"/>
      <c r="F2559" s="151" t="s">
        <v>2125</v>
      </c>
      <c r="H2559" s="152">
        <v>6.26</v>
      </c>
      <c r="L2559" s="149"/>
      <c r="M2559" s="153"/>
      <c r="T2559" s="154"/>
      <c r="AT2559" s="150" t="s">
        <v>346</v>
      </c>
      <c r="AU2559" s="150" t="s">
        <v>90</v>
      </c>
      <c r="AV2559" s="148" t="s">
        <v>90</v>
      </c>
      <c r="AW2559" s="148" t="s">
        <v>33</v>
      </c>
      <c r="AX2559" s="148" t="s">
        <v>80</v>
      </c>
      <c r="AY2559" s="150" t="s">
        <v>337</v>
      </c>
    </row>
    <row r="2560" spans="2:51" s="148" customFormat="1" x14ac:dyDescent="0.2">
      <c r="B2560" s="149"/>
      <c r="D2560" s="143" t="s">
        <v>346</v>
      </c>
      <c r="E2560" s="150"/>
      <c r="F2560" s="151" t="s">
        <v>2102</v>
      </c>
      <c r="H2560" s="152">
        <v>-0.7</v>
      </c>
      <c r="L2560" s="149"/>
      <c r="M2560" s="153"/>
      <c r="T2560" s="154"/>
      <c r="AT2560" s="150" t="s">
        <v>346</v>
      </c>
      <c r="AU2560" s="150" t="s">
        <v>90</v>
      </c>
      <c r="AV2560" s="148" t="s">
        <v>90</v>
      </c>
      <c r="AW2560" s="148" t="s">
        <v>33</v>
      </c>
      <c r="AX2560" s="148" t="s">
        <v>80</v>
      </c>
      <c r="AY2560" s="150" t="s">
        <v>337</v>
      </c>
    </row>
    <row r="2561" spans="2:51" s="148" customFormat="1" x14ac:dyDescent="0.2">
      <c r="B2561" s="149"/>
      <c r="D2561" s="143" t="s">
        <v>346</v>
      </c>
      <c r="E2561" s="150"/>
      <c r="F2561" s="151" t="s">
        <v>2126</v>
      </c>
      <c r="H2561" s="152">
        <v>4.34</v>
      </c>
      <c r="L2561" s="149"/>
      <c r="M2561" s="153"/>
      <c r="T2561" s="154"/>
      <c r="AT2561" s="150" t="s">
        <v>346</v>
      </c>
      <c r="AU2561" s="150" t="s">
        <v>90</v>
      </c>
      <c r="AV2561" s="148" t="s">
        <v>90</v>
      </c>
      <c r="AW2561" s="148" t="s">
        <v>33</v>
      </c>
      <c r="AX2561" s="148" t="s">
        <v>80</v>
      </c>
      <c r="AY2561" s="150" t="s">
        <v>337</v>
      </c>
    </row>
    <row r="2562" spans="2:51" s="148" customFormat="1" x14ac:dyDescent="0.2">
      <c r="B2562" s="149"/>
      <c r="D2562" s="143" t="s">
        <v>346</v>
      </c>
      <c r="E2562" s="150"/>
      <c r="F2562" s="151" t="s">
        <v>2102</v>
      </c>
      <c r="H2562" s="152">
        <v>-0.7</v>
      </c>
      <c r="L2562" s="149"/>
      <c r="M2562" s="153"/>
      <c r="T2562" s="154"/>
      <c r="AT2562" s="150" t="s">
        <v>346</v>
      </c>
      <c r="AU2562" s="150" t="s">
        <v>90</v>
      </c>
      <c r="AV2562" s="148" t="s">
        <v>90</v>
      </c>
      <c r="AW2562" s="148" t="s">
        <v>33</v>
      </c>
      <c r="AX2562" s="148" t="s">
        <v>80</v>
      </c>
      <c r="AY2562" s="150" t="s">
        <v>337</v>
      </c>
    </row>
    <row r="2563" spans="2:51" s="148" customFormat="1" x14ac:dyDescent="0.2">
      <c r="B2563" s="149"/>
      <c r="D2563" s="143" t="s">
        <v>346</v>
      </c>
      <c r="E2563" s="150"/>
      <c r="F2563" s="151" t="s">
        <v>2127</v>
      </c>
      <c r="H2563" s="152">
        <v>4.34</v>
      </c>
      <c r="L2563" s="149"/>
      <c r="M2563" s="153"/>
      <c r="T2563" s="154"/>
      <c r="AT2563" s="150" t="s">
        <v>346</v>
      </c>
      <c r="AU2563" s="150" t="s">
        <v>90</v>
      </c>
      <c r="AV2563" s="148" t="s">
        <v>90</v>
      </c>
      <c r="AW2563" s="148" t="s">
        <v>33</v>
      </c>
      <c r="AX2563" s="148" t="s">
        <v>80</v>
      </c>
      <c r="AY2563" s="150" t="s">
        <v>337</v>
      </c>
    </row>
    <row r="2564" spans="2:51" s="148" customFormat="1" x14ac:dyDescent="0.2">
      <c r="B2564" s="149"/>
      <c r="D2564" s="143" t="s">
        <v>346</v>
      </c>
      <c r="E2564" s="150"/>
      <c r="F2564" s="151" t="s">
        <v>2102</v>
      </c>
      <c r="H2564" s="152">
        <v>-0.7</v>
      </c>
      <c r="L2564" s="149"/>
      <c r="M2564" s="153"/>
      <c r="T2564" s="154"/>
      <c r="AT2564" s="150" t="s">
        <v>346</v>
      </c>
      <c r="AU2564" s="150" t="s">
        <v>90</v>
      </c>
      <c r="AV2564" s="148" t="s">
        <v>90</v>
      </c>
      <c r="AW2564" s="148" t="s">
        <v>33</v>
      </c>
      <c r="AX2564" s="148" t="s">
        <v>80</v>
      </c>
      <c r="AY2564" s="150" t="s">
        <v>337</v>
      </c>
    </row>
    <row r="2565" spans="2:51" s="148" customFormat="1" x14ac:dyDescent="0.2">
      <c r="B2565" s="149"/>
      <c r="D2565" s="143" t="s">
        <v>346</v>
      </c>
      <c r="E2565" s="150"/>
      <c r="F2565" s="151" t="s">
        <v>2128</v>
      </c>
      <c r="H2565" s="152">
        <v>5.89</v>
      </c>
      <c r="L2565" s="149"/>
      <c r="M2565" s="153"/>
      <c r="T2565" s="154"/>
      <c r="AT2565" s="150" t="s">
        <v>346</v>
      </c>
      <c r="AU2565" s="150" t="s">
        <v>90</v>
      </c>
      <c r="AV2565" s="148" t="s">
        <v>90</v>
      </c>
      <c r="AW2565" s="148" t="s">
        <v>33</v>
      </c>
      <c r="AX2565" s="148" t="s">
        <v>80</v>
      </c>
      <c r="AY2565" s="150" t="s">
        <v>337</v>
      </c>
    </row>
    <row r="2566" spans="2:51" s="148" customFormat="1" x14ac:dyDescent="0.2">
      <c r="B2566" s="149"/>
      <c r="D2566" s="143" t="s">
        <v>346</v>
      </c>
      <c r="E2566" s="150"/>
      <c r="F2566" s="151" t="s">
        <v>2102</v>
      </c>
      <c r="H2566" s="152">
        <v>-0.7</v>
      </c>
      <c r="L2566" s="149"/>
      <c r="M2566" s="153"/>
      <c r="T2566" s="154"/>
      <c r="AT2566" s="150" t="s">
        <v>346</v>
      </c>
      <c r="AU2566" s="150" t="s">
        <v>90</v>
      </c>
      <c r="AV2566" s="148" t="s">
        <v>90</v>
      </c>
      <c r="AW2566" s="148" t="s">
        <v>33</v>
      </c>
      <c r="AX2566" s="148" t="s">
        <v>80</v>
      </c>
      <c r="AY2566" s="150" t="s">
        <v>337</v>
      </c>
    </row>
    <row r="2567" spans="2:51" s="148" customFormat="1" x14ac:dyDescent="0.2">
      <c r="B2567" s="149"/>
      <c r="D2567" s="143" t="s">
        <v>346</v>
      </c>
      <c r="E2567" s="150"/>
      <c r="F2567" s="151" t="s">
        <v>2129</v>
      </c>
      <c r="H2567" s="152">
        <v>6.26</v>
      </c>
      <c r="L2567" s="149"/>
      <c r="M2567" s="153"/>
      <c r="T2567" s="154"/>
      <c r="AT2567" s="150" t="s">
        <v>346</v>
      </c>
      <c r="AU2567" s="150" t="s">
        <v>90</v>
      </c>
      <c r="AV2567" s="148" t="s">
        <v>90</v>
      </c>
      <c r="AW2567" s="148" t="s">
        <v>33</v>
      </c>
      <c r="AX2567" s="148" t="s">
        <v>80</v>
      </c>
      <c r="AY2567" s="150" t="s">
        <v>337</v>
      </c>
    </row>
    <row r="2568" spans="2:51" s="148" customFormat="1" x14ac:dyDescent="0.2">
      <c r="B2568" s="149"/>
      <c r="D2568" s="143" t="s">
        <v>346</v>
      </c>
      <c r="E2568" s="150"/>
      <c r="F2568" s="151" t="s">
        <v>2102</v>
      </c>
      <c r="H2568" s="152">
        <v>-0.7</v>
      </c>
      <c r="L2568" s="149"/>
      <c r="M2568" s="153"/>
      <c r="T2568" s="154"/>
      <c r="AT2568" s="150" t="s">
        <v>346</v>
      </c>
      <c r="AU2568" s="150" t="s">
        <v>90</v>
      </c>
      <c r="AV2568" s="148" t="s">
        <v>90</v>
      </c>
      <c r="AW2568" s="148" t="s">
        <v>33</v>
      </c>
      <c r="AX2568" s="148" t="s">
        <v>80</v>
      </c>
      <c r="AY2568" s="150" t="s">
        <v>337</v>
      </c>
    </row>
    <row r="2569" spans="2:51" s="148" customFormat="1" x14ac:dyDescent="0.2">
      <c r="B2569" s="149"/>
      <c r="D2569" s="143" t="s">
        <v>346</v>
      </c>
      <c r="E2569" s="150"/>
      <c r="F2569" s="151" t="s">
        <v>2130</v>
      </c>
      <c r="H2569" s="152">
        <v>4.34</v>
      </c>
      <c r="L2569" s="149"/>
      <c r="M2569" s="153"/>
      <c r="T2569" s="154"/>
      <c r="AT2569" s="150" t="s">
        <v>346</v>
      </c>
      <c r="AU2569" s="150" t="s">
        <v>90</v>
      </c>
      <c r="AV2569" s="148" t="s">
        <v>90</v>
      </c>
      <c r="AW2569" s="148" t="s">
        <v>33</v>
      </c>
      <c r="AX2569" s="148" t="s">
        <v>80</v>
      </c>
      <c r="AY2569" s="150" t="s">
        <v>337</v>
      </c>
    </row>
    <row r="2570" spans="2:51" s="148" customFormat="1" x14ac:dyDescent="0.2">
      <c r="B2570" s="149"/>
      <c r="D2570" s="143" t="s">
        <v>346</v>
      </c>
      <c r="E2570" s="150"/>
      <c r="F2570" s="151" t="s">
        <v>2102</v>
      </c>
      <c r="H2570" s="152">
        <v>-0.7</v>
      </c>
      <c r="L2570" s="149"/>
      <c r="M2570" s="153"/>
      <c r="T2570" s="154"/>
      <c r="AT2570" s="150" t="s">
        <v>346</v>
      </c>
      <c r="AU2570" s="150" t="s">
        <v>90</v>
      </c>
      <c r="AV2570" s="148" t="s">
        <v>90</v>
      </c>
      <c r="AW2570" s="148" t="s">
        <v>33</v>
      </c>
      <c r="AX2570" s="148" t="s">
        <v>80</v>
      </c>
      <c r="AY2570" s="150" t="s">
        <v>337</v>
      </c>
    </row>
    <row r="2571" spans="2:51" s="148" customFormat="1" x14ac:dyDescent="0.2">
      <c r="B2571" s="149"/>
      <c r="D2571" s="143" t="s">
        <v>346</v>
      </c>
      <c r="E2571" s="150"/>
      <c r="F2571" s="151" t="s">
        <v>2131</v>
      </c>
      <c r="H2571" s="152">
        <v>6.26</v>
      </c>
      <c r="L2571" s="149"/>
      <c r="M2571" s="153"/>
      <c r="T2571" s="154"/>
      <c r="AT2571" s="150" t="s">
        <v>346</v>
      </c>
      <c r="AU2571" s="150" t="s">
        <v>90</v>
      </c>
      <c r="AV2571" s="148" t="s">
        <v>90</v>
      </c>
      <c r="AW2571" s="148" t="s">
        <v>33</v>
      </c>
      <c r="AX2571" s="148" t="s">
        <v>80</v>
      </c>
      <c r="AY2571" s="150" t="s">
        <v>337</v>
      </c>
    </row>
    <row r="2572" spans="2:51" s="148" customFormat="1" x14ac:dyDescent="0.2">
      <c r="B2572" s="149"/>
      <c r="D2572" s="143" t="s">
        <v>346</v>
      </c>
      <c r="E2572" s="150"/>
      <c r="F2572" s="151" t="s">
        <v>2102</v>
      </c>
      <c r="H2572" s="152">
        <v>-0.7</v>
      </c>
      <c r="L2572" s="149"/>
      <c r="M2572" s="153"/>
      <c r="T2572" s="154"/>
      <c r="AT2572" s="150" t="s">
        <v>346</v>
      </c>
      <c r="AU2572" s="150" t="s">
        <v>90</v>
      </c>
      <c r="AV2572" s="148" t="s">
        <v>90</v>
      </c>
      <c r="AW2572" s="148" t="s">
        <v>33</v>
      </c>
      <c r="AX2572" s="148" t="s">
        <v>80</v>
      </c>
      <c r="AY2572" s="150" t="s">
        <v>337</v>
      </c>
    </row>
    <row r="2573" spans="2:51" s="148" customFormat="1" x14ac:dyDescent="0.2">
      <c r="B2573" s="149"/>
      <c r="D2573" s="143" t="s">
        <v>346</v>
      </c>
      <c r="E2573" s="150"/>
      <c r="F2573" s="151" t="s">
        <v>2132</v>
      </c>
      <c r="H2573" s="152">
        <v>4.71</v>
      </c>
      <c r="L2573" s="149"/>
      <c r="M2573" s="153"/>
      <c r="T2573" s="154"/>
      <c r="AT2573" s="150" t="s">
        <v>346</v>
      </c>
      <c r="AU2573" s="150" t="s">
        <v>90</v>
      </c>
      <c r="AV2573" s="148" t="s">
        <v>90</v>
      </c>
      <c r="AW2573" s="148" t="s">
        <v>33</v>
      </c>
      <c r="AX2573" s="148" t="s">
        <v>80</v>
      </c>
      <c r="AY2573" s="150" t="s">
        <v>337</v>
      </c>
    </row>
    <row r="2574" spans="2:51" s="148" customFormat="1" x14ac:dyDescent="0.2">
      <c r="B2574" s="149"/>
      <c r="D2574" s="143" t="s">
        <v>346</v>
      </c>
      <c r="E2574" s="150"/>
      <c r="F2574" s="151" t="s">
        <v>2102</v>
      </c>
      <c r="H2574" s="152">
        <v>-0.7</v>
      </c>
      <c r="L2574" s="149"/>
      <c r="M2574" s="153"/>
      <c r="T2574" s="154"/>
      <c r="AT2574" s="150" t="s">
        <v>346</v>
      </c>
      <c r="AU2574" s="150" t="s">
        <v>90</v>
      </c>
      <c r="AV2574" s="148" t="s">
        <v>90</v>
      </c>
      <c r="AW2574" s="148" t="s">
        <v>33</v>
      </c>
      <c r="AX2574" s="148" t="s">
        <v>80</v>
      </c>
      <c r="AY2574" s="150" t="s">
        <v>337</v>
      </c>
    </row>
    <row r="2575" spans="2:51" s="148" customFormat="1" x14ac:dyDescent="0.2">
      <c r="B2575" s="149"/>
      <c r="D2575" s="143" t="s">
        <v>346</v>
      </c>
      <c r="E2575" s="150"/>
      <c r="F2575" s="151" t="s">
        <v>2133</v>
      </c>
      <c r="H2575" s="152">
        <v>5.4</v>
      </c>
      <c r="L2575" s="149"/>
      <c r="M2575" s="153"/>
      <c r="T2575" s="154"/>
      <c r="AT2575" s="150" t="s">
        <v>346</v>
      </c>
      <c r="AU2575" s="150" t="s">
        <v>90</v>
      </c>
      <c r="AV2575" s="148" t="s">
        <v>90</v>
      </c>
      <c r="AW2575" s="148" t="s">
        <v>33</v>
      </c>
      <c r="AX2575" s="148" t="s">
        <v>80</v>
      </c>
      <c r="AY2575" s="150" t="s">
        <v>337</v>
      </c>
    </row>
    <row r="2576" spans="2:51" s="148" customFormat="1" x14ac:dyDescent="0.2">
      <c r="B2576" s="149"/>
      <c r="D2576" s="143" t="s">
        <v>346</v>
      </c>
      <c r="E2576" s="150"/>
      <c r="F2576" s="151" t="s">
        <v>2102</v>
      </c>
      <c r="H2576" s="152">
        <v>-0.7</v>
      </c>
      <c r="L2576" s="149"/>
      <c r="M2576" s="153"/>
      <c r="T2576" s="154"/>
      <c r="AT2576" s="150" t="s">
        <v>346</v>
      </c>
      <c r="AU2576" s="150" t="s">
        <v>90</v>
      </c>
      <c r="AV2576" s="148" t="s">
        <v>90</v>
      </c>
      <c r="AW2576" s="148" t="s">
        <v>33</v>
      </c>
      <c r="AX2576" s="148" t="s">
        <v>80</v>
      </c>
      <c r="AY2576" s="150" t="s">
        <v>337</v>
      </c>
    </row>
    <row r="2577" spans="2:51" s="148" customFormat="1" x14ac:dyDescent="0.2">
      <c r="B2577" s="149"/>
      <c r="D2577" s="143" t="s">
        <v>346</v>
      </c>
      <c r="E2577" s="150"/>
      <c r="F2577" s="151" t="s">
        <v>2134</v>
      </c>
      <c r="H2577" s="152">
        <v>6.45</v>
      </c>
      <c r="L2577" s="149"/>
      <c r="M2577" s="153"/>
      <c r="T2577" s="154"/>
      <c r="AT2577" s="150" t="s">
        <v>346</v>
      </c>
      <c r="AU2577" s="150" t="s">
        <v>90</v>
      </c>
      <c r="AV2577" s="148" t="s">
        <v>90</v>
      </c>
      <c r="AW2577" s="148" t="s">
        <v>33</v>
      </c>
      <c r="AX2577" s="148" t="s">
        <v>80</v>
      </c>
      <c r="AY2577" s="150" t="s">
        <v>337</v>
      </c>
    </row>
    <row r="2578" spans="2:51" s="148" customFormat="1" x14ac:dyDescent="0.2">
      <c r="B2578" s="149"/>
      <c r="D2578" s="143" t="s">
        <v>346</v>
      </c>
      <c r="E2578" s="150"/>
      <c r="F2578" s="151" t="s">
        <v>2102</v>
      </c>
      <c r="H2578" s="152">
        <v>-0.7</v>
      </c>
      <c r="L2578" s="149"/>
      <c r="M2578" s="153"/>
      <c r="T2578" s="154"/>
      <c r="AT2578" s="150" t="s">
        <v>346</v>
      </c>
      <c r="AU2578" s="150" t="s">
        <v>90</v>
      </c>
      <c r="AV2578" s="148" t="s">
        <v>90</v>
      </c>
      <c r="AW2578" s="148" t="s">
        <v>33</v>
      </c>
      <c r="AX2578" s="148" t="s">
        <v>80</v>
      </c>
      <c r="AY2578" s="150" t="s">
        <v>337</v>
      </c>
    </row>
    <row r="2579" spans="2:51" s="148" customFormat="1" x14ac:dyDescent="0.2">
      <c r="B2579" s="149"/>
      <c r="D2579" s="143" t="s">
        <v>346</v>
      </c>
      <c r="E2579" s="150"/>
      <c r="F2579" s="151" t="s">
        <v>2135</v>
      </c>
      <c r="H2579" s="152">
        <v>6.7</v>
      </c>
      <c r="L2579" s="149"/>
      <c r="M2579" s="153"/>
      <c r="T2579" s="154"/>
      <c r="AT2579" s="150" t="s">
        <v>346</v>
      </c>
      <c r="AU2579" s="150" t="s">
        <v>90</v>
      </c>
      <c r="AV2579" s="148" t="s">
        <v>90</v>
      </c>
      <c r="AW2579" s="148" t="s">
        <v>33</v>
      </c>
      <c r="AX2579" s="148" t="s">
        <v>80</v>
      </c>
      <c r="AY2579" s="150" t="s">
        <v>337</v>
      </c>
    </row>
    <row r="2580" spans="2:51" s="148" customFormat="1" x14ac:dyDescent="0.2">
      <c r="B2580" s="149"/>
      <c r="D2580" s="143" t="s">
        <v>346</v>
      </c>
      <c r="E2580" s="150"/>
      <c r="F2580" s="151" t="s">
        <v>1601</v>
      </c>
      <c r="H2580" s="152">
        <v>-0.8</v>
      </c>
      <c r="L2580" s="149"/>
      <c r="M2580" s="153"/>
      <c r="T2580" s="154"/>
      <c r="AT2580" s="150" t="s">
        <v>346</v>
      </c>
      <c r="AU2580" s="150" t="s">
        <v>90</v>
      </c>
      <c r="AV2580" s="148" t="s">
        <v>90</v>
      </c>
      <c r="AW2580" s="148" t="s">
        <v>33</v>
      </c>
      <c r="AX2580" s="148" t="s">
        <v>80</v>
      </c>
      <c r="AY2580" s="150" t="s">
        <v>337</v>
      </c>
    </row>
    <row r="2581" spans="2:51" s="148" customFormat="1" x14ac:dyDescent="0.2">
      <c r="B2581" s="149"/>
      <c r="D2581" s="143" t="s">
        <v>346</v>
      </c>
      <c r="E2581" s="150"/>
      <c r="F2581" s="151" t="s">
        <v>1623</v>
      </c>
      <c r="H2581" s="152">
        <v>20.149999999999999</v>
      </c>
      <c r="L2581" s="149"/>
      <c r="M2581" s="153"/>
      <c r="T2581" s="154"/>
      <c r="AT2581" s="150" t="s">
        <v>346</v>
      </c>
      <c r="AU2581" s="150" t="s">
        <v>90</v>
      </c>
      <c r="AV2581" s="148" t="s">
        <v>90</v>
      </c>
      <c r="AW2581" s="148" t="s">
        <v>33</v>
      </c>
      <c r="AX2581" s="148" t="s">
        <v>80</v>
      </c>
      <c r="AY2581" s="150" t="s">
        <v>337</v>
      </c>
    </row>
    <row r="2582" spans="2:51" s="148" customFormat="1" x14ac:dyDescent="0.2">
      <c r="B2582" s="149"/>
      <c r="D2582" s="143" t="s">
        <v>346</v>
      </c>
      <c r="E2582" s="150"/>
      <c r="F2582" s="151" t="s">
        <v>1601</v>
      </c>
      <c r="H2582" s="152">
        <v>-0.8</v>
      </c>
      <c r="L2582" s="149"/>
      <c r="M2582" s="153"/>
      <c r="T2582" s="154"/>
      <c r="AT2582" s="150" t="s">
        <v>346</v>
      </c>
      <c r="AU2582" s="150" t="s">
        <v>90</v>
      </c>
      <c r="AV2582" s="148" t="s">
        <v>90</v>
      </c>
      <c r="AW2582" s="148" t="s">
        <v>33</v>
      </c>
      <c r="AX2582" s="148" t="s">
        <v>80</v>
      </c>
      <c r="AY2582" s="150" t="s">
        <v>337</v>
      </c>
    </row>
    <row r="2583" spans="2:51" s="148" customFormat="1" x14ac:dyDescent="0.2">
      <c r="B2583" s="149"/>
      <c r="D2583" s="143" t="s">
        <v>346</v>
      </c>
      <c r="E2583" s="150"/>
      <c r="F2583" s="151" t="s">
        <v>1660</v>
      </c>
      <c r="H2583" s="152">
        <v>13.348000000000001</v>
      </c>
      <c r="L2583" s="149"/>
      <c r="M2583" s="153"/>
      <c r="T2583" s="154"/>
      <c r="AT2583" s="150" t="s">
        <v>346</v>
      </c>
      <c r="AU2583" s="150" t="s">
        <v>90</v>
      </c>
      <c r="AV2583" s="148" t="s">
        <v>90</v>
      </c>
      <c r="AW2583" s="148" t="s">
        <v>33</v>
      </c>
      <c r="AX2583" s="148" t="s">
        <v>80</v>
      </c>
      <c r="AY2583" s="150" t="s">
        <v>337</v>
      </c>
    </row>
    <row r="2584" spans="2:51" s="148" customFormat="1" x14ac:dyDescent="0.2">
      <c r="B2584" s="149"/>
      <c r="D2584" s="143" t="s">
        <v>346</v>
      </c>
      <c r="E2584" s="150"/>
      <c r="F2584" s="151" t="s">
        <v>1601</v>
      </c>
      <c r="H2584" s="152">
        <v>-0.8</v>
      </c>
      <c r="L2584" s="149"/>
      <c r="M2584" s="153"/>
      <c r="T2584" s="154"/>
      <c r="AT2584" s="150" t="s">
        <v>346</v>
      </c>
      <c r="AU2584" s="150" t="s">
        <v>90</v>
      </c>
      <c r="AV2584" s="148" t="s">
        <v>90</v>
      </c>
      <c r="AW2584" s="148" t="s">
        <v>33</v>
      </c>
      <c r="AX2584" s="148" t="s">
        <v>80</v>
      </c>
      <c r="AY2584" s="150" t="s">
        <v>337</v>
      </c>
    </row>
    <row r="2585" spans="2:51" s="148" customFormat="1" x14ac:dyDescent="0.2">
      <c r="B2585" s="149"/>
      <c r="D2585" s="143" t="s">
        <v>346</v>
      </c>
      <c r="E2585" s="150"/>
      <c r="F2585" s="151" t="s">
        <v>2136</v>
      </c>
      <c r="H2585" s="152">
        <v>6.06</v>
      </c>
      <c r="L2585" s="149"/>
      <c r="M2585" s="153"/>
      <c r="T2585" s="154"/>
      <c r="AT2585" s="150" t="s">
        <v>346</v>
      </c>
      <c r="AU2585" s="150" t="s">
        <v>90</v>
      </c>
      <c r="AV2585" s="148" t="s">
        <v>90</v>
      </c>
      <c r="AW2585" s="148" t="s">
        <v>33</v>
      </c>
      <c r="AX2585" s="148" t="s">
        <v>80</v>
      </c>
      <c r="AY2585" s="150" t="s">
        <v>337</v>
      </c>
    </row>
    <row r="2586" spans="2:51" s="148" customFormat="1" x14ac:dyDescent="0.2">
      <c r="B2586" s="149"/>
      <c r="D2586" s="143" t="s">
        <v>346</v>
      </c>
      <c r="E2586" s="150"/>
      <c r="F2586" s="151" t="s">
        <v>1601</v>
      </c>
      <c r="H2586" s="152">
        <v>-0.8</v>
      </c>
      <c r="L2586" s="149"/>
      <c r="M2586" s="153"/>
      <c r="T2586" s="154"/>
      <c r="AT2586" s="150" t="s">
        <v>346</v>
      </c>
      <c r="AU2586" s="150" t="s">
        <v>90</v>
      </c>
      <c r="AV2586" s="148" t="s">
        <v>90</v>
      </c>
      <c r="AW2586" s="148" t="s">
        <v>33</v>
      </c>
      <c r="AX2586" s="148" t="s">
        <v>80</v>
      </c>
      <c r="AY2586" s="150" t="s">
        <v>337</v>
      </c>
    </row>
    <row r="2587" spans="2:51" s="148" customFormat="1" x14ac:dyDescent="0.2">
      <c r="B2587" s="149"/>
      <c r="D2587" s="143" t="s">
        <v>346</v>
      </c>
      <c r="E2587" s="150"/>
      <c r="F2587" s="151" t="s">
        <v>2137</v>
      </c>
      <c r="H2587" s="152">
        <v>10.86</v>
      </c>
      <c r="L2587" s="149"/>
      <c r="M2587" s="153"/>
      <c r="T2587" s="154"/>
      <c r="AT2587" s="150" t="s">
        <v>346</v>
      </c>
      <c r="AU2587" s="150" t="s">
        <v>90</v>
      </c>
      <c r="AV2587" s="148" t="s">
        <v>90</v>
      </c>
      <c r="AW2587" s="148" t="s">
        <v>33</v>
      </c>
      <c r="AX2587" s="148" t="s">
        <v>80</v>
      </c>
      <c r="AY2587" s="150" t="s">
        <v>337</v>
      </c>
    </row>
    <row r="2588" spans="2:51" s="148" customFormat="1" x14ac:dyDescent="0.2">
      <c r="B2588" s="149"/>
      <c r="D2588" s="143" t="s">
        <v>346</v>
      </c>
      <c r="E2588" s="150"/>
      <c r="F2588" s="151" t="s">
        <v>1588</v>
      </c>
      <c r="H2588" s="152">
        <v>-0.9</v>
      </c>
      <c r="L2588" s="149"/>
      <c r="M2588" s="153"/>
      <c r="T2588" s="154"/>
      <c r="AT2588" s="150" t="s">
        <v>346</v>
      </c>
      <c r="AU2588" s="150" t="s">
        <v>90</v>
      </c>
      <c r="AV2588" s="148" t="s">
        <v>90</v>
      </c>
      <c r="AW2588" s="148" t="s">
        <v>33</v>
      </c>
      <c r="AX2588" s="148" t="s">
        <v>80</v>
      </c>
      <c r="AY2588" s="150" t="s">
        <v>337</v>
      </c>
    </row>
    <row r="2589" spans="2:51" s="148" customFormat="1" x14ac:dyDescent="0.2">
      <c r="B2589" s="149"/>
      <c r="D2589" s="143" t="s">
        <v>346</v>
      </c>
      <c r="E2589" s="150"/>
      <c r="F2589" s="151" t="s">
        <v>2138</v>
      </c>
      <c r="H2589" s="152">
        <v>6.26</v>
      </c>
      <c r="L2589" s="149"/>
      <c r="M2589" s="153"/>
      <c r="T2589" s="154"/>
      <c r="AT2589" s="150" t="s">
        <v>346</v>
      </c>
      <c r="AU2589" s="150" t="s">
        <v>90</v>
      </c>
      <c r="AV2589" s="148" t="s">
        <v>90</v>
      </c>
      <c r="AW2589" s="148" t="s">
        <v>33</v>
      </c>
      <c r="AX2589" s="148" t="s">
        <v>80</v>
      </c>
      <c r="AY2589" s="150" t="s">
        <v>337</v>
      </c>
    </row>
    <row r="2590" spans="2:51" s="148" customFormat="1" x14ac:dyDescent="0.2">
      <c r="B2590" s="149"/>
      <c r="D2590" s="143" t="s">
        <v>346</v>
      </c>
      <c r="E2590" s="150"/>
      <c r="F2590" s="151" t="s">
        <v>2102</v>
      </c>
      <c r="H2590" s="152">
        <v>-0.7</v>
      </c>
      <c r="L2590" s="149"/>
      <c r="M2590" s="153"/>
      <c r="T2590" s="154"/>
      <c r="AT2590" s="150" t="s">
        <v>346</v>
      </c>
      <c r="AU2590" s="150" t="s">
        <v>90</v>
      </c>
      <c r="AV2590" s="148" t="s">
        <v>90</v>
      </c>
      <c r="AW2590" s="148" t="s">
        <v>33</v>
      </c>
      <c r="AX2590" s="148" t="s">
        <v>80</v>
      </c>
      <c r="AY2590" s="150" t="s">
        <v>337</v>
      </c>
    </row>
    <row r="2591" spans="2:51" s="148" customFormat="1" x14ac:dyDescent="0.2">
      <c r="B2591" s="149"/>
      <c r="D2591" s="143" t="s">
        <v>346</v>
      </c>
      <c r="E2591" s="150"/>
      <c r="F2591" s="151" t="s">
        <v>2139</v>
      </c>
      <c r="H2591" s="152">
        <v>4.34</v>
      </c>
      <c r="L2591" s="149"/>
      <c r="M2591" s="153"/>
      <c r="T2591" s="154"/>
      <c r="AT2591" s="150" t="s">
        <v>346</v>
      </c>
      <c r="AU2591" s="150" t="s">
        <v>90</v>
      </c>
      <c r="AV2591" s="148" t="s">
        <v>90</v>
      </c>
      <c r="AW2591" s="148" t="s">
        <v>33</v>
      </c>
      <c r="AX2591" s="148" t="s">
        <v>80</v>
      </c>
      <c r="AY2591" s="150" t="s">
        <v>337</v>
      </c>
    </row>
    <row r="2592" spans="2:51" s="148" customFormat="1" x14ac:dyDescent="0.2">
      <c r="B2592" s="149"/>
      <c r="D2592" s="143" t="s">
        <v>346</v>
      </c>
      <c r="E2592" s="150"/>
      <c r="F2592" s="151" t="s">
        <v>2102</v>
      </c>
      <c r="H2592" s="152">
        <v>-0.7</v>
      </c>
      <c r="L2592" s="149"/>
      <c r="M2592" s="153"/>
      <c r="T2592" s="154"/>
      <c r="AT2592" s="150" t="s">
        <v>346</v>
      </c>
      <c r="AU2592" s="150" t="s">
        <v>90</v>
      </c>
      <c r="AV2592" s="148" t="s">
        <v>90</v>
      </c>
      <c r="AW2592" s="148" t="s">
        <v>33</v>
      </c>
      <c r="AX2592" s="148" t="s">
        <v>80</v>
      </c>
      <c r="AY2592" s="150" t="s">
        <v>337</v>
      </c>
    </row>
    <row r="2593" spans="2:51" s="148" customFormat="1" x14ac:dyDescent="0.2">
      <c r="B2593" s="149"/>
      <c r="D2593" s="143" t="s">
        <v>346</v>
      </c>
      <c r="E2593" s="150"/>
      <c r="F2593" s="151" t="s">
        <v>2140</v>
      </c>
      <c r="H2593" s="152">
        <v>6.26</v>
      </c>
      <c r="L2593" s="149"/>
      <c r="M2593" s="153"/>
      <c r="T2593" s="154"/>
      <c r="AT2593" s="150" t="s">
        <v>346</v>
      </c>
      <c r="AU2593" s="150" t="s">
        <v>90</v>
      </c>
      <c r="AV2593" s="148" t="s">
        <v>90</v>
      </c>
      <c r="AW2593" s="148" t="s">
        <v>33</v>
      </c>
      <c r="AX2593" s="148" t="s">
        <v>80</v>
      </c>
      <c r="AY2593" s="150" t="s">
        <v>337</v>
      </c>
    </row>
    <row r="2594" spans="2:51" s="148" customFormat="1" x14ac:dyDescent="0.2">
      <c r="B2594" s="149"/>
      <c r="D2594" s="143" t="s">
        <v>346</v>
      </c>
      <c r="E2594" s="150"/>
      <c r="F2594" s="151" t="s">
        <v>2102</v>
      </c>
      <c r="H2594" s="152">
        <v>-0.7</v>
      </c>
      <c r="L2594" s="149"/>
      <c r="M2594" s="153"/>
      <c r="T2594" s="154"/>
      <c r="AT2594" s="150" t="s">
        <v>346</v>
      </c>
      <c r="AU2594" s="150" t="s">
        <v>90</v>
      </c>
      <c r="AV2594" s="148" t="s">
        <v>90</v>
      </c>
      <c r="AW2594" s="148" t="s">
        <v>33</v>
      </c>
      <c r="AX2594" s="148" t="s">
        <v>80</v>
      </c>
      <c r="AY2594" s="150" t="s">
        <v>337</v>
      </c>
    </row>
    <row r="2595" spans="2:51" s="148" customFormat="1" x14ac:dyDescent="0.2">
      <c r="B2595" s="149"/>
      <c r="D2595" s="143" t="s">
        <v>346</v>
      </c>
      <c r="E2595" s="150"/>
      <c r="F2595" s="151" t="s">
        <v>2141</v>
      </c>
      <c r="H2595" s="152">
        <v>4.34</v>
      </c>
      <c r="L2595" s="149"/>
      <c r="M2595" s="153"/>
      <c r="T2595" s="154"/>
      <c r="AT2595" s="150" t="s">
        <v>346</v>
      </c>
      <c r="AU2595" s="150" t="s">
        <v>90</v>
      </c>
      <c r="AV2595" s="148" t="s">
        <v>90</v>
      </c>
      <c r="AW2595" s="148" t="s">
        <v>33</v>
      </c>
      <c r="AX2595" s="148" t="s">
        <v>80</v>
      </c>
      <c r="AY2595" s="150" t="s">
        <v>337</v>
      </c>
    </row>
    <row r="2596" spans="2:51" s="148" customFormat="1" x14ac:dyDescent="0.2">
      <c r="B2596" s="149"/>
      <c r="D2596" s="143" t="s">
        <v>346</v>
      </c>
      <c r="E2596" s="150"/>
      <c r="F2596" s="151" t="s">
        <v>2102</v>
      </c>
      <c r="H2596" s="152">
        <v>-0.7</v>
      </c>
      <c r="L2596" s="149"/>
      <c r="M2596" s="153"/>
      <c r="T2596" s="154"/>
      <c r="AT2596" s="150" t="s">
        <v>346</v>
      </c>
      <c r="AU2596" s="150" t="s">
        <v>90</v>
      </c>
      <c r="AV2596" s="148" t="s">
        <v>90</v>
      </c>
      <c r="AW2596" s="148" t="s">
        <v>33</v>
      </c>
      <c r="AX2596" s="148" t="s">
        <v>80</v>
      </c>
      <c r="AY2596" s="150" t="s">
        <v>337</v>
      </c>
    </row>
    <row r="2597" spans="2:51" s="148" customFormat="1" x14ac:dyDescent="0.2">
      <c r="B2597" s="149"/>
      <c r="D2597" s="143" t="s">
        <v>346</v>
      </c>
      <c r="E2597" s="150"/>
      <c r="F2597" s="151" t="s">
        <v>2142</v>
      </c>
      <c r="H2597" s="152">
        <v>6.26</v>
      </c>
      <c r="L2597" s="149"/>
      <c r="M2597" s="153"/>
      <c r="T2597" s="154"/>
      <c r="AT2597" s="150" t="s">
        <v>346</v>
      </c>
      <c r="AU2597" s="150" t="s">
        <v>90</v>
      </c>
      <c r="AV2597" s="148" t="s">
        <v>90</v>
      </c>
      <c r="AW2597" s="148" t="s">
        <v>33</v>
      </c>
      <c r="AX2597" s="148" t="s">
        <v>80</v>
      </c>
      <c r="AY2597" s="150" t="s">
        <v>337</v>
      </c>
    </row>
    <row r="2598" spans="2:51" s="148" customFormat="1" x14ac:dyDescent="0.2">
      <c r="B2598" s="149"/>
      <c r="D2598" s="143" t="s">
        <v>346</v>
      </c>
      <c r="E2598" s="150"/>
      <c r="F2598" s="151" t="s">
        <v>2102</v>
      </c>
      <c r="H2598" s="152">
        <v>-0.7</v>
      </c>
      <c r="L2598" s="149"/>
      <c r="M2598" s="153"/>
      <c r="T2598" s="154"/>
      <c r="AT2598" s="150" t="s">
        <v>346</v>
      </c>
      <c r="AU2598" s="150" t="s">
        <v>90</v>
      </c>
      <c r="AV2598" s="148" t="s">
        <v>90</v>
      </c>
      <c r="AW2598" s="148" t="s">
        <v>33</v>
      </c>
      <c r="AX2598" s="148" t="s">
        <v>80</v>
      </c>
      <c r="AY2598" s="150" t="s">
        <v>337</v>
      </c>
    </row>
    <row r="2599" spans="2:51" s="148" customFormat="1" x14ac:dyDescent="0.2">
      <c r="B2599" s="149"/>
      <c r="D2599" s="143" t="s">
        <v>346</v>
      </c>
      <c r="E2599" s="150"/>
      <c r="F2599" s="151" t="s">
        <v>2143</v>
      </c>
      <c r="H2599" s="152">
        <v>4.34</v>
      </c>
      <c r="L2599" s="149"/>
      <c r="M2599" s="153"/>
      <c r="T2599" s="154"/>
      <c r="AT2599" s="150" t="s">
        <v>346</v>
      </c>
      <c r="AU2599" s="150" t="s">
        <v>90</v>
      </c>
      <c r="AV2599" s="148" t="s">
        <v>90</v>
      </c>
      <c r="AW2599" s="148" t="s">
        <v>33</v>
      </c>
      <c r="AX2599" s="148" t="s">
        <v>80</v>
      </c>
      <c r="AY2599" s="150" t="s">
        <v>337</v>
      </c>
    </row>
    <row r="2600" spans="2:51" s="148" customFormat="1" x14ac:dyDescent="0.2">
      <c r="B2600" s="149"/>
      <c r="D2600" s="143" t="s">
        <v>346</v>
      </c>
      <c r="E2600" s="150"/>
      <c r="F2600" s="151" t="s">
        <v>2102</v>
      </c>
      <c r="H2600" s="152">
        <v>-0.7</v>
      </c>
      <c r="L2600" s="149"/>
      <c r="M2600" s="153"/>
      <c r="T2600" s="154"/>
      <c r="AT2600" s="150" t="s">
        <v>346</v>
      </c>
      <c r="AU2600" s="150" t="s">
        <v>90</v>
      </c>
      <c r="AV2600" s="148" t="s">
        <v>90</v>
      </c>
      <c r="AW2600" s="148" t="s">
        <v>33</v>
      </c>
      <c r="AX2600" s="148" t="s">
        <v>80</v>
      </c>
      <c r="AY2600" s="150" t="s">
        <v>337</v>
      </c>
    </row>
    <row r="2601" spans="2:51" s="148" customFormat="1" x14ac:dyDescent="0.2">
      <c r="B2601" s="149"/>
      <c r="D2601" s="143" t="s">
        <v>346</v>
      </c>
      <c r="E2601" s="150"/>
      <c r="F2601" s="151" t="s">
        <v>2144</v>
      </c>
      <c r="H2601" s="152">
        <v>4.34</v>
      </c>
      <c r="L2601" s="149"/>
      <c r="M2601" s="153"/>
      <c r="T2601" s="154"/>
      <c r="AT2601" s="150" t="s">
        <v>346</v>
      </c>
      <c r="AU2601" s="150" t="s">
        <v>90</v>
      </c>
      <c r="AV2601" s="148" t="s">
        <v>90</v>
      </c>
      <c r="AW2601" s="148" t="s">
        <v>33</v>
      </c>
      <c r="AX2601" s="148" t="s">
        <v>80</v>
      </c>
      <c r="AY2601" s="150" t="s">
        <v>337</v>
      </c>
    </row>
    <row r="2602" spans="2:51" s="148" customFormat="1" x14ac:dyDescent="0.2">
      <c r="B2602" s="149"/>
      <c r="D2602" s="143" t="s">
        <v>346</v>
      </c>
      <c r="E2602" s="150"/>
      <c r="F2602" s="151" t="s">
        <v>2102</v>
      </c>
      <c r="H2602" s="152">
        <v>-0.7</v>
      </c>
      <c r="L2602" s="149"/>
      <c r="M2602" s="153"/>
      <c r="T2602" s="154"/>
      <c r="AT2602" s="150" t="s">
        <v>346</v>
      </c>
      <c r="AU2602" s="150" t="s">
        <v>90</v>
      </c>
      <c r="AV2602" s="148" t="s">
        <v>90</v>
      </c>
      <c r="AW2602" s="148" t="s">
        <v>33</v>
      </c>
      <c r="AX2602" s="148" t="s">
        <v>80</v>
      </c>
      <c r="AY2602" s="150" t="s">
        <v>337</v>
      </c>
    </row>
    <row r="2603" spans="2:51" s="148" customFormat="1" x14ac:dyDescent="0.2">
      <c r="B2603" s="149"/>
      <c r="D2603" s="143" t="s">
        <v>346</v>
      </c>
      <c r="E2603" s="150"/>
      <c r="F2603" s="151" t="s">
        <v>2145</v>
      </c>
      <c r="H2603" s="152">
        <v>5.89</v>
      </c>
      <c r="L2603" s="149"/>
      <c r="M2603" s="153"/>
      <c r="T2603" s="154"/>
      <c r="AT2603" s="150" t="s">
        <v>346</v>
      </c>
      <c r="AU2603" s="150" t="s">
        <v>90</v>
      </c>
      <c r="AV2603" s="148" t="s">
        <v>90</v>
      </c>
      <c r="AW2603" s="148" t="s">
        <v>33</v>
      </c>
      <c r="AX2603" s="148" t="s">
        <v>80</v>
      </c>
      <c r="AY2603" s="150" t="s">
        <v>337</v>
      </c>
    </row>
    <row r="2604" spans="2:51" s="148" customFormat="1" x14ac:dyDescent="0.2">
      <c r="B2604" s="149"/>
      <c r="D2604" s="143" t="s">
        <v>346</v>
      </c>
      <c r="E2604" s="150"/>
      <c r="F2604" s="151" t="s">
        <v>2102</v>
      </c>
      <c r="H2604" s="152">
        <v>-0.7</v>
      </c>
      <c r="L2604" s="149"/>
      <c r="M2604" s="153"/>
      <c r="T2604" s="154"/>
      <c r="AT2604" s="150" t="s">
        <v>346</v>
      </c>
      <c r="AU2604" s="150" t="s">
        <v>90</v>
      </c>
      <c r="AV2604" s="148" t="s">
        <v>90</v>
      </c>
      <c r="AW2604" s="148" t="s">
        <v>33</v>
      </c>
      <c r="AX2604" s="148" t="s">
        <v>80</v>
      </c>
      <c r="AY2604" s="150" t="s">
        <v>337</v>
      </c>
    </row>
    <row r="2605" spans="2:51" s="148" customFormat="1" x14ac:dyDescent="0.2">
      <c r="B2605" s="149"/>
      <c r="D2605" s="143" t="s">
        <v>346</v>
      </c>
      <c r="E2605" s="150"/>
      <c r="F2605" s="151" t="s">
        <v>2146</v>
      </c>
      <c r="H2605" s="152">
        <v>6.26</v>
      </c>
      <c r="L2605" s="149"/>
      <c r="M2605" s="153"/>
      <c r="T2605" s="154"/>
      <c r="AT2605" s="150" t="s">
        <v>346</v>
      </c>
      <c r="AU2605" s="150" t="s">
        <v>90</v>
      </c>
      <c r="AV2605" s="148" t="s">
        <v>90</v>
      </c>
      <c r="AW2605" s="148" t="s">
        <v>33</v>
      </c>
      <c r="AX2605" s="148" t="s">
        <v>80</v>
      </c>
      <c r="AY2605" s="150" t="s">
        <v>337</v>
      </c>
    </row>
    <row r="2606" spans="2:51" s="148" customFormat="1" x14ac:dyDescent="0.2">
      <c r="B2606" s="149"/>
      <c r="D2606" s="143" t="s">
        <v>346</v>
      </c>
      <c r="E2606" s="150"/>
      <c r="F2606" s="151" t="s">
        <v>2102</v>
      </c>
      <c r="H2606" s="152">
        <v>-0.7</v>
      </c>
      <c r="L2606" s="149"/>
      <c r="M2606" s="153"/>
      <c r="T2606" s="154"/>
      <c r="AT2606" s="150" t="s">
        <v>346</v>
      </c>
      <c r="AU2606" s="150" t="s">
        <v>90</v>
      </c>
      <c r="AV2606" s="148" t="s">
        <v>90</v>
      </c>
      <c r="AW2606" s="148" t="s">
        <v>33</v>
      </c>
      <c r="AX2606" s="148" t="s">
        <v>80</v>
      </c>
      <c r="AY2606" s="150" t="s">
        <v>337</v>
      </c>
    </row>
    <row r="2607" spans="2:51" s="148" customFormat="1" x14ac:dyDescent="0.2">
      <c r="B2607" s="149"/>
      <c r="D2607" s="143" t="s">
        <v>346</v>
      </c>
      <c r="E2607" s="150"/>
      <c r="F2607" s="151" t="s">
        <v>2147</v>
      </c>
      <c r="H2607" s="152">
        <v>4.34</v>
      </c>
      <c r="L2607" s="149"/>
      <c r="M2607" s="153"/>
      <c r="T2607" s="154"/>
      <c r="AT2607" s="150" t="s">
        <v>346</v>
      </c>
      <c r="AU2607" s="150" t="s">
        <v>90</v>
      </c>
      <c r="AV2607" s="148" t="s">
        <v>90</v>
      </c>
      <c r="AW2607" s="148" t="s">
        <v>33</v>
      </c>
      <c r="AX2607" s="148" t="s">
        <v>80</v>
      </c>
      <c r="AY2607" s="150" t="s">
        <v>337</v>
      </c>
    </row>
    <row r="2608" spans="2:51" s="148" customFormat="1" x14ac:dyDescent="0.2">
      <c r="B2608" s="149"/>
      <c r="D2608" s="143" t="s">
        <v>346</v>
      </c>
      <c r="E2608" s="150"/>
      <c r="F2608" s="151" t="s">
        <v>2102</v>
      </c>
      <c r="H2608" s="152">
        <v>-0.7</v>
      </c>
      <c r="L2608" s="149"/>
      <c r="M2608" s="153"/>
      <c r="T2608" s="154"/>
      <c r="AT2608" s="150" t="s">
        <v>346</v>
      </c>
      <c r="AU2608" s="150" t="s">
        <v>90</v>
      </c>
      <c r="AV2608" s="148" t="s">
        <v>90</v>
      </c>
      <c r="AW2608" s="148" t="s">
        <v>33</v>
      </c>
      <c r="AX2608" s="148" t="s">
        <v>80</v>
      </c>
      <c r="AY2608" s="150" t="s">
        <v>337</v>
      </c>
    </row>
    <row r="2609" spans="2:51" s="148" customFormat="1" x14ac:dyDescent="0.2">
      <c r="B2609" s="149"/>
      <c r="D2609" s="143" t="s">
        <v>346</v>
      </c>
      <c r="E2609" s="150"/>
      <c r="F2609" s="151" t="s">
        <v>2148</v>
      </c>
      <c r="H2609" s="152">
        <v>6.26</v>
      </c>
      <c r="L2609" s="149"/>
      <c r="M2609" s="153"/>
      <c r="T2609" s="154"/>
      <c r="AT2609" s="150" t="s">
        <v>346</v>
      </c>
      <c r="AU2609" s="150" t="s">
        <v>90</v>
      </c>
      <c r="AV2609" s="148" t="s">
        <v>90</v>
      </c>
      <c r="AW2609" s="148" t="s">
        <v>33</v>
      </c>
      <c r="AX2609" s="148" t="s">
        <v>80</v>
      </c>
      <c r="AY2609" s="150" t="s">
        <v>337</v>
      </c>
    </row>
    <row r="2610" spans="2:51" s="148" customFormat="1" x14ac:dyDescent="0.2">
      <c r="B2610" s="149"/>
      <c r="D2610" s="143" t="s">
        <v>346</v>
      </c>
      <c r="E2610" s="150"/>
      <c r="F2610" s="151" t="s">
        <v>2102</v>
      </c>
      <c r="H2610" s="152">
        <v>-0.7</v>
      </c>
      <c r="L2610" s="149"/>
      <c r="M2610" s="153"/>
      <c r="T2610" s="154"/>
      <c r="AT2610" s="150" t="s">
        <v>346</v>
      </c>
      <c r="AU2610" s="150" t="s">
        <v>90</v>
      </c>
      <c r="AV2610" s="148" t="s">
        <v>90</v>
      </c>
      <c r="AW2610" s="148" t="s">
        <v>33</v>
      </c>
      <c r="AX2610" s="148" t="s">
        <v>80</v>
      </c>
      <c r="AY2610" s="150" t="s">
        <v>337</v>
      </c>
    </row>
    <row r="2611" spans="2:51" s="148" customFormat="1" x14ac:dyDescent="0.2">
      <c r="B2611" s="149"/>
      <c r="D2611" s="143" t="s">
        <v>346</v>
      </c>
      <c r="E2611" s="150"/>
      <c r="F2611" s="151" t="s">
        <v>2149</v>
      </c>
      <c r="H2611" s="152">
        <v>4.71</v>
      </c>
      <c r="L2611" s="149"/>
      <c r="M2611" s="153"/>
      <c r="T2611" s="154"/>
      <c r="AT2611" s="150" t="s">
        <v>346</v>
      </c>
      <c r="AU2611" s="150" t="s">
        <v>90</v>
      </c>
      <c r="AV2611" s="148" t="s">
        <v>90</v>
      </c>
      <c r="AW2611" s="148" t="s">
        <v>33</v>
      </c>
      <c r="AX2611" s="148" t="s">
        <v>80</v>
      </c>
      <c r="AY2611" s="150" t="s">
        <v>337</v>
      </c>
    </row>
    <row r="2612" spans="2:51" s="148" customFormat="1" x14ac:dyDescent="0.2">
      <c r="B2612" s="149"/>
      <c r="D2612" s="143" t="s">
        <v>346</v>
      </c>
      <c r="E2612" s="150"/>
      <c r="F2612" s="151" t="s">
        <v>2102</v>
      </c>
      <c r="H2612" s="152">
        <v>-0.7</v>
      </c>
      <c r="L2612" s="149"/>
      <c r="M2612" s="153"/>
      <c r="T2612" s="154"/>
      <c r="AT2612" s="150" t="s">
        <v>346</v>
      </c>
      <c r="AU2612" s="150" t="s">
        <v>90</v>
      </c>
      <c r="AV2612" s="148" t="s">
        <v>90</v>
      </c>
      <c r="AW2612" s="148" t="s">
        <v>33</v>
      </c>
      <c r="AX2612" s="148" t="s">
        <v>80</v>
      </c>
      <c r="AY2612" s="150" t="s">
        <v>337</v>
      </c>
    </row>
    <row r="2613" spans="2:51" s="148" customFormat="1" x14ac:dyDescent="0.2">
      <c r="B2613" s="149"/>
      <c r="D2613" s="143" t="s">
        <v>346</v>
      </c>
      <c r="E2613" s="150"/>
      <c r="F2613" s="151" t="s">
        <v>2150</v>
      </c>
      <c r="H2613" s="152">
        <v>5.4</v>
      </c>
      <c r="L2613" s="149"/>
      <c r="M2613" s="153"/>
      <c r="T2613" s="154"/>
      <c r="AT2613" s="150" t="s">
        <v>346</v>
      </c>
      <c r="AU2613" s="150" t="s">
        <v>90</v>
      </c>
      <c r="AV2613" s="148" t="s">
        <v>90</v>
      </c>
      <c r="AW2613" s="148" t="s">
        <v>33</v>
      </c>
      <c r="AX2613" s="148" t="s">
        <v>80</v>
      </c>
      <c r="AY2613" s="150" t="s">
        <v>337</v>
      </c>
    </row>
    <row r="2614" spans="2:51" s="148" customFormat="1" x14ac:dyDescent="0.2">
      <c r="B2614" s="149"/>
      <c r="D2614" s="143" t="s">
        <v>346</v>
      </c>
      <c r="E2614" s="150"/>
      <c r="F2614" s="151" t="s">
        <v>2102</v>
      </c>
      <c r="H2614" s="152">
        <v>-0.7</v>
      </c>
      <c r="L2614" s="149"/>
      <c r="M2614" s="153"/>
      <c r="T2614" s="154"/>
      <c r="AT2614" s="150" t="s">
        <v>346</v>
      </c>
      <c r="AU2614" s="150" t="s">
        <v>90</v>
      </c>
      <c r="AV2614" s="148" t="s">
        <v>90</v>
      </c>
      <c r="AW2614" s="148" t="s">
        <v>33</v>
      </c>
      <c r="AX2614" s="148" t="s">
        <v>80</v>
      </c>
      <c r="AY2614" s="150" t="s">
        <v>337</v>
      </c>
    </row>
    <row r="2615" spans="2:51" s="148" customFormat="1" x14ac:dyDescent="0.2">
      <c r="B2615" s="149"/>
      <c r="D2615" s="143" t="s">
        <v>346</v>
      </c>
      <c r="E2615" s="150"/>
      <c r="F2615" s="151" t="s">
        <v>2151</v>
      </c>
      <c r="H2615" s="152">
        <v>6.45</v>
      </c>
      <c r="L2615" s="149"/>
      <c r="M2615" s="153"/>
      <c r="T2615" s="154"/>
      <c r="AT2615" s="150" t="s">
        <v>346</v>
      </c>
      <c r="AU2615" s="150" t="s">
        <v>90</v>
      </c>
      <c r="AV2615" s="148" t="s">
        <v>90</v>
      </c>
      <c r="AW2615" s="148" t="s">
        <v>33</v>
      </c>
      <c r="AX2615" s="148" t="s">
        <v>80</v>
      </c>
      <c r="AY2615" s="150" t="s">
        <v>337</v>
      </c>
    </row>
    <row r="2616" spans="2:51" s="148" customFormat="1" x14ac:dyDescent="0.2">
      <c r="B2616" s="149"/>
      <c r="D2616" s="143" t="s">
        <v>346</v>
      </c>
      <c r="E2616" s="150"/>
      <c r="F2616" s="151" t="s">
        <v>2102</v>
      </c>
      <c r="H2616" s="152">
        <v>-0.7</v>
      </c>
      <c r="L2616" s="149"/>
      <c r="M2616" s="153"/>
      <c r="T2616" s="154"/>
      <c r="AT2616" s="150" t="s">
        <v>346</v>
      </c>
      <c r="AU2616" s="150" t="s">
        <v>90</v>
      </c>
      <c r="AV2616" s="148" t="s">
        <v>90</v>
      </c>
      <c r="AW2616" s="148" t="s">
        <v>33</v>
      </c>
      <c r="AX2616" s="148" t="s">
        <v>80</v>
      </c>
      <c r="AY2616" s="150" t="s">
        <v>337</v>
      </c>
    </row>
    <row r="2617" spans="2:51" s="148" customFormat="1" x14ac:dyDescent="0.2">
      <c r="B2617" s="149"/>
      <c r="D2617" s="143" t="s">
        <v>346</v>
      </c>
      <c r="E2617" s="150"/>
      <c r="F2617" s="151" t="s">
        <v>2152</v>
      </c>
      <c r="H2617" s="152">
        <v>11.9</v>
      </c>
      <c r="L2617" s="149"/>
      <c r="M2617" s="153"/>
      <c r="T2617" s="154"/>
      <c r="AT2617" s="150" t="s">
        <v>346</v>
      </c>
      <c r="AU2617" s="150" t="s">
        <v>90</v>
      </c>
      <c r="AV2617" s="148" t="s">
        <v>90</v>
      </c>
      <c r="AW2617" s="148" t="s">
        <v>33</v>
      </c>
      <c r="AX2617" s="148" t="s">
        <v>80</v>
      </c>
      <c r="AY2617" s="150" t="s">
        <v>337</v>
      </c>
    </row>
    <row r="2618" spans="2:51" s="148" customFormat="1" x14ac:dyDescent="0.2">
      <c r="B2618" s="149"/>
      <c r="D2618" s="143" t="s">
        <v>346</v>
      </c>
      <c r="E2618" s="150"/>
      <c r="F2618" s="151" t="s">
        <v>2102</v>
      </c>
      <c r="H2618" s="152">
        <v>-0.7</v>
      </c>
      <c r="L2618" s="149"/>
      <c r="M2618" s="153"/>
      <c r="T2618" s="154"/>
      <c r="AT2618" s="150" t="s">
        <v>346</v>
      </c>
      <c r="AU2618" s="150" t="s">
        <v>90</v>
      </c>
      <c r="AV2618" s="148" t="s">
        <v>90</v>
      </c>
      <c r="AW2618" s="148" t="s">
        <v>33</v>
      </c>
      <c r="AX2618" s="148" t="s">
        <v>80</v>
      </c>
      <c r="AY2618" s="150" t="s">
        <v>337</v>
      </c>
    </row>
    <row r="2619" spans="2:51" s="148" customFormat="1" x14ac:dyDescent="0.2">
      <c r="B2619" s="149"/>
      <c r="D2619" s="143" t="s">
        <v>346</v>
      </c>
      <c r="E2619" s="150"/>
      <c r="F2619" s="151" t="s">
        <v>2153</v>
      </c>
      <c r="H2619" s="152">
        <v>5.3</v>
      </c>
      <c r="L2619" s="149"/>
      <c r="M2619" s="153"/>
      <c r="T2619" s="154"/>
      <c r="AT2619" s="150" t="s">
        <v>346</v>
      </c>
      <c r="AU2619" s="150" t="s">
        <v>90</v>
      </c>
      <c r="AV2619" s="148" t="s">
        <v>90</v>
      </c>
      <c r="AW2619" s="148" t="s">
        <v>33</v>
      </c>
      <c r="AX2619" s="148" t="s">
        <v>80</v>
      </c>
      <c r="AY2619" s="150" t="s">
        <v>337</v>
      </c>
    </row>
    <row r="2620" spans="2:51" s="148" customFormat="1" x14ac:dyDescent="0.2">
      <c r="B2620" s="149"/>
      <c r="D2620" s="143" t="s">
        <v>346</v>
      </c>
      <c r="E2620" s="150"/>
      <c r="F2620" s="151" t="s">
        <v>2102</v>
      </c>
      <c r="H2620" s="152">
        <v>-0.7</v>
      </c>
      <c r="L2620" s="149"/>
      <c r="M2620" s="153"/>
      <c r="T2620" s="154"/>
      <c r="AT2620" s="150" t="s">
        <v>346</v>
      </c>
      <c r="AU2620" s="150" t="s">
        <v>90</v>
      </c>
      <c r="AV2620" s="148" t="s">
        <v>90</v>
      </c>
      <c r="AW2620" s="148" t="s">
        <v>33</v>
      </c>
      <c r="AX2620" s="148" t="s">
        <v>80</v>
      </c>
      <c r="AY2620" s="150" t="s">
        <v>337</v>
      </c>
    </row>
    <row r="2621" spans="2:51" s="148" customFormat="1" x14ac:dyDescent="0.2">
      <c r="B2621" s="149"/>
      <c r="D2621" s="143" t="s">
        <v>346</v>
      </c>
      <c r="E2621" s="150"/>
      <c r="F2621" s="151" t="s">
        <v>2154</v>
      </c>
      <c r="H2621" s="152">
        <v>5.3</v>
      </c>
      <c r="L2621" s="149"/>
      <c r="M2621" s="153"/>
      <c r="T2621" s="154"/>
      <c r="AT2621" s="150" t="s">
        <v>346</v>
      </c>
      <c r="AU2621" s="150" t="s">
        <v>90</v>
      </c>
      <c r="AV2621" s="148" t="s">
        <v>90</v>
      </c>
      <c r="AW2621" s="148" t="s">
        <v>33</v>
      </c>
      <c r="AX2621" s="148" t="s">
        <v>80</v>
      </c>
      <c r="AY2621" s="150" t="s">
        <v>337</v>
      </c>
    </row>
    <row r="2622" spans="2:51" s="148" customFormat="1" x14ac:dyDescent="0.2">
      <c r="B2622" s="149"/>
      <c r="D2622" s="143" t="s">
        <v>346</v>
      </c>
      <c r="E2622" s="150"/>
      <c r="F2622" s="151" t="s">
        <v>2102</v>
      </c>
      <c r="H2622" s="152">
        <v>-0.7</v>
      </c>
      <c r="L2622" s="149"/>
      <c r="M2622" s="153"/>
      <c r="T2622" s="154"/>
      <c r="AT2622" s="150" t="s">
        <v>346</v>
      </c>
      <c r="AU2622" s="150" t="s">
        <v>90</v>
      </c>
      <c r="AV2622" s="148" t="s">
        <v>90</v>
      </c>
      <c r="AW2622" s="148" t="s">
        <v>33</v>
      </c>
      <c r="AX2622" s="148" t="s">
        <v>80</v>
      </c>
      <c r="AY2622" s="150" t="s">
        <v>337</v>
      </c>
    </row>
    <row r="2623" spans="2:51" s="148" customFormat="1" x14ac:dyDescent="0.2">
      <c r="B2623" s="149"/>
      <c r="D2623" s="143" t="s">
        <v>346</v>
      </c>
      <c r="E2623" s="150"/>
      <c r="F2623" s="151" t="s">
        <v>1626</v>
      </c>
      <c r="H2623" s="152">
        <v>9.75</v>
      </c>
      <c r="L2623" s="149"/>
      <c r="M2623" s="153"/>
      <c r="T2623" s="154"/>
      <c r="AT2623" s="150" t="s">
        <v>346</v>
      </c>
      <c r="AU2623" s="150" t="s">
        <v>90</v>
      </c>
      <c r="AV2623" s="148" t="s">
        <v>90</v>
      </c>
      <c r="AW2623" s="148" t="s">
        <v>33</v>
      </c>
      <c r="AX2623" s="148" t="s">
        <v>80</v>
      </c>
      <c r="AY2623" s="150" t="s">
        <v>337</v>
      </c>
    </row>
    <row r="2624" spans="2:51" s="148" customFormat="1" x14ac:dyDescent="0.2">
      <c r="B2624" s="149"/>
      <c r="D2624" s="143" t="s">
        <v>346</v>
      </c>
      <c r="E2624" s="150"/>
      <c r="F2624" s="151" t="s">
        <v>1601</v>
      </c>
      <c r="H2624" s="152">
        <v>-0.8</v>
      </c>
      <c r="L2624" s="149"/>
      <c r="M2624" s="153"/>
      <c r="T2624" s="154"/>
      <c r="AT2624" s="150" t="s">
        <v>346</v>
      </c>
      <c r="AU2624" s="150" t="s">
        <v>90</v>
      </c>
      <c r="AV2624" s="148" t="s">
        <v>90</v>
      </c>
      <c r="AW2624" s="148" t="s">
        <v>33</v>
      </c>
      <c r="AX2624" s="148" t="s">
        <v>80</v>
      </c>
      <c r="AY2624" s="150" t="s">
        <v>337</v>
      </c>
    </row>
    <row r="2625" spans="2:51" s="148" customFormat="1" x14ac:dyDescent="0.2">
      <c r="B2625" s="149"/>
      <c r="D2625" s="143" t="s">
        <v>346</v>
      </c>
      <c r="E2625" s="150"/>
      <c r="F2625" s="151" t="s">
        <v>1662</v>
      </c>
      <c r="H2625" s="152">
        <v>7.1</v>
      </c>
      <c r="L2625" s="149"/>
      <c r="M2625" s="153"/>
      <c r="T2625" s="154"/>
      <c r="AT2625" s="150" t="s">
        <v>346</v>
      </c>
      <c r="AU2625" s="150" t="s">
        <v>90</v>
      </c>
      <c r="AV2625" s="148" t="s">
        <v>90</v>
      </c>
      <c r="AW2625" s="148" t="s">
        <v>33</v>
      </c>
      <c r="AX2625" s="148" t="s">
        <v>80</v>
      </c>
      <c r="AY2625" s="150" t="s">
        <v>337</v>
      </c>
    </row>
    <row r="2626" spans="2:51" s="148" customFormat="1" x14ac:dyDescent="0.2">
      <c r="B2626" s="149"/>
      <c r="D2626" s="143" t="s">
        <v>346</v>
      </c>
      <c r="E2626" s="150"/>
      <c r="F2626" s="151" t="s">
        <v>1601</v>
      </c>
      <c r="H2626" s="152">
        <v>-0.8</v>
      </c>
      <c r="L2626" s="149"/>
      <c r="M2626" s="153"/>
      <c r="T2626" s="154"/>
      <c r="AT2626" s="150" t="s">
        <v>346</v>
      </c>
      <c r="AU2626" s="150" t="s">
        <v>90</v>
      </c>
      <c r="AV2626" s="148" t="s">
        <v>90</v>
      </c>
      <c r="AW2626" s="148" t="s">
        <v>33</v>
      </c>
      <c r="AX2626" s="148" t="s">
        <v>80</v>
      </c>
      <c r="AY2626" s="150" t="s">
        <v>337</v>
      </c>
    </row>
    <row r="2627" spans="2:51" s="148" customFormat="1" x14ac:dyDescent="0.2">
      <c r="B2627" s="149"/>
      <c r="D2627" s="143" t="s">
        <v>346</v>
      </c>
      <c r="E2627" s="150"/>
      <c r="F2627" s="151" t="s">
        <v>1630</v>
      </c>
      <c r="H2627" s="152">
        <v>20.149999999999999</v>
      </c>
      <c r="L2627" s="149"/>
      <c r="M2627" s="153"/>
      <c r="T2627" s="154"/>
      <c r="AT2627" s="150" t="s">
        <v>346</v>
      </c>
      <c r="AU2627" s="150" t="s">
        <v>90</v>
      </c>
      <c r="AV2627" s="148" t="s">
        <v>90</v>
      </c>
      <c r="AW2627" s="148" t="s">
        <v>33</v>
      </c>
      <c r="AX2627" s="148" t="s">
        <v>80</v>
      </c>
      <c r="AY2627" s="150" t="s">
        <v>337</v>
      </c>
    </row>
    <row r="2628" spans="2:51" s="148" customFormat="1" x14ac:dyDescent="0.2">
      <c r="B2628" s="149"/>
      <c r="D2628" s="143" t="s">
        <v>346</v>
      </c>
      <c r="E2628" s="150"/>
      <c r="F2628" s="151" t="s">
        <v>1631</v>
      </c>
      <c r="H2628" s="152">
        <v>-0.8</v>
      </c>
      <c r="L2628" s="149"/>
      <c r="M2628" s="153"/>
      <c r="T2628" s="154"/>
      <c r="AT2628" s="150" t="s">
        <v>346</v>
      </c>
      <c r="AU2628" s="150" t="s">
        <v>90</v>
      </c>
      <c r="AV2628" s="148" t="s">
        <v>90</v>
      </c>
      <c r="AW2628" s="148" t="s">
        <v>33</v>
      </c>
      <c r="AX2628" s="148" t="s">
        <v>80</v>
      </c>
      <c r="AY2628" s="150" t="s">
        <v>337</v>
      </c>
    </row>
    <row r="2629" spans="2:51" s="148" customFormat="1" x14ac:dyDescent="0.2">
      <c r="B2629" s="149"/>
      <c r="D2629" s="143" t="s">
        <v>346</v>
      </c>
      <c r="E2629" s="150"/>
      <c r="F2629" s="151" t="s">
        <v>2155</v>
      </c>
      <c r="H2629" s="152">
        <v>10.86</v>
      </c>
      <c r="L2629" s="149"/>
      <c r="M2629" s="153"/>
      <c r="T2629" s="154"/>
      <c r="AT2629" s="150" t="s">
        <v>346</v>
      </c>
      <c r="AU2629" s="150" t="s">
        <v>90</v>
      </c>
      <c r="AV2629" s="148" t="s">
        <v>90</v>
      </c>
      <c r="AW2629" s="148" t="s">
        <v>33</v>
      </c>
      <c r="AX2629" s="148" t="s">
        <v>80</v>
      </c>
      <c r="AY2629" s="150" t="s">
        <v>337</v>
      </c>
    </row>
    <row r="2630" spans="2:51" s="148" customFormat="1" x14ac:dyDescent="0.2">
      <c r="B2630" s="149"/>
      <c r="D2630" s="143" t="s">
        <v>346</v>
      </c>
      <c r="E2630" s="150"/>
      <c r="F2630" s="151" t="s">
        <v>1588</v>
      </c>
      <c r="H2630" s="152">
        <v>-0.9</v>
      </c>
      <c r="L2630" s="149"/>
      <c r="M2630" s="153"/>
      <c r="T2630" s="154"/>
      <c r="AT2630" s="150" t="s">
        <v>346</v>
      </c>
      <c r="AU2630" s="150" t="s">
        <v>90</v>
      </c>
      <c r="AV2630" s="148" t="s">
        <v>90</v>
      </c>
      <c r="AW2630" s="148" t="s">
        <v>33</v>
      </c>
      <c r="AX2630" s="148" t="s">
        <v>80</v>
      </c>
      <c r="AY2630" s="150" t="s">
        <v>337</v>
      </c>
    </row>
    <row r="2631" spans="2:51" s="148" customFormat="1" x14ac:dyDescent="0.2">
      <c r="B2631" s="149"/>
      <c r="D2631" s="143" t="s">
        <v>346</v>
      </c>
      <c r="E2631" s="150"/>
      <c r="F2631" s="151" t="s">
        <v>2156</v>
      </c>
      <c r="H2631" s="152">
        <v>6.26</v>
      </c>
      <c r="L2631" s="149"/>
      <c r="M2631" s="153"/>
      <c r="T2631" s="154"/>
      <c r="AT2631" s="150" t="s">
        <v>346</v>
      </c>
      <c r="AU2631" s="150" t="s">
        <v>90</v>
      </c>
      <c r="AV2631" s="148" t="s">
        <v>90</v>
      </c>
      <c r="AW2631" s="148" t="s">
        <v>33</v>
      </c>
      <c r="AX2631" s="148" t="s">
        <v>80</v>
      </c>
      <c r="AY2631" s="150" t="s">
        <v>337</v>
      </c>
    </row>
    <row r="2632" spans="2:51" s="148" customFormat="1" x14ac:dyDescent="0.2">
      <c r="B2632" s="149"/>
      <c r="D2632" s="143" t="s">
        <v>346</v>
      </c>
      <c r="E2632" s="150"/>
      <c r="F2632" s="151" t="s">
        <v>2102</v>
      </c>
      <c r="H2632" s="152">
        <v>-0.7</v>
      </c>
      <c r="L2632" s="149"/>
      <c r="M2632" s="153"/>
      <c r="T2632" s="154"/>
      <c r="AT2632" s="150" t="s">
        <v>346</v>
      </c>
      <c r="AU2632" s="150" t="s">
        <v>90</v>
      </c>
      <c r="AV2632" s="148" t="s">
        <v>90</v>
      </c>
      <c r="AW2632" s="148" t="s">
        <v>33</v>
      </c>
      <c r="AX2632" s="148" t="s">
        <v>80</v>
      </c>
      <c r="AY2632" s="150" t="s">
        <v>337</v>
      </c>
    </row>
    <row r="2633" spans="2:51" s="148" customFormat="1" x14ac:dyDescent="0.2">
      <c r="B2633" s="149"/>
      <c r="D2633" s="143" t="s">
        <v>346</v>
      </c>
      <c r="E2633" s="150"/>
      <c r="F2633" s="151" t="s">
        <v>2157</v>
      </c>
      <c r="H2633" s="152">
        <v>4.34</v>
      </c>
      <c r="L2633" s="149"/>
      <c r="M2633" s="153"/>
      <c r="T2633" s="154"/>
      <c r="AT2633" s="150" t="s">
        <v>346</v>
      </c>
      <c r="AU2633" s="150" t="s">
        <v>90</v>
      </c>
      <c r="AV2633" s="148" t="s">
        <v>90</v>
      </c>
      <c r="AW2633" s="148" t="s">
        <v>33</v>
      </c>
      <c r="AX2633" s="148" t="s">
        <v>80</v>
      </c>
      <c r="AY2633" s="150" t="s">
        <v>337</v>
      </c>
    </row>
    <row r="2634" spans="2:51" s="148" customFormat="1" x14ac:dyDescent="0.2">
      <c r="B2634" s="149"/>
      <c r="D2634" s="143" t="s">
        <v>346</v>
      </c>
      <c r="E2634" s="150"/>
      <c r="F2634" s="151" t="s">
        <v>2102</v>
      </c>
      <c r="H2634" s="152">
        <v>-0.7</v>
      </c>
      <c r="L2634" s="149"/>
      <c r="M2634" s="153"/>
      <c r="T2634" s="154"/>
      <c r="AT2634" s="150" t="s">
        <v>346</v>
      </c>
      <c r="AU2634" s="150" t="s">
        <v>90</v>
      </c>
      <c r="AV2634" s="148" t="s">
        <v>90</v>
      </c>
      <c r="AW2634" s="148" t="s">
        <v>33</v>
      </c>
      <c r="AX2634" s="148" t="s">
        <v>80</v>
      </c>
      <c r="AY2634" s="150" t="s">
        <v>337</v>
      </c>
    </row>
    <row r="2635" spans="2:51" s="148" customFormat="1" x14ac:dyDescent="0.2">
      <c r="B2635" s="149"/>
      <c r="D2635" s="143" t="s">
        <v>346</v>
      </c>
      <c r="E2635" s="150"/>
      <c r="F2635" s="151" t="s">
        <v>2158</v>
      </c>
      <c r="H2635" s="152">
        <v>6.26</v>
      </c>
      <c r="L2635" s="149"/>
      <c r="M2635" s="153"/>
      <c r="T2635" s="154"/>
      <c r="AT2635" s="150" t="s">
        <v>346</v>
      </c>
      <c r="AU2635" s="150" t="s">
        <v>90</v>
      </c>
      <c r="AV2635" s="148" t="s">
        <v>90</v>
      </c>
      <c r="AW2635" s="148" t="s">
        <v>33</v>
      </c>
      <c r="AX2635" s="148" t="s">
        <v>80</v>
      </c>
      <c r="AY2635" s="150" t="s">
        <v>337</v>
      </c>
    </row>
    <row r="2636" spans="2:51" s="148" customFormat="1" x14ac:dyDescent="0.2">
      <c r="B2636" s="149"/>
      <c r="D2636" s="143" t="s">
        <v>346</v>
      </c>
      <c r="E2636" s="150"/>
      <c r="F2636" s="151" t="s">
        <v>2102</v>
      </c>
      <c r="H2636" s="152">
        <v>-0.7</v>
      </c>
      <c r="L2636" s="149"/>
      <c r="M2636" s="153"/>
      <c r="T2636" s="154"/>
      <c r="AT2636" s="150" t="s">
        <v>346</v>
      </c>
      <c r="AU2636" s="150" t="s">
        <v>90</v>
      </c>
      <c r="AV2636" s="148" t="s">
        <v>90</v>
      </c>
      <c r="AW2636" s="148" t="s">
        <v>33</v>
      </c>
      <c r="AX2636" s="148" t="s">
        <v>80</v>
      </c>
      <c r="AY2636" s="150" t="s">
        <v>337</v>
      </c>
    </row>
    <row r="2637" spans="2:51" s="148" customFormat="1" x14ac:dyDescent="0.2">
      <c r="B2637" s="149"/>
      <c r="D2637" s="143" t="s">
        <v>346</v>
      </c>
      <c r="E2637" s="150"/>
      <c r="F2637" s="151" t="s">
        <v>2159</v>
      </c>
      <c r="H2637" s="152">
        <v>4.34</v>
      </c>
      <c r="L2637" s="149"/>
      <c r="M2637" s="153"/>
      <c r="T2637" s="154"/>
      <c r="AT2637" s="150" t="s">
        <v>346</v>
      </c>
      <c r="AU2637" s="150" t="s">
        <v>90</v>
      </c>
      <c r="AV2637" s="148" t="s">
        <v>90</v>
      </c>
      <c r="AW2637" s="148" t="s">
        <v>33</v>
      </c>
      <c r="AX2637" s="148" t="s">
        <v>80</v>
      </c>
      <c r="AY2637" s="150" t="s">
        <v>337</v>
      </c>
    </row>
    <row r="2638" spans="2:51" s="148" customFormat="1" x14ac:dyDescent="0.2">
      <c r="B2638" s="149"/>
      <c r="D2638" s="143" t="s">
        <v>346</v>
      </c>
      <c r="E2638" s="150"/>
      <c r="F2638" s="151" t="s">
        <v>2102</v>
      </c>
      <c r="H2638" s="152">
        <v>-0.7</v>
      </c>
      <c r="L2638" s="149"/>
      <c r="M2638" s="153"/>
      <c r="T2638" s="154"/>
      <c r="AT2638" s="150" t="s">
        <v>346</v>
      </c>
      <c r="AU2638" s="150" t="s">
        <v>90</v>
      </c>
      <c r="AV2638" s="148" t="s">
        <v>90</v>
      </c>
      <c r="AW2638" s="148" t="s">
        <v>33</v>
      </c>
      <c r="AX2638" s="148" t="s">
        <v>80</v>
      </c>
      <c r="AY2638" s="150" t="s">
        <v>337</v>
      </c>
    </row>
    <row r="2639" spans="2:51" s="148" customFormat="1" x14ac:dyDescent="0.2">
      <c r="B2639" s="149"/>
      <c r="D2639" s="143" t="s">
        <v>346</v>
      </c>
      <c r="E2639" s="150"/>
      <c r="F2639" s="151" t="s">
        <v>2160</v>
      </c>
      <c r="H2639" s="152">
        <v>6.26</v>
      </c>
      <c r="L2639" s="149"/>
      <c r="M2639" s="153"/>
      <c r="T2639" s="154"/>
      <c r="AT2639" s="150" t="s">
        <v>346</v>
      </c>
      <c r="AU2639" s="150" t="s">
        <v>90</v>
      </c>
      <c r="AV2639" s="148" t="s">
        <v>90</v>
      </c>
      <c r="AW2639" s="148" t="s">
        <v>33</v>
      </c>
      <c r="AX2639" s="148" t="s">
        <v>80</v>
      </c>
      <c r="AY2639" s="150" t="s">
        <v>337</v>
      </c>
    </row>
    <row r="2640" spans="2:51" s="148" customFormat="1" x14ac:dyDescent="0.2">
      <c r="B2640" s="149"/>
      <c r="D2640" s="143" t="s">
        <v>346</v>
      </c>
      <c r="E2640" s="150"/>
      <c r="F2640" s="151" t="s">
        <v>2102</v>
      </c>
      <c r="H2640" s="152">
        <v>-0.7</v>
      </c>
      <c r="L2640" s="149"/>
      <c r="M2640" s="153"/>
      <c r="T2640" s="154"/>
      <c r="AT2640" s="150" t="s">
        <v>346</v>
      </c>
      <c r="AU2640" s="150" t="s">
        <v>90</v>
      </c>
      <c r="AV2640" s="148" t="s">
        <v>90</v>
      </c>
      <c r="AW2640" s="148" t="s">
        <v>33</v>
      </c>
      <c r="AX2640" s="148" t="s">
        <v>80</v>
      </c>
      <c r="AY2640" s="150" t="s">
        <v>337</v>
      </c>
    </row>
    <row r="2641" spans="2:51" s="148" customFormat="1" x14ac:dyDescent="0.2">
      <c r="B2641" s="149"/>
      <c r="D2641" s="143" t="s">
        <v>346</v>
      </c>
      <c r="E2641" s="150"/>
      <c r="F2641" s="151" t="s">
        <v>2161</v>
      </c>
      <c r="H2641" s="152">
        <v>4.34</v>
      </c>
      <c r="L2641" s="149"/>
      <c r="M2641" s="153"/>
      <c r="T2641" s="154"/>
      <c r="AT2641" s="150" t="s">
        <v>346</v>
      </c>
      <c r="AU2641" s="150" t="s">
        <v>90</v>
      </c>
      <c r="AV2641" s="148" t="s">
        <v>90</v>
      </c>
      <c r="AW2641" s="148" t="s">
        <v>33</v>
      </c>
      <c r="AX2641" s="148" t="s">
        <v>80</v>
      </c>
      <c r="AY2641" s="150" t="s">
        <v>337</v>
      </c>
    </row>
    <row r="2642" spans="2:51" s="148" customFormat="1" x14ac:dyDescent="0.2">
      <c r="B2642" s="149"/>
      <c r="D2642" s="143" t="s">
        <v>346</v>
      </c>
      <c r="E2642" s="150"/>
      <c r="F2642" s="151" t="s">
        <v>2102</v>
      </c>
      <c r="H2642" s="152">
        <v>-0.7</v>
      </c>
      <c r="L2642" s="149"/>
      <c r="M2642" s="153"/>
      <c r="T2642" s="154"/>
      <c r="AT2642" s="150" t="s">
        <v>346</v>
      </c>
      <c r="AU2642" s="150" t="s">
        <v>90</v>
      </c>
      <c r="AV2642" s="148" t="s">
        <v>90</v>
      </c>
      <c r="AW2642" s="148" t="s">
        <v>33</v>
      </c>
      <c r="AX2642" s="148" t="s">
        <v>80</v>
      </c>
      <c r="AY2642" s="150" t="s">
        <v>337</v>
      </c>
    </row>
    <row r="2643" spans="2:51" s="148" customFormat="1" x14ac:dyDescent="0.2">
      <c r="B2643" s="149"/>
      <c r="D2643" s="143" t="s">
        <v>346</v>
      </c>
      <c r="E2643" s="150"/>
      <c r="F2643" s="151" t="s">
        <v>2162</v>
      </c>
      <c r="H2643" s="152">
        <v>4.34</v>
      </c>
      <c r="L2643" s="149"/>
      <c r="M2643" s="153"/>
      <c r="T2643" s="154"/>
      <c r="AT2643" s="150" t="s">
        <v>346</v>
      </c>
      <c r="AU2643" s="150" t="s">
        <v>90</v>
      </c>
      <c r="AV2643" s="148" t="s">
        <v>90</v>
      </c>
      <c r="AW2643" s="148" t="s">
        <v>33</v>
      </c>
      <c r="AX2643" s="148" t="s">
        <v>80</v>
      </c>
      <c r="AY2643" s="150" t="s">
        <v>337</v>
      </c>
    </row>
    <row r="2644" spans="2:51" s="148" customFormat="1" x14ac:dyDescent="0.2">
      <c r="B2644" s="149"/>
      <c r="D2644" s="143" t="s">
        <v>346</v>
      </c>
      <c r="E2644" s="150"/>
      <c r="F2644" s="151" t="s">
        <v>2102</v>
      </c>
      <c r="H2644" s="152">
        <v>-0.7</v>
      </c>
      <c r="L2644" s="149"/>
      <c r="M2644" s="153"/>
      <c r="T2644" s="154"/>
      <c r="AT2644" s="150" t="s">
        <v>346</v>
      </c>
      <c r="AU2644" s="150" t="s">
        <v>90</v>
      </c>
      <c r="AV2644" s="148" t="s">
        <v>90</v>
      </c>
      <c r="AW2644" s="148" t="s">
        <v>33</v>
      </c>
      <c r="AX2644" s="148" t="s">
        <v>80</v>
      </c>
      <c r="AY2644" s="150" t="s">
        <v>337</v>
      </c>
    </row>
    <row r="2645" spans="2:51" s="148" customFormat="1" x14ac:dyDescent="0.2">
      <c r="B2645" s="149"/>
      <c r="D2645" s="143" t="s">
        <v>346</v>
      </c>
      <c r="E2645" s="150"/>
      <c r="F2645" s="151" t="s">
        <v>2163</v>
      </c>
      <c r="H2645" s="152">
        <v>5.89</v>
      </c>
      <c r="L2645" s="149"/>
      <c r="M2645" s="153"/>
      <c r="T2645" s="154"/>
      <c r="AT2645" s="150" t="s">
        <v>346</v>
      </c>
      <c r="AU2645" s="150" t="s">
        <v>90</v>
      </c>
      <c r="AV2645" s="148" t="s">
        <v>90</v>
      </c>
      <c r="AW2645" s="148" t="s">
        <v>33</v>
      </c>
      <c r="AX2645" s="148" t="s">
        <v>80</v>
      </c>
      <c r="AY2645" s="150" t="s">
        <v>337</v>
      </c>
    </row>
    <row r="2646" spans="2:51" s="148" customFormat="1" x14ac:dyDescent="0.2">
      <c r="B2646" s="149"/>
      <c r="D2646" s="143" t="s">
        <v>346</v>
      </c>
      <c r="E2646" s="150"/>
      <c r="F2646" s="151" t="s">
        <v>2102</v>
      </c>
      <c r="H2646" s="152">
        <v>-0.7</v>
      </c>
      <c r="L2646" s="149"/>
      <c r="M2646" s="153"/>
      <c r="T2646" s="154"/>
      <c r="AT2646" s="150" t="s">
        <v>346</v>
      </c>
      <c r="AU2646" s="150" t="s">
        <v>90</v>
      </c>
      <c r="AV2646" s="148" t="s">
        <v>90</v>
      </c>
      <c r="AW2646" s="148" t="s">
        <v>33</v>
      </c>
      <c r="AX2646" s="148" t="s">
        <v>80</v>
      </c>
      <c r="AY2646" s="150" t="s">
        <v>337</v>
      </c>
    </row>
    <row r="2647" spans="2:51" s="148" customFormat="1" x14ac:dyDescent="0.2">
      <c r="B2647" s="149"/>
      <c r="D2647" s="143" t="s">
        <v>346</v>
      </c>
      <c r="E2647" s="150"/>
      <c r="F2647" s="151" t="s">
        <v>2164</v>
      </c>
      <c r="H2647" s="152">
        <v>6.26</v>
      </c>
      <c r="L2647" s="149"/>
      <c r="M2647" s="153"/>
      <c r="T2647" s="154"/>
      <c r="AT2647" s="150" t="s">
        <v>346</v>
      </c>
      <c r="AU2647" s="150" t="s">
        <v>90</v>
      </c>
      <c r="AV2647" s="148" t="s">
        <v>90</v>
      </c>
      <c r="AW2647" s="148" t="s">
        <v>33</v>
      </c>
      <c r="AX2647" s="148" t="s">
        <v>80</v>
      </c>
      <c r="AY2647" s="150" t="s">
        <v>337</v>
      </c>
    </row>
    <row r="2648" spans="2:51" s="148" customFormat="1" x14ac:dyDescent="0.2">
      <c r="B2648" s="149"/>
      <c r="D2648" s="143" t="s">
        <v>346</v>
      </c>
      <c r="E2648" s="150"/>
      <c r="F2648" s="151" t="s">
        <v>2102</v>
      </c>
      <c r="H2648" s="152">
        <v>-0.7</v>
      </c>
      <c r="L2648" s="149"/>
      <c r="M2648" s="153"/>
      <c r="T2648" s="154"/>
      <c r="AT2648" s="150" t="s">
        <v>346</v>
      </c>
      <c r="AU2648" s="150" t="s">
        <v>90</v>
      </c>
      <c r="AV2648" s="148" t="s">
        <v>90</v>
      </c>
      <c r="AW2648" s="148" t="s">
        <v>33</v>
      </c>
      <c r="AX2648" s="148" t="s">
        <v>80</v>
      </c>
      <c r="AY2648" s="150" t="s">
        <v>337</v>
      </c>
    </row>
    <row r="2649" spans="2:51" s="148" customFormat="1" x14ac:dyDescent="0.2">
      <c r="B2649" s="149"/>
      <c r="D2649" s="143" t="s">
        <v>346</v>
      </c>
      <c r="E2649" s="150"/>
      <c r="F2649" s="151" t="s">
        <v>2165</v>
      </c>
      <c r="H2649" s="152">
        <v>4.34</v>
      </c>
      <c r="L2649" s="149"/>
      <c r="M2649" s="153"/>
      <c r="T2649" s="154"/>
      <c r="AT2649" s="150" t="s">
        <v>346</v>
      </c>
      <c r="AU2649" s="150" t="s">
        <v>90</v>
      </c>
      <c r="AV2649" s="148" t="s">
        <v>90</v>
      </c>
      <c r="AW2649" s="148" t="s">
        <v>33</v>
      </c>
      <c r="AX2649" s="148" t="s">
        <v>80</v>
      </c>
      <c r="AY2649" s="150" t="s">
        <v>337</v>
      </c>
    </row>
    <row r="2650" spans="2:51" s="148" customFormat="1" x14ac:dyDescent="0.2">
      <c r="B2650" s="149"/>
      <c r="D2650" s="143" t="s">
        <v>346</v>
      </c>
      <c r="E2650" s="150"/>
      <c r="F2650" s="151" t="s">
        <v>2102</v>
      </c>
      <c r="H2650" s="152">
        <v>-0.7</v>
      </c>
      <c r="L2650" s="149"/>
      <c r="M2650" s="153"/>
      <c r="T2650" s="154"/>
      <c r="AT2650" s="150" t="s">
        <v>346</v>
      </c>
      <c r="AU2650" s="150" t="s">
        <v>90</v>
      </c>
      <c r="AV2650" s="148" t="s">
        <v>90</v>
      </c>
      <c r="AW2650" s="148" t="s">
        <v>33</v>
      </c>
      <c r="AX2650" s="148" t="s">
        <v>80</v>
      </c>
      <c r="AY2650" s="150" t="s">
        <v>337</v>
      </c>
    </row>
    <row r="2651" spans="2:51" s="148" customFormat="1" x14ac:dyDescent="0.2">
      <c r="B2651" s="149"/>
      <c r="D2651" s="143" t="s">
        <v>346</v>
      </c>
      <c r="E2651" s="150"/>
      <c r="F2651" s="151" t="s">
        <v>2166</v>
      </c>
      <c r="H2651" s="152">
        <v>6.26</v>
      </c>
      <c r="L2651" s="149"/>
      <c r="M2651" s="153"/>
      <c r="T2651" s="154"/>
      <c r="AT2651" s="150" t="s">
        <v>346</v>
      </c>
      <c r="AU2651" s="150" t="s">
        <v>90</v>
      </c>
      <c r="AV2651" s="148" t="s">
        <v>90</v>
      </c>
      <c r="AW2651" s="148" t="s">
        <v>33</v>
      </c>
      <c r="AX2651" s="148" t="s">
        <v>80</v>
      </c>
      <c r="AY2651" s="150" t="s">
        <v>337</v>
      </c>
    </row>
    <row r="2652" spans="2:51" s="148" customFormat="1" x14ac:dyDescent="0.2">
      <c r="B2652" s="149"/>
      <c r="D2652" s="143" t="s">
        <v>346</v>
      </c>
      <c r="E2652" s="150"/>
      <c r="F2652" s="151" t="s">
        <v>2102</v>
      </c>
      <c r="H2652" s="152">
        <v>-0.7</v>
      </c>
      <c r="L2652" s="149"/>
      <c r="M2652" s="153"/>
      <c r="T2652" s="154"/>
      <c r="AT2652" s="150" t="s">
        <v>346</v>
      </c>
      <c r="AU2652" s="150" t="s">
        <v>90</v>
      </c>
      <c r="AV2652" s="148" t="s">
        <v>90</v>
      </c>
      <c r="AW2652" s="148" t="s">
        <v>33</v>
      </c>
      <c r="AX2652" s="148" t="s">
        <v>80</v>
      </c>
      <c r="AY2652" s="150" t="s">
        <v>337</v>
      </c>
    </row>
    <row r="2653" spans="2:51" s="148" customFormat="1" x14ac:dyDescent="0.2">
      <c r="B2653" s="149"/>
      <c r="D2653" s="143" t="s">
        <v>346</v>
      </c>
      <c r="E2653" s="150"/>
      <c r="F2653" s="151" t="s">
        <v>2167</v>
      </c>
      <c r="H2653" s="152">
        <v>4.71</v>
      </c>
      <c r="L2653" s="149"/>
      <c r="M2653" s="153"/>
      <c r="T2653" s="154"/>
      <c r="AT2653" s="150" t="s">
        <v>346</v>
      </c>
      <c r="AU2653" s="150" t="s">
        <v>90</v>
      </c>
      <c r="AV2653" s="148" t="s">
        <v>90</v>
      </c>
      <c r="AW2653" s="148" t="s">
        <v>33</v>
      </c>
      <c r="AX2653" s="148" t="s">
        <v>80</v>
      </c>
      <c r="AY2653" s="150" t="s">
        <v>337</v>
      </c>
    </row>
    <row r="2654" spans="2:51" s="148" customFormat="1" x14ac:dyDescent="0.2">
      <c r="B2654" s="149"/>
      <c r="D2654" s="143" t="s">
        <v>346</v>
      </c>
      <c r="E2654" s="150"/>
      <c r="F2654" s="151" t="s">
        <v>2102</v>
      </c>
      <c r="H2654" s="152">
        <v>-0.7</v>
      </c>
      <c r="L2654" s="149"/>
      <c r="M2654" s="153"/>
      <c r="T2654" s="154"/>
      <c r="AT2654" s="150" t="s">
        <v>346</v>
      </c>
      <c r="AU2654" s="150" t="s">
        <v>90</v>
      </c>
      <c r="AV2654" s="148" t="s">
        <v>90</v>
      </c>
      <c r="AW2654" s="148" t="s">
        <v>33</v>
      </c>
      <c r="AX2654" s="148" t="s">
        <v>80</v>
      </c>
      <c r="AY2654" s="150" t="s">
        <v>337</v>
      </c>
    </row>
    <row r="2655" spans="2:51" s="148" customFormat="1" x14ac:dyDescent="0.2">
      <c r="B2655" s="149"/>
      <c r="D2655" s="143" t="s">
        <v>346</v>
      </c>
      <c r="E2655" s="150"/>
      <c r="F2655" s="151" t="s">
        <v>2168</v>
      </c>
      <c r="H2655" s="152">
        <v>5.4</v>
      </c>
      <c r="L2655" s="149"/>
      <c r="M2655" s="153"/>
      <c r="T2655" s="154"/>
      <c r="AT2655" s="150" t="s">
        <v>346</v>
      </c>
      <c r="AU2655" s="150" t="s">
        <v>90</v>
      </c>
      <c r="AV2655" s="148" t="s">
        <v>90</v>
      </c>
      <c r="AW2655" s="148" t="s">
        <v>33</v>
      </c>
      <c r="AX2655" s="148" t="s">
        <v>80</v>
      </c>
      <c r="AY2655" s="150" t="s">
        <v>337</v>
      </c>
    </row>
    <row r="2656" spans="2:51" s="148" customFormat="1" x14ac:dyDescent="0.2">
      <c r="B2656" s="149"/>
      <c r="D2656" s="143" t="s">
        <v>346</v>
      </c>
      <c r="E2656" s="150"/>
      <c r="F2656" s="151" t="s">
        <v>2102</v>
      </c>
      <c r="H2656" s="152">
        <v>-0.7</v>
      </c>
      <c r="L2656" s="149"/>
      <c r="M2656" s="153"/>
      <c r="T2656" s="154"/>
      <c r="AT2656" s="150" t="s">
        <v>346</v>
      </c>
      <c r="AU2656" s="150" t="s">
        <v>90</v>
      </c>
      <c r="AV2656" s="148" t="s">
        <v>90</v>
      </c>
      <c r="AW2656" s="148" t="s">
        <v>33</v>
      </c>
      <c r="AX2656" s="148" t="s">
        <v>80</v>
      </c>
      <c r="AY2656" s="150" t="s">
        <v>337</v>
      </c>
    </row>
    <row r="2657" spans="2:51" s="148" customFormat="1" x14ac:dyDescent="0.2">
      <c r="B2657" s="149"/>
      <c r="D2657" s="143" t="s">
        <v>346</v>
      </c>
      <c r="E2657" s="150"/>
      <c r="F2657" s="151" t="s">
        <v>2169</v>
      </c>
      <c r="H2657" s="152">
        <v>6.45</v>
      </c>
      <c r="L2657" s="149"/>
      <c r="M2657" s="153"/>
      <c r="T2657" s="154"/>
      <c r="AT2657" s="150" t="s">
        <v>346</v>
      </c>
      <c r="AU2657" s="150" t="s">
        <v>90</v>
      </c>
      <c r="AV2657" s="148" t="s">
        <v>90</v>
      </c>
      <c r="AW2657" s="148" t="s">
        <v>33</v>
      </c>
      <c r="AX2657" s="148" t="s">
        <v>80</v>
      </c>
      <c r="AY2657" s="150" t="s">
        <v>337</v>
      </c>
    </row>
    <row r="2658" spans="2:51" s="148" customFormat="1" x14ac:dyDescent="0.2">
      <c r="B2658" s="149"/>
      <c r="D2658" s="143" t="s">
        <v>346</v>
      </c>
      <c r="E2658" s="150"/>
      <c r="F2658" s="151" t="s">
        <v>2102</v>
      </c>
      <c r="H2658" s="152">
        <v>-0.7</v>
      </c>
      <c r="L2658" s="149"/>
      <c r="M2658" s="153"/>
      <c r="T2658" s="154"/>
      <c r="AT2658" s="150" t="s">
        <v>346</v>
      </c>
      <c r="AU2658" s="150" t="s">
        <v>90</v>
      </c>
      <c r="AV2658" s="148" t="s">
        <v>90</v>
      </c>
      <c r="AW2658" s="148" t="s">
        <v>33</v>
      </c>
      <c r="AX2658" s="148" t="s">
        <v>80</v>
      </c>
      <c r="AY2658" s="150" t="s">
        <v>337</v>
      </c>
    </row>
    <row r="2659" spans="2:51" s="148" customFormat="1" x14ac:dyDescent="0.2">
      <c r="B2659" s="149"/>
      <c r="D2659" s="143" t="s">
        <v>346</v>
      </c>
      <c r="E2659" s="150"/>
      <c r="F2659" s="151" t="s">
        <v>2170</v>
      </c>
      <c r="H2659" s="152">
        <v>9.57</v>
      </c>
      <c r="L2659" s="149"/>
      <c r="M2659" s="153"/>
      <c r="T2659" s="154"/>
      <c r="AT2659" s="150" t="s">
        <v>346</v>
      </c>
      <c r="AU2659" s="150" t="s">
        <v>90</v>
      </c>
      <c r="AV2659" s="148" t="s">
        <v>90</v>
      </c>
      <c r="AW2659" s="148" t="s">
        <v>33</v>
      </c>
      <c r="AX2659" s="148" t="s">
        <v>80</v>
      </c>
      <c r="AY2659" s="150" t="s">
        <v>337</v>
      </c>
    </row>
    <row r="2660" spans="2:51" s="148" customFormat="1" x14ac:dyDescent="0.2">
      <c r="B2660" s="149"/>
      <c r="D2660" s="143" t="s">
        <v>346</v>
      </c>
      <c r="E2660" s="150"/>
      <c r="F2660" s="151" t="s">
        <v>2102</v>
      </c>
      <c r="H2660" s="152">
        <v>-0.7</v>
      </c>
      <c r="L2660" s="149"/>
      <c r="M2660" s="153"/>
      <c r="T2660" s="154"/>
      <c r="AT2660" s="150" t="s">
        <v>346</v>
      </c>
      <c r="AU2660" s="150" t="s">
        <v>90</v>
      </c>
      <c r="AV2660" s="148" t="s">
        <v>90</v>
      </c>
      <c r="AW2660" s="148" t="s">
        <v>33</v>
      </c>
      <c r="AX2660" s="148" t="s">
        <v>80</v>
      </c>
      <c r="AY2660" s="150" t="s">
        <v>337</v>
      </c>
    </row>
    <row r="2661" spans="2:51" s="148" customFormat="1" x14ac:dyDescent="0.2">
      <c r="B2661" s="149"/>
      <c r="D2661" s="143" t="s">
        <v>346</v>
      </c>
      <c r="E2661" s="150"/>
      <c r="F2661" s="151" t="s">
        <v>2171</v>
      </c>
      <c r="H2661" s="152">
        <v>9.6999999999999993</v>
      </c>
      <c r="L2661" s="149"/>
      <c r="M2661" s="153"/>
      <c r="T2661" s="154"/>
      <c r="AT2661" s="150" t="s">
        <v>346</v>
      </c>
      <c r="AU2661" s="150" t="s">
        <v>90</v>
      </c>
      <c r="AV2661" s="148" t="s">
        <v>90</v>
      </c>
      <c r="AW2661" s="148" t="s">
        <v>33</v>
      </c>
      <c r="AX2661" s="148" t="s">
        <v>80</v>
      </c>
      <c r="AY2661" s="150" t="s">
        <v>337</v>
      </c>
    </row>
    <row r="2662" spans="2:51" s="148" customFormat="1" x14ac:dyDescent="0.2">
      <c r="B2662" s="149"/>
      <c r="D2662" s="143" t="s">
        <v>346</v>
      </c>
      <c r="E2662" s="150"/>
      <c r="F2662" s="151" t="s">
        <v>1588</v>
      </c>
      <c r="H2662" s="152">
        <v>-0.9</v>
      </c>
      <c r="L2662" s="149"/>
      <c r="M2662" s="153"/>
      <c r="T2662" s="154"/>
      <c r="AT2662" s="150" t="s">
        <v>346</v>
      </c>
      <c r="AU2662" s="150" t="s">
        <v>90</v>
      </c>
      <c r="AV2662" s="148" t="s">
        <v>90</v>
      </c>
      <c r="AW2662" s="148" t="s">
        <v>33</v>
      </c>
      <c r="AX2662" s="148" t="s">
        <v>80</v>
      </c>
      <c r="AY2662" s="150" t="s">
        <v>337</v>
      </c>
    </row>
    <row r="2663" spans="2:51" s="148" customFormat="1" x14ac:dyDescent="0.2">
      <c r="B2663" s="149"/>
      <c r="D2663" s="143" t="s">
        <v>346</v>
      </c>
      <c r="E2663" s="150"/>
      <c r="F2663" s="151" t="s">
        <v>2172</v>
      </c>
      <c r="H2663" s="152">
        <v>6.8</v>
      </c>
      <c r="L2663" s="149"/>
      <c r="M2663" s="153"/>
      <c r="T2663" s="154"/>
      <c r="AT2663" s="150" t="s">
        <v>346</v>
      </c>
      <c r="AU2663" s="150" t="s">
        <v>90</v>
      </c>
      <c r="AV2663" s="148" t="s">
        <v>90</v>
      </c>
      <c r="AW2663" s="148" t="s">
        <v>33</v>
      </c>
      <c r="AX2663" s="148" t="s">
        <v>80</v>
      </c>
      <c r="AY2663" s="150" t="s">
        <v>337</v>
      </c>
    </row>
    <row r="2664" spans="2:51" s="148" customFormat="1" x14ac:dyDescent="0.2">
      <c r="B2664" s="149"/>
      <c r="D2664" s="143" t="s">
        <v>346</v>
      </c>
      <c r="E2664" s="150"/>
      <c r="F2664" s="151" t="s">
        <v>1601</v>
      </c>
      <c r="H2664" s="152">
        <v>-0.8</v>
      </c>
      <c r="L2664" s="149"/>
      <c r="M2664" s="153"/>
      <c r="T2664" s="154"/>
      <c r="AT2664" s="150" t="s">
        <v>346</v>
      </c>
      <c r="AU2664" s="150" t="s">
        <v>90</v>
      </c>
      <c r="AV2664" s="148" t="s">
        <v>90</v>
      </c>
      <c r="AW2664" s="148" t="s">
        <v>33</v>
      </c>
      <c r="AX2664" s="148" t="s">
        <v>80</v>
      </c>
      <c r="AY2664" s="150" t="s">
        <v>337</v>
      </c>
    </row>
    <row r="2665" spans="2:51" s="148" customFormat="1" x14ac:dyDescent="0.2">
      <c r="B2665" s="149"/>
      <c r="D2665" s="143" t="s">
        <v>346</v>
      </c>
      <c r="E2665" s="150"/>
      <c r="F2665" s="151" t="s">
        <v>2173</v>
      </c>
      <c r="H2665" s="152">
        <v>4.34</v>
      </c>
      <c r="L2665" s="149"/>
      <c r="M2665" s="153"/>
      <c r="T2665" s="154"/>
      <c r="AT2665" s="150" t="s">
        <v>346</v>
      </c>
      <c r="AU2665" s="150" t="s">
        <v>90</v>
      </c>
      <c r="AV2665" s="148" t="s">
        <v>90</v>
      </c>
      <c r="AW2665" s="148" t="s">
        <v>33</v>
      </c>
      <c r="AX2665" s="148" t="s">
        <v>80</v>
      </c>
      <c r="AY2665" s="150" t="s">
        <v>337</v>
      </c>
    </row>
    <row r="2666" spans="2:51" s="148" customFormat="1" x14ac:dyDescent="0.2">
      <c r="B2666" s="149"/>
      <c r="D2666" s="143" t="s">
        <v>346</v>
      </c>
      <c r="E2666" s="150"/>
      <c r="F2666" s="151" t="s">
        <v>2102</v>
      </c>
      <c r="H2666" s="152">
        <v>-0.7</v>
      </c>
      <c r="L2666" s="149"/>
      <c r="M2666" s="153"/>
      <c r="T2666" s="154"/>
      <c r="AT2666" s="150" t="s">
        <v>346</v>
      </c>
      <c r="AU2666" s="150" t="s">
        <v>90</v>
      </c>
      <c r="AV2666" s="148" t="s">
        <v>90</v>
      </c>
      <c r="AW2666" s="148" t="s">
        <v>33</v>
      </c>
      <c r="AX2666" s="148" t="s">
        <v>80</v>
      </c>
      <c r="AY2666" s="150" t="s">
        <v>337</v>
      </c>
    </row>
    <row r="2667" spans="2:51" s="148" customFormat="1" x14ac:dyDescent="0.2">
      <c r="B2667" s="149"/>
      <c r="D2667" s="143" t="s">
        <v>346</v>
      </c>
      <c r="E2667" s="150"/>
      <c r="F2667" s="151" t="s">
        <v>2174</v>
      </c>
      <c r="H2667" s="152">
        <v>6.06</v>
      </c>
      <c r="L2667" s="149"/>
      <c r="M2667" s="153"/>
      <c r="T2667" s="154"/>
      <c r="AT2667" s="150" t="s">
        <v>346</v>
      </c>
      <c r="AU2667" s="150" t="s">
        <v>90</v>
      </c>
      <c r="AV2667" s="148" t="s">
        <v>90</v>
      </c>
      <c r="AW2667" s="148" t="s">
        <v>33</v>
      </c>
      <c r="AX2667" s="148" t="s">
        <v>80</v>
      </c>
      <c r="AY2667" s="150" t="s">
        <v>337</v>
      </c>
    </row>
    <row r="2668" spans="2:51" s="148" customFormat="1" x14ac:dyDescent="0.2">
      <c r="B2668" s="149"/>
      <c r="D2668" s="143" t="s">
        <v>346</v>
      </c>
      <c r="E2668" s="150"/>
      <c r="F2668" s="151" t="s">
        <v>2102</v>
      </c>
      <c r="H2668" s="152">
        <v>-0.7</v>
      </c>
      <c r="L2668" s="149"/>
      <c r="M2668" s="153"/>
      <c r="T2668" s="154"/>
      <c r="AT2668" s="150" t="s">
        <v>346</v>
      </c>
      <c r="AU2668" s="150" t="s">
        <v>90</v>
      </c>
      <c r="AV2668" s="148" t="s">
        <v>90</v>
      </c>
      <c r="AW2668" s="148" t="s">
        <v>33</v>
      </c>
      <c r="AX2668" s="148" t="s">
        <v>80</v>
      </c>
      <c r="AY2668" s="150" t="s">
        <v>337</v>
      </c>
    </row>
    <row r="2669" spans="2:51" s="148" customFormat="1" x14ac:dyDescent="0.2">
      <c r="B2669" s="149"/>
      <c r="D2669" s="143" t="s">
        <v>346</v>
      </c>
      <c r="E2669" s="150"/>
      <c r="F2669" s="151" t="s">
        <v>2175</v>
      </c>
      <c r="H2669" s="152">
        <v>6.26</v>
      </c>
      <c r="L2669" s="149"/>
      <c r="M2669" s="153"/>
      <c r="T2669" s="154"/>
      <c r="AT2669" s="150" t="s">
        <v>346</v>
      </c>
      <c r="AU2669" s="150" t="s">
        <v>90</v>
      </c>
      <c r="AV2669" s="148" t="s">
        <v>90</v>
      </c>
      <c r="AW2669" s="148" t="s">
        <v>33</v>
      </c>
      <c r="AX2669" s="148" t="s">
        <v>80</v>
      </c>
      <c r="AY2669" s="150" t="s">
        <v>337</v>
      </c>
    </row>
    <row r="2670" spans="2:51" s="148" customFormat="1" x14ac:dyDescent="0.2">
      <c r="B2670" s="149"/>
      <c r="D2670" s="143" t="s">
        <v>346</v>
      </c>
      <c r="E2670" s="150"/>
      <c r="F2670" s="151" t="s">
        <v>2102</v>
      </c>
      <c r="H2670" s="152">
        <v>-0.7</v>
      </c>
      <c r="L2670" s="149"/>
      <c r="M2670" s="153"/>
      <c r="T2670" s="154"/>
      <c r="AT2670" s="150" t="s">
        <v>346</v>
      </c>
      <c r="AU2670" s="150" t="s">
        <v>90</v>
      </c>
      <c r="AV2670" s="148" t="s">
        <v>90</v>
      </c>
      <c r="AW2670" s="148" t="s">
        <v>33</v>
      </c>
      <c r="AX2670" s="148" t="s">
        <v>80</v>
      </c>
      <c r="AY2670" s="150" t="s">
        <v>337</v>
      </c>
    </row>
    <row r="2671" spans="2:51" s="148" customFormat="1" x14ac:dyDescent="0.2">
      <c r="B2671" s="149"/>
      <c r="D2671" s="143" t="s">
        <v>346</v>
      </c>
      <c r="E2671" s="150"/>
      <c r="F2671" s="151" t="s">
        <v>2176</v>
      </c>
      <c r="H2671" s="152">
        <v>4.34</v>
      </c>
      <c r="L2671" s="149"/>
      <c r="M2671" s="153"/>
      <c r="T2671" s="154"/>
      <c r="AT2671" s="150" t="s">
        <v>346</v>
      </c>
      <c r="AU2671" s="150" t="s">
        <v>90</v>
      </c>
      <c r="AV2671" s="148" t="s">
        <v>90</v>
      </c>
      <c r="AW2671" s="148" t="s">
        <v>33</v>
      </c>
      <c r="AX2671" s="148" t="s">
        <v>80</v>
      </c>
      <c r="AY2671" s="150" t="s">
        <v>337</v>
      </c>
    </row>
    <row r="2672" spans="2:51" s="148" customFormat="1" x14ac:dyDescent="0.2">
      <c r="B2672" s="149"/>
      <c r="D2672" s="143" t="s">
        <v>346</v>
      </c>
      <c r="E2672" s="150"/>
      <c r="F2672" s="151" t="s">
        <v>2102</v>
      </c>
      <c r="H2672" s="152">
        <v>-0.7</v>
      </c>
      <c r="L2672" s="149"/>
      <c r="M2672" s="153"/>
      <c r="T2672" s="154"/>
      <c r="AT2672" s="150" t="s">
        <v>346</v>
      </c>
      <c r="AU2672" s="150" t="s">
        <v>90</v>
      </c>
      <c r="AV2672" s="148" t="s">
        <v>90</v>
      </c>
      <c r="AW2672" s="148" t="s">
        <v>33</v>
      </c>
      <c r="AX2672" s="148" t="s">
        <v>80</v>
      </c>
      <c r="AY2672" s="150" t="s">
        <v>337</v>
      </c>
    </row>
    <row r="2673" spans="2:51" s="148" customFormat="1" x14ac:dyDescent="0.2">
      <c r="B2673" s="149"/>
      <c r="D2673" s="143" t="s">
        <v>346</v>
      </c>
      <c r="E2673" s="150"/>
      <c r="F2673" s="151" t="s">
        <v>2177</v>
      </c>
      <c r="H2673" s="152">
        <v>6.26</v>
      </c>
      <c r="L2673" s="149"/>
      <c r="M2673" s="153"/>
      <c r="T2673" s="154"/>
      <c r="AT2673" s="150" t="s">
        <v>346</v>
      </c>
      <c r="AU2673" s="150" t="s">
        <v>90</v>
      </c>
      <c r="AV2673" s="148" t="s">
        <v>90</v>
      </c>
      <c r="AW2673" s="148" t="s">
        <v>33</v>
      </c>
      <c r="AX2673" s="148" t="s">
        <v>80</v>
      </c>
      <c r="AY2673" s="150" t="s">
        <v>337</v>
      </c>
    </row>
    <row r="2674" spans="2:51" s="148" customFormat="1" x14ac:dyDescent="0.2">
      <c r="B2674" s="149"/>
      <c r="D2674" s="143" t="s">
        <v>346</v>
      </c>
      <c r="E2674" s="150"/>
      <c r="F2674" s="151" t="s">
        <v>2102</v>
      </c>
      <c r="H2674" s="152">
        <v>-0.7</v>
      </c>
      <c r="L2674" s="149"/>
      <c r="M2674" s="153"/>
      <c r="T2674" s="154"/>
      <c r="AT2674" s="150" t="s">
        <v>346</v>
      </c>
      <c r="AU2674" s="150" t="s">
        <v>90</v>
      </c>
      <c r="AV2674" s="148" t="s">
        <v>90</v>
      </c>
      <c r="AW2674" s="148" t="s">
        <v>33</v>
      </c>
      <c r="AX2674" s="148" t="s">
        <v>80</v>
      </c>
      <c r="AY2674" s="150" t="s">
        <v>337</v>
      </c>
    </row>
    <row r="2675" spans="2:51" s="148" customFormat="1" x14ac:dyDescent="0.2">
      <c r="B2675" s="149"/>
      <c r="D2675" s="143" t="s">
        <v>346</v>
      </c>
      <c r="E2675" s="150"/>
      <c r="F2675" s="151" t="s">
        <v>2178</v>
      </c>
      <c r="H2675" s="152">
        <v>4.34</v>
      </c>
      <c r="L2675" s="149"/>
      <c r="M2675" s="153"/>
      <c r="T2675" s="154"/>
      <c r="AT2675" s="150" t="s">
        <v>346</v>
      </c>
      <c r="AU2675" s="150" t="s">
        <v>90</v>
      </c>
      <c r="AV2675" s="148" t="s">
        <v>90</v>
      </c>
      <c r="AW2675" s="148" t="s">
        <v>33</v>
      </c>
      <c r="AX2675" s="148" t="s">
        <v>80</v>
      </c>
      <c r="AY2675" s="150" t="s">
        <v>337</v>
      </c>
    </row>
    <row r="2676" spans="2:51" s="148" customFormat="1" x14ac:dyDescent="0.2">
      <c r="B2676" s="149"/>
      <c r="D2676" s="143" t="s">
        <v>346</v>
      </c>
      <c r="E2676" s="150"/>
      <c r="F2676" s="151" t="s">
        <v>2102</v>
      </c>
      <c r="H2676" s="152">
        <v>-0.7</v>
      </c>
      <c r="L2676" s="149"/>
      <c r="M2676" s="153"/>
      <c r="T2676" s="154"/>
      <c r="AT2676" s="150" t="s">
        <v>346</v>
      </c>
      <c r="AU2676" s="150" t="s">
        <v>90</v>
      </c>
      <c r="AV2676" s="148" t="s">
        <v>90</v>
      </c>
      <c r="AW2676" s="148" t="s">
        <v>33</v>
      </c>
      <c r="AX2676" s="148" t="s">
        <v>80</v>
      </c>
      <c r="AY2676" s="150" t="s">
        <v>337</v>
      </c>
    </row>
    <row r="2677" spans="2:51" s="148" customFormat="1" x14ac:dyDescent="0.2">
      <c r="B2677" s="149"/>
      <c r="D2677" s="143" t="s">
        <v>346</v>
      </c>
      <c r="E2677" s="150"/>
      <c r="F2677" s="151" t="s">
        <v>2179</v>
      </c>
      <c r="H2677" s="152">
        <v>6.26</v>
      </c>
      <c r="L2677" s="149"/>
      <c r="M2677" s="153"/>
      <c r="T2677" s="154"/>
      <c r="AT2677" s="150" t="s">
        <v>346</v>
      </c>
      <c r="AU2677" s="150" t="s">
        <v>90</v>
      </c>
      <c r="AV2677" s="148" t="s">
        <v>90</v>
      </c>
      <c r="AW2677" s="148" t="s">
        <v>33</v>
      </c>
      <c r="AX2677" s="148" t="s">
        <v>80</v>
      </c>
      <c r="AY2677" s="150" t="s">
        <v>337</v>
      </c>
    </row>
    <row r="2678" spans="2:51" s="148" customFormat="1" x14ac:dyDescent="0.2">
      <c r="B2678" s="149"/>
      <c r="D2678" s="143" t="s">
        <v>346</v>
      </c>
      <c r="E2678" s="150"/>
      <c r="F2678" s="151" t="s">
        <v>2102</v>
      </c>
      <c r="H2678" s="152">
        <v>-0.7</v>
      </c>
      <c r="L2678" s="149"/>
      <c r="M2678" s="153"/>
      <c r="T2678" s="154"/>
      <c r="AT2678" s="150" t="s">
        <v>346</v>
      </c>
      <c r="AU2678" s="150" t="s">
        <v>90</v>
      </c>
      <c r="AV2678" s="148" t="s">
        <v>90</v>
      </c>
      <c r="AW2678" s="148" t="s">
        <v>33</v>
      </c>
      <c r="AX2678" s="148" t="s">
        <v>80</v>
      </c>
      <c r="AY2678" s="150" t="s">
        <v>337</v>
      </c>
    </row>
    <row r="2679" spans="2:51" s="148" customFormat="1" x14ac:dyDescent="0.2">
      <c r="B2679" s="149"/>
      <c r="D2679" s="143" t="s">
        <v>346</v>
      </c>
      <c r="E2679" s="150"/>
      <c r="F2679" s="151" t="s">
        <v>2180</v>
      </c>
      <c r="H2679" s="152">
        <v>4.34</v>
      </c>
      <c r="L2679" s="149"/>
      <c r="M2679" s="153"/>
      <c r="T2679" s="154"/>
      <c r="AT2679" s="150" t="s">
        <v>346</v>
      </c>
      <c r="AU2679" s="150" t="s">
        <v>90</v>
      </c>
      <c r="AV2679" s="148" t="s">
        <v>90</v>
      </c>
      <c r="AW2679" s="148" t="s">
        <v>33</v>
      </c>
      <c r="AX2679" s="148" t="s">
        <v>80</v>
      </c>
      <c r="AY2679" s="150" t="s">
        <v>337</v>
      </c>
    </row>
    <row r="2680" spans="2:51" s="148" customFormat="1" x14ac:dyDescent="0.2">
      <c r="B2680" s="149"/>
      <c r="D2680" s="143" t="s">
        <v>346</v>
      </c>
      <c r="E2680" s="150"/>
      <c r="F2680" s="151" t="s">
        <v>2102</v>
      </c>
      <c r="H2680" s="152">
        <v>-0.7</v>
      </c>
      <c r="L2680" s="149"/>
      <c r="M2680" s="153"/>
      <c r="T2680" s="154"/>
      <c r="AT2680" s="150" t="s">
        <v>346</v>
      </c>
      <c r="AU2680" s="150" t="s">
        <v>90</v>
      </c>
      <c r="AV2680" s="148" t="s">
        <v>90</v>
      </c>
      <c r="AW2680" s="148" t="s">
        <v>33</v>
      </c>
      <c r="AX2680" s="148" t="s">
        <v>80</v>
      </c>
      <c r="AY2680" s="150" t="s">
        <v>337</v>
      </c>
    </row>
    <row r="2681" spans="2:51" s="148" customFormat="1" x14ac:dyDescent="0.2">
      <c r="B2681" s="149"/>
      <c r="D2681" s="143" t="s">
        <v>346</v>
      </c>
      <c r="E2681" s="150"/>
      <c r="F2681" s="151" t="s">
        <v>2181</v>
      </c>
      <c r="H2681" s="152">
        <v>4.34</v>
      </c>
      <c r="L2681" s="149"/>
      <c r="M2681" s="153"/>
      <c r="T2681" s="154"/>
      <c r="AT2681" s="150" t="s">
        <v>346</v>
      </c>
      <c r="AU2681" s="150" t="s">
        <v>90</v>
      </c>
      <c r="AV2681" s="148" t="s">
        <v>90</v>
      </c>
      <c r="AW2681" s="148" t="s">
        <v>33</v>
      </c>
      <c r="AX2681" s="148" t="s">
        <v>80</v>
      </c>
      <c r="AY2681" s="150" t="s">
        <v>337</v>
      </c>
    </row>
    <row r="2682" spans="2:51" s="148" customFormat="1" x14ac:dyDescent="0.2">
      <c r="B2682" s="149"/>
      <c r="D2682" s="143" t="s">
        <v>346</v>
      </c>
      <c r="E2682" s="150"/>
      <c r="F2682" s="151" t="s">
        <v>2102</v>
      </c>
      <c r="H2682" s="152">
        <v>-0.7</v>
      </c>
      <c r="L2682" s="149"/>
      <c r="M2682" s="153"/>
      <c r="T2682" s="154"/>
      <c r="AT2682" s="150" t="s">
        <v>346</v>
      </c>
      <c r="AU2682" s="150" t="s">
        <v>90</v>
      </c>
      <c r="AV2682" s="148" t="s">
        <v>90</v>
      </c>
      <c r="AW2682" s="148" t="s">
        <v>33</v>
      </c>
      <c r="AX2682" s="148" t="s">
        <v>80</v>
      </c>
      <c r="AY2682" s="150" t="s">
        <v>337</v>
      </c>
    </row>
    <row r="2683" spans="2:51" s="148" customFormat="1" x14ac:dyDescent="0.2">
      <c r="B2683" s="149"/>
      <c r="D2683" s="143" t="s">
        <v>346</v>
      </c>
      <c r="E2683" s="150"/>
      <c r="F2683" s="151" t="s">
        <v>2182</v>
      </c>
      <c r="H2683" s="152">
        <v>5.89</v>
      </c>
      <c r="L2683" s="149"/>
      <c r="M2683" s="153"/>
      <c r="T2683" s="154"/>
      <c r="AT2683" s="150" t="s">
        <v>346</v>
      </c>
      <c r="AU2683" s="150" t="s">
        <v>90</v>
      </c>
      <c r="AV2683" s="148" t="s">
        <v>90</v>
      </c>
      <c r="AW2683" s="148" t="s">
        <v>33</v>
      </c>
      <c r="AX2683" s="148" t="s">
        <v>80</v>
      </c>
      <c r="AY2683" s="150" t="s">
        <v>337</v>
      </c>
    </row>
    <row r="2684" spans="2:51" s="148" customFormat="1" x14ac:dyDescent="0.2">
      <c r="B2684" s="149"/>
      <c r="D2684" s="143" t="s">
        <v>346</v>
      </c>
      <c r="E2684" s="150"/>
      <c r="F2684" s="151" t="s">
        <v>2102</v>
      </c>
      <c r="H2684" s="152">
        <v>-0.7</v>
      </c>
      <c r="L2684" s="149"/>
      <c r="M2684" s="153"/>
      <c r="T2684" s="154"/>
      <c r="AT2684" s="150" t="s">
        <v>346</v>
      </c>
      <c r="AU2684" s="150" t="s">
        <v>90</v>
      </c>
      <c r="AV2684" s="148" t="s">
        <v>90</v>
      </c>
      <c r="AW2684" s="148" t="s">
        <v>33</v>
      </c>
      <c r="AX2684" s="148" t="s">
        <v>80</v>
      </c>
      <c r="AY2684" s="150" t="s">
        <v>337</v>
      </c>
    </row>
    <row r="2685" spans="2:51" s="148" customFormat="1" x14ac:dyDescent="0.2">
      <c r="B2685" s="149"/>
      <c r="D2685" s="143" t="s">
        <v>346</v>
      </c>
      <c r="E2685" s="150"/>
      <c r="F2685" s="151" t="s">
        <v>2183</v>
      </c>
      <c r="H2685" s="152">
        <v>6.26</v>
      </c>
      <c r="L2685" s="149"/>
      <c r="M2685" s="153"/>
      <c r="T2685" s="154"/>
      <c r="AT2685" s="150" t="s">
        <v>346</v>
      </c>
      <c r="AU2685" s="150" t="s">
        <v>90</v>
      </c>
      <c r="AV2685" s="148" t="s">
        <v>90</v>
      </c>
      <c r="AW2685" s="148" t="s">
        <v>33</v>
      </c>
      <c r="AX2685" s="148" t="s">
        <v>80</v>
      </c>
      <c r="AY2685" s="150" t="s">
        <v>337</v>
      </c>
    </row>
    <row r="2686" spans="2:51" s="148" customFormat="1" x14ac:dyDescent="0.2">
      <c r="B2686" s="149"/>
      <c r="D2686" s="143" t="s">
        <v>346</v>
      </c>
      <c r="E2686" s="150"/>
      <c r="F2686" s="151" t="s">
        <v>2102</v>
      </c>
      <c r="H2686" s="152">
        <v>-0.7</v>
      </c>
      <c r="L2686" s="149"/>
      <c r="M2686" s="153"/>
      <c r="T2686" s="154"/>
      <c r="AT2686" s="150" t="s">
        <v>346</v>
      </c>
      <c r="AU2686" s="150" t="s">
        <v>90</v>
      </c>
      <c r="AV2686" s="148" t="s">
        <v>90</v>
      </c>
      <c r="AW2686" s="148" t="s">
        <v>33</v>
      </c>
      <c r="AX2686" s="148" t="s">
        <v>80</v>
      </c>
      <c r="AY2686" s="150" t="s">
        <v>337</v>
      </c>
    </row>
    <row r="2687" spans="2:51" s="148" customFormat="1" x14ac:dyDescent="0.2">
      <c r="B2687" s="149"/>
      <c r="D2687" s="143" t="s">
        <v>346</v>
      </c>
      <c r="E2687" s="150"/>
      <c r="F2687" s="151" t="s">
        <v>2184</v>
      </c>
      <c r="H2687" s="152">
        <v>4.34</v>
      </c>
      <c r="L2687" s="149"/>
      <c r="M2687" s="153"/>
      <c r="T2687" s="154"/>
      <c r="AT2687" s="150" t="s">
        <v>346</v>
      </c>
      <c r="AU2687" s="150" t="s">
        <v>90</v>
      </c>
      <c r="AV2687" s="148" t="s">
        <v>90</v>
      </c>
      <c r="AW2687" s="148" t="s">
        <v>33</v>
      </c>
      <c r="AX2687" s="148" t="s">
        <v>80</v>
      </c>
      <c r="AY2687" s="150" t="s">
        <v>337</v>
      </c>
    </row>
    <row r="2688" spans="2:51" s="148" customFormat="1" x14ac:dyDescent="0.2">
      <c r="B2688" s="149"/>
      <c r="D2688" s="143" t="s">
        <v>346</v>
      </c>
      <c r="E2688" s="150"/>
      <c r="F2688" s="151" t="s">
        <v>2102</v>
      </c>
      <c r="H2688" s="152">
        <v>-0.7</v>
      </c>
      <c r="L2688" s="149"/>
      <c r="M2688" s="153"/>
      <c r="T2688" s="154"/>
      <c r="AT2688" s="150" t="s">
        <v>346</v>
      </c>
      <c r="AU2688" s="150" t="s">
        <v>90</v>
      </c>
      <c r="AV2688" s="148" t="s">
        <v>90</v>
      </c>
      <c r="AW2688" s="148" t="s">
        <v>33</v>
      </c>
      <c r="AX2688" s="148" t="s">
        <v>80</v>
      </c>
      <c r="AY2688" s="150" t="s">
        <v>337</v>
      </c>
    </row>
    <row r="2689" spans="2:51" s="148" customFormat="1" x14ac:dyDescent="0.2">
      <c r="B2689" s="149"/>
      <c r="D2689" s="143" t="s">
        <v>346</v>
      </c>
      <c r="E2689" s="150"/>
      <c r="F2689" s="151" t="s">
        <v>2185</v>
      </c>
      <c r="H2689" s="152">
        <v>6.26</v>
      </c>
      <c r="L2689" s="149"/>
      <c r="M2689" s="153"/>
      <c r="T2689" s="154"/>
      <c r="AT2689" s="150" t="s">
        <v>346</v>
      </c>
      <c r="AU2689" s="150" t="s">
        <v>90</v>
      </c>
      <c r="AV2689" s="148" t="s">
        <v>90</v>
      </c>
      <c r="AW2689" s="148" t="s">
        <v>33</v>
      </c>
      <c r="AX2689" s="148" t="s">
        <v>80</v>
      </c>
      <c r="AY2689" s="150" t="s">
        <v>337</v>
      </c>
    </row>
    <row r="2690" spans="2:51" s="148" customFormat="1" x14ac:dyDescent="0.2">
      <c r="B2690" s="149"/>
      <c r="D2690" s="143" t="s">
        <v>346</v>
      </c>
      <c r="E2690" s="150"/>
      <c r="F2690" s="151" t="s">
        <v>2102</v>
      </c>
      <c r="H2690" s="152">
        <v>-0.7</v>
      </c>
      <c r="L2690" s="149"/>
      <c r="M2690" s="153"/>
      <c r="T2690" s="154"/>
      <c r="AT2690" s="150" t="s">
        <v>346</v>
      </c>
      <c r="AU2690" s="150" t="s">
        <v>90</v>
      </c>
      <c r="AV2690" s="148" t="s">
        <v>90</v>
      </c>
      <c r="AW2690" s="148" t="s">
        <v>33</v>
      </c>
      <c r="AX2690" s="148" t="s">
        <v>80</v>
      </c>
      <c r="AY2690" s="150" t="s">
        <v>337</v>
      </c>
    </row>
    <row r="2691" spans="2:51" s="148" customFormat="1" x14ac:dyDescent="0.2">
      <c r="B2691" s="149"/>
      <c r="D2691" s="143" t="s">
        <v>346</v>
      </c>
      <c r="E2691" s="150"/>
      <c r="F2691" s="151" t="s">
        <v>2186</v>
      </c>
      <c r="H2691" s="152">
        <v>4.34</v>
      </c>
      <c r="L2691" s="149"/>
      <c r="M2691" s="153"/>
      <c r="T2691" s="154"/>
      <c r="AT2691" s="150" t="s">
        <v>346</v>
      </c>
      <c r="AU2691" s="150" t="s">
        <v>90</v>
      </c>
      <c r="AV2691" s="148" t="s">
        <v>90</v>
      </c>
      <c r="AW2691" s="148" t="s">
        <v>33</v>
      </c>
      <c r="AX2691" s="148" t="s">
        <v>80</v>
      </c>
      <c r="AY2691" s="150" t="s">
        <v>337</v>
      </c>
    </row>
    <row r="2692" spans="2:51" s="148" customFormat="1" x14ac:dyDescent="0.2">
      <c r="B2692" s="149"/>
      <c r="D2692" s="143" t="s">
        <v>346</v>
      </c>
      <c r="E2692" s="150"/>
      <c r="F2692" s="151" t="s">
        <v>2102</v>
      </c>
      <c r="H2692" s="152">
        <v>-0.7</v>
      </c>
      <c r="L2692" s="149"/>
      <c r="M2692" s="153"/>
      <c r="T2692" s="154"/>
      <c r="AT2692" s="150" t="s">
        <v>346</v>
      </c>
      <c r="AU2692" s="150" t="s">
        <v>90</v>
      </c>
      <c r="AV2692" s="148" t="s">
        <v>90</v>
      </c>
      <c r="AW2692" s="148" t="s">
        <v>33</v>
      </c>
      <c r="AX2692" s="148" t="s">
        <v>80</v>
      </c>
      <c r="AY2692" s="150" t="s">
        <v>337</v>
      </c>
    </row>
    <row r="2693" spans="2:51" s="141" customFormat="1" x14ac:dyDescent="0.2">
      <c r="B2693" s="142"/>
      <c r="D2693" s="143" t="s">
        <v>346</v>
      </c>
      <c r="E2693" s="144"/>
      <c r="F2693" s="145" t="s">
        <v>1720</v>
      </c>
      <c r="H2693" s="144"/>
      <c r="L2693" s="142"/>
      <c r="M2693" s="146"/>
      <c r="T2693" s="147"/>
      <c r="AT2693" s="144" t="s">
        <v>346</v>
      </c>
      <c r="AU2693" s="144" t="s">
        <v>90</v>
      </c>
      <c r="AV2693" s="141" t="s">
        <v>87</v>
      </c>
      <c r="AW2693" s="141" t="s">
        <v>33</v>
      </c>
      <c r="AX2693" s="141" t="s">
        <v>80</v>
      </c>
      <c r="AY2693" s="144" t="s">
        <v>337</v>
      </c>
    </row>
    <row r="2694" spans="2:51" s="148" customFormat="1" x14ac:dyDescent="0.2">
      <c r="B2694" s="149"/>
      <c r="D2694" s="143" t="s">
        <v>346</v>
      </c>
      <c r="E2694" s="150"/>
      <c r="F2694" s="151" t="s">
        <v>2187</v>
      </c>
      <c r="H2694" s="152">
        <v>7.9</v>
      </c>
      <c r="L2694" s="149"/>
      <c r="M2694" s="153"/>
      <c r="T2694" s="154"/>
      <c r="AT2694" s="150" t="s">
        <v>346</v>
      </c>
      <c r="AU2694" s="150" t="s">
        <v>90</v>
      </c>
      <c r="AV2694" s="148" t="s">
        <v>90</v>
      </c>
      <c r="AW2694" s="148" t="s">
        <v>33</v>
      </c>
      <c r="AX2694" s="148" t="s">
        <v>80</v>
      </c>
      <c r="AY2694" s="150" t="s">
        <v>337</v>
      </c>
    </row>
    <row r="2695" spans="2:51" s="148" customFormat="1" x14ac:dyDescent="0.2">
      <c r="B2695" s="149"/>
      <c r="D2695" s="143" t="s">
        <v>346</v>
      </c>
      <c r="E2695" s="150"/>
      <c r="F2695" s="151" t="s">
        <v>1641</v>
      </c>
      <c r="H2695" s="152">
        <v>-0.9</v>
      </c>
      <c r="L2695" s="149"/>
      <c r="M2695" s="153"/>
      <c r="T2695" s="154"/>
      <c r="AT2695" s="150" t="s">
        <v>346</v>
      </c>
      <c r="AU2695" s="150" t="s">
        <v>90</v>
      </c>
      <c r="AV2695" s="148" t="s">
        <v>90</v>
      </c>
      <c r="AW2695" s="148" t="s">
        <v>33</v>
      </c>
      <c r="AX2695" s="148" t="s">
        <v>80</v>
      </c>
      <c r="AY2695" s="150" t="s">
        <v>337</v>
      </c>
    </row>
    <row r="2696" spans="2:51" s="148" customFormat="1" x14ac:dyDescent="0.2">
      <c r="B2696" s="149"/>
      <c r="D2696" s="143" t="s">
        <v>346</v>
      </c>
      <c r="E2696" s="150"/>
      <c r="F2696" s="151" t="s">
        <v>2188</v>
      </c>
      <c r="H2696" s="152">
        <v>4.5999999999999996</v>
      </c>
      <c r="L2696" s="149"/>
      <c r="M2696" s="153"/>
      <c r="T2696" s="154"/>
      <c r="AT2696" s="150" t="s">
        <v>346</v>
      </c>
      <c r="AU2696" s="150" t="s">
        <v>90</v>
      </c>
      <c r="AV2696" s="148" t="s">
        <v>90</v>
      </c>
      <c r="AW2696" s="148" t="s">
        <v>33</v>
      </c>
      <c r="AX2696" s="148" t="s">
        <v>80</v>
      </c>
      <c r="AY2696" s="150" t="s">
        <v>337</v>
      </c>
    </row>
    <row r="2697" spans="2:51" s="148" customFormat="1" x14ac:dyDescent="0.2">
      <c r="B2697" s="149"/>
      <c r="D2697" s="143" t="s">
        <v>346</v>
      </c>
      <c r="E2697" s="150"/>
      <c r="F2697" s="151" t="s">
        <v>1648</v>
      </c>
      <c r="H2697" s="152">
        <v>-0.7</v>
      </c>
      <c r="L2697" s="149"/>
      <c r="M2697" s="153"/>
      <c r="T2697" s="154"/>
      <c r="AT2697" s="150" t="s">
        <v>346</v>
      </c>
      <c r="AU2697" s="150" t="s">
        <v>90</v>
      </c>
      <c r="AV2697" s="148" t="s">
        <v>90</v>
      </c>
      <c r="AW2697" s="148" t="s">
        <v>33</v>
      </c>
      <c r="AX2697" s="148" t="s">
        <v>80</v>
      </c>
      <c r="AY2697" s="150" t="s">
        <v>337</v>
      </c>
    </row>
    <row r="2698" spans="2:51" s="148" customFormat="1" x14ac:dyDescent="0.2">
      <c r="B2698" s="149"/>
      <c r="D2698" s="143" t="s">
        <v>346</v>
      </c>
      <c r="E2698" s="150"/>
      <c r="F2698" s="151" t="s">
        <v>2189</v>
      </c>
      <c r="H2698" s="152">
        <v>4.5999999999999996</v>
      </c>
      <c r="L2698" s="149"/>
      <c r="M2698" s="153"/>
      <c r="T2698" s="154"/>
      <c r="AT2698" s="150" t="s">
        <v>346</v>
      </c>
      <c r="AU2698" s="150" t="s">
        <v>90</v>
      </c>
      <c r="AV2698" s="148" t="s">
        <v>90</v>
      </c>
      <c r="AW2698" s="148" t="s">
        <v>33</v>
      </c>
      <c r="AX2698" s="148" t="s">
        <v>80</v>
      </c>
      <c r="AY2698" s="150" t="s">
        <v>337</v>
      </c>
    </row>
    <row r="2699" spans="2:51" s="148" customFormat="1" x14ac:dyDescent="0.2">
      <c r="B2699" s="149"/>
      <c r="D2699" s="143" t="s">
        <v>346</v>
      </c>
      <c r="E2699" s="150"/>
      <c r="F2699" s="151" t="s">
        <v>1648</v>
      </c>
      <c r="H2699" s="152">
        <v>-0.7</v>
      </c>
      <c r="L2699" s="149"/>
      <c r="M2699" s="153"/>
      <c r="T2699" s="154"/>
      <c r="AT2699" s="150" t="s">
        <v>346</v>
      </c>
      <c r="AU2699" s="150" t="s">
        <v>90</v>
      </c>
      <c r="AV2699" s="148" t="s">
        <v>90</v>
      </c>
      <c r="AW2699" s="148" t="s">
        <v>33</v>
      </c>
      <c r="AX2699" s="148" t="s">
        <v>80</v>
      </c>
      <c r="AY2699" s="150" t="s">
        <v>337</v>
      </c>
    </row>
    <row r="2700" spans="2:51" s="148" customFormat="1" x14ac:dyDescent="0.2">
      <c r="B2700" s="149"/>
      <c r="D2700" s="143" t="s">
        <v>346</v>
      </c>
      <c r="E2700" s="150"/>
      <c r="F2700" s="151" t="s">
        <v>2190</v>
      </c>
      <c r="H2700" s="152">
        <v>7.25</v>
      </c>
      <c r="L2700" s="149"/>
      <c r="M2700" s="153"/>
      <c r="T2700" s="154"/>
      <c r="AT2700" s="150" t="s">
        <v>346</v>
      </c>
      <c r="AU2700" s="150" t="s">
        <v>90</v>
      </c>
      <c r="AV2700" s="148" t="s">
        <v>90</v>
      </c>
      <c r="AW2700" s="148" t="s">
        <v>33</v>
      </c>
      <c r="AX2700" s="148" t="s">
        <v>80</v>
      </c>
      <c r="AY2700" s="150" t="s">
        <v>337</v>
      </c>
    </row>
    <row r="2701" spans="2:51" s="148" customFormat="1" x14ac:dyDescent="0.2">
      <c r="B2701" s="149"/>
      <c r="D2701" s="143" t="s">
        <v>346</v>
      </c>
      <c r="E2701" s="150"/>
      <c r="F2701" s="151" t="s">
        <v>1641</v>
      </c>
      <c r="H2701" s="152">
        <v>-0.9</v>
      </c>
      <c r="L2701" s="149"/>
      <c r="M2701" s="153"/>
      <c r="T2701" s="154"/>
      <c r="AT2701" s="150" t="s">
        <v>346</v>
      </c>
      <c r="AU2701" s="150" t="s">
        <v>90</v>
      </c>
      <c r="AV2701" s="148" t="s">
        <v>90</v>
      </c>
      <c r="AW2701" s="148" t="s">
        <v>33</v>
      </c>
      <c r="AX2701" s="148" t="s">
        <v>80</v>
      </c>
      <c r="AY2701" s="150" t="s">
        <v>337</v>
      </c>
    </row>
    <row r="2702" spans="2:51" s="148" customFormat="1" x14ac:dyDescent="0.2">
      <c r="B2702" s="149"/>
      <c r="D2702" s="143" t="s">
        <v>346</v>
      </c>
      <c r="E2702" s="150"/>
      <c r="F2702" s="151" t="s">
        <v>2191</v>
      </c>
      <c r="H2702" s="152">
        <v>15.95</v>
      </c>
      <c r="L2702" s="149"/>
      <c r="M2702" s="153"/>
      <c r="T2702" s="154"/>
      <c r="AT2702" s="150" t="s">
        <v>346</v>
      </c>
      <c r="AU2702" s="150" t="s">
        <v>90</v>
      </c>
      <c r="AV2702" s="148" t="s">
        <v>90</v>
      </c>
      <c r="AW2702" s="148" t="s">
        <v>33</v>
      </c>
      <c r="AX2702" s="148" t="s">
        <v>80</v>
      </c>
      <c r="AY2702" s="150" t="s">
        <v>337</v>
      </c>
    </row>
    <row r="2703" spans="2:51" s="148" customFormat="1" x14ac:dyDescent="0.2">
      <c r="B2703" s="149"/>
      <c r="D2703" s="143" t="s">
        <v>346</v>
      </c>
      <c r="E2703" s="150"/>
      <c r="F2703" s="151" t="s">
        <v>2192</v>
      </c>
      <c r="H2703" s="152">
        <v>-1.6</v>
      </c>
      <c r="L2703" s="149"/>
      <c r="M2703" s="153"/>
      <c r="T2703" s="154"/>
      <c r="AT2703" s="150" t="s">
        <v>346</v>
      </c>
      <c r="AU2703" s="150" t="s">
        <v>90</v>
      </c>
      <c r="AV2703" s="148" t="s">
        <v>90</v>
      </c>
      <c r="AW2703" s="148" t="s">
        <v>33</v>
      </c>
      <c r="AX2703" s="148" t="s">
        <v>80</v>
      </c>
      <c r="AY2703" s="150" t="s">
        <v>337</v>
      </c>
    </row>
    <row r="2704" spans="2:51" s="172" customFormat="1" x14ac:dyDescent="0.2">
      <c r="B2704" s="173"/>
      <c r="D2704" s="143" t="s">
        <v>346</v>
      </c>
      <c r="E2704" s="174" t="s">
        <v>220</v>
      </c>
      <c r="F2704" s="175" t="s">
        <v>609</v>
      </c>
      <c r="H2704" s="176">
        <v>611.16599999999903</v>
      </c>
      <c r="L2704" s="173"/>
      <c r="M2704" s="177"/>
      <c r="T2704" s="178"/>
      <c r="AT2704" s="174" t="s">
        <v>346</v>
      </c>
      <c r="AU2704" s="174" t="s">
        <v>90</v>
      </c>
      <c r="AV2704" s="172" t="s">
        <v>113</v>
      </c>
      <c r="AW2704" s="172" t="s">
        <v>33</v>
      </c>
      <c r="AX2704" s="172" t="s">
        <v>80</v>
      </c>
      <c r="AY2704" s="174" t="s">
        <v>337</v>
      </c>
    </row>
    <row r="2705" spans="2:65" s="141" customFormat="1" x14ac:dyDescent="0.2">
      <c r="B2705" s="142"/>
      <c r="D2705" s="143" t="s">
        <v>346</v>
      </c>
      <c r="E2705" s="144"/>
      <c r="F2705" s="145" t="s">
        <v>2193</v>
      </c>
      <c r="H2705" s="144"/>
      <c r="L2705" s="142"/>
      <c r="M2705" s="146"/>
      <c r="T2705" s="147"/>
      <c r="AT2705" s="144" t="s">
        <v>346</v>
      </c>
      <c r="AU2705" s="144" t="s">
        <v>90</v>
      </c>
      <c r="AV2705" s="141" t="s">
        <v>87</v>
      </c>
      <c r="AW2705" s="141" t="s">
        <v>33</v>
      </c>
      <c r="AX2705" s="141" t="s">
        <v>80</v>
      </c>
      <c r="AY2705" s="144" t="s">
        <v>337</v>
      </c>
    </row>
    <row r="2706" spans="2:65" s="148" customFormat="1" x14ac:dyDescent="0.2">
      <c r="B2706" s="149"/>
      <c r="D2706" s="143" t="s">
        <v>346</v>
      </c>
      <c r="E2706" s="150"/>
      <c r="F2706" s="151" t="s">
        <v>2194</v>
      </c>
      <c r="H2706" s="152">
        <v>-611.16600000000005</v>
      </c>
      <c r="L2706" s="149"/>
      <c r="M2706" s="153"/>
      <c r="T2706" s="154"/>
      <c r="AT2706" s="150" t="s">
        <v>346</v>
      </c>
      <c r="AU2706" s="150" t="s">
        <v>90</v>
      </c>
      <c r="AV2706" s="148" t="s">
        <v>90</v>
      </c>
      <c r="AW2706" s="148" t="s">
        <v>33</v>
      </c>
      <c r="AX2706" s="148" t="s">
        <v>80</v>
      </c>
      <c r="AY2706" s="150" t="s">
        <v>337</v>
      </c>
    </row>
    <row r="2707" spans="2:65" s="141" customFormat="1" x14ac:dyDescent="0.2">
      <c r="B2707" s="142"/>
      <c r="D2707" s="143" t="s">
        <v>346</v>
      </c>
      <c r="E2707" s="144"/>
      <c r="F2707" s="145" t="s">
        <v>2195</v>
      </c>
      <c r="H2707" s="144"/>
      <c r="L2707" s="142"/>
      <c r="M2707" s="146"/>
      <c r="T2707" s="147"/>
      <c r="AT2707" s="144" t="s">
        <v>346</v>
      </c>
      <c r="AU2707" s="144" t="s">
        <v>90</v>
      </c>
      <c r="AV2707" s="141" t="s">
        <v>87</v>
      </c>
      <c r="AW2707" s="141" t="s">
        <v>33</v>
      </c>
      <c r="AX2707" s="141" t="s">
        <v>80</v>
      </c>
      <c r="AY2707" s="144" t="s">
        <v>337</v>
      </c>
    </row>
    <row r="2708" spans="2:65" s="148" customFormat="1" x14ac:dyDescent="0.2">
      <c r="B2708" s="149"/>
      <c r="D2708" s="143" t="s">
        <v>346</v>
      </c>
      <c r="E2708" s="150"/>
      <c r="F2708" s="151" t="s">
        <v>2196</v>
      </c>
      <c r="H2708" s="152">
        <v>183.35</v>
      </c>
      <c r="L2708" s="149"/>
      <c r="M2708" s="153"/>
      <c r="T2708" s="154"/>
      <c r="AT2708" s="150" t="s">
        <v>346</v>
      </c>
      <c r="AU2708" s="150" t="s">
        <v>90</v>
      </c>
      <c r="AV2708" s="148" t="s">
        <v>90</v>
      </c>
      <c r="AW2708" s="148" t="s">
        <v>33</v>
      </c>
      <c r="AX2708" s="148" t="s">
        <v>80</v>
      </c>
      <c r="AY2708" s="150" t="s">
        <v>337</v>
      </c>
    </row>
    <row r="2709" spans="2:65" s="155" customFormat="1" x14ac:dyDescent="0.2">
      <c r="B2709" s="156"/>
      <c r="D2709" s="143" t="s">
        <v>346</v>
      </c>
      <c r="E2709" s="157" t="s">
        <v>226</v>
      </c>
      <c r="F2709" s="158" t="s">
        <v>351</v>
      </c>
      <c r="H2709" s="159">
        <v>619.78299999999797</v>
      </c>
      <c r="L2709" s="156"/>
      <c r="M2709" s="160"/>
      <c r="T2709" s="161"/>
      <c r="AT2709" s="157" t="s">
        <v>346</v>
      </c>
      <c r="AU2709" s="157" t="s">
        <v>90</v>
      </c>
      <c r="AV2709" s="155" t="s">
        <v>344</v>
      </c>
      <c r="AW2709" s="155" t="s">
        <v>33</v>
      </c>
      <c r="AX2709" s="155" t="s">
        <v>87</v>
      </c>
      <c r="AY2709" s="157" t="s">
        <v>337</v>
      </c>
    </row>
    <row r="2710" spans="2:65" s="16" customFormat="1" ht="16.5" customHeight="1" x14ac:dyDescent="0.2">
      <c r="B2710" s="17"/>
      <c r="C2710" s="128">
        <v>191</v>
      </c>
      <c r="D2710" s="128" t="s">
        <v>339</v>
      </c>
      <c r="E2710" s="129" t="s">
        <v>2197</v>
      </c>
      <c r="F2710" s="130" t="s">
        <v>2198</v>
      </c>
      <c r="G2710" s="131" t="s">
        <v>449</v>
      </c>
      <c r="H2710" s="132">
        <v>274</v>
      </c>
      <c r="I2710" s="133"/>
      <c r="J2710" s="134">
        <f>ROUND(I2710*H2710,2)</f>
        <v>0</v>
      </c>
      <c r="K2710" s="130" t="s">
        <v>343</v>
      </c>
      <c r="L2710" s="17"/>
      <c r="M2710" s="135"/>
      <c r="N2710" s="136" t="s">
        <v>45</v>
      </c>
      <c r="P2710" s="137">
        <f>O2710*H2710</f>
        <v>0</v>
      </c>
      <c r="Q2710" s="137">
        <v>2.1000000000000001E-4</v>
      </c>
      <c r="R2710" s="137">
        <f>Q2710*H2710</f>
        <v>5.7540000000000001E-2</v>
      </c>
      <c r="S2710" s="137">
        <v>0</v>
      </c>
      <c r="T2710" s="138">
        <f>S2710*H2710</f>
        <v>0</v>
      </c>
      <c r="AR2710" s="139" t="s">
        <v>496</v>
      </c>
      <c r="AT2710" s="139" t="s">
        <v>339</v>
      </c>
      <c r="AU2710" s="139" t="s">
        <v>90</v>
      </c>
      <c r="AY2710" s="2" t="s">
        <v>337</v>
      </c>
      <c r="BE2710" s="140">
        <f>IF(N2710="základní",J2710,0)</f>
        <v>0</v>
      </c>
      <c r="BF2710" s="140">
        <f>IF(N2710="snížená",J2710,0)</f>
        <v>0</v>
      </c>
      <c r="BG2710" s="140">
        <f>IF(N2710="zákl. přenesená",J2710,0)</f>
        <v>0</v>
      </c>
      <c r="BH2710" s="140">
        <f>IF(N2710="sníž. přenesená",J2710,0)</f>
        <v>0</v>
      </c>
      <c r="BI2710" s="140">
        <f>IF(N2710="nulová",J2710,0)</f>
        <v>0</v>
      </c>
      <c r="BJ2710" s="2" t="s">
        <v>87</v>
      </c>
      <c r="BK2710" s="140">
        <f>ROUND(I2710*H2710,2)</f>
        <v>0</v>
      </c>
      <c r="BL2710" s="2" t="s">
        <v>496</v>
      </c>
      <c r="BM2710" s="139" t="s">
        <v>2199</v>
      </c>
    </row>
    <row r="2711" spans="2:65" s="141" customFormat="1" x14ac:dyDescent="0.2">
      <c r="B2711" s="142"/>
      <c r="D2711" s="143" t="s">
        <v>346</v>
      </c>
      <c r="E2711" s="144"/>
      <c r="F2711" s="145" t="s">
        <v>357</v>
      </c>
      <c r="H2711" s="144"/>
      <c r="L2711" s="142"/>
      <c r="M2711" s="146"/>
      <c r="T2711" s="147"/>
      <c r="AT2711" s="144" t="s">
        <v>346</v>
      </c>
      <c r="AU2711" s="144" t="s">
        <v>90</v>
      </c>
      <c r="AV2711" s="141" t="s">
        <v>87</v>
      </c>
      <c r="AW2711" s="141" t="s">
        <v>33</v>
      </c>
      <c r="AX2711" s="141" t="s">
        <v>80</v>
      </c>
      <c r="AY2711" s="144" t="s">
        <v>337</v>
      </c>
    </row>
    <row r="2712" spans="2:65" s="148" customFormat="1" x14ac:dyDescent="0.2">
      <c r="B2712" s="149"/>
      <c r="D2712" s="143" t="s">
        <v>346</v>
      </c>
      <c r="E2712" s="150"/>
      <c r="F2712" s="151" t="s">
        <v>480</v>
      </c>
      <c r="H2712" s="152">
        <v>14</v>
      </c>
      <c r="L2712" s="149"/>
      <c r="M2712" s="153"/>
      <c r="T2712" s="154"/>
      <c r="AT2712" s="150" t="s">
        <v>346</v>
      </c>
      <c r="AU2712" s="150" t="s">
        <v>90</v>
      </c>
      <c r="AV2712" s="148" t="s">
        <v>90</v>
      </c>
      <c r="AW2712" s="148" t="s">
        <v>33</v>
      </c>
      <c r="AX2712" s="148" t="s">
        <v>80</v>
      </c>
      <c r="AY2712" s="150" t="s">
        <v>337</v>
      </c>
    </row>
    <row r="2713" spans="2:65" s="141" customFormat="1" x14ac:dyDescent="0.2">
      <c r="B2713" s="142"/>
      <c r="D2713" s="143" t="s">
        <v>346</v>
      </c>
      <c r="E2713" s="144"/>
      <c r="F2713" s="145" t="s">
        <v>362</v>
      </c>
      <c r="H2713" s="144"/>
      <c r="L2713" s="142"/>
      <c r="M2713" s="146"/>
      <c r="T2713" s="147"/>
      <c r="AT2713" s="144" t="s">
        <v>346</v>
      </c>
      <c r="AU2713" s="144" t="s">
        <v>90</v>
      </c>
      <c r="AV2713" s="141" t="s">
        <v>87</v>
      </c>
      <c r="AW2713" s="141" t="s">
        <v>33</v>
      </c>
      <c r="AX2713" s="141" t="s">
        <v>80</v>
      </c>
      <c r="AY2713" s="144" t="s">
        <v>337</v>
      </c>
    </row>
    <row r="2714" spans="2:65" s="148" customFormat="1" x14ac:dyDescent="0.2">
      <c r="B2714" s="149"/>
      <c r="D2714" s="143" t="s">
        <v>346</v>
      </c>
      <c r="E2714" s="150"/>
      <c r="F2714" s="151" t="s">
        <v>685</v>
      </c>
      <c r="H2714" s="152">
        <v>40</v>
      </c>
      <c r="L2714" s="149"/>
      <c r="M2714" s="153"/>
      <c r="T2714" s="154"/>
      <c r="AT2714" s="150" t="s">
        <v>346</v>
      </c>
      <c r="AU2714" s="150" t="s">
        <v>90</v>
      </c>
      <c r="AV2714" s="148" t="s">
        <v>90</v>
      </c>
      <c r="AW2714" s="148" t="s">
        <v>33</v>
      </c>
      <c r="AX2714" s="148" t="s">
        <v>80</v>
      </c>
      <c r="AY2714" s="150" t="s">
        <v>337</v>
      </c>
    </row>
    <row r="2715" spans="2:65" s="141" customFormat="1" x14ac:dyDescent="0.2">
      <c r="B2715" s="142"/>
      <c r="D2715" s="143" t="s">
        <v>346</v>
      </c>
      <c r="E2715" s="144"/>
      <c r="F2715" s="145" t="s">
        <v>367</v>
      </c>
      <c r="H2715" s="144"/>
      <c r="L2715" s="142"/>
      <c r="M2715" s="146"/>
      <c r="T2715" s="147"/>
      <c r="AT2715" s="144" t="s">
        <v>346</v>
      </c>
      <c r="AU2715" s="144" t="s">
        <v>90</v>
      </c>
      <c r="AV2715" s="141" t="s">
        <v>87</v>
      </c>
      <c r="AW2715" s="141" t="s">
        <v>33</v>
      </c>
      <c r="AX2715" s="141" t="s">
        <v>80</v>
      </c>
      <c r="AY2715" s="144" t="s">
        <v>337</v>
      </c>
    </row>
    <row r="2716" spans="2:65" s="148" customFormat="1" x14ac:dyDescent="0.2">
      <c r="B2716" s="149"/>
      <c r="D2716" s="143" t="s">
        <v>346</v>
      </c>
      <c r="E2716" s="150"/>
      <c r="F2716" s="151" t="s">
        <v>812</v>
      </c>
      <c r="H2716" s="152">
        <v>59</v>
      </c>
      <c r="L2716" s="149"/>
      <c r="M2716" s="153"/>
      <c r="T2716" s="154"/>
      <c r="AT2716" s="150" t="s">
        <v>346</v>
      </c>
      <c r="AU2716" s="150" t="s">
        <v>90</v>
      </c>
      <c r="AV2716" s="148" t="s">
        <v>90</v>
      </c>
      <c r="AW2716" s="148" t="s">
        <v>33</v>
      </c>
      <c r="AX2716" s="148" t="s">
        <v>80</v>
      </c>
      <c r="AY2716" s="150" t="s">
        <v>337</v>
      </c>
    </row>
    <row r="2717" spans="2:65" s="141" customFormat="1" x14ac:dyDescent="0.2">
      <c r="B2717" s="142"/>
      <c r="D2717" s="143" t="s">
        <v>346</v>
      </c>
      <c r="E2717" s="144"/>
      <c r="F2717" s="145" t="s">
        <v>368</v>
      </c>
      <c r="H2717" s="144"/>
      <c r="L2717" s="142"/>
      <c r="M2717" s="146"/>
      <c r="T2717" s="147"/>
      <c r="AT2717" s="144" t="s">
        <v>346</v>
      </c>
      <c r="AU2717" s="144" t="s">
        <v>90</v>
      </c>
      <c r="AV2717" s="141" t="s">
        <v>87</v>
      </c>
      <c r="AW2717" s="141" t="s">
        <v>33</v>
      </c>
      <c r="AX2717" s="141" t="s">
        <v>80</v>
      </c>
      <c r="AY2717" s="144" t="s">
        <v>337</v>
      </c>
    </row>
    <row r="2718" spans="2:65" s="148" customFormat="1" x14ac:dyDescent="0.2">
      <c r="B2718" s="149"/>
      <c r="D2718" s="143" t="s">
        <v>346</v>
      </c>
      <c r="E2718" s="150"/>
      <c r="F2718" s="151" t="s">
        <v>807</v>
      </c>
      <c r="H2718" s="152">
        <v>58</v>
      </c>
      <c r="L2718" s="149"/>
      <c r="M2718" s="153"/>
      <c r="T2718" s="154"/>
      <c r="AT2718" s="150" t="s">
        <v>346</v>
      </c>
      <c r="AU2718" s="150" t="s">
        <v>90</v>
      </c>
      <c r="AV2718" s="148" t="s">
        <v>90</v>
      </c>
      <c r="AW2718" s="148" t="s">
        <v>33</v>
      </c>
      <c r="AX2718" s="148" t="s">
        <v>80</v>
      </c>
      <c r="AY2718" s="150" t="s">
        <v>337</v>
      </c>
    </row>
    <row r="2719" spans="2:65" s="141" customFormat="1" x14ac:dyDescent="0.2">
      <c r="B2719" s="142"/>
      <c r="D2719" s="143" t="s">
        <v>346</v>
      </c>
      <c r="E2719" s="144"/>
      <c r="F2719" s="145" t="s">
        <v>370</v>
      </c>
      <c r="H2719" s="144"/>
      <c r="L2719" s="142"/>
      <c r="M2719" s="146"/>
      <c r="T2719" s="147"/>
      <c r="AT2719" s="144" t="s">
        <v>346</v>
      </c>
      <c r="AU2719" s="144" t="s">
        <v>90</v>
      </c>
      <c r="AV2719" s="141" t="s">
        <v>87</v>
      </c>
      <c r="AW2719" s="141" t="s">
        <v>33</v>
      </c>
      <c r="AX2719" s="141" t="s">
        <v>80</v>
      </c>
      <c r="AY2719" s="144" t="s">
        <v>337</v>
      </c>
    </row>
    <row r="2720" spans="2:65" s="148" customFormat="1" x14ac:dyDescent="0.2">
      <c r="B2720" s="149"/>
      <c r="D2720" s="143" t="s">
        <v>346</v>
      </c>
      <c r="E2720" s="150"/>
      <c r="F2720" s="151" t="s">
        <v>774</v>
      </c>
      <c r="H2720" s="152">
        <v>52</v>
      </c>
      <c r="L2720" s="149"/>
      <c r="M2720" s="153"/>
      <c r="T2720" s="154"/>
      <c r="AT2720" s="150" t="s">
        <v>346</v>
      </c>
      <c r="AU2720" s="150" t="s">
        <v>90</v>
      </c>
      <c r="AV2720" s="148" t="s">
        <v>90</v>
      </c>
      <c r="AW2720" s="148" t="s">
        <v>33</v>
      </c>
      <c r="AX2720" s="148" t="s">
        <v>80</v>
      </c>
      <c r="AY2720" s="150" t="s">
        <v>337</v>
      </c>
    </row>
    <row r="2721" spans="2:65" s="141" customFormat="1" x14ac:dyDescent="0.2">
      <c r="B2721" s="142"/>
      <c r="D2721" s="143" t="s">
        <v>346</v>
      </c>
      <c r="E2721" s="144"/>
      <c r="F2721" s="145" t="s">
        <v>434</v>
      </c>
      <c r="H2721" s="144"/>
      <c r="L2721" s="142"/>
      <c r="M2721" s="146"/>
      <c r="T2721" s="147"/>
      <c r="AT2721" s="144" t="s">
        <v>346</v>
      </c>
      <c r="AU2721" s="144" t="s">
        <v>90</v>
      </c>
      <c r="AV2721" s="141" t="s">
        <v>87</v>
      </c>
      <c r="AW2721" s="141" t="s">
        <v>33</v>
      </c>
      <c r="AX2721" s="141" t="s">
        <v>80</v>
      </c>
      <c r="AY2721" s="144" t="s">
        <v>337</v>
      </c>
    </row>
    <row r="2722" spans="2:65" s="148" customFormat="1" x14ac:dyDescent="0.2">
      <c r="B2722" s="149"/>
      <c r="D2722" s="143" t="s">
        <v>346</v>
      </c>
      <c r="E2722" s="150"/>
      <c r="F2722" s="151" t="s">
        <v>768</v>
      </c>
      <c r="H2722" s="152">
        <v>51</v>
      </c>
      <c r="L2722" s="149"/>
      <c r="M2722" s="153"/>
      <c r="T2722" s="154"/>
      <c r="AT2722" s="150" t="s">
        <v>346</v>
      </c>
      <c r="AU2722" s="150" t="s">
        <v>90</v>
      </c>
      <c r="AV2722" s="148" t="s">
        <v>90</v>
      </c>
      <c r="AW2722" s="148" t="s">
        <v>33</v>
      </c>
      <c r="AX2722" s="148" t="s">
        <v>80</v>
      </c>
      <c r="AY2722" s="150" t="s">
        <v>337</v>
      </c>
    </row>
    <row r="2723" spans="2:65" s="155" customFormat="1" x14ac:dyDescent="0.2">
      <c r="B2723" s="156"/>
      <c r="D2723" s="143" t="s">
        <v>346</v>
      </c>
      <c r="E2723" s="157"/>
      <c r="F2723" s="158" t="s">
        <v>351</v>
      </c>
      <c r="H2723" s="159">
        <v>274</v>
      </c>
      <c r="L2723" s="156"/>
      <c r="M2723" s="160"/>
      <c r="T2723" s="161"/>
      <c r="AT2723" s="157" t="s">
        <v>346</v>
      </c>
      <c r="AU2723" s="157" t="s">
        <v>90</v>
      </c>
      <c r="AV2723" s="155" t="s">
        <v>344</v>
      </c>
      <c r="AW2723" s="155" t="s">
        <v>33</v>
      </c>
      <c r="AX2723" s="155" t="s">
        <v>87</v>
      </c>
      <c r="AY2723" s="157" t="s">
        <v>337</v>
      </c>
    </row>
    <row r="2724" spans="2:65" s="155" customFormat="1" x14ac:dyDescent="0.2">
      <c r="B2724" s="156"/>
      <c r="D2724" s="143" t="s">
        <v>346</v>
      </c>
      <c r="E2724" s="157"/>
      <c r="F2724" s="158" t="s">
        <v>351</v>
      </c>
      <c r="H2724" s="159">
        <v>0</v>
      </c>
      <c r="L2724" s="156"/>
      <c r="M2724" s="160"/>
      <c r="T2724" s="161"/>
      <c r="AT2724" s="157" t="s">
        <v>346</v>
      </c>
      <c r="AU2724" s="157" t="s">
        <v>90</v>
      </c>
      <c r="AV2724" s="155" t="s">
        <v>344</v>
      </c>
      <c r="AW2724" s="155" t="s">
        <v>33</v>
      </c>
      <c r="AX2724" s="155" t="s">
        <v>80</v>
      </c>
      <c r="AY2724" s="157" t="s">
        <v>337</v>
      </c>
    </row>
    <row r="2725" spans="2:65" s="16" customFormat="1" ht="16.5" customHeight="1" x14ac:dyDescent="0.2">
      <c r="B2725" s="17"/>
      <c r="C2725" s="128">
        <v>192</v>
      </c>
      <c r="D2725" s="128" t="s">
        <v>339</v>
      </c>
      <c r="E2725" s="129" t="s">
        <v>2201</v>
      </c>
      <c r="F2725" s="130" t="s">
        <v>2202</v>
      </c>
      <c r="G2725" s="131" t="s">
        <v>449</v>
      </c>
      <c r="H2725" s="132">
        <v>25</v>
      </c>
      <c r="I2725" s="133"/>
      <c r="J2725" s="134">
        <f>ROUND(I2725*H2725,2)</f>
        <v>0</v>
      </c>
      <c r="K2725" s="130" t="s">
        <v>343</v>
      </c>
      <c r="L2725" s="17"/>
      <c r="M2725" s="135"/>
      <c r="N2725" s="136" t="s">
        <v>45</v>
      </c>
      <c r="P2725" s="137">
        <f>O2725*H2725</f>
        <v>0</v>
      </c>
      <c r="Q2725" s="137">
        <v>2.0000000000000001E-4</v>
      </c>
      <c r="R2725" s="137">
        <f>Q2725*H2725</f>
        <v>5.0000000000000001E-3</v>
      </c>
      <c r="S2725" s="137">
        <v>0</v>
      </c>
      <c r="T2725" s="138">
        <f>S2725*H2725</f>
        <v>0</v>
      </c>
      <c r="AR2725" s="139" t="s">
        <v>496</v>
      </c>
      <c r="AT2725" s="139" t="s">
        <v>339</v>
      </c>
      <c r="AU2725" s="139" t="s">
        <v>90</v>
      </c>
      <c r="AY2725" s="2" t="s">
        <v>337</v>
      </c>
      <c r="BE2725" s="140">
        <f>IF(N2725="základní",J2725,0)</f>
        <v>0</v>
      </c>
      <c r="BF2725" s="140">
        <f>IF(N2725="snížená",J2725,0)</f>
        <v>0</v>
      </c>
      <c r="BG2725" s="140">
        <f>IF(N2725="zákl. přenesená",J2725,0)</f>
        <v>0</v>
      </c>
      <c r="BH2725" s="140">
        <f>IF(N2725="sníž. přenesená",J2725,0)</f>
        <v>0</v>
      </c>
      <c r="BI2725" s="140">
        <f>IF(N2725="nulová",J2725,0)</f>
        <v>0</v>
      </c>
      <c r="BJ2725" s="2" t="s">
        <v>87</v>
      </c>
      <c r="BK2725" s="140">
        <f>ROUND(I2725*H2725,2)</f>
        <v>0</v>
      </c>
      <c r="BL2725" s="2" t="s">
        <v>496</v>
      </c>
      <c r="BM2725" s="139" t="s">
        <v>2203</v>
      </c>
    </row>
    <row r="2726" spans="2:65" s="141" customFormat="1" x14ac:dyDescent="0.2">
      <c r="B2726" s="142"/>
      <c r="D2726" s="143" t="s">
        <v>346</v>
      </c>
      <c r="E2726" s="144"/>
      <c r="F2726" s="145" t="s">
        <v>362</v>
      </c>
      <c r="H2726" s="144"/>
      <c r="L2726" s="142"/>
      <c r="M2726" s="146"/>
      <c r="T2726" s="147"/>
      <c r="AT2726" s="144" t="s">
        <v>346</v>
      </c>
      <c r="AU2726" s="144" t="s">
        <v>90</v>
      </c>
      <c r="AV2726" s="141" t="s">
        <v>87</v>
      </c>
      <c r="AW2726" s="141" t="s">
        <v>33</v>
      </c>
      <c r="AX2726" s="141" t="s">
        <v>80</v>
      </c>
      <c r="AY2726" s="144" t="s">
        <v>337</v>
      </c>
    </row>
    <row r="2727" spans="2:65" s="148" customFormat="1" x14ac:dyDescent="0.2">
      <c r="B2727" s="149"/>
      <c r="D2727" s="143" t="s">
        <v>346</v>
      </c>
      <c r="E2727" s="150"/>
      <c r="F2727" s="151" t="s">
        <v>344</v>
      </c>
      <c r="H2727" s="152">
        <v>4</v>
      </c>
      <c r="L2727" s="149"/>
      <c r="M2727" s="153"/>
      <c r="T2727" s="154"/>
      <c r="AT2727" s="150" t="s">
        <v>346</v>
      </c>
      <c r="AU2727" s="150" t="s">
        <v>90</v>
      </c>
      <c r="AV2727" s="148" t="s">
        <v>90</v>
      </c>
      <c r="AW2727" s="148" t="s">
        <v>33</v>
      </c>
      <c r="AX2727" s="148" t="s">
        <v>80</v>
      </c>
      <c r="AY2727" s="150" t="s">
        <v>337</v>
      </c>
    </row>
    <row r="2728" spans="2:65" s="141" customFormat="1" x14ac:dyDescent="0.2">
      <c r="B2728" s="142"/>
      <c r="D2728" s="143" t="s">
        <v>346</v>
      </c>
      <c r="E2728" s="144"/>
      <c r="F2728" s="145" t="s">
        <v>367</v>
      </c>
      <c r="H2728" s="144"/>
      <c r="L2728" s="142"/>
      <c r="M2728" s="146"/>
      <c r="T2728" s="147"/>
      <c r="AT2728" s="144" t="s">
        <v>346</v>
      </c>
      <c r="AU2728" s="144" t="s">
        <v>90</v>
      </c>
      <c r="AV2728" s="141" t="s">
        <v>87</v>
      </c>
      <c r="AW2728" s="141" t="s">
        <v>33</v>
      </c>
      <c r="AX2728" s="141" t="s">
        <v>80</v>
      </c>
      <c r="AY2728" s="144" t="s">
        <v>337</v>
      </c>
    </row>
    <row r="2729" spans="2:65" s="148" customFormat="1" x14ac:dyDescent="0.2">
      <c r="B2729" s="149"/>
      <c r="D2729" s="143" t="s">
        <v>346</v>
      </c>
      <c r="E2729" s="150"/>
      <c r="F2729" s="151" t="s">
        <v>422</v>
      </c>
      <c r="H2729" s="152">
        <v>5</v>
      </c>
      <c r="L2729" s="149"/>
      <c r="M2729" s="153"/>
      <c r="T2729" s="154"/>
      <c r="AT2729" s="150" t="s">
        <v>346</v>
      </c>
      <c r="AU2729" s="150" t="s">
        <v>90</v>
      </c>
      <c r="AV2729" s="148" t="s">
        <v>90</v>
      </c>
      <c r="AW2729" s="148" t="s">
        <v>33</v>
      </c>
      <c r="AX2729" s="148" t="s">
        <v>80</v>
      </c>
      <c r="AY2729" s="150" t="s">
        <v>337</v>
      </c>
    </row>
    <row r="2730" spans="2:65" s="141" customFormat="1" x14ac:dyDescent="0.2">
      <c r="B2730" s="142"/>
      <c r="D2730" s="143" t="s">
        <v>346</v>
      </c>
      <c r="E2730" s="144"/>
      <c r="F2730" s="145" t="s">
        <v>368</v>
      </c>
      <c r="H2730" s="144"/>
      <c r="L2730" s="142"/>
      <c r="M2730" s="146"/>
      <c r="T2730" s="147"/>
      <c r="AT2730" s="144" t="s">
        <v>346</v>
      </c>
      <c r="AU2730" s="144" t="s">
        <v>90</v>
      </c>
      <c r="AV2730" s="141" t="s">
        <v>87</v>
      </c>
      <c r="AW2730" s="141" t="s">
        <v>33</v>
      </c>
      <c r="AX2730" s="141" t="s">
        <v>80</v>
      </c>
      <c r="AY2730" s="144" t="s">
        <v>337</v>
      </c>
    </row>
    <row r="2731" spans="2:65" s="148" customFormat="1" x14ac:dyDescent="0.2">
      <c r="B2731" s="149"/>
      <c r="D2731" s="143" t="s">
        <v>346</v>
      </c>
      <c r="E2731" s="150"/>
      <c r="F2731" s="151" t="s">
        <v>430</v>
      </c>
      <c r="H2731" s="152">
        <v>6</v>
      </c>
      <c r="L2731" s="149"/>
      <c r="M2731" s="153"/>
      <c r="T2731" s="154"/>
      <c r="AT2731" s="150" t="s">
        <v>346</v>
      </c>
      <c r="AU2731" s="150" t="s">
        <v>90</v>
      </c>
      <c r="AV2731" s="148" t="s">
        <v>90</v>
      </c>
      <c r="AW2731" s="148" t="s">
        <v>33</v>
      </c>
      <c r="AX2731" s="148" t="s">
        <v>80</v>
      </c>
      <c r="AY2731" s="150" t="s">
        <v>337</v>
      </c>
    </row>
    <row r="2732" spans="2:65" s="141" customFormat="1" x14ac:dyDescent="0.2">
      <c r="B2732" s="142"/>
      <c r="D2732" s="143" t="s">
        <v>346</v>
      </c>
      <c r="E2732" s="144"/>
      <c r="F2732" s="145" t="s">
        <v>370</v>
      </c>
      <c r="H2732" s="144"/>
      <c r="L2732" s="142"/>
      <c r="M2732" s="146"/>
      <c r="T2732" s="147"/>
      <c r="AT2732" s="144" t="s">
        <v>346</v>
      </c>
      <c r="AU2732" s="144" t="s">
        <v>90</v>
      </c>
      <c r="AV2732" s="141" t="s">
        <v>87</v>
      </c>
      <c r="AW2732" s="141" t="s">
        <v>33</v>
      </c>
      <c r="AX2732" s="141" t="s">
        <v>80</v>
      </c>
      <c r="AY2732" s="144" t="s">
        <v>337</v>
      </c>
    </row>
    <row r="2733" spans="2:65" s="148" customFormat="1" x14ac:dyDescent="0.2">
      <c r="B2733" s="149"/>
      <c r="D2733" s="143" t="s">
        <v>346</v>
      </c>
      <c r="E2733" s="150"/>
      <c r="F2733" s="151" t="s">
        <v>422</v>
      </c>
      <c r="H2733" s="152">
        <v>5</v>
      </c>
      <c r="L2733" s="149"/>
      <c r="M2733" s="153"/>
      <c r="T2733" s="154"/>
      <c r="AT2733" s="150" t="s">
        <v>346</v>
      </c>
      <c r="AU2733" s="150" t="s">
        <v>90</v>
      </c>
      <c r="AV2733" s="148" t="s">
        <v>90</v>
      </c>
      <c r="AW2733" s="148" t="s">
        <v>33</v>
      </c>
      <c r="AX2733" s="148" t="s">
        <v>80</v>
      </c>
      <c r="AY2733" s="150" t="s">
        <v>337</v>
      </c>
    </row>
    <row r="2734" spans="2:65" s="141" customFormat="1" x14ac:dyDescent="0.2">
      <c r="B2734" s="142"/>
      <c r="D2734" s="143" t="s">
        <v>346</v>
      </c>
      <c r="E2734" s="144"/>
      <c r="F2734" s="145" t="s">
        <v>434</v>
      </c>
      <c r="H2734" s="144"/>
      <c r="L2734" s="142"/>
      <c r="M2734" s="146"/>
      <c r="T2734" s="147"/>
      <c r="AT2734" s="144" t="s">
        <v>346</v>
      </c>
      <c r="AU2734" s="144" t="s">
        <v>90</v>
      </c>
      <c r="AV2734" s="141" t="s">
        <v>87</v>
      </c>
      <c r="AW2734" s="141" t="s">
        <v>33</v>
      </c>
      <c r="AX2734" s="141" t="s">
        <v>80</v>
      </c>
      <c r="AY2734" s="144" t="s">
        <v>337</v>
      </c>
    </row>
    <row r="2735" spans="2:65" s="148" customFormat="1" x14ac:dyDescent="0.2">
      <c r="B2735" s="149"/>
      <c r="D2735" s="143" t="s">
        <v>346</v>
      </c>
      <c r="E2735" s="150"/>
      <c r="F2735" s="151" t="s">
        <v>422</v>
      </c>
      <c r="H2735" s="152">
        <v>5</v>
      </c>
      <c r="L2735" s="149"/>
      <c r="M2735" s="153"/>
      <c r="T2735" s="154"/>
      <c r="AT2735" s="150" t="s">
        <v>346</v>
      </c>
      <c r="AU2735" s="150" t="s">
        <v>90</v>
      </c>
      <c r="AV2735" s="148" t="s">
        <v>90</v>
      </c>
      <c r="AW2735" s="148" t="s">
        <v>33</v>
      </c>
      <c r="AX2735" s="148" t="s">
        <v>80</v>
      </c>
      <c r="AY2735" s="150" t="s">
        <v>337</v>
      </c>
    </row>
    <row r="2736" spans="2:65" s="155" customFormat="1" x14ac:dyDescent="0.2">
      <c r="B2736" s="156"/>
      <c r="D2736" s="143" t="s">
        <v>346</v>
      </c>
      <c r="E2736" s="157"/>
      <c r="F2736" s="158" t="s">
        <v>351</v>
      </c>
      <c r="H2736" s="159">
        <v>25</v>
      </c>
      <c r="L2736" s="156"/>
      <c r="M2736" s="160"/>
      <c r="T2736" s="161"/>
      <c r="AT2736" s="157" t="s">
        <v>346</v>
      </c>
      <c r="AU2736" s="157" t="s">
        <v>90</v>
      </c>
      <c r="AV2736" s="155" t="s">
        <v>344</v>
      </c>
      <c r="AW2736" s="155" t="s">
        <v>33</v>
      </c>
      <c r="AX2736" s="155" t="s">
        <v>87</v>
      </c>
      <c r="AY2736" s="157" t="s">
        <v>337</v>
      </c>
    </row>
    <row r="2737" spans="2:65" s="16" customFormat="1" ht="16.5" customHeight="1" x14ac:dyDescent="0.2">
      <c r="B2737" s="17"/>
      <c r="C2737" s="128">
        <v>193</v>
      </c>
      <c r="D2737" s="128" t="s">
        <v>339</v>
      </c>
      <c r="E2737" s="129" t="s">
        <v>2204</v>
      </c>
      <c r="F2737" s="130" t="s">
        <v>2205</v>
      </c>
      <c r="G2737" s="131" t="s">
        <v>449</v>
      </c>
      <c r="H2737" s="132">
        <v>441</v>
      </c>
      <c r="I2737" s="133"/>
      <c r="J2737" s="134">
        <f>ROUND(I2737*H2737,2)</f>
        <v>0</v>
      </c>
      <c r="K2737" s="130" t="s">
        <v>343</v>
      </c>
      <c r="L2737" s="17"/>
      <c r="M2737" s="135"/>
      <c r="N2737" s="136" t="s">
        <v>45</v>
      </c>
      <c r="P2737" s="137">
        <f>O2737*H2737</f>
        <v>0</v>
      </c>
      <c r="Q2737" s="137">
        <v>2.1000000000000001E-4</v>
      </c>
      <c r="R2737" s="137">
        <f>Q2737*H2737</f>
        <v>9.2609999999999998E-2</v>
      </c>
      <c r="S2737" s="137">
        <v>0</v>
      </c>
      <c r="T2737" s="138">
        <f>S2737*H2737</f>
        <v>0</v>
      </c>
      <c r="AR2737" s="139" t="s">
        <v>496</v>
      </c>
      <c r="AT2737" s="139" t="s">
        <v>339</v>
      </c>
      <c r="AU2737" s="139" t="s">
        <v>90</v>
      </c>
      <c r="AY2737" s="2" t="s">
        <v>337</v>
      </c>
      <c r="BE2737" s="140">
        <f>IF(N2737="základní",J2737,0)</f>
        <v>0</v>
      </c>
      <c r="BF2737" s="140">
        <f>IF(N2737="snížená",J2737,0)</f>
        <v>0</v>
      </c>
      <c r="BG2737" s="140">
        <f>IF(N2737="zákl. přenesená",J2737,0)</f>
        <v>0</v>
      </c>
      <c r="BH2737" s="140">
        <f>IF(N2737="sníž. přenesená",J2737,0)</f>
        <v>0</v>
      </c>
      <c r="BI2737" s="140">
        <f>IF(N2737="nulová",J2737,0)</f>
        <v>0</v>
      </c>
      <c r="BJ2737" s="2" t="s">
        <v>87</v>
      </c>
      <c r="BK2737" s="140">
        <f>ROUND(I2737*H2737,2)</f>
        <v>0</v>
      </c>
      <c r="BL2737" s="2" t="s">
        <v>496</v>
      </c>
      <c r="BM2737" s="139" t="s">
        <v>2206</v>
      </c>
    </row>
    <row r="2738" spans="2:65" s="141" customFormat="1" x14ac:dyDescent="0.2">
      <c r="B2738" s="142"/>
      <c r="D2738" s="143" t="s">
        <v>346</v>
      </c>
      <c r="E2738" s="144"/>
      <c r="F2738" s="145" t="s">
        <v>2207</v>
      </c>
      <c r="H2738" s="144"/>
      <c r="L2738" s="142"/>
      <c r="M2738" s="146"/>
      <c r="T2738" s="147"/>
      <c r="AT2738" s="144" t="s">
        <v>346</v>
      </c>
      <c r="AU2738" s="144" t="s">
        <v>90</v>
      </c>
      <c r="AV2738" s="141" t="s">
        <v>87</v>
      </c>
      <c r="AW2738" s="141" t="s">
        <v>33</v>
      </c>
      <c r="AX2738" s="141" t="s">
        <v>80</v>
      </c>
      <c r="AY2738" s="144" t="s">
        <v>337</v>
      </c>
    </row>
    <row r="2739" spans="2:65" s="141" customFormat="1" x14ac:dyDescent="0.2">
      <c r="B2739" s="142"/>
      <c r="D2739" s="143" t="s">
        <v>346</v>
      </c>
      <c r="E2739" s="144"/>
      <c r="F2739" s="145" t="s">
        <v>357</v>
      </c>
      <c r="H2739" s="144"/>
      <c r="L2739" s="142"/>
      <c r="M2739" s="146"/>
      <c r="T2739" s="147"/>
      <c r="AT2739" s="144" t="s">
        <v>346</v>
      </c>
      <c r="AU2739" s="144" t="s">
        <v>90</v>
      </c>
      <c r="AV2739" s="141" t="s">
        <v>87</v>
      </c>
      <c r="AW2739" s="141" t="s">
        <v>33</v>
      </c>
      <c r="AX2739" s="141" t="s">
        <v>80</v>
      </c>
      <c r="AY2739" s="144" t="s">
        <v>337</v>
      </c>
    </row>
    <row r="2740" spans="2:65" s="148" customFormat="1" x14ac:dyDescent="0.2">
      <c r="B2740" s="149"/>
      <c r="D2740" s="143" t="s">
        <v>346</v>
      </c>
      <c r="E2740" s="150"/>
      <c r="F2740" s="151" t="s">
        <v>528</v>
      </c>
      <c r="H2740" s="152">
        <v>19</v>
      </c>
      <c r="L2740" s="149"/>
      <c r="M2740" s="153"/>
      <c r="T2740" s="154"/>
      <c r="AT2740" s="150" t="s">
        <v>346</v>
      </c>
      <c r="AU2740" s="150" t="s">
        <v>90</v>
      </c>
      <c r="AV2740" s="148" t="s">
        <v>90</v>
      </c>
      <c r="AW2740" s="148" t="s">
        <v>33</v>
      </c>
      <c r="AX2740" s="148" t="s">
        <v>80</v>
      </c>
      <c r="AY2740" s="150" t="s">
        <v>337</v>
      </c>
    </row>
    <row r="2741" spans="2:65" s="141" customFormat="1" x14ac:dyDescent="0.2">
      <c r="B2741" s="142"/>
      <c r="D2741" s="143" t="s">
        <v>346</v>
      </c>
      <c r="E2741" s="144"/>
      <c r="F2741" s="145" t="s">
        <v>362</v>
      </c>
      <c r="H2741" s="144"/>
      <c r="L2741" s="142"/>
      <c r="M2741" s="146"/>
      <c r="T2741" s="147"/>
      <c r="AT2741" s="144" t="s">
        <v>346</v>
      </c>
      <c r="AU2741" s="144" t="s">
        <v>90</v>
      </c>
      <c r="AV2741" s="141" t="s">
        <v>87</v>
      </c>
      <c r="AW2741" s="141" t="s">
        <v>33</v>
      </c>
      <c r="AX2741" s="141" t="s">
        <v>80</v>
      </c>
      <c r="AY2741" s="144" t="s">
        <v>337</v>
      </c>
    </row>
    <row r="2742" spans="2:65" s="148" customFormat="1" x14ac:dyDescent="0.2">
      <c r="B2742" s="149"/>
      <c r="D2742" s="143" t="s">
        <v>346</v>
      </c>
      <c r="E2742" s="150"/>
      <c r="F2742" s="151" t="s">
        <v>855</v>
      </c>
      <c r="H2742" s="152">
        <v>65</v>
      </c>
      <c r="L2742" s="149"/>
      <c r="M2742" s="153"/>
      <c r="T2742" s="154"/>
      <c r="AT2742" s="150" t="s">
        <v>346</v>
      </c>
      <c r="AU2742" s="150" t="s">
        <v>90</v>
      </c>
      <c r="AV2742" s="148" t="s">
        <v>90</v>
      </c>
      <c r="AW2742" s="148" t="s">
        <v>33</v>
      </c>
      <c r="AX2742" s="148" t="s">
        <v>80</v>
      </c>
      <c r="AY2742" s="150" t="s">
        <v>337</v>
      </c>
    </row>
    <row r="2743" spans="2:65" s="141" customFormat="1" x14ac:dyDescent="0.2">
      <c r="B2743" s="142"/>
      <c r="D2743" s="143" t="s">
        <v>346</v>
      </c>
      <c r="E2743" s="144"/>
      <c r="F2743" s="145" t="s">
        <v>367</v>
      </c>
      <c r="H2743" s="144"/>
      <c r="L2743" s="142"/>
      <c r="M2743" s="146"/>
      <c r="T2743" s="147"/>
      <c r="AT2743" s="144" t="s">
        <v>346</v>
      </c>
      <c r="AU2743" s="144" t="s">
        <v>90</v>
      </c>
      <c r="AV2743" s="141" t="s">
        <v>87</v>
      </c>
      <c r="AW2743" s="141" t="s">
        <v>33</v>
      </c>
      <c r="AX2743" s="141" t="s">
        <v>80</v>
      </c>
      <c r="AY2743" s="144" t="s">
        <v>337</v>
      </c>
    </row>
    <row r="2744" spans="2:65" s="148" customFormat="1" x14ac:dyDescent="0.2">
      <c r="B2744" s="149"/>
      <c r="D2744" s="143" t="s">
        <v>346</v>
      </c>
      <c r="E2744" s="150"/>
      <c r="F2744" s="151" t="s">
        <v>1063</v>
      </c>
      <c r="H2744" s="152">
        <v>91</v>
      </c>
      <c r="L2744" s="149"/>
      <c r="M2744" s="153"/>
      <c r="T2744" s="154"/>
      <c r="AT2744" s="150" t="s">
        <v>346</v>
      </c>
      <c r="AU2744" s="150" t="s">
        <v>90</v>
      </c>
      <c r="AV2744" s="148" t="s">
        <v>90</v>
      </c>
      <c r="AW2744" s="148" t="s">
        <v>33</v>
      </c>
      <c r="AX2744" s="148" t="s">
        <v>80</v>
      </c>
      <c r="AY2744" s="150" t="s">
        <v>337</v>
      </c>
    </row>
    <row r="2745" spans="2:65" s="141" customFormat="1" x14ac:dyDescent="0.2">
      <c r="B2745" s="142"/>
      <c r="D2745" s="143" t="s">
        <v>346</v>
      </c>
      <c r="E2745" s="144"/>
      <c r="F2745" s="145" t="s">
        <v>368</v>
      </c>
      <c r="H2745" s="144"/>
      <c r="L2745" s="142"/>
      <c r="M2745" s="146"/>
      <c r="T2745" s="147"/>
      <c r="AT2745" s="144" t="s">
        <v>346</v>
      </c>
      <c r="AU2745" s="144" t="s">
        <v>90</v>
      </c>
      <c r="AV2745" s="141" t="s">
        <v>87</v>
      </c>
      <c r="AW2745" s="141" t="s">
        <v>33</v>
      </c>
      <c r="AX2745" s="141" t="s">
        <v>80</v>
      </c>
      <c r="AY2745" s="144" t="s">
        <v>337</v>
      </c>
    </row>
    <row r="2746" spans="2:65" s="148" customFormat="1" x14ac:dyDescent="0.2">
      <c r="B2746" s="149"/>
      <c r="D2746" s="143" t="s">
        <v>346</v>
      </c>
      <c r="E2746" s="150"/>
      <c r="F2746" s="151" t="s">
        <v>1146</v>
      </c>
      <c r="H2746" s="152">
        <v>102</v>
      </c>
      <c r="L2746" s="149"/>
      <c r="M2746" s="153"/>
      <c r="T2746" s="154"/>
      <c r="AT2746" s="150" t="s">
        <v>346</v>
      </c>
      <c r="AU2746" s="150" t="s">
        <v>90</v>
      </c>
      <c r="AV2746" s="148" t="s">
        <v>90</v>
      </c>
      <c r="AW2746" s="148" t="s">
        <v>33</v>
      </c>
      <c r="AX2746" s="148" t="s">
        <v>80</v>
      </c>
      <c r="AY2746" s="150" t="s">
        <v>337</v>
      </c>
    </row>
    <row r="2747" spans="2:65" s="141" customFormat="1" x14ac:dyDescent="0.2">
      <c r="B2747" s="142"/>
      <c r="D2747" s="143" t="s">
        <v>346</v>
      </c>
      <c r="E2747" s="144"/>
      <c r="F2747" s="145" t="s">
        <v>370</v>
      </c>
      <c r="H2747" s="144"/>
      <c r="L2747" s="142"/>
      <c r="M2747" s="146"/>
      <c r="T2747" s="147"/>
      <c r="AT2747" s="144" t="s">
        <v>346</v>
      </c>
      <c r="AU2747" s="144" t="s">
        <v>90</v>
      </c>
      <c r="AV2747" s="141" t="s">
        <v>87</v>
      </c>
      <c r="AW2747" s="141" t="s">
        <v>33</v>
      </c>
      <c r="AX2747" s="141" t="s">
        <v>80</v>
      </c>
      <c r="AY2747" s="144" t="s">
        <v>337</v>
      </c>
    </row>
    <row r="2748" spans="2:65" s="148" customFormat="1" x14ac:dyDescent="0.2">
      <c r="B2748" s="149"/>
      <c r="D2748" s="143" t="s">
        <v>346</v>
      </c>
      <c r="E2748" s="150"/>
      <c r="F2748" s="151" t="s">
        <v>1093</v>
      </c>
      <c r="H2748" s="152">
        <v>94</v>
      </c>
      <c r="L2748" s="149"/>
      <c r="M2748" s="153"/>
      <c r="T2748" s="154"/>
      <c r="AT2748" s="150" t="s">
        <v>346</v>
      </c>
      <c r="AU2748" s="150" t="s">
        <v>90</v>
      </c>
      <c r="AV2748" s="148" t="s">
        <v>90</v>
      </c>
      <c r="AW2748" s="148" t="s">
        <v>33</v>
      </c>
      <c r="AX2748" s="148" t="s">
        <v>80</v>
      </c>
      <c r="AY2748" s="150" t="s">
        <v>337</v>
      </c>
    </row>
    <row r="2749" spans="2:65" s="141" customFormat="1" x14ac:dyDescent="0.2">
      <c r="B2749" s="142"/>
      <c r="D2749" s="143" t="s">
        <v>346</v>
      </c>
      <c r="E2749" s="144"/>
      <c r="F2749" s="145" t="s">
        <v>434</v>
      </c>
      <c r="H2749" s="144"/>
      <c r="L2749" s="142"/>
      <c r="M2749" s="146"/>
      <c r="T2749" s="147"/>
      <c r="AT2749" s="144" t="s">
        <v>346</v>
      </c>
      <c r="AU2749" s="144" t="s">
        <v>90</v>
      </c>
      <c r="AV2749" s="141" t="s">
        <v>87</v>
      </c>
      <c r="AW2749" s="141" t="s">
        <v>33</v>
      </c>
      <c r="AX2749" s="141" t="s">
        <v>80</v>
      </c>
      <c r="AY2749" s="144" t="s">
        <v>337</v>
      </c>
    </row>
    <row r="2750" spans="2:65" s="148" customFormat="1" x14ac:dyDescent="0.2">
      <c r="B2750" s="149"/>
      <c r="D2750" s="143" t="s">
        <v>346</v>
      </c>
      <c r="E2750" s="150"/>
      <c r="F2750" s="151" t="s">
        <v>943</v>
      </c>
      <c r="H2750" s="152">
        <v>70</v>
      </c>
      <c r="L2750" s="149"/>
      <c r="M2750" s="153"/>
      <c r="T2750" s="154"/>
      <c r="AT2750" s="150" t="s">
        <v>346</v>
      </c>
      <c r="AU2750" s="150" t="s">
        <v>90</v>
      </c>
      <c r="AV2750" s="148" t="s">
        <v>90</v>
      </c>
      <c r="AW2750" s="148" t="s">
        <v>33</v>
      </c>
      <c r="AX2750" s="148" t="s">
        <v>80</v>
      </c>
      <c r="AY2750" s="150" t="s">
        <v>337</v>
      </c>
    </row>
    <row r="2751" spans="2:65" s="141" customFormat="1" x14ac:dyDescent="0.2">
      <c r="B2751" s="142"/>
      <c r="D2751" s="143" t="s">
        <v>346</v>
      </c>
      <c r="E2751" s="144"/>
      <c r="F2751" s="145" t="s">
        <v>2208</v>
      </c>
      <c r="H2751" s="144"/>
      <c r="L2751" s="142"/>
      <c r="M2751" s="146"/>
      <c r="T2751" s="147"/>
      <c r="AT2751" s="144" t="s">
        <v>346</v>
      </c>
      <c r="AU2751" s="144" t="s">
        <v>90</v>
      </c>
      <c r="AV2751" s="141" t="s">
        <v>87</v>
      </c>
      <c r="AW2751" s="141" t="s">
        <v>33</v>
      </c>
      <c r="AX2751" s="141" t="s">
        <v>80</v>
      </c>
      <c r="AY2751" s="144" t="s">
        <v>337</v>
      </c>
    </row>
    <row r="2752" spans="2:65" s="155" customFormat="1" x14ac:dyDescent="0.2">
      <c r="B2752" s="156"/>
      <c r="D2752" s="143" t="s">
        <v>346</v>
      </c>
      <c r="E2752" s="157"/>
      <c r="F2752" s="158" t="s">
        <v>351</v>
      </c>
      <c r="H2752" s="159">
        <v>441</v>
      </c>
      <c r="L2752" s="156"/>
      <c r="M2752" s="160"/>
      <c r="T2752" s="161"/>
      <c r="AT2752" s="157" t="s">
        <v>346</v>
      </c>
      <c r="AU2752" s="157" t="s">
        <v>90</v>
      </c>
      <c r="AV2752" s="155" t="s">
        <v>344</v>
      </c>
      <c r="AW2752" s="155" t="s">
        <v>33</v>
      </c>
      <c r="AX2752" s="155" t="s">
        <v>87</v>
      </c>
      <c r="AY2752" s="157" t="s">
        <v>337</v>
      </c>
    </row>
    <row r="2753" spans="2:65" s="16" customFormat="1" ht="16.5" customHeight="1" x14ac:dyDescent="0.2">
      <c r="B2753" s="17"/>
      <c r="C2753" s="128">
        <v>194</v>
      </c>
      <c r="D2753" s="128" t="s">
        <v>339</v>
      </c>
      <c r="E2753" s="129" t="s">
        <v>2210</v>
      </c>
      <c r="F2753" s="130" t="s">
        <v>2211</v>
      </c>
      <c r="G2753" s="131" t="s">
        <v>724</v>
      </c>
      <c r="H2753" s="132">
        <v>611.16600000000005</v>
      </c>
      <c r="I2753" s="133"/>
      <c r="J2753" s="134">
        <f>ROUND(I2753*H2753,2)</f>
        <v>0</v>
      </c>
      <c r="K2753" s="130" t="s">
        <v>343</v>
      </c>
      <c r="L2753" s="17"/>
      <c r="M2753" s="135"/>
      <c r="N2753" s="136" t="s">
        <v>45</v>
      </c>
      <c r="P2753" s="137">
        <f>O2753*H2753</f>
        <v>0</v>
      </c>
      <c r="Q2753" s="137">
        <v>3.2000000000000003E-4</v>
      </c>
      <c r="R2753" s="137">
        <f>Q2753*H2753</f>
        <v>0.19557312000000004</v>
      </c>
      <c r="S2753" s="137">
        <v>0</v>
      </c>
      <c r="T2753" s="138">
        <f>S2753*H2753</f>
        <v>0</v>
      </c>
      <c r="AR2753" s="139" t="s">
        <v>496</v>
      </c>
      <c r="AT2753" s="139" t="s">
        <v>339</v>
      </c>
      <c r="AU2753" s="139" t="s">
        <v>90</v>
      </c>
      <c r="AY2753" s="2" t="s">
        <v>337</v>
      </c>
      <c r="BE2753" s="140">
        <f>IF(N2753="základní",J2753,0)</f>
        <v>0</v>
      </c>
      <c r="BF2753" s="140">
        <f>IF(N2753="snížená",J2753,0)</f>
        <v>0</v>
      </c>
      <c r="BG2753" s="140">
        <f>IF(N2753="zákl. přenesená",J2753,0)</f>
        <v>0</v>
      </c>
      <c r="BH2753" s="140">
        <f>IF(N2753="sníž. přenesená",J2753,0)</f>
        <v>0</v>
      </c>
      <c r="BI2753" s="140">
        <f>IF(N2753="nulová",J2753,0)</f>
        <v>0</v>
      </c>
      <c r="BJ2753" s="2" t="s">
        <v>87</v>
      </c>
      <c r="BK2753" s="140">
        <f>ROUND(I2753*H2753,2)</f>
        <v>0</v>
      </c>
      <c r="BL2753" s="2" t="s">
        <v>496</v>
      </c>
      <c r="BM2753" s="139" t="s">
        <v>2212</v>
      </c>
    </row>
    <row r="2754" spans="2:65" s="148" customFormat="1" x14ac:dyDescent="0.2">
      <c r="B2754" s="149"/>
      <c r="D2754" s="143" t="s">
        <v>346</v>
      </c>
      <c r="E2754" s="150"/>
      <c r="F2754" s="151" t="s">
        <v>220</v>
      </c>
      <c r="H2754" s="152">
        <v>611.16600000000005</v>
      </c>
      <c r="L2754" s="149"/>
      <c r="M2754" s="153"/>
      <c r="T2754" s="154"/>
      <c r="AT2754" s="150" t="s">
        <v>346</v>
      </c>
      <c r="AU2754" s="150" t="s">
        <v>90</v>
      </c>
      <c r="AV2754" s="148" t="s">
        <v>90</v>
      </c>
      <c r="AW2754" s="148" t="s">
        <v>33</v>
      </c>
      <c r="AX2754" s="148" t="s">
        <v>87</v>
      </c>
      <c r="AY2754" s="150" t="s">
        <v>337</v>
      </c>
    </row>
    <row r="2755" spans="2:65" s="16" customFormat="1" ht="21.75" customHeight="1" x14ac:dyDescent="0.2">
      <c r="B2755" s="17"/>
      <c r="C2755" s="128">
        <v>195</v>
      </c>
      <c r="D2755" s="128" t="s">
        <v>339</v>
      </c>
      <c r="E2755" s="129" t="s">
        <v>2213</v>
      </c>
      <c r="F2755" s="130" t="s">
        <v>2214</v>
      </c>
      <c r="G2755" s="131" t="s">
        <v>425</v>
      </c>
      <c r="H2755" s="132">
        <v>932.84</v>
      </c>
      <c r="I2755" s="133"/>
      <c r="J2755" s="134">
        <f>ROUND(I2755*H2755,2)</f>
        <v>0</v>
      </c>
      <c r="K2755" s="130" t="s">
        <v>343</v>
      </c>
      <c r="L2755" s="17"/>
      <c r="M2755" s="135"/>
      <c r="N2755" s="136" t="s">
        <v>45</v>
      </c>
      <c r="P2755" s="137">
        <f>O2755*H2755</f>
        <v>0</v>
      </c>
      <c r="Q2755" s="137">
        <v>5.3E-3</v>
      </c>
      <c r="R2755" s="137">
        <f>Q2755*H2755</f>
        <v>4.9440520000000001</v>
      </c>
      <c r="S2755" s="137">
        <v>0</v>
      </c>
      <c r="T2755" s="138">
        <f>S2755*H2755</f>
        <v>0</v>
      </c>
      <c r="AR2755" s="139" t="s">
        <v>496</v>
      </c>
      <c r="AT2755" s="139" t="s">
        <v>339</v>
      </c>
      <c r="AU2755" s="139" t="s">
        <v>90</v>
      </c>
      <c r="AY2755" s="2" t="s">
        <v>337</v>
      </c>
      <c r="BE2755" s="140">
        <f>IF(N2755="základní",J2755,0)</f>
        <v>0</v>
      </c>
      <c r="BF2755" s="140">
        <f>IF(N2755="snížená",J2755,0)</f>
        <v>0</v>
      </c>
      <c r="BG2755" s="140">
        <f>IF(N2755="zákl. přenesená",J2755,0)</f>
        <v>0</v>
      </c>
      <c r="BH2755" s="140">
        <f>IF(N2755="sníž. přenesená",J2755,0)</f>
        <v>0</v>
      </c>
      <c r="BI2755" s="140">
        <f>IF(N2755="nulová",J2755,0)</f>
        <v>0</v>
      </c>
      <c r="BJ2755" s="2" t="s">
        <v>87</v>
      </c>
      <c r="BK2755" s="140">
        <f>ROUND(I2755*H2755,2)</f>
        <v>0</v>
      </c>
      <c r="BL2755" s="2" t="s">
        <v>496</v>
      </c>
      <c r="BM2755" s="139" t="s">
        <v>2215</v>
      </c>
    </row>
    <row r="2756" spans="2:65" s="141" customFormat="1" x14ac:dyDescent="0.2">
      <c r="B2756" s="142"/>
      <c r="D2756" s="143" t="s">
        <v>346</v>
      </c>
      <c r="E2756" s="144"/>
      <c r="F2756" s="145" t="s">
        <v>2216</v>
      </c>
      <c r="H2756" s="144"/>
      <c r="L2756" s="142"/>
      <c r="M2756" s="146"/>
      <c r="T2756" s="147"/>
      <c r="AT2756" s="144" t="s">
        <v>346</v>
      </c>
      <c r="AU2756" s="144" t="s">
        <v>90</v>
      </c>
      <c r="AV2756" s="141" t="s">
        <v>87</v>
      </c>
      <c r="AW2756" s="141" t="s">
        <v>33</v>
      </c>
      <c r="AX2756" s="141" t="s">
        <v>80</v>
      </c>
      <c r="AY2756" s="144" t="s">
        <v>337</v>
      </c>
    </row>
    <row r="2757" spans="2:65" s="141" customFormat="1" x14ac:dyDescent="0.2">
      <c r="B2757" s="142"/>
      <c r="D2757" s="143" t="s">
        <v>346</v>
      </c>
      <c r="E2757" s="144"/>
      <c r="F2757" s="145" t="s">
        <v>680</v>
      </c>
      <c r="H2757" s="144"/>
      <c r="L2757" s="142"/>
      <c r="M2757" s="146"/>
      <c r="T2757" s="147"/>
      <c r="AT2757" s="144" t="s">
        <v>346</v>
      </c>
      <c r="AU2757" s="144" t="s">
        <v>90</v>
      </c>
      <c r="AV2757" s="141" t="s">
        <v>87</v>
      </c>
      <c r="AW2757" s="141" t="s">
        <v>33</v>
      </c>
      <c r="AX2757" s="141" t="s">
        <v>80</v>
      </c>
      <c r="AY2757" s="144" t="s">
        <v>337</v>
      </c>
    </row>
    <row r="2758" spans="2:65" s="148" customFormat="1" x14ac:dyDescent="0.2">
      <c r="B2758" s="149"/>
      <c r="D2758" s="143" t="s">
        <v>346</v>
      </c>
      <c r="E2758" s="150"/>
      <c r="F2758" s="151" t="s">
        <v>2217</v>
      </c>
      <c r="H2758" s="152">
        <v>912.84</v>
      </c>
      <c r="L2758" s="149"/>
      <c r="M2758" s="153"/>
      <c r="T2758" s="154"/>
      <c r="AT2758" s="150" t="s">
        <v>346</v>
      </c>
      <c r="AU2758" s="150" t="s">
        <v>90</v>
      </c>
      <c r="AV2758" s="148" t="s">
        <v>90</v>
      </c>
      <c r="AW2758" s="148" t="s">
        <v>33</v>
      </c>
      <c r="AX2758" s="148" t="s">
        <v>80</v>
      </c>
      <c r="AY2758" s="150" t="s">
        <v>337</v>
      </c>
    </row>
    <row r="2759" spans="2:65" s="141" customFormat="1" x14ac:dyDescent="0.2">
      <c r="B2759" s="142"/>
      <c r="D2759" s="143" t="s">
        <v>346</v>
      </c>
      <c r="E2759" s="144"/>
      <c r="F2759" s="145" t="s">
        <v>716</v>
      </c>
      <c r="H2759" s="144"/>
      <c r="L2759" s="142"/>
      <c r="M2759" s="146"/>
      <c r="T2759" s="147"/>
      <c r="AT2759" s="144" t="s">
        <v>346</v>
      </c>
      <c r="AU2759" s="144" t="s">
        <v>90</v>
      </c>
      <c r="AV2759" s="141" t="s">
        <v>87</v>
      </c>
      <c r="AW2759" s="141" t="s">
        <v>33</v>
      </c>
      <c r="AX2759" s="141" t="s">
        <v>80</v>
      </c>
      <c r="AY2759" s="144" t="s">
        <v>337</v>
      </c>
    </row>
    <row r="2760" spans="2:65" s="148" customFormat="1" x14ac:dyDescent="0.2">
      <c r="B2760" s="149"/>
      <c r="D2760" s="143" t="s">
        <v>346</v>
      </c>
      <c r="E2760" s="150"/>
      <c r="F2760" s="151" t="s">
        <v>980</v>
      </c>
      <c r="H2760" s="152">
        <v>20</v>
      </c>
      <c r="L2760" s="149"/>
      <c r="M2760" s="153"/>
      <c r="T2760" s="154"/>
      <c r="AT2760" s="150" t="s">
        <v>346</v>
      </c>
      <c r="AU2760" s="150" t="s">
        <v>90</v>
      </c>
      <c r="AV2760" s="148" t="s">
        <v>90</v>
      </c>
      <c r="AW2760" s="148" t="s">
        <v>33</v>
      </c>
      <c r="AX2760" s="148" t="s">
        <v>80</v>
      </c>
      <c r="AY2760" s="150" t="s">
        <v>337</v>
      </c>
    </row>
    <row r="2761" spans="2:65" s="172" customFormat="1" x14ac:dyDescent="0.2">
      <c r="B2761" s="173"/>
      <c r="D2761" s="143" t="s">
        <v>346</v>
      </c>
      <c r="E2761" s="174" t="s">
        <v>237</v>
      </c>
      <c r="F2761" s="175" t="s">
        <v>609</v>
      </c>
      <c r="H2761" s="176">
        <v>932.84</v>
      </c>
      <c r="L2761" s="173"/>
      <c r="M2761" s="177"/>
      <c r="T2761" s="178"/>
      <c r="AT2761" s="174" t="s">
        <v>346</v>
      </c>
      <c r="AU2761" s="174" t="s">
        <v>90</v>
      </c>
      <c r="AV2761" s="172" t="s">
        <v>113</v>
      </c>
      <c r="AW2761" s="172" t="s">
        <v>33</v>
      </c>
      <c r="AX2761" s="172" t="s">
        <v>87</v>
      </c>
      <c r="AY2761" s="174" t="s">
        <v>337</v>
      </c>
    </row>
    <row r="2762" spans="2:65" s="16" customFormat="1" ht="16.5" customHeight="1" x14ac:dyDescent="0.2">
      <c r="B2762" s="17"/>
      <c r="C2762" s="128">
        <v>196</v>
      </c>
      <c r="D2762" s="162" t="s">
        <v>519</v>
      </c>
      <c r="E2762" s="163" t="s">
        <v>2219</v>
      </c>
      <c r="F2762" s="164" t="s">
        <v>2220</v>
      </c>
      <c r="G2762" s="165" t="s">
        <v>425</v>
      </c>
      <c r="H2762" s="166">
        <v>1026.124</v>
      </c>
      <c r="I2762" s="167"/>
      <c r="J2762" s="168">
        <f>ROUND(I2762*H2762,2)</f>
        <v>0</v>
      </c>
      <c r="K2762" s="164" t="s">
        <v>343</v>
      </c>
      <c r="L2762" s="169"/>
      <c r="M2762" s="170"/>
      <c r="N2762" s="171" t="s">
        <v>45</v>
      </c>
      <c r="P2762" s="137">
        <f>O2762*H2762</f>
        <v>0</v>
      </c>
      <c r="Q2762" s="137">
        <v>1.8409999999999999E-2</v>
      </c>
      <c r="R2762" s="137">
        <f>Q2762*H2762</f>
        <v>18.890942840000001</v>
      </c>
      <c r="S2762" s="137">
        <v>0</v>
      </c>
      <c r="T2762" s="138">
        <f>S2762*H2762</f>
        <v>0</v>
      </c>
      <c r="AR2762" s="139" t="s">
        <v>621</v>
      </c>
      <c r="AT2762" s="139" t="s">
        <v>519</v>
      </c>
      <c r="AU2762" s="139" t="s">
        <v>90</v>
      </c>
      <c r="AY2762" s="2" t="s">
        <v>337</v>
      </c>
      <c r="BE2762" s="140">
        <f>IF(N2762="základní",J2762,0)</f>
        <v>0</v>
      </c>
      <c r="BF2762" s="140">
        <f>IF(N2762="snížená",J2762,0)</f>
        <v>0</v>
      </c>
      <c r="BG2762" s="140">
        <f>IF(N2762="zákl. přenesená",J2762,0)</f>
        <v>0</v>
      </c>
      <c r="BH2762" s="140">
        <f>IF(N2762="sníž. přenesená",J2762,0)</f>
        <v>0</v>
      </c>
      <c r="BI2762" s="140">
        <f>IF(N2762="nulová",J2762,0)</f>
        <v>0</v>
      </c>
      <c r="BJ2762" s="2" t="s">
        <v>87</v>
      </c>
      <c r="BK2762" s="140">
        <f>ROUND(I2762*H2762,2)</f>
        <v>0</v>
      </c>
      <c r="BL2762" s="2" t="s">
        <v>496</v>
      </c>
      <c r="BM2762" s="139" t="s">
        <v>2221</v>
      </c>
    </row>
    <row r="2763" spans="2:65" s="148" customFormat="1" x14ac:dyDescent="0.2">
      <c r="B2763" s="149"/>
      <c r="D2763" s="143" t="s">
        <v>346</v>
      </c>
      <c r="F2763" s="151" t="s">
        <v>2222</v>
      </c>
      <c r="H2763" s="152">
        <v>1026.124</v>
      </c>
      <c r="L2763" s="149"/>
      <c r="M2763" s="153"/>
      <c r="T2763" s="154"/>
      <c r="AT2763" s="150" t="s">
        <v>346</v>
      </c>
      <c r="AU2763" s="150" t="s">
        <v>90</v>
      </c>
      <c r="AV2763" s="148" t="s">
        <v>90</v>
      </c>
      <c r="AW2763" s="148" t="s">
        <v>3</v>
      </c>
      <c r="AX2763" s="148" t="s">
        <v>87</v>
      </c>
      <c r="AY2763" s="150" t="s">
        <v>337</v>
      </c>
    </row>
    <row r="2764" spans="2:65" s="16" customFormat="1" ht="21.75" customHeight="1" x14ac:dyDescent="0.2">
      <c r="B2764" s="17"/>
      <c r="C2764" s="128">
        <v>197</v>
      </c>
      <c r="D2764" s="128" t="s">
        <v>339</v>
      </c>
      <c r="E2764" s="129" t="s">
        <v>2223</v>
      </c>
      <c r="F2764" s="130" t="s">
        <v>2224</v>
      </c>
      <c r="G2764" s="131" t="s">
        <v>425</v>
      </c>
      <c r="H2764" s="132">
        <v>215.51</v>
      </c>
      <c r="I2764" s="133"/>
      <c r="J2764" s="134">
        <f>ROUND(I2764*H2764,2)</f>
        <v>0</v>
      </c>
      <c r="K2764" s="130" t="s">
        <v>343</v>
      </c>
      <c r="L2764" s="17"/>
      <c r="M2764" s="135"/>
      <c r="N2764" s="136" t="s">
        <v>45</v>
      </c>
      <c r="P2764" s="137">
        <f>O2764*H2764</f>
        <v>0</v>
      </c>
      <c r="Q2764" s="137">
        <v>5.62E-3</v>
      </c>
      <c r="R2764" s="137">
        <f>Q2764*H2764</f>
        <v>1.2111661999999999</v>
      </c>
      <c r="S2764" s="137">
        <v>0</v>
      </c>
      <c r="T2764" s="138">
        <f>S2764*H2764</f>
        <v>0</v>
      </c>
      <c r="AR2764" s="139" t="s">
        <v>496</v>
      </c>
      <c r="AT2764" s="139" t="s">
        <v>339</v>
      </c>
      <c r="AU2764" s="139" t="s">
        <v>90</v>
      </c>
      <c r="AY2764" s="2" t="s">
        <v>337</v>
      </c>
      <c r="BE2764" s="140">
        <f>IF(N2764="základní",J2764,0)</f>
        <v>0</v>
      </c>
      <c r="BF2764" s="140">
        <f>IF(N2764="snížená",J2764,0)</f>
        <v>0</v>
      </c>
      <c r="BG2764" s="140">
        <f>IF(N2764="zákl. přenesená",J2764,0)</f>
        <v>0</v>
      </c>
      <c r="BH2764" s="140">
        <f>IF(N2764="sníž. přenesená",J2764,0)</f>
        <v>0</v>
      </c>
      <c r="BI2764" s="140">
        <f>IF(N2764="nulová",J2764,0)</f>
        <v>0</v>
      </c>
      <c r="BJ2764" s="2" t="s">
        <v>87</v>
      </c>
      <c r="BK2764" s="140">
        <f>ROUND(I2764*H2764,2)</f>
        <v>0</v>
      </c>
      <c r="BL2764" s="2" t="s">
        <v>496</v>
      </c>
      <c r="BM2764" s="139" t="s">
        <v>2225</v>
      </c>
    </row>
    <row r="2765" spans="2:65" s="141" customFormat="1" x14ac:dyDescent="0.2">
      <c r="B2765" s="142"/>
      <c r="D2765" s="143" t="s">
        <v>346</v>
      </c>
      <c r="E2765" s="144"/>
      <c r="F2765" s="145" t="s">
        <v>2226</v>
      </c>
      <c r="H2765" s="144"/>
      <c r="L2765" s="142"/>
      <c r="M2765" s="146"/>
      <c r="T2765" s="147"/>
      <c r="AT2765" s="144" t="s">
        <v>346</v>
      </c>
      <c r="AU2765" s="144" t="s">
        <v>90</v>
      </c>
      <c r="AV2765" s="141" t="s">
        <v>87</v>
      </c>
      <c r="AW2765" s="141" t="s">
        <v>33</v>
      </c>
      <c r="AX2765" s="141" t="s">
        <v>80</v>
      </c>
      <c r="AY2765" s="144" t="s">
        <v>337</v>
      </c>
    </row>
    <row r="2766" spans="2:65" s="141" customFormat="1" x14ac:dyDescent="0.2">
      <c r="B2766" s="142"/>
      <c r="D2766" s="143" t="s">
        <v>346</v>
      </c>
      <c r="E2766" s="144"/>
      <c r="F2766" s="145" t="s">
        <v>680</v>
      </c>
      <c r="H2766" s="144"/>
      <c r="L2766" s="142"/>
      <c r="M2766" s="146"/>
      <c r="T2766" s="147"/>
      <c r="AT2766" s="144" t="s">
        <v>346</v>
      </c>
      <c r="AU2766" s="144" t="s">
        <v>90</v>
      </c>
      <c r="AV2766" s="141" t="s">
        <v>87</v>
      </c>
      <c r="AW2766" s="141" t="s">
        <v>33</v>
      </c>
      <c r="AX2766" s="141" t="s">
        <v>80</v>
      </c>
      <c r="AY2766" s="144" t="s">
        <v>337</v>
      </c>
    </row>
    <row r="2767" spans="2:65" s="148" customFormat="1" x14ac:dyDescent="0.2">
      <c r="B2767" s="149"/>
      <c r="D2767" s="143" t="s">
        <v>346</v>
      </c>
      <c r="E2767" s="150"/>
      <c r="F2767" s="151" t="s">
        <v>2227</v>
      </c>
      <c r="H2767" s="152">
        <v>210.51</v>
      </c>
      <c r="L2767" s="149"/>
      <c r="M2767" s="153"/>
      <c r="T2767" s="154"/>
      <c r="AT2767" s="150" t="s">
        <v>346</v>
      </c>
      <c r="AU2767" s="150" t="s">
        <v>90</v>
      </c>
      <c r="AV2767" s="148" t="s">
        <v>90</v>
      </c>
      <c r="AW2767" s="148" t="s">
        <v>33</v>
      </c>
      <c r="AX2767" s="148" t="s">
        <v>80</v>
      </c>
      <c r="AY2767" s="150" t="s">
        <v>337</v>
      </c>
    </row>
    <row r="2768" spans="2:65" s="141" customFormat="1" x14ac:dyDescent="0.2">
      <c r="B2768" s="142"/>
      <c r="D2768" s="143" t="s">
        <v>346</v>
      </c>
      <c r="E2768" s="144"/>
      <c r="F2768" s="145" t="s">
        <v>716</v>
      </c>
      <c r="H2768" s="144"/>
      <c r="L2768" s="142"/>
      <c r="M2768" s="146"/>
      <c r="T2768" s="147"/>
      <c r="AT2768" s="144" t="s">
        <v>346</v>
      </c>
      <c r="AU2768" s="144" t="s">
        <v>90</v>
      </c>
      <c r="AV2768" s="141" t="s">
        <v>87</v>
      </c>
      <c r="AW2768" s="141" t="s">
        <v>33</v>
      </c>
      <c r="AX2768" s="141" t="s">
        <v>80</v>
      </c>
      <c r="AY2768" s="144" t="s">
        <v>337</v>
      </c>
    </row>
    <row r="2769" spans="2:65" s="148" customFormat="1" x14ac:dyDescent="0.2">
      <c r="B2769" s="149"/>
      <c r="D2769" s="143" t="s">
        <v>346</v>
      </c>
      <c r="E2769" s="150"/>
      <c r="F2769" s="151" t="s">
        <v>2228</v>
      </c>
      <c r="H2769" s="152">
        <v>5</v>
      </c>
      <c r="L2769" s="149"/>
      <c r="M2769" s="153"/>
      <c r="T2769" s="154"/>
      <c r="AT2769" s="150" t="s">
        <v>346</v>
      </c>
      <c r="AU2769" s="150" t="s">
        <v>90</v>
      </c>
      <c r="AV2769" s="148" t="s">
        <v>90</v>
      </c>
      <c r="AW2769" s="148" t="s">
        <v>33</v>
      </c>
      <c r="AX2769" s="148" t="s">
        <v>80</v>
      </c>
      <c r="AY2769" s="150" t="s">
        <v>337</v>
      </c>
    </row>
    <row r="2770" spans="2:65" s="172" customFormat="1" x14ac:dyDescent="0.2">
      <c r="B2770" s="173"/>
      <c r="D2770" s="143" t="s">
        <v>346</v>
      </c>
      <c r="E2770" s="174" t="s">
        <v>239</v>
      </c>
      <c r="F2770" s="175" t="s">
        <v>609</v>
      </c>
      <c r="H2770" s="176">
        <v>215.51</v>
      </c>
      <c r="L2770" s="173"/>
      <c r="M2770" s="177"/>
      <c r="T2770" s="178"/>
      <c r="AT2770" s="174" t="s">
        <v>346</v>
      </c>
      <c r="AU2770" s="174" t="s">
        <v>90</v>
      </c>
      <c r="AV2770" s="172" t="s">
        <v>113</v>
      </c>
      <c r="AW2770" s="172" t="s">
        <v>33</v>
      </c>
      <c r="AX2770" s="172" t="s">
        <v>87</v>
      </c>
      <c r="AY2770" s="174" t="s">
        <v>337</v>
      </c>
    </row>
    <row r="2771" spans="2:65" s="16" customFormat="1" ht="16.5" customHeight="1" x14ac:dyDescent="0.2">
      <c r="B2771" s="17"/>
      <c r="C2771" s="128">
        <v>198</v>
      </c>
      <c r="D2771" s="162" t="s">
        <v>519</v>
      </c>
      <c r="E2771" s="163" t="s">
        <v>2230</v>
      </c>
      <c r="F2771" s="164" t="s">
        <v>2231</v>
      </c>
      <c r="G2771" s="165" t="s">
        <v>425</v>
      </c>
      <c r="H2771" s="166">
        <v>247.04</v>
      </c>
      <c r="I2771" s="167"/>
      <c r="J2771" s="168">
        <f>ROUND(I2771*H2771,2)</f>
        <v>0</v>
      </c>
      <c r="K2771" s="164"/>
      <c r="L2771" s="169"/>
      <c r="M2771" s="170"/>
      <c r="N2771" s="171" t="s">
        <v>45</v>
      </c>
      <c r="P2771" s="137">
        <f>O2771*H2771</f>
        <v>0</v>
      </c>
      <c r="Q2771" s="137">
        <v>1.8409999999999999E-2</v>
      </c>
      <c r="R2771" s="137">
        <f>Q2771*H2771</f>
        <v>4.5480063999999993</v>
      </c>
      <c r="S2771" s="137">
        <v>0</v>
      </c>
      <c r="T2771" s="138">
        <f>S2771*H2771</f>
        <v>0</v>
      </c>
      <c r="AR2771" s="139" t="s">
        <v>621</v>
      </c>
      <c r="AT2771" s="139" t="s">
        <v>519</v>
      </c>
      <c r="AU2771" s="139" t="s">
        <v>90</v>
      </c>
      <c r="AY2771" s="2" t="s">
        <v>337</v>
      </c>
      <c r="BE2771" s="140">
        <f>IF(N2771="základní",J2771,0)</f>
        <v>0</v>
      </c>
      <c r="BF2771" s="140">
        <f>IF(N2771="snížená",J2771,0)</f>
        <v>0</v>
      </c>
      <c r="BG2771" s="140">
        <f>IF(N2771="zákl. přenesená",J2771,0)</f>
        <v>0</v>
      </c>
      <c r="BH2771" s="140">
        <f>IF(N2771="sníž. přenesená",J2771,0)</f>
        <v>0</v>
      </c>
      <c r="BI2771" s="140">
        <f>IF(N2771="nulová",J2771,0)</f>
        <v>0</v>
      </c>
      <c r="BJ2771" s="2" t="s">
        <v>87</v>
      </c>
      <c r="BK2771" s="140">
        <f>ROUND(I2771*H2771,2)</f>
        <v>0</v>
      </c>
      <c r="BL2771" s="2" t="s">
        <v>496</v>
      </c>
      <c r="BM2771" s="139" t="s">
        <v>2232</v>
      </c>
    </row>
    <row r="2772" spans="2:65" s="148" customFormat="1" x14ac:dyDescent="0.2">
      <c r="B2772" s="149"/>
      <c r="D2772" s="143" t="s">
        <v>346</v>
      </c>
      <c r="E2772" s="150"/>
      <c r="F2772" s="151" t="s">
        <v>239</v>
      </c>
      <c r="H2772" s="152">
        <v>215.51</v>
      </c>
      <c r="L2772" s="149"/>
      <c r="M2772" s="153"/>
      <c r="T2772" s="154"/>
      <c r="AT2772" s="150" t="s">
        <v>346</v>
      </c>
      <c r="AU2772" s="150" t="s">
        <v>90</v>
      </c>
      <c r="AV2772" s="148" t="s">
        <v>90</v>
      </c>
      <c r="AW2772" s="148" t="s">
        <v>33</v>
      </c>
      <c r="AX2772" s="148" t="s">
        <v>80</v>
      </c>
      <c r="AY2772" s="150" t="s">
        <v>337</v>
      </c>
    </row>
    <row r="2773" spans="2:65" s="141" customFormat="1" x14ac:dyDescent="0.2">
      <c r="B2773" s="142"/>
      <c r="D2773" s="143" t="s">
        <v>346</v>
      </c>
      <c r="E2773" s="144"/>
      <c r="F2773" s="145" t="s">
        <v>2233</v>
      </c>
      <c r="H2773" s="144"/>
      <c r="L2773" s="142"/>
      <c r="M2773" s="146"/>
      <c r="T2773" s="147"/>
      <c r="AT2773" s="144" t="s">
        <v>346</v>
      </c>
      <c r="AU2773" s="144" t="s">
        <v>90</v>
      </c>
      <c r="AV2773" s="141" t="s">
        <v>87</v>
      </c>
      <c r="AW2773" s="141" t="s">
        <v>33</v>
      </c>
      <c r="AX2773" s="141" t="s">
        <v>80</v>
      </c>
      <c r="AY2773" s="144" t="s">
        <v>337</v>
      </c>
    </row>
    <row r="2774" spans="2:65" s="141" customFormat="1" x14ac:dyDescent="0.2">
      <c r="B2774" s="142"/>
      <c r="D2774" s="143" t="s">
        <v>346</v>
      </c>
      <c r="E2774" s="144"/>
      <c r="F2774" s="145" t="s">
        <v>2234</v>
      </c>
      <c r="H2774" s="144"/>
      <c r="L2774" s="142"/>
      <c r="M2774" s="146"/>
      <c r="T2774" s="147"/>
      <c r="AT2774" s="144" t="s">
        <v>346</v>
      </c>
      <c r="AU2774" s="144" t="s">
        <v>90</v>
      </c>
      <c r="AV2774" s="141" t="s">
        <v>87</v>
      </c>
      <c r="AW2774" s="141" t="s">
        <v>33</v>
      </c>
      <c r="AX2774" s="141" t="s">
        <v>80</v>
      </c>
      <c r="AY2774" s="144" t="s">
        <v>337</v>
      </c>
    </row>
    <row r="2775" spans="2:65" s="148" customFormat="1" x14ac:dyDescent="0.2">
      <c r="B2775" s="149"/>
      <c r="D2775" s="143" t="s">
        <v>346</v>
      </c>
      <c r="E2775" s="150"/>
      <c r="F2775" s="151" t="s">
        <v>2235</v>
      </c>
      <c r="H2775" s="152">
        <v>0.46</v>
      </c>
      <c r="L2775" s="149"/>
      <c r="M2775" s="153"/>
      <c r="T2775" s="154"/>
      <c r="AT2775" s="150" t="s">
        <v>346</v>
      </c>
      <c r="AU2775" s="150" t="s">
        <v>90</v>
      </c>
      <c r="AV2775" s="148" t="s">
        <v>90</v>
      </c>
      <c r="AW2775" s="148" t="s">
        <v>33</v>
      </c>
      <c r="AX2775" s="148" t="s">
        <v>80</v>
      </c>
      <c r="AY2775" s="150" t="s">
        <v>337</v>
      </c>
    </row>
    <row r="2776" spans="2:65" s="148" customFormat="1" x14ac:dyDescent="0.2">
      <c r="B2776" s="149"/>
      <c r="D2776" s="143" t="s">
        <v>346</v>
      </c>
      <c r="E2776" s="150"/>
      <c r="F2776" s="151" t="s">
        <v>2236</v>
      </c>
      <c r="H2776" s="152">
        <v>-0.21</v>
      </c>
      <c r="L2776" s="149"/>
      <c r="M2776" s="153"/>
      <c r="T2776" s="154"/>
      <c r="AT2776" s="150" t="s">
        <v>346</v>
      </c>
      <c r="AU2776" s="150" t="s">
        <v>90</v>
      </c>
      <c r="AV2776" s="148" t="s">
        <v>90</v>
      </c>
      <c r="AW2776" s="148" t="s">
        <v>33</v>
      </c>
      <c r="AX2776" s="148" t="s">
        <v>80</v>
      </c>
      <c r="AY2776" s="150" t="s">
        <v>337</v>
      </c>
    </row>
    <row r="2777" spans="2:65" s="148" customFormat="1" x14ac:dyDescent="0.2">
      <c r="B2777" s="149"/>
      <c r="D2777" s="143" t="s">
        <v>346</v>
      </c>
      <c r="E2777" s="150"/>
      <c r="F2777" s="151" t="s">
        <v>2237</v>
      </c>
      <c r="H2777" s="152">
        <v>0.182</v>
      </c>
      <c r="L2777" s="149"/>
      <c r="M2777" s="153"/>
      <c r="T2777" s="154"/>
      <c r="AT2777" s="150" t="s">
        <v>346</v>
      </c>
      <c r="AU2777" s="150" t="s">
        <v>90</v>
      </c>
      <c r="AV2777" s="148" t="s">
        <v>90</v>
      </c>
      <c r="AW2777" s="148" t="s">
        <v>33</v>
      </c>
      <c r="AX2777" s="148" t="s">
        <v>80</v>
      </c>
      <c r="AY2777" s="150" t="s">
        <v>337</v>
      </c>
    </row>
    <row r="2778" spans="2:65" s="148" customFormat="1" x14ac:dyDescent="0.2">
      <c r="B2778" s="149"/>
      <c r="D2778" s="143" t="s">
        <v>346</v>
      </c>
      <c r="E2778" s="150"/>
      <c r="F2778" s="151" t="s">
        <v>2238</v>
      </c>
      <c r="H2778" s="152">
        <v>-0.14000000000000001</v>
      </c>
      <c r="L2778" s="149"/>
      <c r="M2778" s="153"/>
      <c r="T2778" s="154"/>
      <c r="AT2778" s="150" t="s">
        <v>346</v>
      </c>
      <c r="AU2778" s="150" t="s">
        <v>90</v>
      </c>
      <c r="AV2778" s="148" t="s">
        <v>90</v>
      </c>
      <c r="AW2778" s="148" t="s">
        <v>33</v>
      </c>
      <c r="AX2778" s="148" t="s">
        <v>80</v>
      </c>
      <c r="AY2778" s="150" t="s">
        <v>337</v>
      </c>
    </row>
    <row r="2779" spans="2:65" s="141" customFormat="1" x14ac:dyDescent="0.2">
      <c r="B2779" s="142"/>
      <c r="D2779" s="143" t="s">
        <v>346</v>
      </c>
      <c r="E2779" s="144"/>
      <c r="F2779" s="145" t="s">
        <v>2239</v>
      </c>
      <c r="H2779" s="144"/>
      <c r="L2779" s="142"/>
      <c r="M2779" s="146"/>
      <c r="T2779" s="147"/>
      <c r="AT2779" s="144" t="s">
        <v>346</v>
      </c>
      <c r="AU2779" s="144" t="s">
        <v>90</v>
      </c>
      <c r="AV2779" s="141" t="s">
        <v>87</v>
      </c>
      <c r="AW2779" s="141" t="s">
        <v>33</v>
      </c>
      <c r="AX2779" s="141" t="s">
        <v>80</v>
      </c>
      <c r="AY2779" s="144" t="s">
        <v>337</v>
      </c>
    </row>
    <row r="2780" spans="2:65" s="148" customFormat="1" x14ac:dyDescent="0.2">
      <c r="B2780" s="149"/>
      <c r="D2780" s="143" t="s">
        <v>346</v>
      </c>
      <c r="E2780" s="150"/>
      <c r="F2780" s="151" t="s">
        <v>2240</v>
      </c>
      <c r="H2780" s="152">
        <v>1.4370000000000001</v>
      </c>
      <c r="L2780" s="149"/>
      <c r="M2780" s="153"/>
      <c r="T2780" s="154"/>
      <c r="AT2780" s="150" t="s">
        <v>346</v>
      </c>
      <c r="AU2780" s="150" t="s">
        <v>90</v>
      </c>
      <c r="AV2780" s="148" t="s">
        <v>90</v>
      </c>
      <c r="AW2780" s="148" t="s">
        <v>33</v>
      </c>
      <c r="AX2780" s="148" t="s">
        <v>80</v>
      </c>
      <c r="AY2780" s="150" t="s">
        <v>337</v>
      </c>
    </row>
    <row r="2781" spans="2:65" s="141" customFormat="1" x14ac:dyDescent="0.2">
      <c r="B2781" s="142"/>
      <c r="D2781" s="143" t="s">
        <v>346</v>
      </c>
      <c r="E2781" s="144"/>
      <c r="F2781" s="145" t="s">
        <v>2241</v>
      </c>
      <c r="H2781" s="144"/>
      <c r="L2781" s="142"/>
      <c r="M2781" s="146"/>
      <c r="T2781" s="147"/>
      <c r="AT2781" s="144" t="s">
        <v>346</v>
      </c>
      <c r="AU2781" s="144" t="s">
        <v>90</v>
      </c>
      <c r="AV2781" s="141" t="s">
        <v>87</v>
      </c>
      <c r="AW2781" s="141" t="s">
        <v>33</v>
      </c>
      <c r="AX2781" s="141" t="s">
        <v>80</v>
      </c>
      <c r="AY2781" s="144" t="s">
        <v>337</v>
      </c>
    </row>
    <row r="2782" spans="2:65" s="148" customFormat="1" x14ac:dyDescent="0.2">
      <c r="B2782" s="149"/>
      <c r="D2782" s="143" t="s">
        <v>346</v>
      </c>
      <c r="E2782" s="150"/>
      <c r="F2782" s="151" t="s">
        <v>2242</v>
      </c>
      <c r="H2782" s="152">
        <v>4.8</v>
      </c>
      <c r="L2782" s="149"/>
      <c r="M2782" s="153"/>
      <c r="T2782" s="154"/>
      <c r="AT2782" s="150" t="s">
        <v>346</v>
      </c>
      <c r="AU2782" s="150" t="s">
        <v>90</v>
      </c>
      <c r="AV2782" s="148" t="s">
        <v>90</v>
      </c>
      <c r="AW2782" s="148" t="s">
        <v>33</v>
      </c>
      <c r="AX2782" s="148" t="s">
        <v>80</v>
      </c>
      <c r="AY2782" s="150" t="s">
        <v>337</v>
      </c>
    </row>
    <row r="2783" spans="2:65" s="141" customFormat="1" x14ac:dyDescent="0.2">
      <c r="B2783" s="142"/>
      <c r="D2783" s="143" t="s">
        <v>346</v>
      </c>
      <c r="E2783" s="144"/>
      <c r="F2783" s="145" t="s">
        <v>2243</v>
      </c>
      <c r="H2783" s="144"/>
      <c r="L2783" s="142"/>
      <c r="M2783" s="146"/>
      <c r="T2783" s="147"/>
      <c r="AT2783" s="144" t="s">
        <v>346</v>
      </c>
      <c r="AU2783" s="144" t="s">
        <v>90</v>
      </c>
      <c r="AV2783" s="141" t="s">
        <v>87</v>
      </c>
      <c r="AW2783" s="141" t="s">
        <v>33</v>
      </c>
      <c r="AX2783" s="141" t="s">
        <v>80</v>
      </c>
      <c r="AY2783" s="144" t="s">
        <v>337</v>
      </c>
    </row>
    <row r="2784" spans="2:65" s="148" customFormat="1" x14ac:dyDescent="0.2">
      <c r="B2784" s="149"/>
      <c r="D2784" s="143" t="s">
        <v>346</v>
      </c>
      <c r="E2784" s="150"/>
      <c r="F2784" s="151" t="s">
        <v>2244</v>
      </c>
      <c r="H2784" s="152">
        <v>1.37</v>
      </c>
      <c r="L2784" s="149"/>
      <c r="M2784" s="153"/>
      <c r="T2784" s="154"/>
      <c r="AT2784" s="150" t="s">
        <v>346</v>
      </c>
      <c r="AU2784" s="150" t="s">
        <v>90</v>
      </c>
      <c r="AV2784" s="148" t="s">
        <v>90</v>
      </c>
      <c r="AW2784" s="148" t="s">
        <v>33</v>
      </c>
      <c r="AX2784" s="148" t="s">
        <v>80</v>
      </c>
      <c r="AY2784" s="150" t="s">
        <v>337</v>
      </c>
    </row>
    <row r="2785" spans="2:65" s="148" customFormat="1" x14ac:dyDescent="0.2">
      <c r="B2785" s="149"/>
      <c r="D2785" s="143" t="s">
        <v>346</v>
      </c>
      <c r="E2785" s="150"/>
      <c r="F2785" s="151" t="s">
        <v>2245</v>
      </c>
      <c r="H2785" s="152">
        <v>-0.08</v>
      </c>
      <c r="L2785" s="149"/>
      <c r="M2785" s="153"/>
      <c r="T2785" s="154"/>
      <c r="AT2785" s="150" t="s">
        <v>346</v>
      </c>
      <c r="AU2785" s="150" t="s">
        <v>90</v>
      </c>
      <c r="AV2785" s="148" t="s">
        <v>90</v>
      </c>
      <c r="AW2785" s="148" t="s">
        <v>33</v>
      </c>
      <c r="AX2785" s="148" t="s">
        <v>80</v>
      </c>
      <c r="AY2785" s="150" t="s">
        <v>337</v>
      </c>
    </row>
    <row r="2786" spans="2:65" s="148" customFormat="1" x14ac:dyDescent="0.2">
      <c r="B2786" s="149"/>
      <c r="D2786" s="143" t="s">
        <v>346</v>
      </c>
      <c r="E2786" s="150"/>
      <c r="F2786" s="151" t="s">
        <v>2246</v>
      </c>
      <c r="H2786" s="152">
        <v>-0.09</v>
      </c>
      <c r="L2786" s="149"/>
      <c r="M2786" s="153"/>
      <c r="T2786" s="154"/>
      <c r="AT2786" s="150" t="s">
        <v>346</v>
      </c>
      <c r="AU2786" s="150" t="s">
        <v>90</v>
      </c>
      <c r="AV2786" s="148" t="s">
        <v>90</v>
      </c>
      <c r="AW2786" s="148" t="s">
        <v>33</v>
      </c>
      <c r="AX2786" s="148" t="s">
        <v>80</v>
      </c>
      <c r="AY2786" s="150" t="s">
        <v>337</v>
      </c>
    </row>
    <row r="2787" spans="2:65" s="141" customFormat="1" x14ac:dyDescent="0.2">
      <c r="B2787" s="142"/>
      <c r="D2787" s="143" t="s">
        <v>346</v>
      </c>
      <c r="E2787" s="144"/>
      <c r="F2787" s="145" t="s">
        <v>2241</v>
      </c>
      <c r="H2787" s="144"/>
      <c r="L2787" s="142"/>
      <c r="M2787" s="146"/>
      <c r="T2787" s="147"/>
      <c r="AT2787" s="144" t="s">
        <v>346</v>
      </c>
      <c r="AU2787" s="144" t="s">
        <v>90</v>
      </c>
      <c r="AV2787" s="141" t="s">
        <v>87</v>
      </c>
      <c r="AW2787" s="141" t="s">
        <v>33</v>
      </c>
      <c r="AX2787" s="141" t="s">
        <v>80</v>
      </c>
      <c r="AY2787" s="144" t="s">
        <v>337</v>
      </c>
    </row>
    <row r="2788" spans="2:65" s="148" customFormat="1" x14ac:dyDescent="0.2">
      <c r="B2788" s="149"/>
      <c r="D2788" s="143" t="s">
        <v>346</v>
      </c>
      <c r="E2788" s="150"/>
      <c r="F2788" s="151" t="s">
        <v>2247</v>
      </c>
      <c r="H2788" s="152">
        <v>0.48</v>
      </c>
      <c r="L2788" s="149"/>
      <c r="M2788" s="153"/>
      <c r="T2788" s="154"/>
      <c r="AT2788" s="150" t="s">
        <v>346</v>
      </c>
      <c r="AU2788" s="150" t="s">
        <v>90</v>
      </c>
      <c r="AV2788" s="148" t="s">
        <v>90</v>
      </c>
      <c r="AW2788" s="148" t="s">
        <v>33</v>
      </c>
      <c r="AX2788" s="148" t="s">
        <v>80</v>
      </c>
      <c r="AY2788" s="150" t="s">
        <v>337</v>
      </c>
    </row>
    <row r="2789" spans="2:65" s="141" customFormat="1" x14ac:dyDescent="0.2">
      <c r="B2789" s="142"/>
      <c r="D2789" s="143" t="s">
        <v>346</v>
      </c>
      <c r="E2789" s="144"/>
      <c r="F2789" s="145" t="s">
        <v>2248</v>
      </c>
      <c r="H2789" s="144"/>
      <c r="L2789" s="142"/>
      <c r="M2789" s="146"/>
      <c r="T2789" s="147"/>
      <c r="AT2789" s="144" t="s">
        <v>346</v>
      </c>
      <c r="AU2789" s="144" t="s">
        <v>90</v>
      </c>
      <c r="AV2789" s="141" t="s">
        <v>87</v>
      </c>
      <c r="AW2789" s="141" t="s">
        <v>33</v>
      </c>
      <c r="AX2789" s="141" t="s">
        <v>80</v>
      </c>
      <c r="AY2789" s="144" t="s">
        <v>337</v>
      </c>
    </row>
    <row r="2790" spans="2:65" s="148" customFormat="1" x14ac:dyDescent="0.2">
      <c r="B2790" s="149"/>
      <c r="D2790" s="143" t="s">
        <v>346</v>
      </c>
      <c r="E2790" s="150"/>
      <c r="F2790" s="151" t="s">
        <v>2249</v>
      </c>
      <c r="H2790" s="152">
        <v>0.93300000000000005</v>
      </c>
      <c r="L2790" s="149"/>
      <c r="M2790" s="153"/>
      <c r="T2790" s="154"/>
      <c r="AT2790" s="150" t="s">
        <v>346</v>
      </c>
      <c r="AU2790" s="150" t="s">
        <v>90</v>
      </c>
      <c r="AV2790" s="148" t="s">
        <v>90</v>
      </c>
      <c r="AW2790" s="148" t="s">
        <v>33</v>
      </c>
      <c r="AX2790" s="148" t="s">
        <v>80</v>
      </c>
      <c r="AY2790" s="150" t="s">
        <v>337</v>
      </c>
    </row>
    <row r="2791" spans="2:65" s="148" customFormat="1" x14ac:dyDescent="0.2">
      <c r="B2791" s="149"/>
      <c r="D2791" s="143" t="s">
        <v>346</v>
      </c>
      <c r="E2791" s="150"/>
      <c r="F2791" s="151" t="s">
        <v>2250</v>
      </c>
      <c r="H2791" s="152">
        <v>-7.0000000000000007E-2</v>
      </c>
      <c r="L2791" s="149"/>
      <c r="M2791" s="153"/>
      <c r="T2791" s="154"/>
      <c r="AT2791" s="150" t="s">
        <v>346</v>
      </c>
      <c r="AU2791" s="150" t="s">
        <v>90</v>
      </c>
      <c r="AV2791" s="148" t="s">
        <v>90</v>
      </c>
      <c r="AW2791" s="148" t="s">
        <v>33</v>
      </c>
      <c r="AX2791" s="148" t="s">
        <v>80</v>
      </c>
      <c r="AY2791" s="150" t="s">
        <v>337</v>
      </c>
    </row>
    <row r="2792" spans="2:65" s="155" customFormat="1" x14ac:dyDescent="0.2">
      <c r="B2792" s="156"/>
      <c r="D2792" s="143" t="s">
        <v>346</v>
      </c>
      <c r="E2792" s="157"/>
      <c r="F2792" s="158" t="s">
        <v>351</v>
      </c>
      <c r="H2792" s="159">
        <v>224.58199999999999</v>
      </c>
      <c r="L2792" s="156"/>
      <c r="M2792" s="160"/>
      <c r="T2792" s="161"/>
      <c r="AT2792" s="157" t="s">
        <v>346</v>
      </c>
      <c r="AU2792" s="157" t="s">
        <v>90</v>
      </c>
      <c r="AV2792" s="155" t="s">
        <v>344</v>
      </c>
      <c r="AW2792" s="155" t="s">
        <v>33</v>
      </c>
      <c r="AX2792" s="155" t="s">
        <v>87</v>
      </c>
      <c r="AY2792" s="157" t="s">
        <v>337</v>
      </c>
    </row>
    <row r="2793" spans="2:65" s="148" customFormat="1" x14ac:dyDescent="0.2">
      <c r="B2793" s="149"/>
      <c r="D2793" s="143" t="s">
        <v>346</v>
      </c>
      <c r="F2793" s="151" t="s">
        <v>2251</v>
      </c>
      <c r="H2793" s="152">
        <v>247.04</v>
      </c>
      <c r="L2793" s="149"/>
      <c r="M2793" s="153"/>
      <c r="T2793" s="154"/>
      <c r="AT2793" s="150" t="s">
        <v>346</v>
      </c>
      <c r="AU2793" s="150" t="s">
        <v>90</v>
      </c>
      <c r="AV2793" s="148" t="s">
        <v>90</v>
      </c>
      <c r="AW2793" s="148" t="s">
        <v>3</v>
      </c>
      <c r="AX2793" s="148" t="s">
        <v>87</v>
      </c>
      <c r="AY2793" s="150" t="s">
        <v>337</v>
      </c>
    </row>
    <row r="2794" spans="2:65" s="16" customFormat="1" ht="16.5" customHeight="1" x14ac:dyDescent="0.2">
      <c r="B2794" s="17"/>
      <c r="C2794" s="128">
        <v>199</v>
      </c>
      <c r="D2794" s="128" t="s">
        <v>339</v>
      </c>
      <c r="E2794" s="129" t="s">
        <v>2252</v>
      </c>
      <c r="F2794" s="130" t="s">
        <v>2253</v>
      </c>
      <c r="G2794" s="131" t="s">
        <v>724</v>
      </c>
      <c r="H2794" s="132">
        <v>111.4</v>
      </c>
      <c r="I2794" s="133"/>
      <c r="J2794" s="134">
        <f>ROUND(I2794*H2794,2)</f>
        <v>0</v>
      </c>
      <c r="K2794" s="130" t="s">
        <v>343</v>
      </c>
      <c r="L2794" s="17"/>
      <c r="M2794" s="135"/>
      <c r="N2794" s="136" t="s">
        <v>45</v>
      </c>
      <c r="P2794" s="137">
        <f>O2794*H2794</f>
        <v>0</v>
      </c>
      <c r="Q2794" s="137">
        <v>2.0000000000000001E-4</v>
      </c>
      <c r="R2794" s="137">
        <f>Q2794*H2794</f>
        <v>2.2280000000000001E-2</v>
      </c>
      <c r="S2794" s="137">
        <v>0</v>
      </c>
      <c r="T2794" s="138">
        <f>S2794*H2794</f>
        <v>0</v>
      </c>
      <c r="AR2794" s="139" t="s">
        <v>496</v>
      </c>
      <c r="AT2794" s="139" t="s">
        <v>339</v>
      </c>
      <c r="AU2794" s="139" t="s">
        <v>90</v>
      </c>
      <c r="AY2794" s="2" t="s">
        <v>337</v>
      </c>
      <c r="BE2794" s="140">
        <f>IF(N2794="základní",J2794,0)</f>
        <v>0</v>
      </c>
      <c r="BF2794" s="140">
        <f>IF(N2794="snížená",J2794,0)</f>
        <v>0</v>
      </c>
      <c r="BG2794" s="140">
        <f>IF(N2794="zákl. přenesená",J2794,0)</f>
        <v>0</v>
      </c>
      <c r="BH2794" s="140">
        <f>IF(N2794="sníž. přenesená",J2794,0)</f>
        <v>0</v>
      </c>
      <c r="BI2794" s="140">
        <f>IF(N2794="nulová",J2794,0)</f>
        <v>0</v>
      </c>
      <c r="BJ2794" s="2" t="s">
        <v>87</v>
      </c>
      <c r="BK2794" s="140">
        <f>ROUND(I2794*H2794,2)</f>
        <v>0</v>
      </c>
      <c r="BL2794" s="2" t="s">
        <v>496</v>
      </c>
      <c r="BM2794" s="139" t="s">
        <v>2254</v>
      </c>
    </row>
    <row r="2795" spans="2:65" s="141" customFormat="1" x14ac:dyDescent="0.2">
      <c r="B2795" s="142"/>
      <c r="D2795" s="143" t="s">
        <v>346</v>
      </c>
      <c r="E2795" s="144"/>
      <c r="F2795" s="145" t="s">
        <v>2255</v>
      </c>
      <c r="H2795" s="144"/>
      <c r="L2795" s="142"/>
      <c r="M2795" s="146"/>
      <c r="T2795" s="147"/>
      <c r="AT2795" s="144" t="s">
        <v>346</v>
      </c>
      <c r="AU2795" s="144" t="s">
        <v>90</v>
      </c>
      <c r="AV2795" s="141" t="s">
        <v>87</v>
      </c>
      <c r="AW2795" s="141" t="s">
        <v>33</v>
      </c>
      <c r="AX2795" s="141" t="s">
        <v>80</v>
      </c>
      <c r="AY2795" s="144" t="s">
        <v>337</v>
      </c>
    </row>
    <row r="2796" spans="2:65" s="141" customFormat="1" x14ac:dyDescent="0.2">
      <c r="B2796" s="142"/>
      <c r="D2796" s="143" t="s">
        <v>346</v>
      </c>
      <c r="E2796" s="144"/>
      <c r="F2796" s="145" t="s">
        <v>362</v>
      </c>
      <c r="H2796" s="144"/>
      <c r="L2796" s="142"/>
      <c r="M2796" s="146"/>
      <c r="T2796" s="147"/>
      <c r="AT2796" s="144" t="s">
        <v>346</v>
      </c>
      <c r="AU2796" s="144" t="s">
        <v>90</v>
      </c>
      <c r="AV2796" s="141" t="s">
        <v>87</v>
      </c>
      <c r="AW2796" s="141" t="s">
        <v>33</v>
      </c>
      <c r="AX2796" s="141" t="s">
        <v>80</v>
      </c>
      <c r="AY2796" s="144" t="s">
        <v>337</v>
      </c>
    </row>
    <row r="2797" spans="2:65" s="148" customFormat="1" x14ac:dyDescent="0.2">
      <c r="B2797" s="149"/>
      <c r="D2797" s="143" t="s">
        <v>346</v>
      </c>
      <c r="E2797" s="150"/>
      <c r="F2797" s="151" t="s">
        <v>2256</v>
      </c>
      <c r="H2797" s="152">
        <v>14</v>
      </c>
      <c r="L2797" s="149"/>
      <c r="M2797" s="153"/>
      <c r="T2797" s="154"/>
      <c r="AT2797" s="150" t="s">
        <v>346</v>
      </c>
      <c r="AU2797" s="150" t="s">
        <v>90</v>
      </c>
      <c r="AV2797" s="148" t="s">
        <v>90</v>
      </c>
      <c r="AW2797" s="148" t="s">
        <v>33</v>
      </c>
      <c r="AX2797" s="148" t="s">
        <v>80</v>
      </c>
      <c r="AY2797" s="150" t="s">
        <v>337</v>
      </c>
    </row>
    <row r="2798" spans="2:65" s="148" customFormat="1" x14ac:dyDescent="0.2">
      <c r="B2798" s="149"/>
      <c r="D2798" s="143" t="s">
        <v>346</v>
      </c>
      <c r="E2798" s="150"/>
      <c r="F2798" s="151" t="s">
        <v>2257</v>
      </c>
      <c r="H2798" s="152">
        <v>2.76</v>
      </c>
      <c r="L2798" s="149"/>
      <c r="M2798" s="153"/>
      <c r="T2798" s="154"/>
      <c r="AT2798" s="150" t="s">
        <v>346</v>
      </c>
      <c r="AU2798" s="150" t="s">
        <v>90</v>
      </c>
      <c r="AV2798" s="148" t="s">
        <v>90</v>
      </c>
      <c r="AW2798" s="148" t="s">
        <v>33</v>
      </c>
      <c r="AX2798" s="148" t="s">
        <v>80</v>
      </c>
      <c r="AY2798" s="150" t="s">
        <v>337</v>
      </c>
    </row>
    <row r="2799" spans="2:65" s="141" customFormat="1" x14ac:dyDescent="0.2">
      <c r="B2799" s="142"/>
      <c r="D2799" s="143" t="s">
        <v>346</v>
      </c>
      <c r="E2799" s="144"/>
      <c r="F2799" s="145" t="s">
        <v>367</v>
      </c>
      <c r="H2799" s="144"/>
      <c r="L2799" s="142"/>
      <c r="M2799" s="146"/>
      <c r="T2799" s="147"/>
      <c r="AT2799" s="144" t="s">
        <v>346</v>
      </c>
      <c r="AU2799" s="144" t="s">
        <v>90</v>
      </c>
      <c r="AV2799" s="141" t="s">
        <v>87</v>
      </c>
      <c r="AW2799" s="141" t="s">
        <v>33</v>
      </c>
      <c r="AX2799" s="141" t="s">
        <v>80</v>
      </c>
      <c r="AY2799" s="144" t="s">
        <v>337</v>
      </c>
    </row>
    <row r="2800" spans="2:65" s="148" customFormat="1" x14ac:dyDescent="0.2">
      <c r="B2800" s="149"/>
      <c r="D2800" s="143" t="s">
        <v>346</v>
      </c>
      <c r="E2800" s="150"/>
      <c r="F2800" s="151" t="s">
        <v>2258</v>
      </c>
      <c r="H2800" s="152">
        <v>20</v>
      </c>
      <c r="L2800" s="149"/>
      <c r="M2800" s="153"/>
      <c r="T2800" s="154"/>
      <c r="AT2800" s="150" t="s">
        <v>346</v>
      </c>
      <c r="AU2800" s="150" t="s">
        <v>90</v>
      </c>
      <c r="AV2800" s="148" t="s">
        <v>90</v>
      </c>
      <c r="AW2800" s="148" t="s">
        <v>33</v>
      </c>
      <c r="AX2800" s="148" t="s">
        <v>80</v>
      </c>
      <c r="AY2800" s="150" t="s">
        <v>337</v>
      </c>
    </row>
    <row r="2801" spans="2:65" s="148" customFormat="1" x14ac:dyDescent="0.2">
      <c r="B2801" s="149"/>
      <c r="D2801" s="143" t="s">
        <v>346</v>
      </c>
      <c r="E2801" s="150"/>
      <c r="F2801" s="151" t="s">
        <v>2257</v>
      </c>
      <c r="H2801" s="152">
        <v>2.76</v>
      </c>
      <c r="L2801" s="149"/>
      <c r="M2801" s="153"/>
      <c r="T2801" s="154"/>
      <c r="AT2801" s="150" t="s">
        <v>346</v>
      </c>
      <c r="AU2801" s="150" t="s">
        <v>90</v>
      </c>
      <c r="AV2801" s="148" t="s">
        <v>90</v>
      </c>
      <c r="AW2801" s="148" t="s">
        <v>33</v>
      </c>
      <c r="AX2801" s="148" t="s">
        <v>80</v>
      </c>
      <c r="AY2801" s="150" t="s">
        <v>337</v>
      </c>
    </row>
    <row r="2802" spans="2:65" s="141" customFormat="1" x14ac:dyDescent="0.2">
      <c r="B2802" s="142"/>
      <c r="D2802" s="143" t="s">
        <v>346</v>
      </c>
      <c r="E2802" s="144"/>
      <c r="F2802" s="145" t="s">
        <v>368</v>
      </c>
      <c r="H2802" s="144"/>
      <c r="L2802" s="142"/>
      <c r="M2802" s="146"/>
      <c r="T2802" s="147"/>
      <c r="AT2802" s="144" t="s">
        <v>346</v>
      </c>
      <c r="AU2802" s="144" t="s">
        <v>90</v>
      </c>
      <c r="AV2802" s="141" t="s">
        <v>87</v>
      </c>
      <c r="AW2802" s="141" t="s">
        <v>33</v>
      </c>
      <c r="AX2802" s="141" t="s">
        <v>80</v>
      </c>
      <c r="AY2802" s="144" t="s">
        <v>337</v>
      </c>
    </row>
    <row r="2803" spans="2:65" s="148" customFormat="1" x14ac:dyDescent="0.2">
      <c r="B2803" s="149"/>
      <c r="D2803" s="143" t="s">
        <v>346</v>
      </c>
      <c r="E2803" s="150"/>
      <c r="F2803" s="151" t="s">
        <v>2259</v>
      </c>
      <c r="H2803" s="152">
        <v>20</v>
      </c>
      <c r="L2803" s="149"/>
      <c r="M2803" s="153"/>
      <c r="T2803" s="154"/>
      <c r="AT2803" s="150" t="s">
        <v>346</v>
      </c>
      <c r="AU2803" s="150" t="s">
        <v>90</v>
      </c>
      <c r="AV2803" s="148" t="s">
        <v>90</v>
      </c>
      <c r="AW2803" s="148" t="s">
        <v>33</v>
      </c>
      <c r="AX2803" s="148" t="s">
        <v>80</v>
      </c>
      <c r="AY2803" s="150" t="s">
        <v>337</v>
      </c>
    </row>
    <row r="2804" spans="2:65" s="148" customFormat="1" x14ac:dyDescent="0.2">
      <c r="B2804" s="149"/>
      <c r="D2804" s="143" t="s">
        <v>346</v>
      </c>
      <c r="E2804" s="150"/>
      <c r="F2804" s="151" t="s">
        <v>2257</v>
      </c>
      <c r="H2804" s="152">
        <v>2.76</v>
      </c>
      <c r="L2804" s="149"/>
      <c r="M2804" s="153"/>
      <c r="T2804" s="154"/>
      <c r="AT2804" s="150" t="s">
        <v>346</v>
      </c>
      <c r="AU2804" s="150" t="s">
        <v>90</v>
      </c>
      <c r="AV2804" s="148" t="s">
        <v>90</v>
      </c>
      <c r="AW2804" s="148" t="s">
        <v>33</v>
      </c>
      <c r="AX2804" s="148" t="s">
        <v>80</v>
      </c>
      <c r="AY2804" s="150" t="s">
        <v>337</v>
      </c>
    </row>
    <row r="2805" spans="2:65" s="148" customFormat="1" x14ac:dyDescent="0.2">
      <c r="B2805" s="149"/>
      <c r="D2805" s="143" t="s">
        <v>346</v>
      </c>
      <c r="E2805" s="150"/>
      <c r="F2805" s="151" t="s">
        <v>2260</v>
      </c>
      <c r="H2805" s="152">
        <v>1.8</v>
      </c>
      <c r="L2805" s="149"/>
      <c r="M2805" s="153"/>
      <c r="T2805" s="154"/>
      <c r="AT2805" s="150" t="s">
        <v>346</v>
      </c>
      <c r="AU2805" s="150" t="s">
        <v>90</v>
      </c>
      <c r="AV2805" s="148" t="s">
        <v>90</v>
      </c>
      <c r="AW2805" s="148" t="s">
        <v>33</v>
      </c>
      <c r="AX2805" s="148" t="s">
        <v>80</v>
      </c>
      <c r="AY2805" s="150" t="s">
        <v>337</v>
      </c>
    </row>
    <row r="2806" spans="2:65" s="141" customFormat="1" x14ac:dyDescent="0.2">
      <c r="B2806" s="142"/>
      <c r="D2806" s="143" t="s">
        <v>346</v>
      </c>
      <c r="E2806" s="144"/>
      <c r="F2806" s="145" t="s">
        <v>370</v>
      </c>
      <c r="H2806" s="144"/>
      <c r="L2806" s="142"/>
      <c r="M2806" s="146"/>
      <c r="T2806" s="147"/>
      <c r="AT2806" s="144" t="s">
        <v>346</v>
      </c>
      <c r="AU2806" s="144" t="s">
        <v>90</v>
      </c>
      <c r="AV2806" s="141" t="s">
        <v>87</v>
      </c>
      <c r="AW2806" s="141" t="s">
        <v>33</v>
      </c>
      <c r="AX2806" s="141" t="s">
        <v>80</v>
      </c>
      <c r="AY2806" s="144" t="s">
        <v>337</v>
      </c>
    </row>
    <row r="2807" spans="2:65" s="148" customFormat="1" x14ac:dyDescent="0.2">
      <c r="B2807" s="149"/>
      <c r="D2807" s="143" t="s">
        <v>346</v>
      </c>
      <c r="E2807" s="150"/>
      <c r="F2807" s="151" t="s">
        <v>2261</v>
      </c>
      <c r="H2807" s="152">
        <v>16</v>
      </c>
      <c r="L2807" s="149"/>
      <c r="M2807" s="153"/>
      <c r="T2807" s="154"/>
      <c r="AT2807" s="150" t="s">
        <v>346</v>
      </c>
      <c r="AU2807" s="150" t="s">
        <v>90</v>
      </c>
      <c r="AV2807" s="148" t="s">
        <v>90</v>
      </c>
      <c r="AW2807" s="148" t="s">
        <v>33</v>
      </c>
      <c r="AX2807" s="148" t="s">
        <v>80</v>
      </c>
      <c r="AY2807" s="150" t="s">
        <v>337</v>
      </c>
    </row>
    <row r="2808" spans="2:65" s="148" customFormat="1" x14ac:dyDescent="0.2">
      <c r="B2808" s="149"/>
      <c r="D2808" s="143" t="s">
        <v>346</v>
      </c>
      <c r="E2808" s="150"/>
      <c r="F2808" s="151" t="s">
        <v>2257</v>
      </c>
      <c r="H2808" s="152">
        <v>2.76</v>
      </c>
      <c r="L2808" s="149"/>
      <c r="M2808" s="153"/>
      <c r="T2808" s="154"/>
      <c r="AT2808" s="150" t="s">
        <v>346</v>
      </c>
      <c r="AU2808" s="150" t="s">
        <v>90</v>
      </c>
      <c r="AV2808" s="148" t="s">
        <v>90</v>
      </c>
      <c r="AW2808" s="148" t="s">
        <v>33</v>
      </c>
      <c r="AX2808" s="148" t="s">
        <v>80</v>
      </c>
      <c r="AY2808" s="150" t="s">
        <v>337</v>
      </c>
    </row>
    <row r="2809" spans="2:65" s="148" customFormat="1" x14ac:dyDescent="0.2">
      <c r="B2809" s="149"/>
      <c r="D2809" s="143" t="s">
        <v>346</v>
      </c>
      <c r="E2809" s="150"/>
      <c r="F2809" s="151" t="s">
        <v>2260</v>
      </c>
      <c r="H2809" s="152">
        <v>1.8</v>
      </c>
      <c r="L2809" s="149"/>
      <c r="M2809" s="153"/>
      <c r="T2809" s="154"/>
      <c r="AT2809" s="150" t="s">
        <v>346</v>
      </c>
      <c r="AU2809" s="150" t="s">
        <v>90</v>
      </c>
      <c r="AV2809" s="148" t="s">
        <v>90</v>
      </c>
      <c r="AW2809" s="148" t="s">
        <v>33</v>
      </c>
      <c r="AX2809" s="148" t="s">
        <v>80</v>
      </c>
      <c r="AY2809" s="150" t="s">
        <v>337</v>
      </c>
    </row>
    <row r="2810" spans="2:65" s="141" customFormat="1" x14ac:dyDescent="0.2">
      <c r="B2810" s="142"/>
      <c r="D2810" s="143" t="s">
        <v>346</v>
      </c>
      <c r="E2810" s="144"/>
      <c r="F2810" s="145" t="s">
        <v>434</v>
      </c>
      <c r="H2810" s="144"/>
      <c r="L2810" s="142"/>
      <c r="M2810" s="146"/>
      <c r="T2810" s="147"/>
      <c r="AT2810" s="144" t="s">
        <v>346</v>
      </c>
      <c r="AU2810" s="144" t="s">
        <v>90</v>
      </c>
      <c r="AV2810" s="141" t="s">
        <v>87</v>
      </c>
      <c r="AW2810" s="141" t="s">
        <v>33</v>
      </c>
      <c r="AX2810" s="141" t="s">
        <v>80</v>
      </c>
      <c r="AY2810" s="144" t="s">
        <v>337</v>
      </c>
    </row>
    <row r="2811" spans="2:65" s="148" customFormat="1" x14ac:dyDescent="0.2">
      <c r="B2811" s="149"/>
      <c r="D2811" s="143" t="s">
        <v>346</v>
      </c>
      <c r="E2811" s="150"/>
      <c r="F2811" s="151" t="s">
        <v>2256</v>
      </c>
      <c r="H2811" s="152">
        <v>14</v>
      </c>
      <c r="L2811" s="149"/>
      <c r="M2811" s="153"/>
      <c r="T2811" s="154"/>
      <c r="AT2811" s="150" t="s">
        <v>346</v>
      </c>
      <c r="AU2811" s="150" t="s">
        <v>90</v>
      </c>
      <c r="AV2811" s="148" t="s">
        <v>90</v>
      </c>
      <c r="AW2811" s="148" t="s">
        <v>33</v>
      </c>
      <c r="AX2811" s="148" t="s">
        <v>80</v>
      </c>
      <c r="AY2811" s="150" t="s">
        <v>337</v>
      </c>
    </row>
    <row r="2812" spans="2:65" s="148" customFormat="1" x14ac:dyDescent="0.2">
      <c r="B2812" s="149"/>
      <c r="D2812" s="143" t="s">
        <v>346</v>
      </c>
      <c r="E2812" s="150"/>
      <c r="F2812" s="151" t="s">
        <v>2257</v>
      </c>
      <c r="H2812" s="152">
        <v>2.76</v>
      </c>
      <c r="L2812" s="149"/>
      <c r="M2812" s="153"/>
      <c r="T2812" s="154"/>
      <c r="AT2812" s="150" t="s">
        <v>346</v>
      </c>
      <c r="AU2812" s="150" t="s">
        <v>90</v>
      </c>
      <c r="AV2812" s="148" t="s">
        <v>90</v>
      </c>
      <c r="AW2812" s="148" t="s">
        <v>33</v>
      </c>
      <c r="AX2812" s="148" t="s">
        <v>80</v>
      </c>
      <c r="AY2812" s="150" t="s">
        <v>337</v>
      </c>
    </row>
    <row r="2813" spans="2:65" s="141" customFormat="1" x14ac:dyDescent="0.2">
      <c r="B2813" s="142"/>
      <c r="D2813" s="143" t="s">
        <v>346</v>
      </c>
      <c r="E2813" s="144"/>
      <c r="F2813" s="145" t="s">
        <v>2262</v>
      </c>
      <c r="H2813" s="144"/>
      <c r="L2813" s="142"/>
      <c r="M2813" s="146"/>
      <c r="T2813" s="147"/>
      <c r="AT2813" s="144" t="s">
        <v>346</v>
      </c>
      <c r="AU2813" s="144" t="s">
        <v>90</v>
      </c>
      <c r="AV2813" s="141" t="s">
        <v>87</v>
      </c>
      <c r="AW2813" s="141" t="s">
        <v>33</v>
      </c>
      <c r="AX2813" s="141" t="s">
        <v>80</v>
      </c>
      <c r="AY2813" s="144" t="s">
        <v>337</v>
      </c>
    </row>
    <row r="2814" spans="2:65" s="148" customFormat="1" x14ac:dyDescent="0.2">
      <c r="B2814" s="149"/>
      <c r="D2814" s="143" t="s">
        <v>346</v>
      </c>
      <c r="E2814" s="150"/>
      <c r="F2814" s="151" t="s">
        <v>730</v>
      </c>
      <c r="H2814" s="152">
        <v>10</v>
      </c>
      <c r="L2814" s="149"/>
      <c r="M2814" s="153"/>
      <c r="T2814" s="154"/>
      <c r="AT2814" s="150" t="s">
        <v>346</v>
      </c>
      <c r="AU2814" s="150" t="s">
        <v>90</v>
      </c>
      <c r="AV2814" s="148" t="s">
        <v>90</v>
      </c>
      <c r="AW2814" s="148" t="s">
        <v>33</v>
      </c>
      <c r="AX2814" s="148" t="s">
        <v>80</v>
      </c>
      <c r="AY2814" s="150" t="s">
        <v>337</v>
      </c>
    </row>
    <row r="2815" spans="2:65" s="155" customFormat="1" x14ac:dyDescent="0.2">
      <c r="B2815" s="156"/>
      <c r="D2815" s="143" t="s">
        <v>346</v>
      </c>
      <c r="E2815" s="157"/>
      <c r="F2815" s="158" t="s">
        <v>351</v>
      </c>
      <c r="H2815" s="159">
        <v>111.4</v>
      </c>
      <c r="L2815" s="156"/>
      <c r="M2815" s="160"/>
      <c r="T2815" s="161"/>
      <c r="AT2815" s="157" t="s">
        <v>346</v>
      </c>
      <c r="AU2815" s="157" t="s">
        <v>90</v>
      </c>
      <c r="AV2815" s="155" t="s">
        <v>344</v>
      </c>
      <c r="AW2815" s="155" t="s">
        <v>33</v>
      </c>
      <c r="AX2815" s="155" t="s">
        <v>87</v>
      </c>
      <c r="AY2815" s="157" t="s">
        <v>337</v>
      </c>
    </row>
    <row r="2816" spans="2:65" s="16" customFormat="1" ht="16.5" customHeight="1" x14ac:dyDescent="0.2">
      <c r="B2816" s="17"/>
      <c r="C2816" s="128">
        <v>200</v>
      </c>
      <c r="D2816" s="128" t="s">
        <v>339</v>
      </c>
      <c r="E2816" s="129" t="s">
        <v>2264</v>
      </c>
      <c r="F2816" s="130" t="s">
        <v>2265</v>
      </c>
      <c r="G2816" s="131" t="s">
        <v>724</v>
      </c>
      <c r="H2816" s="132">
        <v>1525.8440000000001</v>
      </c>
      <c r="I2816" s="133"/>
      <c r="J2816" s="134">
        <f>ROUND(I2816*H2816,2)</f>
        <v>0</v>
      </c>
      <c r="K2816" s="130" t="s">
        <v>343</v>
      </c>
      <c r="L2816" s="17"/>
      <c r="M2816" s="135"/>
      <c r="N2816" s="136" t="s">
        <v>45</v>
      </c>
      <c r="P2816" s="137">
        <f>O2816*H2816</f>
        <v>0</v>
      </c>
      <c r="Q2816" s="137">
        <v>1.8000000000000001E-4</v>
      </c>
      <c r="R2816" s="137">
        <f>Q2816*H2816</f>
        <v>0.27465192000000005</v>
      </c>
      <c r="S2816" s="137">
        <v>0</v>
      </c>
      <c r="T2816" s="138">
        <f>S2816*H2816</f>
        <v>0</v>
      </c>
      <c r="AR2816" s="139" t="s">
        <v>496</v>
      </c>
      <c r="AT2816" s="139" t="s">
        <v>339</v>
      </c>
      <c r="AU2816" s="139" t="s">
        <v>90</v>
      </c>
      <c r="AY2816" s="2" t="s">
        <v>337</v>
      </c>
      <c r="BE2816" s="140">
        <f>IF(N2816="základní",J2816,0)</f>
        <v>0</v>
      </c>
      <c r="BF2816" s="140">
        <f>IF(N2816="snížená",J2816,0)</f>
        <v>0</v>
      </c>
      <c r="BG2816" s="140">
        <f>IF(N2816="zákl. přenesená",J2816,0)</f>
        <v>0</v>
      </c>
      <c r="BH2816" s="140">
        <f>IF(N2816="sníž. přenesená",J2816,0)</f>
        <v>0</v>
      </c>
      <c r="BI2816" s="140">
        <f>IF(N2816="nulová",J2816,0)</f>
        <v>0</v>
      </c>
      <c r="BJ2816" s="2" t="s">
        <v>87</v>
      </c>
      <c r="BK2816" s="140">
        <f>ROUND(I2816*H2816,2)</f>
        <v>0</v>
      </c>
      <c r="BL2816" s="2" t="s">
        <v>496</v>
      </c>
      <c r="BM2816" s="139" t="s">
        <v>2266</v>
      </c>
    </row>
    <row r="2817" spans="2:65" s="141" customFormat="1" x14ac:dyDescent="0.2">
      <c r="B2817" s="142"/>
      <c r="D2817" s="143" t="s">
        <v>346</v>
      </c>
      <c r="E2817" s="144"/>
      <c r="F2817" s="145" t="s">
        <v>2267</v>
      </c>
      <c r="H2817" s="144"/>
      <c r="L2817" s="142"/>
      <c r="M2817" s="146"/>
      <c r="T2817" s="147"/>
      <c r="AT2817" s="144" t="s">
        <v>346</v>
      </c>
      <c r="AU2817" s="144" t="s">
        <v>90</v>
      </c>
      <c r="AV2817" s="141" t="s">
        <v>87</v>
      </c>
      <c r="AW2817" s="141" t="s">
        <v>33</v>
      </c>
      <c r="AX2817" s="141" t="s">
        <v>80</v>
      </c>
      <c r="AY2817" s="144" t="s">
        <v>337</v>
      </c>
    </row>
    <row r="2818" spans="2:65" s="148" customFormat="1" x14ac:dyDescent="0.2">
      <c r="B2818" s="149"/>
      <c r="D2818" s="143" t="s">
        <v>346</v>
      </c>
      <c r="E2818" s="150"/>
      <c r="F2818" s="151" t="s">
        <v>179</v>
      </c>
      <c r="H2818" s="152">
        <v>854.62699999999995</v>
      </c>
      <c r="L2818" s="149"/>
      <c r="M2818" s="153"/>
      <c r="T2818" s="154"/>
      <c r="AT2818" s="150" t="s">
        <v>346</v>
      </c>
      <c r="AU2818" s="150" t="s">
        <v>90</v>
      </c>
      <c r="AV2818" s="148" t="s">
        <v>90</v>
      </c>
      <c r="AW2818" s="148" t="s">
        <v>33</v>
      </c>
      <c r="AX2818" s="148" t="s">
        <v>80</v>
      </c>
      <c r="AY2818" s="150" t="s">
        <v>337</v>
      </c>
    </row>
    <row r="2819" spans="2:65" s="148" customFormat="1" x14ac:dyDescent="0.2">
      <c r="B2819" s="149"/>
      <c r="D2819" s="143" t="s">
        <v>346</v>
      </c>
      <c r="E2819" s="150"/>
      <c r="F2819" s="151" t="s">
        <v>188</v>
      </c>
      <c r="H2819" s="152">
        <v>72.320999999999998</v>
      </c>
      <c r="L2819" s="149"/>
      <c r="M2819" s="153"/>
      <c r="T2819" s="154"/>
      <c r="AT2819" s="150" t="s">
        <v>346</v>
      </c>
      <c r="AU2819" s="150" t="s">
        <v>90</v>
      </c>
      <c r="AV2819" s="148" t="s">
        <v>90</v>
      </c>
      <c r="AW2819" s="148" t="s">
        <v>33</v>
      </c>
      <c r="AX2819" s="148" t="s">
        <v>80</v>
      </c>
      <c r="AY2819" s="150" t="s">
        <v>337</v>
      </c>
    </row>
    <row r="2820" spans="2:65" s="141" customFormat="1" x14ac:dyDescent="0.2">
      <c r="B2820" s="142"/>
      <c r="D2820" s="143" t="s">
        <v>346</v>
      </c>
      <c r="E2820" s="144"/>
      <c r="F2820" s="145" t="s">
        <v>2268</v>
      </c>
      <c r="H2820" s="144"/>
      <c r="L2820" s="142"/>
      <c r="M2820" s="146"/>
      <c r="T2820" s="147"/>
      <c r="AT2820" s="144" t="s">
        <v>346</v>
      </c>
      <c r="AU2820" s="144" t="s">
        <v>90</v>
      </c>
      <c r="AV2820" s="141" t="s">
        <v>87</v>
      </c>
      <c r="AW2820" s="141" t="s">
        <v>33</v>
      </c>
      <c r="AX2820" s="141" t="s">
        <v>80</v>
      </c>
      <c r="AY2820" s="144" t="s">
        <v>337</v>
      </c>
    </row>
    <row r="2821" spans="2:65" s="141" customFormat="1" x14ac:dyDescent="0.2">
      <c r="B2821" s="142"/>
      <c r="D2821" s="143" t="s">
        <v>346</v>
      </c>
      <c r="E2821" s="144"/>
      <c r="F2821" s="145" t="s">
        <v>2269</v>
      </c>
      <c r="H2821" s="144"/>
      <c r="L2821" s="142"/>
      <c r="M2821" s="146"/>
      <c r="T2821" s="147"/>
      <c r="AT2821" s="144" t="s">
        <v>346</v>
      </c>
      <c r="AU2821" s="144" t="s">
        <v>90</v>
      </c>
      <c r="AV2821" s="141" t="s">
        <v>87</v>
      </c>
      <c r="AW2821" s="141" t="s">
        <v>33</v>
      </c>
      <c r="AX2821" s="141" t="s">
        <v>80</v>
      </c>
      <c r="AY2821" s="144" t="s">
        <v>337</v>
      </c>
    </row>
    <row r="2822" spans="2:65" s="148" customFormat="1" x14ac:dyDescent="0.2">
      <c r="B2822" s="149"/>
      <c r="D2822" s="143" t="s">
        <v>346</v>
      </c>
      <c r="E2822" s="150"/>
      <c r="F2822" s="151" t="s">
        <v>2270</v>
      </c>
      <c r="H2822" s="152">
        <v>466.42</v>
      </c>
      <c r="L2822" s="149"/>
      <c r="M2822" s="153"/>
      <c r="T2822" s="154"/>
      <c r="AT2822" s="150" t="s">
        <v>346</v>
      </c>
      <c r="AU2822" s="150" t="s">
        <v>90</v>
      </c>
      <c r="AV2822" s="148" t="s">
        <v>90</v>
      </c>
      <c r="AW2822" s="148" t="s">
        <v>33</v>
      </c>
      <c r="AX2822" s="148" t="s">
        <v>80</v>
      </c>
      <c r="AY2822" s="150" t="s">
        <v>337</v>
      </c>
    </row>
    <row r="2823" spans="2:65" s="148" customFormat="1" x14ac:dyDescent="0.2">
      <c r="B2823" s="149"/>
      <c r="D2823" s="143" t="s">
        <v>346</v>
      </c>
      <c r="E2823" s="150"/>
      <c r="F2823" s="151" t="s">
        <v>2271</v>
      </c>
      <c r="H2823" s="152">
        <v>107.755</v>
      </c>
      <c r="L2823" s="149"/>
      <c r="M2823" s="153"/>
      <c r="T2823" s="154"/>
      <c r="AT2823" s="150" t="s">
        <v>346</v>
      </c>
      <c r="AU2823" s="150" t="s">
        <v>90</v>
      </c>
      <c r="AV2823" s="148" t="s">
        <v>90</v>
      </c>
      <c r="AW2823" s="148" t="s">
        <v>33</v>
      </c>
      <c r="AX2823" s="148" t="s">
        <v>80</v>
      </c>
      <c r="AY2823" s="150" t="s">
        <v>337</v>
      </c>
    </row>
    <row r="2824" spans="2:65" s="148" customFormat="1" x14ac:dyDescent="0.2">
      <c r="B2824" s="149"/>
      <c r="D2824" s="143" t="s">
        <v>346</v>
      </c>
      <c r="E2824" s="150"/>
      <c r="F2824" s="151" t="s">
        <v>2272</v>
      </c>
      <c r="H2824" s="152">
        <v>4.7210000000000001</v>
      </c>
      <c r="L2824" s="149"/>
      <c r="M2824" s="153"/>
      <c r="T2824" s="154"/>
      <c r="AT2824" s="150" t="s">
        <v>346</v>
      </c>
      <c r="AU2824" s="150" t="s">
        <v>90</v>
      </c>
      <c r="AV2824" s="148" t="s">
        <v>90</v>
      </c>
      <c r="AW2824" s="148" t="s">
        <v>33</v>
      </c>
      <c r="AX2824" s="148" t="s">
        <v>80</v>
      </c>
      <c r="AY2824" s="150" t="s">
        <v>337</v>
      </c>
    </row>
    <row r="2825" spans="2:65" s="141" customFormat="1" x14ac:dyDescent="0.2">
      <c r="B2825" s="142"/>
      <c r="D2825" s="143" t="s">
        <v>346</v>
      </c>
      <c r="E2825" s="144"/>
      <c r="F2825" s="145" t="s">
        <v>2273</v>
      </c>
      <c r="H2825" s="144"/>
      <c r="L2825" s="142"/>
      <c r="M2825" s="146"/>
      <c r="T2825" s="147"/>
      <c r="AT2825" s="144" t="s">
        <v>346</v>
      </c>
      <c r="AU2825" s="144" t="s">
        <v>90</v>
      </c>
      <c r="AV2825" s="141" t="s">
        <v>87</v>
      </c>
      <c r="AW2825" s="141" t="s">
        <v>33</v>
      </c>
      <c r="AX2825" s="141" t="s">
        <v>80</v>
      </c>
      <c r="AY2825" s="144" t="s">
        <v>337</v>
      </c>
    </row>
    <row r="2826" spans="2:65" s="148" customFormat="1" x14ac:dyDescent="0.2">
      <c r="B2826" s="149"/>
      <c r="D2826" s="143" t="s">
        <v>346</v>
      </c>
      <c r="E2826" s="150"/>
      <c r="F2826" s="151" t="s">
        <v>980</v>
      </c>
      <c r="H2826" s="152">
        <v>20</v>
      </c>
      <c r="L2826" s="149"/>
      <c r="M2826" s="153"/>
      <c r="T2826" s="154"/>
      <c r="AT2826" s="150" t="s">
        <v>346</v>
      </c>
      <c r="AU2826" s="150" t="s">
        <v>90</v>
      </c>
      <c r="AV2826" s="148" t="s">
        <v>90</v>
      </c>
      <c r="AW2826" s="148" t="s">
        <v>33</v>
      </c>
      <c r="AX2826" s="148" t="s">
        <v>80</v>
      </c>
      <c r="AY2826" s="150" t="s">
        <v>337</v>
      </c>
    </row>
    <row r="2827" spans="2:65" s="155" customFormat="1" x14ac:dyDescent="0.2">
      <c r="B2827" s="156"/>
      <c r="D2827" s="143" t="s">
        <v>346</v>
      </c>
      <c r="E2827" s="157"/>
      <c r="F2827" s="158" t="s">
        <v>351</v>
      </c>
      <c r="H2827" s="159">
        <v>1525.8440000000001</v>
      </c>
      <c r="L2827" s="156"/>
      <c r="M2827" s="160"/>
      <c r="T2827" s="161"/>
      <c r="AT2827" s="157" t="s">
        <v>346</v>
      </c>
      <c r="AU2827" s="157" t="s">
        <v>90</v>
      </c>
      <c r="AV2827" s="155" t="s">
        <v>344</v>
      </c>
      <c r="AW2827" s="155" t="s">
        <v>33</v>
      </c>
      <c r="AX2827" s="155" t="s">
        <v>87</v>
      </c>
      <c r="AY2827" s="157" t="s">
        <v>337</v>
      </c>
    </row>
    <row r="2828" spans="2:65" s="16" customFormat="1" ht="16.5" customHeight="1" x14ac:dyDescent="0.2">
      <c r="B2828" s="17"/>
      <c r="C2828" s="128">
        <v>201</v>
      </c>
      <c r="D2828" s="162" t="s">
        <v>519</v>
      </c>
      <c r="E2828" s="163" t="s">
        <v>2274</v>
      </c>
      <c r="F2828" s="164" t="s">
        <v>2275</v>
      </c>
      <c r="G2828" s="165" t="s">
        <v>724</v>
      </c>
      <c r="H2828" s="166">
        <v>1719.106</v>
      </c>
      <c r="I2828" s="167"/>
      <c r="J2828" s="168">
        <f>ROUND(I2828*H2828,2)</f>
        <v>0</v>
      </c>
      <c r="K2828" s="164"/>
      <c r="L2828" s="169"/>
      <c r="M2828" s="170"/>
      <c r="N2828" s="171" t="s">
        <v>45</v>
      </c>
      <c r="P2828" s="137">
        <f>O2828*H2828</f>
        <v>0</v>
      </c>
      <c r="Q2828" s="137">
        <v>1E-4</v>
      </c>
      <c r="R2828" s="137">
        <f>Q2828*H2828</f>
        <v>0.1719106</v>
      </c>
      <c r="S2828" s="137">
        <v>0</v>
      </c>
      <c r="T2828" s="138">
        <f>S2828*H2828</f>
        <v>0</v>
      </c>
      <c r="AR2828" s="139" t="s">
        <v>621</v>
      </c>
      <c r="AT2828" s="139" t="s">
        <v>519</v>
      </c>
      <c r="AU2828" s="139" t="s">
        <v>90</v>
      </c>
      <c r="AY2828" s="2" t="s">
        <v>337</v>
      </c>
      <c r="BE2828" s="140">
        <f>IF(N2828="základní",J2828,0)</f>
        <v>0</v>
      </c>
      <c r="BF2828" s="140">
        <f>IF(N2828="snížená",J2828,0)</f>
        <v>0</v>
      </c>
      <c r="BG2828" s="140">
        <f>IF(N2828="zákl. přenesená",J2828,0)</f>
        <v>0</v>
      </c>
      <c r="BH2828" s="140">
        <f>IF(N2828="sníž. přenesená",J2828,0)</f>
        <v>0</v>
      </c>
      <c r="BI2828" s="140">
        <f>IF(N2828="nulová",J2828,0)</f>
        <v>0</v>
      </c>
      <c r="BJ2828" s="2" t="s">
        <v>87</v>
      </c>
      <c r="BK2828" s="140">
        <f>ROUND(I2828*H2828,2)</f>
        <v>0</v>
      </c>
      <c r="BL2828" s="2" t="s">
        <v>496</v>
      </c>
      <c r="BM2828" s="139" t="s">
        <v>2276</v>
      </c>
    </row>
    <row r="2829" spans="2:65" s="148" customFormat="1" x14ac:dyDescent="0.2">
      <c r="B2829" s="149"/>
      <c r="D2829" s="143" t="s">
        <v>346</v>
      </c>
      <c r="F2829" s="151" t="s">
        <v>2277</v>
      </c>
      <c r="H2829" s="152">
        <v>1719.106</v>
      </c>
      <c r="L2829" s="149"/>
      <c r="M2829" s="153"/>
      <c r="T2829" s="154"/>
      <c r="AT2829" s="150" t="s">
        <v>346</v>
      </c>
      <c r="AU2829" s="150" t="s">
        <v>90</v>
      </c>
      <c r="AV2829" s="148" t="s">
        <v>90</v>
      </c>
      <c r="AW2829" s="148" t="s">
        <v>3</v>
      </c>
      <c r="AX2829" s="148" t="s">
        <v>87</v>
      </c>
      <c r="AY2829" s="150" t="s">
        <v>337</v>
      </c>
    </row>
    <row r="2830" spans="2:65" s="16" customFormat="1" ht="16.5" customHeight="1" x14ac:dyDescent="0.2">
      <c r="B2830" s="17"/>
      <c r="C2830" s="128">
        <v>202</v>
      </c>
      <c r="D2830" s="128" t="s">
        <v>339</v>
      </c>
      <c r="E2830" s="129" t="s">
        <v>2279</v>
      </c>
      <c r="F2830" s="130" t="s">
        <v>2280</v>
      </c>
      <c r="G2830" s="131" t="s">
        <v>990</v>
      </c>
      <c r="H2830" s="132">
        <v>31.879000000000001</v>
      </c>
      <c r="I2830" s="133"/>
      <c r="J2830" s="134">
        <f>ROUND(I2830*H2830,2)</f>
        <v>0</v>
      </c>
      <c r="K2830" s="130" t="s">
        <v>343</v>
      </c>
      <c r="L2830" s="17"/>
      <c r="M2830" s="135"/>
      <c r="N2830" s="136" t="s">
        <v>45</v>
      </c>
      <c r="P2830" s="137">
        <f>O2830*H2830</f>
        <v>0</v>
      </c>
      <c r="Q2830" s="137">
        <v>0</v>
      </c>
      <c r="R2830" s="137">
        <f>Q2830*H2830</f>
        <v>0</v>
      </c>
      <c r="S2830" s="137">
        <v>0</v>
      </c>
      <c r="T2830" s="138">
        <f>S2830*H2830</f>
        <v>0</v>
      </c>
      <c r="AR2830" s="139" t="s">
        <v>496</v>
      </c>
      <c r="AT2830" s="139" t="s">
        <v>339</v>
      </c>
      <c r="AU2830" s="139" t="s">
        <v>90</v>
      </c>
      <c r="AY2830" s="2" t="s">
        <v>337</v>
      </c>
      <c r="BE2830" s="140">
        <f>IF(N2830="základní",J2830,0)</f>
        <v>0</v>
      </c>
      <c r="BF2830" s="140">
        <f>IF(N2830="snížená",J2830,0)</f>
        <v>0</v>
      </c>
      <c r="BG2830" s="140">
        <f>IF(N2830="zákl. přenesená",J2830,0)</f>
        <v>0</v>
      </c>
      <c r="BH2830" s="140">
        <f>IF(N2830="sníž. přenesená",J2830,0)</f>
        <v>0</v>
      </c>
      <c r="BI2830" s="140">
        <f>IF(N2830="nulová",J2830,0)</f>
        <v>0</v>
      </c>
      <c r="BJ2830" s="2" t="s">
        <v>87</v>
      </c>
      <c r="BK2830" s="140">
        <f>ROUND(I2830*H2830,2)</f>
        <v>0</v>
      </c>
      <c r="BL2830" s="2" t="s">
        <v>496</v>
      </c>
      <c r="BM2830" s="139" t="s">
        <v>2281</v>
      </c>
    </row>
    <row r="2831" spans="2:65" s="116" customFormat="1" ht="22.9" customHeight="1" x14ac:dyDescent="0.2">
      <c r="B2831" s="117"/>
      <c r="D2831" s="118" t="s">
        <v>79</v>
      </c>
      <c r="E2831" s="126" t="s">
        <v>2282</v>
      </c>
      <c r="F2831" s="126" t="s">
        <v>2283</v>
      </c>
      <c r="J2831" s="127">
        <f>BK2831</f>
        <v>0</v>
      </c>
      <c r="L2831" s="117"/>
      <c r="M2831" s="121"/>
      <c r="P2831" s="122">
        <f>SUM(P2832:P2858)</f>
        <v>0</v>
      </c>
      <c r="R2831" s="122">
        <f>SUM(R2832:R2858)</f>
        <v>3.2965990000000001E-2</v>
      </c>
      <c r="T2831" s="123">
        <f>SUM(T2832:T2858)</f>
        <v>0</v>
      </c>
      <c r="AR2831" s="118" t="s">
        <v>90</v>
      </c>
      <c r="AT2831" s="124" t="s">
        <v>79</v>
      </c>
      <c r="AU2831" s="124" t="s">
        <v>87</v>
      </c>
      <c r="AY2831" s="118" t="s">
        <v>337</v>
      </c>
      <c r="BK2831" s="125">
        <f>SUM(BK2832:BK2858)</f>
        <v>0</v>
      </c>
    </row>
    <row r="2832" spans="2:65" s="16" customFormat="1" ht="16.5" customHeight="1" x14ac:dyDescent="0.2">
      <c r="B2832" s="17"/>
      <c r="C2832" s="128">
        <v>203</v>
      </c>
      <c r="D2832" s="128" t="s">
        <v>339</v>
      </c>
      <c r="E2832" s="129" t="s">
        <v>2285</v>
      </c>
      <c r="F2832" s="130" t="s">
        <v>2286</v>
      </c>
      <c r="G2832" s="131" t="s">
        <v>425</v>
      </c>
      <c r="H2832" s="132">
        <v>37.682000000000002</v>
      </c>
      <c r="I2832" s="133"/>
      <c r="J2832" s="134">
        <f>ROUND(I2832*H2832,2)</f>
        <v>0</v>
      </c>
      <c r="K2832" s="130" t="s">
        <v>343</v>
      </c>
      <c r="L2832" s="17"/>
      <c r="M2832" s="135"/>
      <c r="N2832" s="136" t="s">
        <v>45</v>
      </c>
      <c r="P2832" s="137">
        <f>O2832*H2832</f>
        <v>0</v>
      </c>
      <c r="Q2832" s="137">
        <v>1.1E-4</v>
      </c>
      <c r="R2832" s="137">
        <f>Q2832*H2832</f>
        <v>4.1450200000000001E-3</v>
      </c>
      <c r="S2832" s="137">
        <v>0</v>
      </c>
      <c r="T2832" s="138">
        <f>S2832*H2832</f>
        <v>0</v>
      </c>
      <c r="AR2832" s="139" t="s">
        <v>496</v>
      </c>
      <c r="AT2832" s="139" t="s">
        <v>339</v>
      </c>
      <c r="AU2832" s="139" t="s">
        <v>90</v>
      </c>
      <c r="AY2832" s="2" t="s">
        <v>337</v>
      </c>
      <c r="BE2832" s="140">
        <f>IF(N2832="základní",J2832,0)</f>
        <v>0</v>
      </c>
      <c r="BF2832" s="140">
        <f>IF(N2832="snížená",J2832,0)</f>
        <v>0</v>
      </c>
      <c r="BG2832" s="140">
        <f>IF(N2832="zákl. přenesená",J2832,0)</f>
        <v>0</v>
      </c>
      <c r="BH2832" s="140">
        <f>IF(N2832="sníž. přenesená",J2832,0)</f>
        <v>0</v>
      </c>
      <c r="BI2832" s="140">
        <f>IF(N2832="nulová",J2832,0)</f>
        <v>0</v>
      </c>
      <c r="BJ2832" s="2" t="s">
        <v>87</v>
      </c>
      <c r="BK2832" s="140">
        <f>ROUND(I2832*H2832,2)</f>
        <v>0</v>
      </c>
      <c r="BL2832" s="2" t="s">
        <v>496</v>
      </c>
      <c r="BM2832" s="139" t="s">
        <v>2287</v>
      </c>
    </row>
    <row r="2833" spans="2:65" s="141" customFormat="1" x14ac:dyDescent="0.2">
      <c r="B2833" s="142"/>
      <c r="D2833" s="143" t="s">
        <v>346</v>
      </c>
      <c r="E2833" s="144"/>
      <c r="F2833" s="145" t="s">
        <v>2288</v>
      </c>
      <c r="H2833" s="144"/>
      <c r="L2833" s="142"/>
      <c r="M2833" s="146"/>
      <c r="T2833" s="147"/>
      <c r="AT2833" s="144" t="s">
        <v>346</v>
      </c>
      <c r="AU2833" s="144" t="s">
        <v>90</v>
      </c>
      <c r="AV2833" s="141" t="s">
        <v>87</v>
      </c>
      <c r="AW2833" s="141" t="s">
        <v>33</v>
      </c>
      <c r="AX2833" s="141" t="s">
        <v>80</v>
      </c>
      <c r="AY2833" s="144" t="s">
        <v>337</v>
      </c>
    </row>
    <row r="2834" spans="2:65" s="141" customFormat="1" x14ac:dyDescent="0.2">
      <c r="B2834" s="142"/>
      <c r="D2834" s="143" t="s">
        <v>346</v>
      </c>
      <c r="E2834" s="144"/>
      <c r="F2834" s="145" t="s">
        <v>2289</v>
      </c>
      <c r="H2834" s="144"/>
      <c r="L2834" s="142"/>
      <c r="M2834" s="146"/>
      <c r="T2834" s="147"/>
      <c r="AT2834" s="144" t="s">
        <v>346</v>
      </c>
      <c r="AU2834" s="144" t="s">
        <v>90</v>
      </c>
      <c r="AV2834" s="141" t="s">
        <v>87</v>
      </c>
      <c r="AW2834" s="141" t="s">
        <v>33</v>
      </c>
      <c r="AX2834" s="141" t="s">
        <v>80</v>
      </c>
      <c r="AY2834" s="144" t="s">
        <v>337</v>
      </c>
    </row>
    <row r="2835" spans="2:65" s="148" customFormat="1" x14ac:dyDescent="0.2">
      <c r="B2835" s="149"/>
      <c r="D2835" s="143" t="s">
        <v>346</v>
      </c>
      <c r="E2835" s="150"/>
      <c r="F2835" s="151" t="s">
        <v>2290</v>
      </c>
      <c r="H2835" s="152">
        <v>11.55</v>
      </c>
      <c r="L2835" s="149"/>
      <c r="M2835" s="153"/>
      <c r="T2835" s="154"/>
      <c r="AT2835" s="150" t="s">
        <v>346</v>
      </c>
      <c r="AU2835" s="150" t="s">
        <v>90</v>
      </c>
      <c r="AV2835" s="148" t="s">
        <v>90</v>
      </c>
      <c r="AW2835" s="148" t="s">
        <v>33</v>
      </c>
      <c r="AX2835" s="148" t="s">
        <v>80</v>
      </c>
      <c r="AY2835" s="150" t="s">
        <v>337</v>
      </c>
    </row>
    <row r="2836" spans="2:65" s="141" customFormat="1" x14ac:dyDescent="0.2">
      <c r="B2836" s="142"/>
      <c r="D2836" s="143" t="s">
        <v>346</v>
      </c>
      <c r="E2836" s="144"/>
      <c r="F2836" s="145" t="s">
        <v>2291</v>
      </c>
      <c r="H2836" s="144"/>
      <c r="L2836" s="142"/>
      <c r="M2836" s="146"/>
      <c r="T2836" s="147"/>
      <c r="AT2836" s="144" t="s">
        <v>346</v>
      </c>
      <c r="AU2836" s="144" t="s">
        <v>90</v>
      </c>
      <c r="AV2836" s="141" t="s">
        <v>87</v>
      </c>
      <c r="AW2836" s="141" t="s">
        <v>33</v>
      </c>
      <c r="AX2836" s="141" t="s">
        <v>80</v>
      </c>
      <c r="AY2836" s="144" t="s">
        <v>337</v>
      </c>
    </row>
    <row r="2837" spans="2:65" s="148" customFormat="1" x14ac:dyDescent="0.2">
      <c r="B2837" s="149"/>
      <c r="D2837" s="143" t="s">
        <v>346</v>
      </c>
      <c r="E2837" s="150"/>
      <c r="F2837" s="151" t="s">
        <v>2292</v>
      </c>
      <c r="H2837" s="152">
        <v>6.1319999999999997</v>
      </c>
      <c r="L2837" s="149"/>
      <c r="M2837" s="153"/>
      <c r="T2837" s="154"/>
      <c r="AT2837" s="150" t="s">
        <v>346</v>
      </c>
      <c r="AU2837" s="150" t="s">
        <v>90</v>
      </c>
      <c r="AV2837" s="148" t="s">
        <v>90</v>
      </c>
      <c r="AW2837" s="148" t="s">
        <v>33</v>
      </c>
      <c r="AX2837" s="148" t="s">
        <v>80</v>
      </c>
      <c r="AY2837" s="150" t="s">
        <v>337</v>
      </c>
    </row>
    <row r="2838" spans="2:65" s="141" customFormat="1" x14ac:dyDescent="0.2">
      <c r="B2838" s="142"/>
      <c r="D2838" s="143" t="s">
        <v>346</v>
      </c>
      <c r="E2838" s="144"/>
      <c r="F2838" s="145" t="s">
        <v>2293</v>
      </c>
      <c r="H2838" s="144"/>
      <c r="L2838" s="142"/>
      <c r="M2838" s="146"/>
      <c r="T2838" s="147"/>
      <c r="AT2838" s="144" t="s">
        <v>346</v>
      </c>
      <c r="AU2838" s="144" t="s">
        <v>90</v>
      </c>
      <c r="AV2838" s="141" t="s">
        <v>87</v>
      </c>
      <c r="AW2838" s="141" t="s">
        <v>33</v>
      </c>
      <c r="AX2838" s="141" t="s">
        <v>80</v>
      </c>
      <c r="AY2838" s="144" t="s">
        <v>337</v>
      </c>
    </row>
    <row r="2839" spans="2:65" s="148" customFormat="1" x14ac:dyDescent="0.2">
      <c r="B2839" s="149"/>
      <c r="D2839" s="143" t="s">
        <v>346</v>
      </c>
      <c r="E2839" s="150"/>
      <c r="F2839" s="151" t="s">
        <v>980</v>
      </c>
      <c r="H2839" s="152">
        <v>20</v>
      </c>
      <c r="L2839" s="149"/>
      <c r="M2839" s="153"/>
      <c r="T2839" s="154"/>
      <c r="AT2839" s="150" t="s">
        <v>346</v>
      </c>
      <c r="AU2839" s="150" t="s">
        <v>90</v>
      </c>
      <c r="AV2839" s="148" t="s">
        <v>90</v>
      </c>
      <c r="AW2839" s="148" t="s">
        <v>33</v>
      </c>
      <c r="AX2839" s="148" t="s">
        <v>80</v>
      </c>
      <c r="AY2839" s="150" t="s">
        <v>337</v>
      </c>
    </row>
    <row r="2840" spans="2:65" s="155" customFormat="1" x14ac:dyDescent="0.2">
      <c r="B2840" s="156"/>
      <c r="D2840" s="143" t="s">
        <v>346</v>
      </c>
      <c r="E2840" s="157"/>
      <c r="F2840" s="158" t="s">
        <v>351</v>
      </c>
      <c r="H2840" s="159">
        <v>37.682000000000002</v>
      </c>
      <c r="L2840" s="156"/>
      <c r="M2840" s="160"/>
      <c r="T2840" s="161"/>
      <c r="AT2840" s="157" t="s">
        <v>346</v>
      </c>
      <c r="AU2840" s="157" t="s">
        <v>90</v>
      </c>
      <c r="AV2840" s="155" t="s">
        <v>344</v>
      </c>
      <c r="AW2840" s="155" t="s">
        <v>33</v>
      </c>
      <c r="AX2840" s="155" t="s">
        <v>87</v>
      </c>
      <c r="AY2840" s="157" t="s">
        <v>337</v>
      </c>
    </row>
    <row r="2841" spans="2:65" s="16" customFormat="1" ht="16.5" customHeight="1" x14ac:dyDescent="0.2">
      <c r="B2841" s="17"/>
      <c r="C2841" s="128">
        <v>204</v>
      </c>
      <c r="D2841" s="128" t="s">
        <v>339</v>
      </c>
      <c r="E2841" s="129" t="s">
        <v>2294</v>
      </c>
      <c r="F2841" s="130" t="s">
        <v>2295</v>
      </c>
      <c r="G2841" s="131" t="s">
        <v>425</v>
      </c>
      <c r="H2841" s="132">
        <v>37.682000000000002</v>
      </c>
      <c r="I2841" s="133"/>
      <c r="J2841" s="134">
        <f>ROUND(I2841*H2841,2)</f>
        <v>0</v>
      </c>
      <c r="K2841" s="130" t="s">
        <v>343</v>
      </c>
      <c r="L2841" s="17"/>
      <c r="M2841" s="135"/>
      <c r="N2841" s="136" t="s">
        <v>45</v>
      </c>
      <c r="P2841" s="137">
        <f>O2841*H2841</f>
        <v>0</v>
      </c>
      <c r="Q2841" s="137">
        <v>3.6000000000000002E-4</v>
      </c>
      <c r="R2841" s="137">
        <f>Q2841*H2841</f>
        <v>1.3565520000000001E-2</v>
      </c>
      <c r="S2841" s="137">
        <v>0</v>
      </c>
      <c r="T2841" s="138">
        <f>S2841*H2841</f>
        <v>0</v>
      </c>
      <c r="AR2841" s="139" t="s">
        <v>496</v>
      </c>
      <c r="AT2841" s="139" t="s">
        <v>339</v>
      </c>
      <c r="AU2841" s="139" t="s">
        <v>90</v>
      </c>
      <c r="AY2841" s="2" t="s">
        <v>337</v>
      </c>
      <c r="BE2841" s="140">
        <f>IF(N2841="základní",J2841,0)</f>
        <v>0</v>
      </c>
      <c r="BF2841" s="140">
        <f>IF(N2841="snížená",J2841,0)</f>
        <v>0</v>
      </c>
      <c r="BG2841" s="140">
        <f>IF(N2841="zákl. přenesená",J2841,0)</f>
        <v>0</v>
      </c>
      <c r="BH2841" s="140">
        <f>IF(N2841="sníž. přenesená",J2841,0)</f>
        <v>0</v>
      </c>
      <c r="BI2841" s="140">
        <f>IF(N2841="nulová",J2841,0)</f>
        <v>0</v>
      </c>
      <c r="BJ2841" s="2" t="s">
        <v>87</v>
      </c>
      <c r="BK2841" s="140">
        <f>ROUND(I2841*H2841,2)</f>
        <v>0</v>
      </c>
      <c r="BL2841" s="2" t="s">
        <v>496</v>
      </c>
      <c r="BM2841" s="139" t="s">
        <v>2296</v>
      </c>
    </row>
    <row r="2842" spans="2:65" s="16" customFormat="1" ht="16.5" customHeight="1" x14ac:dyDescent="0.2">
      <c r="B2842" s="17"/>
      <c r="C2842" s="128">
        <v>205</v>
      </c>
      <c r="D2842" s="128" t="s">
        <v>339</v>
      </c>
      <c r="E2842" s="129" t="s">
        <v>2298</v>
      </c>
      <c r="F2842" s="130" t="s">
        <v>2299</v>
      </c>
      <c r="G2842" s="131" t="s">
        <v>425</v>
      </c>
      <c r="H2842" s="132">
        <v>17.535</v>
      </c>
      <c r="I2842" s="133"/>
      <c r="J2842" s="134">
        <f>ROUND(I2842*H2842,2)</f>
        <v>0</v>
      </c>
      <c r="K2842" s="130" t="s">
        <v>343</v>
      </c>
      <c r="L2842" s="17"/>
      <c r="M2842" s="135"/>
      <c r="N2842" s="136" t="s">
        <v>45</v>
      </c>
      <c r="P2842" s="137">
        <f>O2842*H2842</f>
        <v>0</v>
      </c>
      <c r="Q2842" s="137">
        <v>0</v>
      </c>
      <c r="R2842" s="137">
        <f>Q2842*H2842</f>
        <v>0</v>
      </c>
      <c r="S2842" s="137">
        <v>0</v>
      </c>
      <c r="T2842" s="138">
        <f>S2842*H2842</f>
        <v>0</v>
      </c>
      <c r="AR2842" s="139" t="s">
        <v>496</v>
      </c>
      <c r="AT2842" s="139" t="s">
        <v>339</v>
      </c>
      <c r="AU2842" s="139" t="s">
        <v>90</v>
      </c>
      <c r="AY2842" s="2" t="s">
        <v>337</v>
      </c>
      <c r="BE2842" s="140">
        <f>IF(N2842="základní",J2842,0)</f>
        <v>0</v>
      </c>
      <c r="BF2842" s="140">
        <f>IF(N2842="snížená",J2842,0)</f>
        <v>0</v>
      </c>
      <c r="BG2842" s="140">
        <f>IF(N2842="zákl. přenesená",J2842,0)</f>
        <v>0</v>
      </c>
      <c r="BH2842" s="140">
        <f>IF(N2842="sníž. přenesená",J2842,0)</f>
        <v>0</v>
      </c>
      <c r="BI2842" s="140">
        <f>IF(N2842="nulová",J2842,0)</f>
        <v>0</v>
      </c>
      <c r="BJ2842" s="2" t="s">
        <v>87</v>
      </c>
      <c r="BK2842" s="140">
        <f>ROUND(I2842*H2842,2)</f>
        <v>0</v>
      </c>
      <c r="BL2842" s="2" t="s">
        <v>496</v>
      </c>
      <c r="BM2842" s="139" t="s">
        <v>2300</v>
      </c>
    </row>
    <row r="2843" spans="2:65" s="148" customFormat="1" x14ac:dyDescent="0.2">
      <c r="B2843" s="149"/>
      <c r="D2843" s="143" t="s">
        <v>346</v>
      </c>
      <c r="E2843" s="150"/>
      <c r="F2843" s="151" t="s">
        <v>2301</v>
      </c>
      <c r="H2843" s="152">
        <v>17.535</v>
      </c>
      <c r="L2843" s="149"/>
      <c r="M2843" s="153"/>
      <c r="T2843" s="154"/>
      <c r="AT2843" s="150" t="s">
        <v>346</v>
      </c>
      <c r="AU2843" s="150" t="s">
        <v>90</v>
      </c>
      <c r="AV2843" s="148" t="s">
        <v>90</v>
      </c>
      <c r="AW2843" s="148" t="s">
        <v>33</v>
      </c>
      <c r="AX2843" s="148" t="s">
        <v>87</v>
      </c>
      <c r="AY2843" s="150" t="s">
        <v>337</v>
      </c>
    </row>
    <row r="2844" spans="2:65" s="16" customFormat="1" ht="16.5" customHeight="1" x14ac:dyDescent="0.2">
      <c r="B2844" s="17"/>
      <c r="C2844" s="128">
        <v>206</v>
      </c>
      <c r="D2844" s="128" t="s">
        <v>339</v>
      </c>
      <c r="E2844" s="129" t="s">
        <v>2302</v>
      </c>
      <c r="F2844" s="130" t="s">
        <v>2303</v>
      </c>
      <c r="G2844" s="131" t="s">
        <v>425</v>
      </c>
      <c r="H2844" s="132">
        <v>17.535</v>
      </c>
      <c r="I2844" s="133"/>
      <c r="J2844" s="134">
        <f>ROUND(I2844*H2844,2)</f>
        <v>0</v>
      </c>
      <c r="K2844" s="130" t="s">
        <v>343</v>
      </c>
      <c r="L2844" s="17"/>
      <c r="M2844" s="135"/>
      <c r="N2844" s="136" t="s">
        <v>45</v>
      </c>
      <c r="P2844" s="137">
        <f>O2844*H2844</f>
        <v>0</v>
      </c>
      <c r="Q2844" s="137">
        <v>0</v>
      </c>
      <c r="R2844" s="137">
        <f>Q2844*H2844</f>
        <v>0</v>
      </c>
      <c r="S2844" s="137">
        <v>0</v>
      </c>
      <c r="T2844" s="138">
        <f>S2844*H2844</f>
        <v>0</v>
      </c>
      <c r="AR2844" s="139" t="s">
        <v>496</v>
      </c>
      <c r="AT2844" s="139" t="s">
        <v>339</v>
      </c>
      <c r="AU2844" s="139" t="s">
        <v>90</v>
      </c>
      <c r="AY2844" s="2" t="s">
        <v>337</v>
      </c>
      <c r="BE2844" s="140">
        <f>IF(N2844="základní",J2844,0)</f>
        <v>0</v>
      </c>
      <c r="BF2844" s="140">
        <f>IF(N2844="snížená",J2844,0)</f>
        <v>0</v>
      </c>
      <c r="BG2844" s="140">
        <f>IF(N2844="zákl. přenesená",J2844,0)</f>
        <v>0</v>
      </c>
      <c r="BH2844" s="140">
        <f>IF(N2844="sníž. přenesená",J2844,0)</f>
        <v>0</v>
      </c>
      <c r="BI2844" s="140">
        <f>IF(N2844="nulová",J2844,0)</f>
        <v>0</v>
      </c>
      <c r="BJ2844" s="2" t="s">
        <v>87</v>
      </c>
      <c r="BK2844" s="140">
        <f>ROUND(I2844*H2844,2)</f>
        <v>0</v>
      </c>
      <c r="BL2844" s="2" t="s">
        <v>496</v>
      </c>
      <c r="BM2844" s="139" t="s">
        <v>2304</v>
      </c>
    </row>
    <row r="2845" spans="2:65" s="148" customFormat="1" x14ac:dyDescent="0.2">
      <c r="B2845" s="149"/>
      <c r="D2845" s="143" t="s">
        <v>346</v>
      </c>
      <c r="E2845" s="150"/>
      <c r="F2845" s="151" t="s">
        <v>2301</v>
      </c>
      <c r="H2845" s="152">
        <v>17.535</v>
      </c>
      <c r="L2845" s="149"/>
      <c r="M2845" s="153"/>
      <c r="T2845" s="154"/>
      <c r="AT2845" s="150" t="s">
        <v>346</v>
      </c>
      <c r="AU2845" s="150" t="s">
        <v>90</v>
      </c>
      <c r="AV2845" s="148" t="s">
        <v>90</v>
      </c>
      <c r="AW2845" s="148" t="s">
        <v>33</v>
      </c>
      <c r="AX2845" s="148" t="s">
        <v>87</v>
      </c>
      <c r="AY2845" s="150" t="s">
        <v>337</v>
      </c>
    </row>
    <row r="2846" spans="2:65" s="16" customFormat="1" ht="16.5" customHeight="1" x14ac:dyDescent="0.2">
      <c r="B2846" s="17"/>
      <c r="C2846" s="128">
        <v>207</v>
      </c>
      <c r="D2846" s="128" t="s">
        <v>339</v>
      </c>
      <c r="E2846" s="129" t="s">
        <v>2305</v>
      </c>
      <c r="F2846" s="130" t="s">
        <v>2306</v>
      </c>
      <c r="G2846" s="131" t="s">
        <v>425</v>
      </c>
      <c r="H2846" s="132">
        <v>17.535</v>
      </c>
      <c r="I2846" s="133"/>
      <c r="J2846" s="134">
        <f>ROUND(I2846*H2846,2)</f>
        <v>0</v>
      </c>
      <c r="K2846" s="130" t="s">
        <v>343</v>
      </c>
      <c r="L2846" s="17"/>
      <c r="M2846" s="135"/>
      <c r="N2846" s="136" t="s">
        <v>45</v>
      </c>
      <c r="P2846" s="137">
        <f>O2846*H2846</f>
        <v>0</v>
      </c>
      <c r="Q2846" s="137">
        <v>2.1000000000000001E-4</v>
      </c>
      <c r="R2846" s="137">
        <f>Q2846*H2846</f>
        <v>3.68235E-3</v>
      </c>
      <c r="S2846" s="137">
        <v>0</v>
      </c>
      <c r="T2846" s="138">
        <f>S2846*H2846</f>
        <v>0</v>
      </c>
      <c r="AR2846" s="139" t="s">
        <v>496</v>
      </c>
      <c r="AT2846" s="139" t="s">
        <v>339</v>
      </c>
      <c r="AU2846" s="139" t="s">
        <v>90</v>
      </c>
      <c r="AY2846" s="2" t="s">
        <v>337</v>
      </c>
      <c r="BE2846" s="140">
        <f>IF(N2846="základní",J2846,0)</f>
        <v>0</v>
      </c>
      <c r="BF2846" s="140">
        <f>IF(N2846="snížená",J2846,0)</f>
        <v>0</v>
      </c>
      <c r="BG2846" s="140">
        <f>IF(N2846="zákl. přenesená",J2846,0)</f>
        <v>0</v>
      </c>
      <c r="BH2846" s="140">
        <f>IF(N2846="sníž. přenesená",J2846,0)</f>
        <v>0</v>
      </c>
      <c r="BI2846" s="140">
        <f>IF(N2846="nulová",J2846,0)</f>
        <v>0</v>
      </c>
      <c r="BJ2846" s="2" t="s">
        <v>87</v>
      </c>
      <c r="BK2846" s="140">
        <f>ROUND(I2846*H2846,2)</f>
        <v>0</v>
      </c>
      <c r="BL2846" s="2" t="s">
        <v>496</v>
      </c>
      <c r="BM2846" s="139" t="s">
        <v>2307</v>
      </c>
    </row>
    <row r="2847" spans="2:65" s="16" customFormat="1" ht="16.5" customHeight="1" x14ac:dyDescent="0.2">
      <c r="B2847" s="17"/>
      <c r="C2847" s="128">
        <v>208</v>
      </c>
      <c r="D2847" s="128" t="s">
        <v>339</v>
      </c>
      <c r="E2847" s="129" t="s">
        <v>2309</v>
      </c>
      <c r="F2847" s="130" t="s">
        <v>2310</v>
      </c>
      <c r="G2847" s="131" t="s">
        <v>425</v>
      </c>
      <c r="H2847" s="132">
        <v>17.535</v>
      </c>
      <c r="I2847" s="133"/>
      <c r="J2847" s="134">
        <f>ROUND(I2847*H2847,2)</f>
        <v>0</v>
      </c>
      <c r="K2847" s="130" t="s">
        <v>343</v>
      </c>
      <c r="L2847" s="17"/>
      <c r="M2847" s="135"/>
      <c r="N2847" s="136" t="s">
        <v>45</v>
      </c>
      <c r="P2847" s="137">
        <f>O2847*H2847</f>
        <v>0</v>
      </c>
      <c r="Q2847" s="137">
        <v>6.6E-4</v>
      </c>
      <c r="R2847" s="137">
        <f>Q2847*H2847</f>
        <v>1.1573099999999999E-2</v>
      </c>
      <c r="S2847" s="137">
        <v>0</v>
      </c>
      <c r="T2847" s="138">
        <f>S2847*H2847</f>
        <v>0</v>
      </c>
      <c r="AR2847" s="139" t="s">
        <v>496</v>
      </c>
      <c r="AT2847" s="139" t="s">
        <v>339</v>
      </c>
      <c r="AU2847" s="139" t="s">
        <v>90</v>
      </c>
      <c r="AY2847" s="2" t="s">
        <v>337</v>
      </c>
      <c r="BE2847" s="140">
        <f>IF(N2847="základní",J2847,0)</f>
        <v>0</v>
      </c>
      <c r="BF2847" s="140">
        <f>IF(N2847="snížená",J2847,0)</f>
        <v>0</v>
      </c>
      <c r="BG2847" s="140">
        <f>IF(N2847="zákl. přenesená",J2847,0)</f>
        <v>0</v>
      </c>
      <c r="BH2847" s="140">
        <f>IF(N2847="sníž. přenesená",J2847,0)</f>
        <v>0</v>
      </c>
      <c r="BI2847" s="140">
        <f>IF(N2847="nulová",J2847,0)</f>
        <v>0</v>
      </c>
      <c r="BJ2847" s="2" t="s">
        <v>87</v>
      </c>
      <c r="BK2847" s="140">
        <f>ROUND(I2847*H2847,2)</f>
        <v>0</v>
      </c>
      <c r="BL2847" s="2" t="s">
        <v>496</v>
      </c>
      <c r="BM2847" s="139" t="s">
        <v>2311</v>
      </c>
    </row>
    <row r="2848" spans="2:65" s="141" customFormat="1" x14ac:dyDescent="0.2">
      <c r="B2848" s="142"/>
      <c r="D2848" s="143" t="s">
        <v>346</v>
      </c>
      <c r="E2848" s="144"/>
      <c r="F2848" s="145" t="s">
        <v>2312</v>
      </c>
      <c r="H2848" s="144"/>
      <c r="L2848" s="142"/>
      <c r="M2848" s="146"/>
      <c r="T2848" s="147"/>
      <c r="AT2848" s="144" t="s">
        <v>346</v>
      </c>
      <c r="AU2848" s="144" t="s">
        <v>90</v>
      </c>
      <c r="AV2848" s="141" t="s">
        <v>87</v>
      </c>
      <c r="AW2848" s="141" t="s">
        <v>33</v>
      </c>
      <c r="AX2848" s="141" t="s">
        <v>80</v>
      </c>
      <c r="AY2848" s="144" t="s">
        <v>337</v>
      </c>
    </row>
    <row r="2849" spans="2:65" s="141" customFormat="1" x14ac:dyDescent="0.2">
      <c r="B2849" s="142"/>
      <c r="D2849" s="143" t="s">
        <v>346</v>
      </c>
      <c r="E2849" s="144"/>
      <c r="F2849" s="145" t="s">
        <v>2313</v>
      </c>
      <c r="H2849" s="144"/>
      <c r="L2849" s="142"/>
      <c r="M2849" s="146"/>
      <c r="T2849" s="147"/>
      <c r="AT2849" s="144" t="s">
        <v>346</v>
      </c>
      <c r="AU2849" s="144" t="s">
        <v>90</v>
      </c>
      <c r="AV2849" s="141" t="s">
        <v>87</v>
      </c>
      <c r="AW2849" s="141" t="s">
        <v>33</v>
      </c>
      <c r="AX2849" s="141" t="s">
        <v>80</v>
      </c>
      <c r="AY2849" s="144" t="s">
        <v>337</v>
      </c>
    </row>
    <row r="2850" spans="2:65" s="148" customFormat="1" x14ac:dyDescent="0.2">
      <c r="B2850" s="149"/>
      <c r="D2850" s="143" t="s">
        <v>346</v>
      </c>
      <c r="E2850" s="150"/>
      <c r="F2850" s="151" t="s">
        <v>2314</v>
      </c>
      <c r="H2850" s="152">
        <v>4.16</v>
      </c>
      <c r="L2850" s="149"/>
      <c r="M2850" s="153"/>
      <c r="T2850" s="154"/>
      <c r="AT2850" s="150" t="s">
        <v>346</v>
      </c>
      <c r="AU2850" s="150" t="s">
        <v>90</v>
      </c>
      <c r="AV2850" s="148" t="s">
        <v>90</v>
      </c>
      <c r="AW2850" s="148" t="s">
        <v>33</v>
      </c>
      <c r="AX2850" s="148" t="s">
        <v>80</v>
      </c>
      <c r="AY2850" s="150" t="s">
        <v>337</v>
      </c>
    </row>
    <row r="2851" spans="2:65" s="148" customFormat="1" x14ac:dyDescent="0.2">
      <c r="B2851" s="149"/>
      <c r="D2851" s="143" t="s">
        <v>346</v>
      </c>
      <c r="E2851" s="150"/>
      <c r="F2851" s="151" t="s">
        <v>2315</v>
      </c>
      <c r="H2851" s="152">
        <v>3.36</v>
      </c>
      <c r="L2851" s="149"/>
      <c r="M2851" s="153"/>
      <c r="T2851" s="154"/>
      <c r="AT2851" s="150" t="s">
        <v>346</v>
      </c>
      <c r="AU2851" s="150" t="s">
        <v>90</v>
      </c>
      <c r="AV2851" s="148" t="s">
        <v>90</v>
      </c>
      <c r="AW2851" s="148" t="s">
        <v>33</v>
      </c>
      <c r="AX2851" s="148" t="s">
        <v>80</v>
      </c>
      <c r="AY2851" s="150" t="s">
        <v>337</v>
      </c>
    </row>
    <row r="2852" spans="2:65" s="141" customFormat="1" x14ac:dyDescent="0.2">
      <c r="B2852" s="142"/>
      <c r="D2852" s="143" t="s">
        <v>346</v>
      </c>
      <c r="E2852" s="144"/>
      <c r="F2852" s="145" t="s">
        <v>2316</v>
      </c>
      <c r="H2852" s="144"/>
      <c r="L2852" s="142"/>
      <c r="M2852" s="146"/>
      <c r="T2852" s="147"/>
      <c r="AT2852" s="144" t="s">
        <v>346</v>
      </c>
      <c r="AU2852" s="144" t="s">
        <v>90</v>
      </c>
      <c r="AV2852" s="141" t="s">
        <v>87</v>
      </c>
      <c r="AW2852" s="141" t="s">
        <v>33</v>
      </c>
      <c r="AX2852" s="141" t="s">
        <v>80</v>
      </c>
      <c r="AY2852" s="144" t="s">
        <v>337</v>
      </c>
    </row>
    <row r="2853" spans="2:65" s="148" customFormat="1" x14ac:dyDescent="0.2">
      <c r="B2853" s="149"/>
      <c r="D2853" s="143" t="s">
        <v>346</v>
      </c>
      <c r="E2853" s="150"/>
      <c r="F2853" s="151" t="s">
        <v>2317</v>
      </c>
      <c r="H2853" s="152">
        <v>2.16</v>
      </c>
      <c r="L2853" s="149"/>
      <c r="M2853" s="153"/>
      <c r="T2853" s="154"/>
      <c r="AT2853" s="150" t="s">
        <v>346</v>
      </c>
      <c r="AU2853" s="150" t="s">
        <v>90</v>
      </c>
      <c r="AV2853" s="148" t="s">
        <v>90</v>
      </c>
      <c r="AW2853" s="148" t="s">
        <v>33</v>
      </c>
      <c r="AX2853" s="148" t="s">
        <v>80</v>
      </c>
      <c r="AY2853" s="150" t="s">
        <v>337</v>
      </c>
    </row>
    <row r="2854" spans="2:65" s="148" customFormat="1" x14ac:dyDescent="0.2">
      <c r="B2854" s="149"/>
      <c r="D2854" s="143" t="s">
        <v>346</v>
      </c>
      <c r="E2854" s="150"/>
      <c r="F2854" s="151" t="s">
        <v>2318</v>
      </c>
      <c r="H2854" s="152">
        <v>2.4</v>
      </c>
      <c r="L2854" s="149"/>
      <c r="M2854" s="153"/>
      <c r="T2854" s="154"/>
      <c r="AT2854" s="150" t="s">
        <v>346</v>
      </c>
      <c r="AU2854" s="150" t="s">
        <v>90</v>
      </c>
      <c r="AV2854" s="148" t="s">
        <v>90</v>
      </c>
      <c r="AW2854" s="148" t="s">
        <v>33</v>
      </c>
      <c r="AX2854" s="148" t="s">
        <v>80</v>
      </c>
      <c r="AY2854" s="150" t="s">
        <v>337</v>
      </c>
    </row>
    <row r="2855" spans="2:65" s="141" customFormat="1" x14ac:dyDescent="0.2">
      <c r="B2855" s="142"/>
      <c r="D2855" s="143" t="s">
        <v>346</v>
      </c>
      <c r="E2855" s="144"/>
      <c r="F2855" s="145" t="s">
        <v>2319</v>
      </c>
      <c r="H2855" s="144"/>
      <c r="L2855" s="142"/>
      <c r="M2855" s="146"/>
      <c r="T2855" s="147"/>
      <c r="AT2855" s="144" t="s">
        <v>346</v>
      </c>
      <c r="AU2855" s="144" t="s">
        <v>90</v>
      </c>
      <c r="AV2855" s="141" t="s">
        <v>87</v>
      </c>
      <c r="AW2855" s="141" t="s">
        <v>33</v>
      </c>
      <c r="AX2855" s="141" t="s">
        <v>80</v>
      </c>
      <c r="AY2855" s="144" t="s">
        <v>337</v>
      </c>
    </row>
    <row r="2856" spans="2:65" s="148" customFormat="1" x14ac:dyDescent="0.2">
      <c r="B2856" s="149"/>
      <c r="D2856" s="143" t="s">
        <v>346</v>
      </c>
      <c r="E2856" s="150"/>
      <c r="F2856" s="151" t="s">
        <v>2320</v>
      </c>
      <c r="H2856" s="152">
        <v>2.7749999999999999</v>
      </c>
      <c r="L2856" s="149"/>
      <c r="M2856" s="153"/>
      <c r="T2856" s="154"/>
      <c r="AT2856" s="150" t="s">
        <v>346</v>
      </c>
      <c r="AU2856" s="150" t="s">
        <v>90</v>
      </c>
      <c r="AV2856" s="148" t="s">
        <v>90</v>
      </c>
      <c r="AW2856" s="148" t="s">
        <v>33</v>
      </c>
      <c r="AX2856" s="148" t="s">
        <v>80</v>
      </c>
      <c r="AY2856" s="150" t="s">
        <v>337</v>
      </c>
    </row>
    <row r="2857" spans="2:65" s="148" customFormat="1" x14ac:dyDescent="0.2">
      <c r="B2857" s="149"/>
      <c r="D2857" s="143" t="s">
        <v>346</v>
      </c>
      <c r="E2857" s="150"/>
      <c r="F2857" s="151" t="s">
        <v>2321</v>
      </c>
      <c r="H2857" s="152">
        <v>2.68</v>
      </c>
      <c r="L2857" s="149"/>
      <c r="M2857" s="153"/>
      <c r="T2857" s="154"/>
      <c r="AT2857" s="150" t="s">
        <v>346</v>
      </c>
      <c r="AU2857" s="150" t="s">
        <v>90</v>
      </c>
      <c r="AV2857" s="148" t="s">
        <v>90</v>
      </c>
      <c r="AW2857" s="148" t="s">
        <v>33</v>
      </c>
      <c r="AX2857" s="148" t="s">
        <v>80</v>
      </c>
      <c r="AY2857" s="150" t="s">
        <v>337</v>
      </c>
    </row>
    <row r="2858" spans="2:65" s="155" customFormat="1" x14ac:dyDescent="0.2">
      <c r="B2858" s="156"/>
      <c r="D2858" s="143" t="s">
        <v>346</v>
      </c>
      <c r="E2858" s="157"/>
      <c r="F2858" s="158" t="s">
        <v>351</v>
      </c>
      <c r="H2858" s="159">
        <v>17.535</v>
      </c>
      <c r="L2858" s="156"/>
      <c r="M2858" s="160"/>
      <c r="T2858" s="161"/>
      <c r="AT2858" s="157" t="s">
        <v>346</v>
      </c>
      <c r="AU2858" s="157" t="s">
        <v>90</v>
      </c>
      <c r="AV2858" s="155" t="s">
        <v>344</v>
      </c>
      <c r="AW2858" s="155" t="s">
        <v>33</v>
      </c>
      <c r="AX2858" s="155" t="s">
        <v>87</v>
      </c>
      <c r="AY2858" s="157" t="s">
        <v>337</v>
      </c>
    </row>
    <row r="2859" spans="2:65" s="116" customFormat="1" ht="22.9" customHeight="1" x14ac:dyDescent="0.2">
      <c r="B2859" s="117"/>
      <c r="D2859" s="118" t="s">
        <v>79</v>
      </c>
      <c r="E2859" s="126" t="s">
        <v>2322</v>
      </c>
      <c r="F2859" s="126" t="s">
        <v>2323</v>
      </c>
      <c r="J2859" s="127">
        <f>BK2859</f>
        <v>0</v>
      </c>
      <c r="L2859" s="117"/>
      <c r="M2859" s="121"/>
      <c r="P2859" s="122">
        <f>SUM(P2860:P2984)</f>
        <v>0</v>
      </c>
      <c r="R2859" s="122">
        <f>SUM(R2860:R2984)</f>
        <v>2.0574493199999995</v>
      </c>
      <c r="T2859" s="123">
        <f>SUM(T2860:T2984)</f>
        <v>0</v>
      </c>
      <c r="AR2859" s="118" t="s">
        <v>90</v>
      </c>
      <c r="AT2859" s="124" t="s">
        <v>79</v>
      </c>
      <c r="AU2859" s="124" t="s">
        <v>87</v>
      </c>
      <c r="AY2859" s="118" t="s">
        <v>337</v>
      </c>
      <c r="BK2859" s="125">
        <f>SUM(BK2860:BK2984)</f>
        <v>0</v>
      </c>
    </row>
    <row r="2860" spans="2:65" s="16" customFormat="1" ht="16.5" customHeight="1" x14ac:dyDescent="0.2">
      <c r="B2860" s="17"/>
      <c r="C2860" s="128">
        <v>209</v>
      </c>
      <c r="D2860" s="128" t="s">
        <v>339</v>
      </c>
      <c r="E2860" s="129" t="s">
        <v>2325</v>
      </c>
      <c r="F2860" s="130" t="s">
        <v>2326</v>
      </c>
      <c r="G2860" s="131" t="s">
        <v>425</v>
      </c>
      <c r="H2860" s="132">
        <v>3984.6060000000002</v>
      </c>
      <c r="I2860" s="133"/>
      <c r="J2860" s="134">
        <f>ROUND(I2860*H2860,2)</f>
        <v>0</v>
      </c>
      <c r="K2860" s="130" t="s">
        <v>343</v>
      </c>
      <c r="L2860" s="17"/>
      <c r="M2860" s="135"/>
      <c r="N2860" s="136" t="s">
        <v>45</v>
      </c>
      <c r="P2860" s="137">
        <f>O2860*H2860</f>
        <v>0</v>
      </c>
      <c r="Q2860" s="137">
        <v>0</v>
      </c>
      <c r="R2860" s="137">
        <f>Q2860*H2860</f>
        <v>0</v>
      </c>
      <c r="S2860" s="137">
        <v>0</v>
      </c>
      <c r="T2860" s="138">
        <f>S2860*H2860</f>
        <v>0</v>
      </c>
      <c r="AR2860" s="139" t="s">
        <v>496</v>
      </c>
      <c r="AT2860" s="139" t="s">
        <v>339</v>
      </c>
      <c r="AU2860" s="139" t="s">
        <v>90</v>
      </c>
      <c r="AY2860" s="2" t="s">
        <v>337</v>
      </c>
      <c r="BE2860" s="140">
        <f>IF(N2860="základní",J2860,0)</f>
        <v>0</v>
      </c>
      <c r="BF2860" s="140">
        <f>IF(N2860="snížená",J2860,0)</f>
        <v>0</v>
      </c>
      <c r="BG2860" s="140">
        <f>IF(N2860="zákl. přenesená",J2860,0)</f>
        <v>0</v>
      </c>
      <c r="BH2860" s="140">
        <f>IF(N2860="sníž. přenesená",J2860,0)</f>
        <v>0</v>
      </c>
      <c r="BI2860" s="140">
        <f>IF(N2860="nulová",J2860,0)</f>
        <v>0</v>
      </c>
      <c r="BJ2860" s="2" t="s">
        <v>87</v>
      </c>
      <c r="BK2860" s="140">
        <f>ROUND(I2860*H2860,2)</f>
        <v>0</v>
      </c>
      <c r="BL2860" s="2" t="s">
        <v>496</v>
      </c>
      <c r="BM2860" s="139" t="s">
        <v>2327</v>
      </c>
    </row>
    <row r="2861" spans="2:65" s="148" customFormat="1" x14ac:dyDescent="0.2">
      <c r="B2861" s="149"/>
      <c r="D2861" s="143" t="s">
        <v>346</v>
      </c>
      <c r="E2861" s="150"/>
      <c r="F2861" s="151" t="s">
        <v>2328</v>
      </c>
      <c r="H2861" s="152">
        <v>3648.8159999999998</v>
      </c>
      <c r="L2861" s="149"/>
      <c r="M2861" s="153"/>
      <c r="T2861" s="154"/>
      <c r="AT2861" s="150" t="s">
        <v>346</v>
      </c>
      <c r="AU2861" s="150" t="s">
        <v>90</v>
      </c>
      <c r="AV2861" s="148" t="s">
        <v>90</v>
      </c>
      <c r="AW2861" s="148" t="s">
        <v>33</v>
      </c>
      <c r="AX2861" s="148" t="s">
        <v>80</v>
      </c>
      <c r="AY2861" s="150" t="s">
        <v>337</v>
      </c>
    </row>
    <row r="2862" spans="2:65" s="148" customFormat="1" x14ac:dyDescent="0.2">
      <c r="B2862" s="149"/>
      <c r="D2862" s="143" t="s">
        <v>346</v>
      </c>
      <c r="E2862" s="150"/>
      <c r="F2862" s="151" t="s">
        <v>234</v>
      </c>
      <c r="H2862" s="152">
        <v>335.79</v>
      </c>
      <c r="L2862" s="149"/>
      <c r="M2862" s="153"/>
      <c r="T2862" s="154"/>
      <c r="AT2862" s="150" t="s">
        <v>346</v>
      </c>
      <c r="AU2862" s="150" t="s">
        <v>90</v>
      </c>
      <c r="AV2862" s="148" t="s">
        <v>90</v>
      </c>
      <c r="AW2862" s="148" t="s">
        <v>33</v>
      </c>
      <c r="AX2862" s="148" t="s">
        <v>80</v>
      </c>
      <c r="AY2862" s="150" t="s">
        <v>337</v>
      </c>
    </row>
    <row r="2863" spans="2:65" s="155" customFormat="1" x14ac:dyDescent="0.2">
      <c r="B2863" s="156"/>
      <c r="D2863" s="143" t="s">
        <v>346</v>
      </c>
      <c r="E2863" s="157"/>
      <c r="F2863" s="158" t="s">
        <v>351</v>
      </c>
      <c r="H2863" s="159">
        <v>3984.6060000000002</v>
      </c>
      <c r="L2863" s="156"/>
      <c r="M2863" s="160"/>
      <c r="T2863" s="161"/>
      <c r="AT2863" s="157" t="s">
        <v>346</v>
      </c>
      <c r="AU2863" s="157" t="s">
        <v>90</v>
      </c>
      <c r="AV2863" s="155" t="s">
        <v>344</v>
      </c>
      <c r="AW2863" s="155" t="s">
        <v>33</v>
      </c>
      <c r="AX2863" s="155" t="s">
        <v>87</v>
      </c>
      <c r="AY2863" s="157" t="s">
        <v>337</v>
      </c>
    </row>
    <row r="2864" spans="2:65" s="16" customFormat="1" ht="16.5" customHeight="1" x14ac:dyDescent="0.2">
      <c r="B2864" s="17"/>
      <c r="C2864" s="128">
        <v>210</v>
      </c>
      <c r="D2864" s="128" t="s">
        <v>339</v>
      </c>
      <c r="E2864" s="129" t="s">
        <v>2330</v>
      </c>
      <c r="F2864" s="130" t="s">
        <v>2331</v>
      </c>
      <c r="G2864" s="131" t="s">
        <v>425</v>
      </c>
      <c r="H2864" s="132">
        <v>3648.8159999999998</v>
      </c>
      <c r="I2864" s="133"/>
      <c r="J2864" s="134">
        <f>ROUND(I2864*H2864,2)</f>
        <v>0</v>
      </c>
      <c r="K2864" s="130" t="s">
        <v>343</v>
      </c>
      <c r="L2864" s="17"/>
      <c r="M2864" s="135"/>
      <c r="N2864" s="136" t="s">
        <v>45</v>
      </c>
      <c r="P2864" s="137">
        <f>O2864*H2864</f>
        <v>0</v>
      </c>
      <c r="Q2864" s="137">
        <v>2.1000000000000001E-4</v>
      </c>
      <c r="R2864" s="137">
        <f>Q2864*H2864</f>
        <v>0.76625135999999994</v>
      </c>
      <c r="S2864" s="137">
        <v>0</v>
      </c>
      <c r="T2864" s="138">
        <f>S2864*H2864</f>
        <v>0</v>
      </c>
      <c r="AR2864" s="139" t="s">
        <v>496</v>
      </c>
      <c r="AT2864" s="139" t="s">
        <v>339</v>
      </c>
      <c r="AU2864" s="139" t="s">
        <v>90</v>
      </c>
      <c r="AY2864" s="2" t="s">
        <v>337</v>
      </c>
      <c r="BE2864" s="140">
        <f>IF(N2864="základní",J2864,0)</f>
        <v>0</v>
      </c>
      <c r="BF2864" s="140">
        <f>IF(N2864="snížená",J2864,0)</f>
        <v>0</v>
      </c>
      <c r="BG2864" s="140">
        <f>IF(N2864="zákl. přenesená",J2864,0)</f>
        <v>0</v>
      </c>
      <c r="BH2864" s="140">
        <f>IF(N2864="sníž. přenesená",J2864,0)</f>
        <v>0</v>
      </c>
      <c r="BI2864" s="140">
        <f>IF(N2864="nulová",J2864,0)</f>
        <v>0</v>
      </c>
      <c r="BJ2864" s="2" t="s">
        <v>87</v>
      </c>
      <c r="BK2864" s="140">
        <f>ROUND(I2864*H2864,2)</f>
        <v>0</v>
      </c>
      <c r="BL2864" s="2" t="s">
        <v>496</v>
      </c>
      <c r="BM2864" s="139" t="s">
        <v>2332</v>
      </c>
    </row>
    <row r="2865" spans="2:65" s="16" customFormat="1" ht="16.5" customHeight="1" x14ac:dyDescent="0.2">
      <c r="B2865" s="17"/>
      <c r="C2865" s="128">
        <v>211</v>
      </c>
      <c r="D2865" s="128" t="s">
        <v>339</v>
      </c>
      <c r="E2865" s="129" t="s">
        <v>2334</v>
      </c>
      <c r="F2865" s="130" t="s">
        <v>2335</v>
      </c>
      <c r="G2865" s="131" t="s">
        <v>425</v>
      </c>
      <c r="H2865" s="132">
        <v>335.79</v>
      </c>
      <c r="I2865" s="133"/>
      <c r="J2865" s="134">
        <f>ROUND(I2865*H2865,2)</f>
        <v>0</v>
      </c>
      <c r="K2865" s="130" t="s">
        <v>343</v>
      </c>
      <c r="L2865" s="17"/>
      <c r="M2865" s="135"/>
      <c r="N2865" s="136" t="s">
        <v>45</v>
      </c>
      <c r="P2865" s="137">
        <f>O2865*H2865</f>
        <v>0</v>
      </c>
      <c r="Q2865" s="137">
        <v>7.3999999999999999E-4</v>
      </c>
      <c r="R2865" s="137">
        <f>Q2865*H2865</f>
        <v>0.2484846</v>
      </c>
      <c r="S2865" s="137">
        <v>0</v>
      </c>
      <c r="T2865" s="138">
        <f>S2865*H2865</f>
        <v>0</v>
      </c>
      <c r="AR2865" s="139" t="s">
        <v>496</v>
      </c>
      <c r="AT2865" s="139" t="s">
        <v>339</v>
      </c>
      <c r="AU2865" s="139" t="s">
        <v>90</v>
      </c>
      <c r="AY2865" s="2" t="s">
        <v>337</v>
      </c>
      <c r="BE2865" s="140">
        <f>IF(N2865="základní",J2865,0)</f>
        <v>0</v>
      </c>
      <c r="BF2865" s="140">
        <f>IF(N2865="snížená",J2865,0)</f>
        <v>0</v>
      </c>
      <c r="BG2865" s="140">
        <f>IF(N2865="zákl. přenesená",J2865,0)</f>
        <v>0</v>
      </c>
      <c r="BH2865" s="140">
        <f>IF(N2865="sníž. přenesená",J2865,0)</f>
        <v>0</v>
      </c>
      <c r="BI2865" s="140">
        <f>IF(N2865="nulová",J2865,0)</f>
        <v>0</v>
      </c>
      <c r="BJ2865" s="2" t="s">
        <v>87</v>
      </c>
      <c r="BK2865" s="140">
        <f>ROUND(I2865*H2865,2)</f>
        <v>0</v>
      </c>
      <c r="BL2865" s="2" t="s">
        <v>496</v>
      </c>
      <c r="BM2865" s="139" t="s">
        <v>2336</v>
      </c>
    </row>
    <row r="2866" spans="2:65" s="141" customFormat="1" x14ac:dyDescent="0.2">
      <c r="B2866" s="142"/>
      <c r="D2866" s="143" t="s">
        <v>346</v>
      </c>
      <c r="E2866" s="144"/>
      <c r="F2866" s="145" t="s">
        <v>2337</v>
      </c>
      <c r="H2866" s="144"/>
      <c r="L2866" s="142"/>
      <c r="M2866" s="146"/>
      <c r="T2866" s="147"/>
      <c r="AT2866" s="144" t="s">
        <v>346</v>
      </c>
      <c r="AU2866" s="144" t="s">
        <v>90</v>
      </c>
      <c r="AV2866" s="141" t="s">
        <v>87</v>
      </c>
      <c r="AW2866" s="141" t="s">
        <v>33</v>
      </c>
      <c r="AX2866" s="141" t="s">
        <v>80</v>
      </c>
      <c r="AY2866" s="144" t="s">
        <v>337</v>
      </c>
    </row>
    <row r="2867" spans="2:65" s="148" customFormat="1" x14ac:dyDescent="0.2">
      <c r="B2867" s="149"/>
      <c r="D2867" s="143" t="s">
        <v>346</v>
      </c>
      <c r="E2867" s="150"/>
      <c r="F2867" s="151" t="s">
        <v>234</v>
      </c>
      <c r="H2867" s="152">
        <v>335.79</v>
      </c>
      <c r="L2867" s="149"/>
      <c r="M2867" s="153"/>
      <c r="T2867" s="154"/>
      <c r="AT2867" s="150" t="s">
        <v>346</v>
      </c>
      <c r="AU2867" s="150" t="s">
        <v>90</v>
      </c>
      <c r="AV2867" s="148" t="s">
        <v>90</v>
      </c>
      <c r="AW2867" s="148" t="s">
        <v>33</v>
      </c>
      <c r="AX2867" s="148" t="s">
        <v>87</v>
      </c>
      <c r="AY2867" s="150" t="s">
        <v>337</v>
      </c>
    </row>
    <row r="2868" spans="2:65" s="16" customFormat="1" ht="16.5" customHeight="1" x14ac:dyDescent="0.2">
      <c r="B2868" s="17"/>
      <c r="C2868" s="128">
        <v>212</v>
      </c>
      <c r="D2868" s="128" t="s">
        <v>339</v>
      </c>
      <c r="E2868" s="129" t="s">
        <v>2338</v>
      </c>
      <c r="F2868" s="130" t="s">
        <v>2339</v>
      </c>
      <c r="G2868" s="131" t="s">
        <v>425</v>
      </c>
      <c r="H2868" s="132">
        <v>3648.8159999999998</v>
      </c>
      <c r="I2868" s="133"/>
      <c r="J2868" s="134">
        <f>ROUND(I2868*H2868,2)</f>
        <v>0</v>
      </c>
      <c r="K2868" s="130" t="s">
        <v>343</v>
      </c>
      <c r="L2868" s="17"/>
      <c r="M2868" s="135"/>
      <c r="N2868" s="136" t="s">
        <v>45</v>
      </c>
      <c r="P2868" s="137">
        <f>O2868*H2868</f>
        <v>0</v>
      </c>
      <c r="Q2868" s="137">
        <v>2.5999999999999998E-4</v>
      </c>
      <c r="R2868" s="137">
        <f>Q2868*H2868</f>
        <v>0.9486921599999999</v>
      </c>
      <c r="S2868" s="137">
        <v>0</v>
      </c>
      <c r="T2868" s="138">
        <f>S2868*H2868</f>
        <v>0</v>
      </c>
      <c r="AR2868" s="139" t="s">
        <v>496</v>
      </c>
      <c r="AT2868" s="139" t="s">
        <v>339</v>
      </c>
      <c r="AU2868" s="139" t="s">
        <v>90</v>
      </c>
      <c r="AY2868" s="2" t="s">
        <v>337</v>
      </c>
      <c r="BE2868" s="140">
        <f>IF(N2868="základní",J2868,0)</f>
        <v>0</v>
      </c>
      <c r="BF2868" s="140">
        <f>IF(N2868="snížená",J2868,0)</f>
        <v>0</v>
      </c>
      <c r="BG2868" s="140">
        <f>IF(N2868="zákl. přenesená",J2868,0)</f>
        <v>0</v>
      </c>
      <c r="BH2868" s="140">
        <f>IF(N2868="sníž. přenesená",J2868,0)</f>
        <v>0</v>
      </c>
      <c r="BI2868" s="140">
        <f>IF(N2868="nulová",J2868,0)</f>
        <v>0</v>
      </c>
      <c r="BJ2868" s="2" t="s">
        <v>87</v>
      </c>
      <c r="BK2868" s="140">
        <f>ROUND(I2868*H2868,2)</f>
        <v>0</v>
      </c>
      <c r="BL2868" s="2" t="s">
        <v>496</v>
      </c>
      <c r="BM2868" s="139" t="s">
        <v>2340</v>
      </c>
    </row>
    <row r="2869" spans="2:65" s="141" customFormat="1" x14ac:dyDescent="0.2">
      <c r="B2869" s="142"/>
      <c r="D2869" s="143" t="s">
        <v>346</v>
      </c>
      <c r="E2869" s="144"/>
      <c r="F2869" s="145" t="s">
        <v>2341</v>
      </c>
      <c r="H2869" s="144"/>
      <c r="L2869" s="142"/>
      <c r="M2869" s="146"/>
      <c r="T2869" s="147"/>
      <c r="AT2869" s="144" t="s">
        <v>346</v>
      </c>
      <c r="AU2869" s="144" t="s">
        <v>90</v>
      </c>
      <c r="AV2869" s="141" t="s">
        <v>87</v>
      </c>
      <c r="AW2869" s="141" t="s">
        <v>33</v>
      </c>
      <c r="AX2869" s="141" t="s">
        <v>80</v>
      </c>
      <c r="AY2869" s="144" t="s">
        <v>337</v>
      </c>
    </row>
    <row r="2870" spans="2:65" s="141" customFormat="1" x14ac:dyDescent="0.2">
      <c r="B2870" s="142"/>
      <c r="D2870" s="143" t="s">
        <v>346</v>
      </c>
      <c r="E2870" s="144"/>
      <c r="F2870" s="145" t="s">
        <v>2342</v>
      </c>
      <c r="H2870" s="144"/>
      <c r="L2870" s="142"/>
      <c r="M2870" s="146"/>
      <c r="T2870" s="147"/>
      <c r="AT2870" s="144" t="s">
        <v>346</v>
      </c>
      <c r="AU2870" s="144" t="s">
        <v>90</v>
      </c>
      <c r="AV2870" s="141" t="s">
        <v>87</v>
      </c>
      <c r="AW2870" s="141" t="s">
        <v>33</v>
      </c>
      <c r="AX2870" s="141" t="s">
        <v>80</v>
      </c>
      <c r="AY2870" s="144" t="s">
        <v>337</v>
      </c>
    </row>
    <row r="2871" spans="2:65" s="148" customFormat="1" x14ac:dyDescent="0.2">
      <c r="B2871" s="149"/>
      <c r="D2871" s="143" t="s">
        <v>346</v>
      </c>
      <c r="E2871" s="150"/>
      <c r="F2871" s="151" t="s">
        <v>269</v>
      </c>
      <c r="H2871" s="152">
        <v>33.53</v>
      </c>
      <c r="L2871" s="149"/>
      <c r="M2871" s="153"/>
      <c r="T2871" s="154"/>
      <c r="AT2871" s="150" t="s">
        <v>346</v>
      </c>
      <c r="AU2871" s="150" t="s">
        <v>90</v>
      </c>
      <c r="AV2871" s="148" t="s">
        <v>90</v>
      </c>
      <c r="AW2871" s="148" t="s">
        <v>33</v>
      </c>
      <c r="AX2871" s="148" t="s">
        <v>80</v>
      </c>
      <c r="AY2871" s="150" t="s">
        <v>337</v>
      </c>
    </row>
    <row r="2872" spans="2:65" s="148" customFormat="1" x14ac:dyDescent="0.2">
      <c r="B2872" s="149"/>
      <c r="D2872" s="143" t="s">
        <v>346</v>
      </c>
      <c r="E2872" s="150"/>
      <c r="F2872" s="151" t="s">
        <v>296</v>
      </c>
      <c r="H2872" s="152">
        <v>34.667000000000002</v>
      </c>
      <c r="L2872" s="149"/>
      <c r="M2872" s="153"/>
      <c r="T2872" s="154"/>
      <c r="AT2872" s="150" t="s">
        <v>346</v>
      </c>
      <c r="AU2872" s="150" t="s">
        <v>90</v>
      </c>
      <c r="AV2872" s="148" t="s">
        <v>90</v>
      </c>
      <c r="AW2872" s="148" t="s">
        <v>33</v>
      </c>
      <c r="AX2872" s="148" t="s">
        <v>80</v>
      </c>
      <c r="AY2872" s="150" t="s">
        <v>337</v>
      </c>
    </row>
    <row r="2873" spans="2:65" s="148" customFormat="1" x14ac:dyDescent="0.2">
      <c r="B2873" s="149"/>
      <c r="D2873" s="143" t="s">
        <v>346</v>
      </c>
      <c r="E2873" s="150"/>
      <c r="F2873" s="151" t="s">
        <v>202</v>
      </c>
      <c r="H2873" s="152">
        <v>211.74</v>
      </c>
      <c r="L2873" s="149"/>
      <c r="M2873" s="153"/>
      <c r="T2873" s="154"/>
      <c r="AT2873" s="150" t="s">
        <v>346</v>
      </c>
      <c r="AU2873" s="150" t="s">
        <v>90</v>
      </c>
      <c r="AV2873" s="148" t="s">
        <v>90</v>
      </c>
      <c r="AW2873" s="148" t="s">
        <v>33</v>
      </c>
      <c r="AX2873" s="148" t="s">
        <v>80</v>
      </c>
      <c r="AY2873" s="150" t="s">
        <v>337</v>
      </c>
    </row>
    <row r="2874" spans="2:65" s="148" customFormat="1" x14ac:dyDescent="0.2">
      <c r="B2874" s="149"/>
      <c r="D2874" s="143" t="s">
        <v>346</v>
      </c>
      <c r="E2874" s="150"/>
      <c r="F2874" s="151" t="s">
        <v>204</v>
      </c>
      <c r="H2874" s="152">
        <v>1771.54</v>
      </c>
      <c r="L2874" s="149"/>
      <c r="M2874" s="153"/>
      <c r="T2874" s="154"/>
      <c r="AT2874" s="150" t="s">
        <v>346</v>
      </c>
      <c r="AU2874" s="150" t="s">
        <v>90</v>
      </c>
      <c r="AV2874" s="148" t="s">
        <v>90</v>
      </c>
      <c r="AW2874" s="148" t="s">
        <v>33</v>
      </c>
      <c r="AX2874" s="148" t="s">
        <v>80</v>
      </c>
      <c r="AY2874" s="150" t="s">
        <v>337</v>
      </c>
    </row>
    <row r="2875" spans="2:65" s="148" customFormat="1" x14ac:dyDescent="0.2">
      <c r="B2875" s="149"/>
      <c r="D2875" s="143" t="s">
        <v>346</v>
      </c>
      <c r="E2875" s="150"/>
      <c r="F2875" s="151" t="s">
        <v>214</v>
      </c>
      <c r="H2875" s="152">
        <v>48.96</v>
      </c>
      <c r="L2875" s="149"/>
      <c r="M2875" s="153"/>
      <c r="T2875" s="154"/>
      <c r="AT2875" s="150" t="s">
        <v>346</v>
      </c>
      <c r="AU2875" s="150" t="s">
        <v>90</v>
      </c>
      <c r="AV2875" s="148" t="s">
        <v>90</v>
      </c>
      <c r="AW2875" s="148" t="s">
        <v>33</v>
      </c>
      <c r="AX2875" s="148" t="s">
        <v>80</v>
      </c>
      <c r="AY2875" s="150" t="s">
        <v>337</v>
      </c>
    </row>
    <row r="2876" spans="2:65" s="148" customFormat="1" x14ac:dyDescent="0.2">
      <c r="B2876" s="149"/>
      <c r="D2876" s="143" t="s">
        <v>346</v>
      </c>
      <c r="E2876" s="150"/>
      <c r="F2876" s="151" t="s">
        <v>216</v>
      </c>
      <c r="H2876" s="152">
        <v>494.34</v>
      </c>
      <c r="L2876" s="149"/>
      <c r="M2876" s="153"/>
      <c r="T2876" s="154"/>
      <c r="AT2876" s="150" t="s">
        <v>346</v>
      </c>
      <c r="AU2876" s="150" t="s">
        <v>90</v>
      </c>
      <c r="AV2876" s="148" t="s">
        <v>90</v>
      </c>
      <c r="AW2876" s="148" t="s">
        <v>33</v>
      </c>
      <c r="AX2876" s="148" t="s">
        <v>80</v>
      </c>
      <c r="AY2876" s="150" t="s">
        <v>337</v>
      </c>
    </row>
    <row r="2877" spans="2:65" s="141" customFormat="1" x14ac:dyDescent="0.2">
      <c r="B2877" s="142"/>
      <c r="D2877" s="143" t="s">
        <v>346</v>
      </c>
      <c r="E2877" s="144"/>
      <c r="F2877" s="145" t="s">
        <v>2343</v>
      </c>
      <c r="H2877" s="144"/>
      <c r="L2877" s="142"/>
      <c r="M2877" s="146"/>
      <c r="T2877" s="147"/>
      <c r="AT2877" s="144" t="s">
        <v>346</v>
      </c>
      <c r="AU2877" s="144" t="s">
        <v>90</v>
      </c>
      <c r="AV2877" s="141" t="s">
        <v>87</v>
      </c>
      <c r="AW2877" s="141" t="s">
        <v>33</v>
      </c>
      <c r="AX2877" s="141" t="s">
        <v>80</v>
      </c>
      <c r="AY2877" s="144" t="s">
        <v>337</v>
      </c>
    </row>
    <row r="2878" spans="2:65" s="148" customFormat="1" x14ac:dyDescent="0.2">
      <c r="B2878" s="149"/>
      <c r="D2878" s="143" t="s">
        <v>346</v>
      </c>
      <c r="E2878" s="150"/>
      <c r="F2878" s="151" t="s">
        <v>2344</v>
      </c>
      <c r="H2878" s="152">
        <v>206.75800000000001</v>
      </c>
      <c r="L2878" s="149"/>
      <c r="M2878" s="153"/>
      <c r="T2878" s="154"/>
      <c r="AT2878" s="150" t="s">
        <v>346</v>
      </c>
      <c r="AU2878" s="150" t="s">
        <v>90</v>
      </c>
      <c r="AV2878" s="148" t="s">
        <v>90</v>
      </c>
      <c r="AW2878" s="148" t="s">
        <v>33</v>
      </c>
      <c r="AX2878" s="148" t="s">
        <v>80</v>
      </c>
      <c r="AY2878" s="150" t="s">
        <v>337</v>
      </c>
    </row>
    <row r="2879" spans="2:65" s="172" customFormat="1" x14ac:dyDescent="0.2">
      <c r="B2879" s="173"/>
      <c r="D2879" s="143" t="s">
        <v>346</v>
      </c>
      <c r="E2879" s="174"/>
      <c r="F2879" s="175" t="s">
        <v>609</v>
      </c>
      <c r="H2879" s="176">
        <v>2801.5349999999999</v>
      </c>
      <c r="L2879" s="173"/>
      <c r="M2879" s="177"/>
      <c r="T2879" s="178"/>
      <c r="AT2879" s="174" t="s">
        <v>346</v>
      </c>
      <c r="AU2879" s="174" t="s">
        <v>90</v>
      </c>
      <c r="AV2879" s="172" t="s">
        <v>113</v>
      </c>
      <c r="AW2879" s="172" t="s">
        <v>33</v>
      </c>
      <c r="AX2879" s="172" t="s">
        <v>80</v>
      </c>
      <c r="AY2879" s="174" t="s">
        <v>337</v>
      </c>
    </row>
    <row r="2880" spans="2:65" s="141" customFormat="1" x14ac:dyDescent="0.2">
      <c r="B2880" s="142"/>
      <c r="D2880" s="143" t="s">
        <v>346</v>
      </c>
      <c r="E2880" s="144"/>
      <c r="F2880" s="145" t="s">
        <v>2345</v>
      </c>
      <c r="H2880" s="144"/>
      <c r="L2880" s="142"/>
      <c r="M2880" s="146"/>
      <c r="T2880" s="147"/>
      <c r="AT2880" s="144" t="s">
        <v>346</v>
      </c>
      <c r="AU2880" s="144" t="s">
        <v>90</v>
      </c>
      <c r="AV2880" s="141" t="s">
        <v>87</v>
      </c>
      <c r="AW2880" s="141" t="s">
        <v>33</v>
      </c>
      <c r="AX2880" s="141" t="s">
        <v>80</v>
      </c>
      <c r="AY2880" s="144" t="s">
        <v>337</v>
      </c>
    </row>
    <row r="2881" spans="2:51" s="141" customFormat="1" x14ac:dyDescent="0.2">
      <c r="B2881" s="142"/>
      <c r="D2881" s="143" t="s">
        <v>346</v>
      </c>
      <c r="E2881" s="144"/>
      <c r="F2881" s="145" t="s">
        <v>2346</v>
      </c>
      <c r="H2881" s="144"/>
      <c r="L2881" s="142"/>
      <c r="M2881" s="146"/>
      <c r="T2881" s="147"/>
      <c r="AT2881" s="144" t="s">
        <v>346</v>
      </c>
      <c r="AU2881" s="144" t="s">
        <v>90</v>
      </c>
      <c r="AV2881" s="141" t="s">
        <v>87</v>
      </c>
      <c r="AW2881" s="141" t="s">
        <v>33</v>
      </c>
      <c r="AX2881" s="141" t="s">
        <v>80</v>
      </c>
      <c r="AY2881" s="144" t="s">
        <v>337</v>
      </c>
    </row>
    <row r="2882" spans="2:51" s="148" customFormat="1" x14ac:dyDescent="0.2">
      <c r="B2882" s="149"/>
      <c r="D2882" s="143" t="s">
        <v>346</v>
      </c>
      <c r="E2882" s="150"/>
      <c r="F2882" s="151" t="s">
        <v>2347</v>
      </c>
      <c r="H2882" s="152">
        <v>43.764000000000003</v>
      </c>
      <c r="L2882" s="149"/>
      <c r="M2882" s="153"/>
      <c r="T2882" s="154"/>
      <c r="AT2882" s="150" t="s">
        <v>346</v>
      </c>
      <c r="AU2882" s="150" t="s">
        <v>90</v>
      </c>
      <c r="AV2882" s="148" t="s">
        <v>90</v>
      </c>
      <c r="AW2882" s="148" t="s">
        <v>33</v>
      </c>
      <c r="AX2882" s="148" t="s">
        <v>80</v>
      </c>
      <c r="AY2882" s="150" t="s">
        <v>337</v>
      </c>
    </row>
    <row r="2883" spans="2:51" s="148" customFormat="1" x14ac:dyDescent="0.2">
      <c r="B2883" s="149"/>
      <c r="D2883" s="143" t="s">
        <v>346</v>
      </c>
      <c r="E2883" s="150"/>
      <c r="F2883" s="151" t="s">
        <v>2348</v>
      </c>
      <c r="H2883" s="152">
        <v>-5.1449999999999996</v>
      </c>
      <c r="L2883" s="149"/>
      <c r="M2883" s="153"/>
      <c r="T2883" s="154"/>
      <c r="AT2883" s="150" t="s">
        <v>346</v>
      </c>
      <c r="AU2883" s="150" t="s">
        <v>90</v>
      </c>
      <c r="AV2883" s="148" t="s">
        <v>90</v>
      </c>
      <c r="AW2883" s="148" t="s">
        <v>33</v>
      </c>
      <c r="AX2883" s="148" t="s">
        <v>80</v>
      </c>
      <c r="AY2883" s="150" t="s">
        <v>337</v>
      </c>
    </row>
    <row r="2884" spans="2:51" s="148" customFormat="1" x14ac:dyDescent="0.2">
      <c r="B2884" s="149"/>
      <c r="D2884" s="143" t="s">
        <v>346</v>
      </c>
      <c r="E2884" s="150"/>
      <c r="F2884" s="151" t="s">
        <v>2349</v>
      </c>
      <c r="H2884" s="152">
        <v>4.7220000000000004</v>
      </c>
      <c r="L2884" s="149"/>
      <c r="M2884" s="153"/>
      <c r="T2884" s="154"/>
      <c r="AT2884" s="150" t="s">
        <v>346</v>
      </c>
      <c r="AU2884" s="150" t="s">
        <v>90</v>
      </c>
      <c r="AV2884" s="148" t="s">
        <v>90</v>
      </c>
      <c r="AW2884" s="148" t="s">
        <v>33</v>
      </c>
      <c r="AX2884" s="148" t="s">
        <v>80</v>
      </c>
      <c r="AY2884" s="150" t="s">
        <v>337</v>
      </c>
    </row>
    <row r="2885" spans="2:51" s="141" customFormat="1" x14ac:dyDescent="0.2">
      <c r="B2885" s="142"/>
      <c r="D2885" s="143" t="s">
        <v>346</v>
      </c>
      <c r="E2885" s="144"/>
      <c r="F2885" s="145" t="s">
        <v>2350</v>
      </c>
      <c r="H2885" s="144"/>
      <c r="L2885" s="142"/>
      <c r="M2885" s="146"/>
      <c r="T2885" s="147"/>
      <c r="AT2885" s="144" t="s">
        <v>346</v>
      </c>
      <c r="AU2885" s="144" t="s">
        <v>90</v>
      </c>
      <c r="AV2885" s="141" t="s">
        <v>87</v>
      </c>
      <c r="AW2885" s="141" t="s">
        <v>33</v>
      </c>
      <c r="AX2885" s="141" t="s">
        <v>80</v>
      </c>
      <c r="AY2885" s="144" t="s">
        <v>337</v>
      </c>
    </row>
    <row r="2886" spans="2:51" s="148" customFormat="1" x14ac:dyDescent="0.2">
      <c r="B2886" s="149"/>
      <c r="D2886" s="143" t="s">
        <v>346</v>
      </c>
      <c r="E2886" s="150"/>
      <c r="F2886" s="151" t="s">
        <v>2351</v>
      </c>
      <c r="H2886" s="152">
        <v>68.346000000000004</v>
      </c>
      <c r="L2886" s="149"/>
      <c r="M2886" s="153"/>
      <c r="T2886" s="154"/>
      <c r="AT2886" s="150" t="s">
        <v>346</v>
      </c>
      <c r="AU2886" s="150" t="s">
        <v>90</v>
      </c>
      <c r="AV2886" s="148" t="s">
        <v>90</v>
      </c>
      <c r="AW2886" s="148" t="s">
        <v>33</v>
      </c>
      <c r="AX2886" s="148" t="s">
        <v>80</v>
      </c>
      <c r="AY2886" s="150" t="s">
        <v>337</v>
      </c>
    </row>
    <row r="2887" spans="2:51" s="148" customFormat="1" x14ac:dyDescent="0.2">
      <c r="B2887" s="149"/>
      <c r="D2887" s="143" t="s">
        <v>346</v>
      </c>
      <c r="E2887" s="150"/>
      <c r="F2887" s="151" t="s">
        <v>2352</v>
      </c>
      <c r="H2887" s="152">
        <v>1.964</v>
      </c>
      <c r="L2887" s="149"/>
      <c r="M2887" s="153"/>
      <c r="T2887" s="154"/>
      <c r="AT2887" s="150" t="s">
        <v>346</v>
      </c>
      <c r="AU2887" s="150" t="s">
        <v>90</v>
      </c>
      <c r="AV2887" s="148" t="s">
        <v>90</v>
      </c>
      <c r="AW2887" s="148" t="s">
        <v>33</v>
      </c>
      <c r="AX2887" s="148" t="s">
        <v>80</v>
      </c>
      <c r="AY2887" s="150" t="s">
        <v>337</v>
      </c>
    </row>
    <row r="2888" spans="2:51" s="148" customFormat="1" x14ac:dyDescent="0.2">
      <c r="B2888" s="149"/>
      <c r="D2888" s="143" t="s">
        <v>346</v>
      </c>
      <c r="E2888" s="150"/>
      <c r="F2888" s="151" t="s">
        <v>2353</v>
      </c>
      <c r="H2888" s="152">
        <v>2.5830000000000002</v>
      </c>
      <c r="L2888" s="149"/>
      <c r="M2888" s="153"/>
      <c r="T2888" s="154"/>
      <c r="AT2888" s="150" t="s">
        <v>346</v>
      </c>
      <c r="AU2888" s="150" t="s">
        <v>90</v>
      </c>
      <c r="AV2888" s="148" t="s">
        <v>90</v>
      </c>
      <c r="AW2888" s="148" t="s">
        <v>33</v>
      </c>
      <c r="AX2888" s="148" t="s">
        <v>80</v>
      </c>
      <c r="AY2888" s="150" t="s">
        <v>337</v>
      </c>
    </row>
    <row r="2889" spans="2:51" s="141" customFormat="1" x14ac:dyDescent="0.2">
      <c r="B2889" s="142"/>
      <c r="D2889" s="143" t="s">
        <v>346</v>
      </c>
      <c r="E2889" s="144"/>
      <c r="F2889" s="145" t="s">
        <v>2354</v>
      </c>
      <c r="H2889" s="144"/>
      <c r="L2889" s="142"/>
      <c r="M2889" s="146"/>
      <c r="T2889" s="147"/>
      <c r="AT2889" s="144" t="s">
        <v>346</v>
      </c>
      <c r="AU2889" s="144" t="s">
        <v>90</v>
      </c>
      <c r="AV2889" s="141" t="s">
        <v>87</v>
      </c>
      <c r="AW2889" s="141" t="s">
        <v>33</v>
      </c>
      <c r="AX2889" s="141" t="s">
        <v>80</v>
      </c>
      <c r="AY2889" s="144" t="s">
        <v>337</v>
      </c>
    </row>
    <row r="2890" spans="2:51" s="148" customFormat="1" x14ac:dyDescent="0.2">
      <c r="B2890" s="149"/>
      <c r="D2890" s="143" t="s">
        <v>346</v>
      </c>
      <c r="E2890" s="150"/>
      <c r="F2890" s="151" t="s">
        <v>2355</v>
      </c>
      <c r="H2890" s="152">
        <v>51.584000000000003</v>
      </c>
      <c r="L2890" s="149"/>
      <c r="M2890" s="153"/>
      <c r="T2890" s="154"/>
      <c r="AT2890" s="150" t="s">
        <v>346</v>
      </c>
      <c r="AU2890" s="150" t="s">
        <v>90</v>
      </c>
      <c r="AV2890" s="148" t="s">
        <v>90</v>
      </c>
      <c r="AW2890" s="148" t="s">
        <v>33</v>
      </c>
      <c r="AX2890" s="148" t="s">
        <v>80</v>
      </c>
      <c r="AY2890" s="150" t="s">
        <v>337</v>
      </c>
    </row>
    <row r="2891" spans="2:51" s="148" customFormat="1" x14ac:dyDescent="0.2">
      <c r="B2891" s="149"/>
      <c r="D2891" s="143" t="s">
        <v>346</v>
      </c>
      <c r="E2891" s="150"/>
      <c r="F2891" s="151" t="s">
        <v>2356</v>
      </c>
      <c r="H2891" s="152">
        <v>7.6879999999999997</v>
      </c>
      <c r="L2891" s="149"/>
      <c r="M2891" s="153"/>
      <c r="T2891" s="154"/>
      <c r="AT2891" s="150" t="s">
        <v>346</v>
      </c>
      <c r="AU2891" s="150" t="s">
        <v>90</v>
      </c>
      <c r="AV2891" s="148" t="s">
        <v>90</v>
      </c>
      <c r="AW2891" s="148" t="s">
        <v>33</v>
      </c>
      <c r="AX2891" s="148" t="s">
        <v>80</v>
      </c>
      <c r="AY2891" s="150" t="s">
        <v>337</v>
      </c>
    </row>
    <row r="2892" spans="2:51" s="148" customFormat="1" x14ac:dyDescent="0.2">
      <c r="B2892" s="149"/>
      <c r="D2892" s="143" t="s">
        <v>346</v>
      </c>
      <c r="E2892" s="150"/>
      <c r="F2892" s="151" t="s">
        <v>2357</v>
      </c>
      <c r="H2892" s="152">
        <v>2.48</v>
      </c>
      <c r="L2892" s="149"/>
      <c r="M2892" s="153"/>
      <c r="T2892" s="154"/>
      <c r="AT2892" s="150" t="s">
        <v>346</v>
      </c>
      <c r="AU2892" s="150" t="s">
        <v>90</v>
      </c>
      <c r="AV2892" s="148" t="s">
        <v>90</v>
      </c>
      <c r="AW2892" s="148" t="s">
        <v>33</v>
      </c>
      <c r="AX2892" s="148" t="s">
        <v>80</v>
      </c>
      <c r="AY2892" s="150" t="s">
        <v>337</v>
      </c>
    </row>
    <row r="2893" spans="2:51" s="148" customFormat="1" x14ac:dyDescent="0.2">
      <c r="B2893" s="149"/>
      <c r="D2893" s="143" t="s">
        <v>346</v>
      </c>
      <c r="E2893" s="150"/>
      <c r="F2893" s="151" t="s">
        <v>2358</v>
      </c>
      <c r="H2893" s="152">
        <v>6.944</v>
      </c>
      <c r="L2893" s="149"/>
      <c r="M2893" s="153"/>
      <c r="T2893" s="154"/>
      <c r="AT2893" s="150" t="s">
        <v>346</v>
      </c>
      <c r="AU2893" s="150" t="s">
        <v>90</v>
      </c>
      <c r="AV2893" s="148" t="s">
        <v>90</v>
      </c>
      <c r="AW2893" s="148" t="s">
        <v>33</v>
      </c>
      <c r="AX2893" s="148" t="s">
        <v>80</v>
      </c>
      <c r="AY2893" s="150" t="s">
        <v>337</v>
      </c>
    </row>
    <row r="2894" spans="2:51" s="141" customFormat="1" x14ac:dyDescent="0.2">
      <c r="B2894" s="142"/>
      <c r="D2894" s="143" t="s">
        <v>346</v>
      </c>
      <c r="E2894" s="144"/>
      <c r="F2894" s="145" t="s">
        <v>2359</v>
      </c>
      <c r="H2894" s="144"/>
      <c r="L2894" s="142"/>
      <c r="M2894" s="146"/>
      <c r="T2894" s="147"/>
      <c r="AT2894" s="144" t="s">
        <v>346</v>
      </c>
      <c r="AU2894" s="144" t="s">
        <v>90</v>
      </c>
      <c r="AV2894" s="141" t="s">
        <v>87</v>
      </c>
      <c r="AW2894" s="141" t="s">
        <v>33</v>
      </c>
      <c r="AX2894" s="141" t="s">
        <v>80</v>
      </c>
      <c r="AY2894" s="144" t="s">
        <v>337</v>
      </c>
    </row>
    <row r="2895" spans="2:51" s="148" customFormat="1" x14ac:dyDescent="0.2">
      <c r="B2895" s="149"/>
      <c r="D2895" s="143" t="s">
        <v>346</v>
      </c>
      <c r="E2895" s="150"/>
      <c r="F2895" s="151" t="s">
        <v>2360</v>
      </c>
      <c r="H2895" s="152">
        <v>38.625999999999998</v>
      </c>
      <c r="L2895" s="149"/>
      <c r="M2895" s="153"/>
      <c r="T2895" s="154"/>
      <c r="AT2895" s="150" t="s">
        <v>346</v>
      </c>
      <c r="AU2895" s="150" t="s">
        <v>90</v>
      </c>
      <c r="AV2895" s="148" t="s">
        <v>90</v>
      </c>
      <c r="AW2895" s="148" t="s">
        <v>33</v>
      </c>
      <c r="AX2895" s="148" t="s">
        <v>80</v>
      </c>
      <c r="AY2895" s="150" t="s">
        <v>337</v>
      </c>
    </row>
    <row r="2896" spans="2:51" s="148" customFormat="1" x14ac:dyDescent="0.2">
      <c r="B2896" s="149"/>
      <c r="D2896" s="143" t="s">
        <v>346</v>
      </c>
      <c r="E2896" s="150"/>
      <c r="F2896" s="151" t="s">
        <v>2361</v>
      </c>
      <c r="H2896" s="152">
        <v>1.32</v>
      </c>
      <c r="L2896" s="149"/>
      <c r="M2896" s="153"/>
      <c r="T2896" s="154"/>
      <c r="AT2896" s="150" t="s">
        <v>346</v>
      </c>
      <c r="AU2896" s="150" t="s">
        <v>90</v>
      </c>
      <c r="AV2896" s="148" t="s">
        <v>90</v>
      </c>
      <c r="AW2896" s="148" t="s">
        <v>33</v>
      </c>
      <c r="AX2896" s="148" t="s">
        <v>80</v>
      </c>
      <c r="AY2896" s="150" t="s">
        <v>337</v>
      </c>
    </row>
    <row r="2897" spans="2:51" s="141" customFormat="1" x14ac:dyDescent="0.2">
      <c r="B2897" s="142"/>
      <c r="D2897" s="143" t="s">
        <v>346</v>
      </c>
      <c r="E2897" s="144"/>
      <c r="F2897" s="145" t="s">
        <v>2362</v>
      </c>
      <c r="H2897" s="144"/>
      <c r="L2897" s="142"/>
      <c r="M2897" s="146"/>
      <c r="T2897" s="147"/>
      <c r="AT2897" s="144" t="s">
        <v>346</v>
      </c>
      <c r="AU2897" s="144" t="s">
        <v>90</v>
      </c>
      <c r="AV2897" s="141" t="s">
        <v>87</v>
      </c>
      <c r="AW2897" s="141" t="s">
        <v>33</v>
      </c>
      <c r="AX2897" s="141" t="s">
        <v>80</v>
      </c>
      <c r="AY2897" s="144" t="s">
        <v>337</v>
      </c>
    </row>
    <row r="2898" spans="2:51" s="148" customFormat="1" x14ac:dyDescent="0.2">
      <c r="B2898" s="149"/>
      <c r="D2898" s="143" t="s">
        <v>346</v>
      </c>
      <c r="E2898" s="150"/>
      <c r="F2898" s="151" t="s">
        <v>2363</v>
      </c>
      <c r="H2898" s="152">
        <v>31.744</v>
      </c>
      <c r="L2898" s="149"/>
      <c r="M2898" s="153"/>
      <c r="T2898" s="154"/>
      <c r="AT2898" s="150" t="s">
        <v>346</v>
      </c>
      <c r="AU2898" s="150" t="s">
        <v>90</v>
      </c>
      <c r="AV2898" s="148" t="s">
        <v>90</v>
      </c>
      <c r="AW2898" s="148" t="s">
        <v>33</v>
      </c>
      <c r="AX2898" s="148" t="s">
        <v>80</v>
      </c>
      <c r="AY2898" s="150" t="s">
        <v>337</v>
      </c>
    </row>
    <row r="2899" spans="2:51" s="148" customFormat="1" x14ac:dyDescent="0.2">
      <c r="B2899" s="149"/>
      <c r="D2899" s="143" t="s">
        <v>346</v>
      </c>
      <c r="E2899" s="150"/>
      <c r="F2899" s="151" t="s">
        <v>2364</v>
      </c>
      <c r="H2899" s="152">
        <v>-10.08</v>
      </c>
      <c r="L2899" s="149"/>
      <c r="M2899" s="153"/>
      <c r="T2899" s="154"/>
      <c r="AT2899" s="150" t="s">
        <v>346</v>
      </c>
      <c r="AU2899" s="150" t="s">
        <v>90</v>
      </c>
      <c r="AV2899" s="148" t="s">
        <v>90</v>
      </c>
      <c r="AW2899" s="148" t="s">
        <v>33</v>
      </c>
      <c r="AX2899" s="148" t="s">
        <v>80</v>
      </c>
      <c r="AY2899" s="150" t="s">
        <v>337</v>
      </c>
    </row>
    <row r="2900" spans="2:51" s="148" customFormat="1" x14ac:dyDescent="0.2">
      <c r="B2900" s="149"/>
      <c r="D2900" s="143" t="s">
        <v>346</v>
      </c>
      <c r="E2900" s="150"/>
      <c r="F2900" s="151" t="s">
        <v>2365</v>
      </c>
      <c r="H2900" s="152">
        <v>11.16</v>
      </c>
      <c r="L2900" s="149"/>
      <c r="M2900" s="153"/>
      <c r="T2900" s="154"/>
      <c r="AT2900" s="150" t="s">
        <v>346</v>
      </c>
      <c r="AU2900" s="150" t="s">
        <v>90</v>
      </c>
      <c r="AV2900" s="148" t="s">
        <v>90</v>
      </c>
      <c r="AW2900" s="148" t="s">
        <v>33</v>
      </c>
      <c r="AX2900" s="148" t="s">
        <v>80</v>
      </c>
      <c r="AY2900" s="150" t="s">
        <v>337</v>
      </c>
    </row>
    <row r="2901" spans="2:51" s="141" customFormat="1" x14ac:dyDescent="0.2">
      <c r="B2901" s="142"/>
      <c r="D2901" s="143" t="s">
        <v>346</v>
      </c>
      <c r="E2901" s="144"/>
      <c r="F2901" s="145" t="s">
        <v>2366</v>
      </c>
      <c r="H2901" s="144"/>
      <c r="L2901" s="142"/>
      <c r="M2901" s="146"/>
      <c r="T2901" s="147"/>
      <c r="AT2901" s="144" t="s">
        <v>346</v>
      </c>
      <c r="AU2901" s="144" t="s">
        <v>90</v>
      </c>
      <c r="AV2901" s="141" t="s">
        <v>87</v>
      </c>
      <c r="AW2901" s="141" t="s">
        <v>33</v>
      </c>
      <c r="AX2901" s="141" t="s">
        <v>80</v>
      </c>
      <c r="AY2901" s="144" t="s">
        <v>337</v>
      </c>
    </row>
    <row r="2902" spans="2:51" s="148" customFormat="1" x14ac:dyDescent="0.2">
      <c r="B2902" s="149"/>
      <c r="D2902" s="143" t="s">
        <v>346</v>
      </c>
      <c r="E2902" s="150"/>
      <c r="F2902" s="151" t="s">
        <v>2367</v>
      </c>
      <c r="H2902" s="152">
        <v>95.79</v>
      </c>
      <c r="L2902" s="149"/>
      <c r="M2902" s="153"/>
      <c r="T2902" s="154"/>
      <c r="AT2902" s="150" t="s">
        <v>346</v>
      </c>
      <c r="AU2902" s="150" t="s">
        <v>90</v>
      </c>
      <c r="AV2902" s="148" t="s">
        <v>90</v>
      </c>
      <c r="AW2902" s="148" t="s">
        <v>33</v>
      </c>
      <c r="AX2902" s="148" t="s">
        <v>80</v>
      </c>
      <c r="AY2902" s="150" t="s">
        <v>337</v>
      </c>
    </row>
    <row r="2903" spans="2:51" s="148" customFormat="1" x14ac:dyDescent="0.2">
      <c r="B2903" s="149"/>
      <c r="D2903" s="143" t="s">
        <v>346</v>
      </c>
      <c r="E2903" s="150"/>
      <c r="F2903" s="151" t="s">
        <v>2368</v>
      </c>
      <c r="H2903" s="152">
        <v>7.44</v>
      </c>
      <c r="L2903" s="149"/>
      <c r="M2903" s="153"/>
      <c r="T2903" s="154"/>
      <c r="AT2903" s="150" t="s">
        <v>346</v>
      </c>
      <c r="AU2903" s="150" t="s">
        <v>90</v>
      </c>
      <c r="AV2903" s="148" t="s">
        <v>90</v>
      </c>
      <c r="AW2903" s="148" t="s">
        <v>33</v>
      </c>
      <c r="AX2903" s="148" t="s">
        <v>80</v>
      </c>
      <c r="AY2903" s="150" t="s">
        <v>337</v>
      </c>
    </row>
    <row r="2904" spans="2:51" s="148" customFormat="1" x14ac:dyDescent="0.2">
      <c r="B2904" s="149"/>
      <c r="D2904" s="143" t="s">
        <v>346</v>
      </c>
      <c r="E2904" s="150"/>
      <c r="F2904" s="151" t="s">
        <v>2369</v>
      </c>
      <c r="H2904" s="152">
        <v>-9.5399999999999991</v>
      </c>
      <c r="L2904" s="149"/>
      <c r="M2904" s="153"/>
      <c r="T2904" s="154"/>
      <c r="AT2904" s="150" t="s">
        <v>346</v>
      </c>
      <c r="AU2904" s="150" t="s">
        <v>90</v>
      </c>
      <c r="AV2904" s="148" t="s">
        <v>90</v>
      </c>
      <c r="AW2904" s="148" t="s">
        <v>33</v>
      </c>
      <c r="AX2904" s="148" t="s">
        <v>80</v>
      </c>
      <c r="AY2904" s="150" t="s">
        <v>337</v>
      </c>
    </row>
    <row r="2905" spans="2:51" s="148" customFormat="1" x14ac:dyDescent="0.2">
      <c r="B2905" s="149"/>
      <c r="D2905" s="143" t="s">
        <v>346</v>
      </c>
      <c r="E2905" s="150"/>
      <c r="F2905" s="151" t="s">
        <v>2370</v>
      </c>
      <c r="H2905" s="152">
        <v>-8.32</v>
      </c>
      <c r="L2905" s="149"/>
      <c r="M2905" s="153"/>
      <c r="T2905" s="154"/>
      <c r="AT2905" s="150" t="s">
        <v>346</v>
      </c>
      <c r="AU2905" s="150" t="s">
        <v>90</v>
      </c>
      <c r="AV2905" s="148" t="s">
        <v>90</v>
      </c>
      <c r="AW2905" s="148" t="s">
        <v>33</v>
      </c>
      <c r="AX2905" s="148" t="s">
        <v>80</v>
      </c>
      <c r="AY2905" s="150" t="s">
        <v>337</v>
      </c>
    </row>
    <row r="2906" spans="2:51" s="141" customFormat="1" x14ac:dyDescent="0.2">
      <c r="B2906" s="142"/>
      <c r="D2906" s="143" t="s">
        <v>346</v>
      </c>
      <c r="E2906" s="144"/>
      <c r="F2906" s="145" t="s">
        <v>2371</v>
      </c>
      <c r="H2906" s="144"/>
      <c r="L2906" s="142"/>
      <c r="M2906" s="146"/>
      <c r="T2906" s="147"/>
      <c r="AT2906" s="144" t="s">
        <v>346</v>
      </c>
      <c r="AU2906" s="144" t="s">
        <v>90</v>
      </c>
      <c r="AV2906" s="141" t="s">
        <v>87</v>
      </c>
      <c r="AW2906" s="141" t="s">
        <v>33</v>
      </c>
      <c r="AX2906" s="141" t="s">
        <v>80</v>
      </c>
      <c r="AY2906" s="144" t="s">
        <v>337</v>
      </c>
    </row>
    <row r="2907" spans="2:51" s="148" customFormat="1" x14ac:dyDescent="0.2">
      <c r="B2907" s="149"/>
      <c r="D2907" s="143" t="s">
        <v>346</v>
      </c>
      <c r="E2907" s="150"/>
      <c r="F2907" s="151" t="s">
        <v>2372</v>
      </c>
      <c r="H2907" s="152">
        <v>44.95</v>
      </c>
      <c r="L2907" s="149"/>
      <c r="M2907" s="153"/>
      <c r="T2907" s="154"/>
      <c r="AT2907" s="150" t="s">
        <v>346</v>
      </c>
      <c r="AU2907" s="150" t="s">
        <v>90</v>
      </c>
      <c r="AV2907" s="148" t="s">
        <v>90</v>
      </c>
      <c r="AW2907" s="148" t="s">
        <v>33</v>
      </c>
      <c r="AX2907" s="148" t="s">
        <v>80</v>
      </c>
      <c r="AY2907" s="150" t="s">
        <v>337</v>
      </c>
    </row>
    <row r="2908" spans="2:51" s="148" customFormat="1" x14ac:dyDescent="0.2">
      <c r="B2908" s="149"/>
      <c r="D2908" s="143" t="s">
        <v>346</v>
      </c>
      <c r="E2908" s="150"/>
      <c r="F2908" s="151" t="s">
        <v>2373</v>
      </c>
      <c r="H2908" s="152">
        <v>25.792000000000002</v>
      </c>
      <c r="L2908" s="149"/>
      <c r="M2908" s="153"/>
      <c r="T2908" s="154"/>
      <c r="AT2908" s="150" t="s">
        <v>346</v>
      </c>
      <c r="AU2908" s="150" t="s">
        <v>90</v>
      </c>
      <c r="AV2908" s="148" t="s">
        <v>90</v>
      </c>
      <c r="AW2908" s="148" t="s">
        <v>33</v>
      </c>
      <c r="AX2908" s="148" t="s">
        <v>80</v>
      </c>
      <c r="AY2908" s="150" t="s">
        <v>337</v>
      </c>
    </row>
    <row r="2909" spans="2:51" s="148" customFormat="1" x14ac:dyDescent="0.2">
      <c r="B2909" s="149"/>
      <c r="D2909" s="143" t="s">
        <v>346</v>
      </c>
      <c r="E2909" s="150"/>
      <c r="F2909" s="151" t="s">
        <v>2374</v>
      </c>
      <c r="H2909" s="152">
        <v>16.553999999999998</v>
      </c>
      <c r="L2909" s="149"/>
      <c r="M2909" s="153"/>
      <c r="T2909" s="154"/>
      <c r="AT2909" s="150" t="s">
        <v>346</v>
      </c>
      <c r="AU2909" s="150" t="s">
        <v>90</v>
      </c>
      <c r="AV2909" s="148" t="s">
        <v>90</v>
      </c>
      <c r="AW2909" s="148" t="s">
        <v>33</v>
      </c>
      <c r="AX2909" s="148" t="s">
        <v>80</v>
      </c>
      <c r="AY2909" s="150" t="s">
        <v>337</v>
      </c>
    </row>
    <row r="2910" spans="2:51" s="148" customFormat="1" x14ac:dyDescent="0.2">
      <c r="B2910" s="149"/>
      <c r="D2910" s="143" t="s">
        <v>346</v>
      </c>
      <c r="E2910" s="150"/>
      <c r="F2910" s="151" t="s">
        <v>2375</v>
      </c>
      <c r="H2910" s="152">
        <v>15.066000000000001</v>
      </c>
      <c r="L2910" s="149"/>
      <c r="M2910" s="153"/>
      <c r="T2910" s="154"/>
      <c r="AT2910" s="150" t="s">
        <v>346</v>
      </c>
      <c r="AU2910" s="150" t="s">
        <v>90</v>
      </c>
      <c r="AV2910" s="148" t="s">
        <v>90</v>
      </c>
      <c r="AW2910" s="148" t="s">
        <v>33</v>
      </c>
      <c r="AX2910" s="148" t="s">
        <v>80</v>
      </c>
      <c r="AY2910" s="150" t="s">
        <v>337</v>
      </c>
    </row>
    <row r="2911" spans="2:51" s="148" customFormat="1" x14ac:dyDescent="0.2">
      <c r="B2911" s="149"/>
      <c r="D2911" s="143" t="s">
        <v>346</v>
      </c>
      <c r="E2911" s="150"/>
      <c r="F2911" s="151" t="s">
        <v>2376</v>
      </c>
      <c r="H2911" s="152">
        <v>14.26</v>
      </c>
      <c r="L2911" s="149"/>
      <c r="M2911" s="153"/>
      <c r="T2911" s="154"/>
      <c r="AT2911" s="150" t="s">
        <v>346</v>
      </c>
      <c r="AU2911" s="150" t="s">
        <v>90</v>
      </c>
      <c r="AV2911" s="148" t="s">
        <v>90</v>
      </c>
      <c r="AW2911" s="148" t="s">
        <v>33</v>
      </c>
      <c r="AX2911" s="148" t="s">
        <v>80</v>
      </c>
      <c r="AY2911" s="150" t="s">
        <v>337</v>
      </c>
    </row>
    <row r="2912" spans="2:51" s="141" customFormat="1" x14ac:dyDescent="0.2">
      <c r="B2912" s="142"/>
      <c r="D2912" s="143" t="s">
        <v>346</v>
      </c>
      <c r="E2912" s="144"/>
      <c r="F2912" s="145" t="s">
        <v>2377</v>
      </c>
      <c r="H2912" s="144"/>
      <c r="L2912" s="142"/>
      <c r="M2912" s="146"/>
      <c r="T2912" s="147"/>
      <c r="AT2912" s="144" t="s">
        <v>346</v>
      </c>
      <c r="AU2912" s="144" t="s">
        <v>90</v>
      </c>
      <c r="AV2912" s="141" t="s">
        <v>87</v>
      </c>
      <c r="AW2912" s="141" t="s">
        <v>33</v>
      </c>
      <c r="AX2912" s="141" t="s">
        <v>80</v>
      </c>
      <c r="AY2912" s="144" t="s">
        <v>337</v>
      </c>
    </row>
    <row r="2913" spans="2:51" s="148" customFormat="1" x14ac:dyDescent="0.2">
      <c r="B2913" s="149"/>
      <c r="D2913" s="143" t="s">
        <v>346</v>
      </c>
      <c r="E2913" s="150"/>
      <c r="F2913" s="151" t="s">
        <v>2378</v>
      </c>
      <c r="H2913" s="152">
        <v>70.563000000000002</v>
      </c>
      <c r="L2913" s="149"/>
      <c r="M2913" s="153"/>
      <c r="T2913" s="154"/>
      <c r="AT2913" s="150" t="s">
        <v>346</v>
      </c>
      <c r="AU2913" s="150" t="s">
        <v>90</v>
      </c>
      <c r="AV2913" s="148" t="s">
        <v>90</v>
      </c>
      <c r="AW2913" s="148" t="s">
        <v>33</v>
      </c>
      <c r="AX2913" s="148" t="s">
        <v>80</v>
      </c>
      <c r="AY2913" s="150" t="s">
        <v>337</v>
      </c>
    </row>
    <row r="2914" spans="2:51" s="148" customFormat="1" x14ac:dyDescent="0.2">
      <c r="B2914" s="149"/>
      <c r="D2914" s="143" t="s">
        <v>346</v>
      </c>
      <c r="E2914" s="150"/>
      <c r="F2914" s="151" t="s">
        <v>2379</v>
      </c>
      <c r="H2914" s="152">
        <v>3.3740000000000001</v>
      </c>
      <c r="L2914" s="149"/>
      <c r="M2914" s="153"/>
      <c r="T2914" s="154"/>
      <c r="AT2914" s="150" t="s">
        <v>346</v>
      </c>
      <c r="AU2914" s="150" t="s">
        <v>90</v>
      </c>
      <c r="AV2914" s="148" t="s">
        <v>90</v>
      </c>
      <c r="AW2914" s="148" t="s">
        <v>33</v>
      </c>
      <c r="AX2914" s="148" t="s">
        <v>80</v>
      </c>
      <c r="AY2914" s="150" t="s">
        <v>337</v>
      </c>
    </row>
    <row r="2915" spans="2:51" s="141" customFormat="1" x14ac:dyDescent="0.2">
      <c r="B2915" s="142"/>
      <c r="D2915" s="143" t="s">
        <v>346</v>
      </c>
      <c r="E2915" s="144"/>
      <c r="F2915" s="145" t="s">
        <v>2380</v>
      </c>
      <c r="H2915" s="144"/>
      <c r="L2915" s="142"/>
      <c r="M2915" s="146"/>
      <c r="T2915" s="147"/>
      <c r="AT2915" s="144" t="s">
        <v>346</v>
      </c>
      <c r="AU2915" s="144" t="s">
        <v>90</v>
      </c>
      <c r="AV2915" s="141" t="s">
        <v>87</v>
      </c>
      <c r="AW2915" s="141" t="s">
        <v>33</v>
      </c>
      <c r="AX2915" s="141" t="s">
        <v>80</v>
      </c>
      <c r="AY2915" s="144" t="s">
        <v>337</v>
      </c>
    </row>
    <row r="2916" spans="2:51" s="148" customFormat="1" x14ac:dyDescent="0.2">
      <c r="B2916" s="149"/>
      <c r="D2916" s="143" t="s">
        <v>346</v>
      </c>
      <c r="E2916" s="150"/>
      <c r="F2916" s="151" t="s">
        <v>2381</v>
      </c>
      <c r="H2916" s="152">
        <v>150.59200000000001</v>
      </c>
      <c r="L2916" s="149"/>
      <c r="M2916" s="153"/>
      <c r="T2916" s="154"/>
      <c r="AT2916" s="150" t="s">
        <v>346</v>
      </c>
      <c r="AU2916" s="150" t="s">
        <v>90</v>
      </c>
      <c r="AV2916" s="148" t="s">
        <v>90</v>
      </c>
      <c r="AW2916" s="148" t="s">
        <v>33</v>
      </c>
      <c r="AX2916" s="148" t="s">
        <v>80</v>
      </c>
      <c r="AY2916" s="150" t="s">
        <v>337</v>
      </c>
    </row>
    <row r="2917" spans="2:51" s="148" customFormat="1" x14ac:dyDescent="0.2">
      <c r="B2917" s="149"/>
      <c r="D2917" s="143" t="s">
        <v>346</v>
      </c>
      <c r="E2917" s="150"/>
      <c r="F2917" s="151" t="s">
        <v>2382</v>
      </c>
      <c r="H2917" s="152">
        <v>-22.271000000000001</v>
      </c>
      <c r="L2917" s="149"/>
      <c r="M2917" s="153"/>
      <c r="T2917" s="154"/>
      <c r="AT2917" s="150" t="s">
        <v>346</v>
      </c>
      <c r="AU2917" s="150" t="s">
        <v>90</v>
      </c>
      <c r="AV2917" s="148" t="s">
        <v>90</v>
      </c>
      <c r="AW2917" s="148" t="s">
        <v>33</v>
      </c>
      <c r="AX2917" s="148" t="s">
        <v>80</v>
      </c>
      <c r="AY2917" s="150" t="s">
        <v>337</v>
      </c>
    </row>
    <row r="2918" spans="2:51" s="148" customFormat="1" x14ac:dyDescent="0.2">
      <c r="B2918" s="149"/>
      <c r="D2918" s="143" t="s">
        <v>346</v>
      </c>
      <c r="E2918" s="150"/>
      <c r="F2918" s="151" t="s">
        <v>2383</v>
      </c>
      <c r="H2918" s="152">
        <v>2.8439999999999999</v>
      </c>
      <c r="L2918" s="149"/>
      <c r="M2918" s="153"/>
      <c r="T2918" s="154"/>
      <c r="AT2918" s="150" t="s">
        <v>346</v>
      </c>
      <c r="AU2918" s="150" t="s">
        <v>90</v>
      </c>
      <c r="AV2918" s="148" t="s">
        <v>90</v>
      </c>
      <c r="AW2918" s="148" t="s">
        <v>33</v>
      </c>
      <c r="AX2918" s="148" t="s">
        <v>80</v>
      </c>
      <c r="AY2918" s="150" t="s">
        <v>337</v>
      </c>
    </row>
    <row r="2919" spans="2:51" s="141" customFormat="1" x14ac:dyDescent="0.2">
      <c r="B2919" s="142"/>
      <c r="D2919" s="143" t="s">
        <v>346</v>
      </c>
      <c r="E2919" s="144"/>
      <c r="F2919" s="145" t="s">
        <v>2384</v>
      </c>
      <c r="H2919" s="144"/>
      <c r="L2919" s="142"/>
      <c r="M2919" s="146"/>
      <c r="T2919" s="147"/>
      <c r="AT2919" s="144" t="s">
        <v>346</v>
      </c>
      <c r="AU2919" s="144" t="s">
        <v>90</v>
      </c>
      <c r="AV2919" s="141" t="s">
        <v>87</v>
      </c>
      <c r="AW2919" s="141" t="s">
        <v>33</v>
      </c>
      <c r="AX2919" s="141" t="s">
        <v>80</v>
      </c>
      <c r="AY2919" s="144" t="s">
        <v>337</v>
      </c>
    </row>
    <row r="2920" spans="2:51" s="148" customFormat="1" x14ac:dyDescent="0.2">
      <c r="B2920" s="149"/>
      <c r="D2920" s="143" t="s">
        <v>346</v>
      </c>
      <c r="E2920" s="150"/>
      <c r="F2920" s="151" t="s">
        <v>2385</v>
      </c>
      <c r="H2920" s="152">
        <v>297.74900000000002</v>
      </c>
      <c r="L2920" s="149"/>
      <c r="M2920" s="153"/>
      <c r="T2920" s="154"/>
      <c r="AT2920" s="150" t="s">
        <v>346</v>
      </c>
      <c r="AU2920" s="150" t="s">
        <v>90</v>
      </c>
      <c r="AV2920" s="148" t="s">
        <v>90</v>
      </c>
      <c r="AW2920" s="148" t="s">
        <v>33</v>
      </c>
      <c r="AX2920" s="148" t="s">
        <v>80</v>
      </c>
      <c r="AY2920" s="150" t="s">
        <v>337</v>
      </c>
    </row>
    <row r="2921" spans="2:51" s="148" customFormat="1" x14ac:dyDescent="0.2">
      <c r="B2921" s="149"/>
      <c r="D2921" s="143" t="s">
        <v>346</v>
      </c>
      <c r="E2921" s="150"/>
      <c r="F2921" s="151" t="s">
        <v>2386</v>
      </c>
      <c r="H2921" s="152">
        <v>-23.148</v>
      </c>
      <c r="L2921" s="149"/>
      <c r="M2921" s="153"/>
      <c r="T2921" s="154"/>
      <c r="AT2921" s="150" t="s">
        <v>346</v>
      </c>
      <c r="AU2921" s="150" t="s">
        <v>90</v>
      </c>
      <c r="AV2921" s="148" t="s">
        <v>90</v>
      </c>
      <c r="AW2921" s="148" t="s">
        <v>33</v>
      </c>
      <c r="AX2921" s="148" t="s">
        <v>80</v>
      </c>
      <c r="AY2921" s="150" t="s">
        <v>337</v>
      </c>
    </row>
    <row r="2922" spans="2:51" s="148" customFormat="1" x14ac:dyDescent="0.2">
      <c r="B2922" s="149"/>
      <c r="D2922" s="143" t="s">
        <v>346</v>
      </c>
      <c r="E2922" s="150"/>
      <c r="F2922" s="151" t="s">
        <v>2387</v>
      </c>
      <c r="H2922" s="152">
        <v>-15.061999999999999</v>
      </c>
      <c r="L2922" s="149"/>
      <c r="M2922" s="153"/>
      <c r="T2922" s="154"/>
      <c r="AT2922" s="150" t="s">
        <v>346</v>
      </c>
      <c r="AU2922" s="150" t="s">
        <v>90</v>
      </c>
      <c r="AV2922" s="148" t="s">
        <v>90</v>
      </c>
      <c r="AW2922" s="148" t="s">
        <v>33</v>
      </c>
      <c r="AX2922" s="148" t="s">
        <v>80</v>
      </c>
      <c r="AY2922" s="150" t="s">
        <v>337</v>
      </c>
    </row>
    <row r="2923" spans="2:51" s="148" customFormat="1" x14ac:dyDescent="0.2">
      <c r="B2923" s="149"/>
      <c r="D2923" s="143" t="s">
        <v>346</v>
      </c>
      <c r="E2923" s="150"/>
      <c r="F2923" s="151" t="s">
        <v>2382</v>
      </c>
      <c r="H2923" s="152">
        <v>-22.271000000000001</v>
      </c>
      <c r="L2923" s="149"/>
      <c r="M2923" s="153"/>
      <c r="T2923" s="154"/>
      <c r="AT2923" s="150" t="s">
        <v>346</v>
      </c>
      <c r="AU2923" s="150" t="s">
        <v>90</v>
      </c>
      <c r="AV2923" s="148" t="s">
        <v>90</v>
      </c>
      <c r="AW2923" s="148" t="s">
        <v>33</v>
      </c>
      <c r="AX2923" s="148" t="s">
        <v>80</v>
      </c>
      <c r="AY2923" s="150" t="s">
        <v>337</v>
      </c>
    </row>
    <row r="2924" spans="2:51" s="148" customFormat="1" x14ac:dyDescent="0.2">
      <c r="B2924" s="149"/>
      <c r="D2924" s="143" t="s">
        <v>346</v>
      </c>
      <c r="E2924" s="150"/>
      <c r="F2924" s="151" t="s">
        <v>2369</v>
      </c>
      <c r="H2924" s="152">
        <v>-9.5399999999999991</v>
      </c>
      <c r="L2924" s="149"/>
      <c r="M2924" s="153"/>
      <c r="T2924" s="154"/>
      <c r="AT2924" s="150" t="s">
        <v>346</v>
      </c>
      <c r="AU2924" s="150" t="s">
        <v>90</v>
      </c>
      <c r="AV2924" s="148" t="s">
        <v>90</v>
      </c>
      <c r="AW2924" s="148" t="s">
        <v>33</v>
      </c>
      <c r="AX2924" s="148" t="s">
        <v>80</v>
      </c>
      <c r="AY2924" s="150" t="s">
        <v>337</v>
      </c>
    </row>
    <row r="2925" spans="2:51" s="148" customFormat="1" x14ac:dyDescent="0.2">
      <c r="B2925" s="149"/>
      <c r="D2925" s="143" t="s">
        <v>346</v>
      </c>
      <c r="E2925" s="150"/>
      <c r="F2925" s="151" t="s">
        <v>2388</v>
      </c>
      <c r="H2925" s="152">
        <v>-5.1840000000000002</v>
      </c>
      <c r="L2925" s="149"/>
      <c r="M2925" s="153"/>
      <c r="T2925" s="154"/>
      <c r="AT2925" s="150" t="s">
        <v>346</v>
      </c>
      <c r="AU2925" s="150" t="s">
        <v>90</v>
      </c>
      <c r="AV2925" s="148" t="s">
        <v>90</v>
      </c>
      <c r="AW2925" s="148" t="s">
        <v>33</v>
      </c>
      <c r="AX2925" s="148" t="s">
        <v>80</v>
      </c>
      <c r="AY2925" s="150" t="s">
        <v>337</v>
      </c>
    </row>
    <row r="2926" spans="2:51" s="148" customFormat="1" x14ac:dyDescent="0.2">
      <c r="B2926" s="149"/>
      <c r="D2926" s="143" t="s">
        <v>346</v>
      </c>
      <c r="E2926" s="150"/>
      <c r="F2926" s="151" t="s">
        <v>2389</v>
      </c>
      <c r="H2926" s="152">
        <v>7.6230000000000002</v>
      </c>
      <c r="L2926" s="149"/>
      <c r="M2926" s="153"/>
      <c r="T2926" s="154"/>
      <c r="AT2926" s="150" t="s">
        <v>346</v>
      </c>
      <c r="AU2926" s="150" t="s">
        <v>90</v>
      </c>
      <c r="AV2926" s="148" t="s">
        <v>90</v>
      </c>
      <c r="AW2926" s="148" t="s">
        <v>33</v>
      </c>
      <c r="AX2926" s="148" t="s">
        <v>80</v>
      </c>
      <c r="AY2926" s="150" t="s">
        <v>337</v>
      </c>
    </row>
    <row r="2927" spans="2:51" s="141" customFormat="1" x14ac:dyDescent="0.2">
      <c r="B2927" s="142"/>
      <c r="D2927" s="143" t="s">
        <v>346</v>
      </c>
      <c r="E2927" s="144"/>
      <c r="F2927" s="145" t="s">
        <v>2390</v>
      </c>
      <c r="H2927" s="144"/>
      <c r="L2927" s="142"/>
      <c r="M2927" s="146"/>
      <c r="T2927" s="147"/>
      <c r="AT2927" s="144" t="s">
        <v>346</v>
      </c>
      <c r="AU2927" s="144" t="s">
        <v>90</v>
      </c>
      <c r="AV2927" s="141" t="s">
        <v>87</v>
      </c>
      <c r="AW2927" s="141" t="s">
        <v>33</v>
      </c>
      <c r="AX2927" s="141" t="s">
        <v>80</v>
      </c>
      <c r="AY2927" s="144" t="s">
        <v>337</v>
      </c>
    </row>
    <row r="2928" spans="2:51" s="148" customFormat="1" x14ac:dyDescent="0.2">
      <c r="B2928" s="149"/>
      <c r="D2928" s="143" t="s">
        <v>346</v>
      </c>
      <c r="E2928" s="150"/>
      <c r="F2928" s="151" t="s">
        <v>2391</v>
      </c>
      <c r="H2928" s="152">
        <v>53.32</v>
      </c>
      <c r="L2928" s="149"/>
      <c r="M2928" s="153"/>
      <c r="T2928" s="154"/>
      <c r="AT2928" s="150" t="s">
        <v>346</v>
      </c>
      <c r="AU2928" s="150" t="s">
        <v>90</v>
      </c>
      <c r="AV2928" s="148" t="s">
        <v>90</v>
      </c>
      <c r="AW2928" s="148" t="s">
        <v>33</v>
      </c>
      <c r="AX2928" s="148" t="s">
        <v>80</v>
      </c>
      <c r="AY2928" s="150" t="s">
        <v>337</v>
      </c>
    </row>
    <row r="2929" spans="2:51" s="148" customFormat="1" x14ac:dyDescent="0.2">
      <c r="B2929" s="149"/>
      <c r="D2929" s="143" t="s">
        <v>346</v>
      </c>
      <c r="E2929" s="150"/>
      <c r="F2929" s="151" t="s">
        <v>2388</v>
      </c>
      <c r="H2929" s="152">
        <v>-5.1840000000000002</v>
      </c>
      <c r="L2929" s="149"/>
      <c r="M2929" s="153"/>
      <c r="T2929" s="154"/>
      <c r="AT2929" s="150" t="s">
        <v>346</v>
      </c>
      <c r="AU2929" s="150" t="s">
        <v>90</v>
      </c>
      <c r="AV2929" s="148" t="s">
        <v>90</v>
      </c>
      <c r="AW2929" s="148" t="s">
        <v>33</v>
      </c>
      <c r="AX2929" s="148" t="s">
        <v>80</v>
      </c>
      <c r="AY2929" s="150" t="s">
        <v>337</v>
      </c>
    </row>
    <row r="2930" spans="2:51" s="148" customFormat="1" x14ac:dyDescent="0.2">
      <c r="B2930" s="149"/>
      <c r="D2930" s="143" t="s">
        <v>346</v>
      </c>
      <c r="E2930" s="150"/>
      <c r="F2930" s="151" t="s">
        <v>2392</v>
      </c>
      <c r="H2930" s="152">
        <v>1.8149999999999999</v>
      </c>
      <c r="L2930" s="149"/>
      <c r="M2930" s="153"/>
      <c r="T2930" s="154"/>
      <c r="AT2930" s="150" t="s">
        <v>346</v>
      </c>
      <c r="AU2930" s="150" t="s">
        <v>90</v>
      </c>
      <c r="AV2930" s="148" t="s">
        <v>90</v>
      </c>
      <c r="AW2930" s="148" t="s">
        <v>33</v>
      </c>
      <c r="AX2930" s="148" t="s">
        <v>80</v>
      </c>
      <c r="AY2930" s="150" t="s">
        <v>337</v>
      </c>
    </row>
    <row r="2931" spans="2:51" s="141" customFormat="1" x14ac:dyDescent="0.2">
      <c r="B2931" s="142"/>
      <c r="D2931" s="143" t="s">
        <v>346</v>
      </c>
      <c r="E2931" s="144"/>
      <c r="F2931" s="145" t="s">
        <v>2393</v>
      </c>
      <c r="H2931" s="144"/>
      <c r="L2931" s="142"/>
      <c r="M2931" s="146"/>
      <c r="T2931" s="147"/>
      <c r="AT2931" s="144" t="s">
        <v>346</v>
      </c>
      <c r="AU2931" s="144" t="s">
        <v>90</v>
      </c>
      <c r="AV2931" s="141" t="s">
        <v>87</v>
      </c>
      <c r="AW2931" s="141" t="s">
        <v>33</v>
      </c>
      <c r="AX2931" s="141" t="s">
        <v>80</v>
      </c>
      <c r="AY2931" s="144" t="s">
        <v>337</v>
      </c>
    </row>
    <row r="2932" spans="2:51" s="148" customFormat="1" x14ac:dyDescent="0.2">
      <c r="B2932" s="149"/>
      <c r="D2932" s="143" t="s">
        <v>346</v>
      </c>
      <c r="E2932" s="150"/>
      <c r="F2932" s="151" t="s">
        <v>2394</v>
      </c>
      <c r="H2932" s="152">
        <v>25.73</v>
      </c>
      <c r="L2932" s="149"/>
      <c r="M2932" s="153"/>
      <c r="T2932" s="154"/>
      <c r="AT2932" s="150" t="s">
        <v>346</v>
      </c>
      <c r="AU2932" s="150" t="s">
        <v>90</v>
      </c>
      <c r="AV2932" s="148" t="s">
        <v>90</v>
      </c>
      <c r="AW2932" s="148" t="s">
        <v>33</v>
      </c>
      <c r="AX2932" s="148" t="s">
        <v>80</v>
      </c>
      <c r="AY2932" s="150" t="s">
        <v>337</v>
      </c>
    </row>
    <row r="2933" spans="2:51" s="141" customFormat="1" x14ac:dyDescent="0.2">
      <c r="B2933" s="142"/>
      <c r="D2933" s="143" t="s">
        <v>346</v>
      </c>
      <c r="E2933" s="144"/>
      <c r="F2933" s="145" t="s">
        <v>2395</v>
      </c>
      <c r="H2933" s="144"/>
      <c r="L2933" s="142"/>
      <c r="M2933" s="146"/>
      <c r="T2933" s="147"/>
      <c r="AT2933" s="144" t="s">
        <v>346</v>
      </c>
      <c r="AU2933" s="144" t="s">
        <v>90</v>
      </c>
      <c r="AV2933" s="141" t="s">
        <v>87</v>
      </c>
      <c r="AW2933" s="141" t="s">
        <v>33</v>
      </c>
      <c r="AX2933" s="141" t="s">
        <v>80</v>
      </c>
      <c r="AY2933" s="144" t="s">
        <v>337</v>
      </c>
    </row>
    <row r="2934" spans="2:51" s="148" customFormat="1" x14ac:dyDescent="0.2">
      <c r="B2934" s="149"/>
      <c r="D2934" s="143" t="s">
        <v>346</v>
      </c>
      <c r="E2934" s="150"/>
      <c r="F2934" s="151" t="s">
        <v>2394</v>
      </c>
      <c r="H2934" s="152">
        <v>25.73</v>
      </c>
      <c r="L2934" s="149"/>
      <c r="M2934" s="153"/>
      <c r="T2934" s="154"/>
      <c r="AT2934" s="150" t="s">
        <v>346</v>
      </c>
      <c r="AU2934" s="150" t="s">
        <v>90</v>
      </c>
      <c r="AV2934" s="148" t="s">
        <v>90</v>
      </c>
      <c r="AW2934" s="148" t="s">
        <v>33</v>
      </c>
      <c r="AX2934" s="148" t="s">
        <v>80</v>
      </c>
      <c r="AY2934" s="150" t="s">
        <v>337</v>
      </c>
    </row>
    <row r="2935" spans="2:51" s="148" customFormat="1" x14ac:dyDescent="0.2">
      <c r="B2935" s="149"/>
      <c r="D2935" s="143" t="s">
        <v>346</v>
      </c>
      <c r="E2935" s="150"/>
      <c r="F2935" s="151" t="s">
        <v>2396</v>
      </c>
      <c r="H2935" s="152">
        <v>48.05</v>
      </c>
      <c r="L2935" s="149"/>
      <c r="M2935" s="153"/>
      <c r="T2935" s="154"/>
      <c r="AT2935" s="150" t="s">
        <v>346</v>
      </c>
      <c r="AU2935" s="150" t="s">
        <v>90</v>
      </c>
      <c r="AV2935" s="148" t="s">
        <v>90</v>
      </c>
      <c r="AW2935" s="148" t="s">
        <v>33</v>
      </c>
      <c r="AX2935" s="148" t="s">
        <v>80</v>
      </c>
      <c r="AY2935" s="150" t="s">
        <v>337</v>
      </c>
    </row>
    <row r="2936" spans="2:51" s="141" customFormat="1" x14ac:dyDescent="0.2">
      <c r="B2936" s="142"/>
      <c r="D2936" s="143" t="s">
        <v>346</v>
      </c>
      <c r="E2936" s="144"/>
      <c r="F2936" s="145" t="s">
        <v>2397</v>
      </c>
      <c r="H2936" s="144"/>
      <c r="L2936" s="142"/>
      <c r="M2936" s="146"/>
      <c r="T2936" s="147"/>
      <c r="AT2936" s="144" t="s">
        <v>346</v>
      </c>
      <c r="AU2936" s="144" t="s">
        <v>90</v>
      </c>
      <c r="AV2936" s="141" t="s">
        <v>87</v>
      </c>
      <c r="AW2936" s="141" t="s">
        <v>33</v>
      </c>
      <c r="AX2936" s="141" t="s">
        <v>80</v>
      </c>
      <c r="AY2936" s="144" t="s">
        <v>337</v>
      </c>
    </row>
    <row r="2937" spans="2:51" s="148" customFormat="1" x14ac:dyDescent="0.2">
      <c r="B2937" s="149"/>
      <c r="D2937" s="143" t="s">
        <v>346</v>
      </c>
      <c r="E2937" s="150"/>
      <c r="F2937" s="151" t="s">
        <v>2398</v>
      </c>
      <c r="H2937" s="152">
        <v>37.18</v>
      </c>
      <c r="L2937" s="149"/>
      <c r="M2937" s="153"/>
      <c r="T2937" s="154"/>
      <c r="AT2937" s="150" t="s">
        <v>346</v>
      </c>
      <c r="AU2937" s="150" t="s">
        <v>90</v>
      </c>
      <c r="AV2937" s="148" t="s">
        <v>90</v>
      </c>
      <c r="AW2937" s="148" t="s">
        <v>33</v>
      </c>
      <c r="AX2937" s="148" t="s">
        <v>80</v>
      </c>
      <c r="AY2937" s="150" t="s">
        <v>337</v>
      </c>
    </row>
    <row r="2938" spans="2:51" s="141" customFormat="1" x14ac:dyDescent="0.2">
      <c r="B2938" s="142"/>
      <c r="D2938" s="143" t="s">
        <v>346</v>
      </c>
      <c r="E2938" s="144"/>
      <c r="F2938" s="145" t="s">
        <v>2399</v>
      </c>
      <c r="H2938" s="144"/>
      <c r="L2938" s="142"/>
      <c r="M2938" s="146"/>
      <c r="T2938" s="147"/>
      <c r="AT2938" s="144" t="s">
        <v>346</v>
      </c>
      <c r="AU2938" s="144" t="s">
        <v>90</v>
      </c>
      <c r="AV2938" s="141" t="s">
        <v>87</v>
      </c>
      <c r="AW2938" s="141" t="s">
        <v>33</v>
      </c>
      <c r="AX2938" s="141" t="s">
        <v>80</v>
      </c>
      <c r="AY2938" s="144" t="s">
        <v>337</v>
      </c>
    </row>
    <row r="2939" spans="2:51" s="148" customFormat="1" x14ac:dyDescent="0.2">
      <c r="B2939" s="149"/>
      <c r="D2939" s="143" t="s">
        <v>346</v>
      </c>
      <c r="E2939" s="150"/>
      <c r="F2939" s="151" t="s">
        <v>2400</v>
      </c>
      <c r="H2939" s="152">
        <v>45.715000000000003</v>
      </c>
      <c r="L2939" s="149"/>
      <c r="M2939" s="153"/>
      <c r="T2939" s="154"/>
      <c r="AT2939" s="150" t="s">
        <v>346</v>
      </c>
      <c r="AU2939" s="150" t="s">
        <v>90</v>
      </c>
      <c r="AV2939" s="148" t="s">
        <v>90</v>
      </c>
      <c r="AW2939" s="148" t="s">
        <v>33</v>
      </c>
      <c r="AX2939" s="148" t="s">
        <v>80</v>
      </c>
      <c r="AY2939" s="150" t="s">
        <v>337</v>
      </c>
    </row>
    <row r="2940" spans="2:51" s="141" customFormat="1" x14ac:dyDescent="0.2">
      <c r="B2940" s="142"/>
      <c r="D2940" s="143" t="s">
        <v>346</v>
      </c>
      <c r="E2940" s="144"/>
      <c r="F2940" s="145" t="s">
        <v>2243</v>
      </c>
      <c r="H2940" s="144"/>
      <c r="L2940" s="142"/>
      <c r="M2940" s="146"/>
      <c r="T2940" s="147"/>
      <c r="AT2940" s="144" t="s">
        <v>346</v>
      </c>
      <c r="AU2940" s="144" t="s">
        <v>90</v>
      </c>
      <c r="AV2940" s="141" t="s">
        <v>87</v>
      </c>
      <c r="AW2940" s="141" t="s">
        <v>33</v>
      </c>
      <c r="AX2940" s="141" t="s">
        <v>80</v>
      </c>
      <c r="AY2940" s="144" t="s">
        <v>337</v>
      </c>
    </row>
    <row r="2941" spans="2:51" s="148" customFormat="1" x14ac:dyDescent="0.2">
      <c r="B2941" s="149"/>
      <c r="D2941" s="143" t="s">
        <v>346</v>
      </c>
      <c r="E2941" s="150"/>
      <c r="F2941" s="151" t="s">
        <v>2401</v>
      </c>
      <c r="H2941" s="152">
        <v>42.16</v>
      </c>
      <c r="L2941" s="149"/>
      <c r="M2941" s="153"/>
      <c r="T2941" s="154"/>
      <c r="AT2941" s="150" t="s">
        <v>346</v>
      </c>
      <c r="AU2941" s="150" t="s">
        <v>90</v>
      </c>
      <c r="AV2941" s="148" t="s">
        <v>90</v>
      </c>
      <c r="AW2941" s="148" t="s">
        <v>33</v>
      </c>
      <c r="AX2941" s="148" t="s">
        <v>80</v>
      </c>
      <c r="AY2941" s="150" t="s">
        <v>337</v>
      </c>
    </row>
    <row r="2942" spans="2:51" s="141" customFormat="1" x14ac:dyDescent="0.2">
      <c r="B2942" s="142"/>
      <c r="D2942" s="143" t="s">
        <v>346</v>
      </c>
      <c r="E2942" s="144"/>
      <c r="F2942" s="145" t="s">
        <v>2402</v>
      </c>
      <c r="H2942" s="144"/>
      <c r="L2942" s="142"/>
      <c r="M2942" s="146"/>
      <c r="T2942" s="147"/>
      <c r="AT2942" s="144" t="s">
        <v>346</v>
      </c>
      <c r="AU2942" s="144" t="s">
        <v>90</v>
      </c>
      <c r="AV2942" s="141" t="s">
        <v>87</v>
      </c>
      <c r="AW2942" s="141" t="s">
        <v>33</v>
      </c>
      <c r="AX2942" s="141" t="s">
        <v>80</v>
      </c>
      <c r="AY2942" s="144" t="s">
        <v>337</v>
      </c>
    </row>
    <row r="2943" spans="2:51" s="148" customFormat="1" x14ac:dyDescent="0.2">
      <c r="B2943" s="149"/>
      <c r="D2943" s="143" t="s">
        <v>346</v>
      </c>
      <c r="E2943" s="150"/>
      <c r="F2943" s="151" t="s">
        <v>2403</v>
      </c>
      <c r="H2943" s="152">
        <v>476.90499999999997</v>
      </c>
      <c r="L2943" s="149"/>
      <c r="M2943" s="153"/>
      <c r="T2943" s="154"/>
      <c r="AT2943" s="150" t="s">
        <v>346</v>
      </c>
      <c r="AU2943" s="150" t="s">
        <v>90</v>
      </c>
      <c r="AV2943" s="148" t="s">
        <v>90</v>
      </c>
      <c r="AW2943" s="148" t="s">
        <v>33</v>
      </c>
      <c r="AX2943" s="148" t="s">
        <v>80</v>
      </c>
      <c r="AY2943" s="150" t="s">
        <v>337</v>
      </c>
    </row>
    <row r="2944" spans="2:51" s="148" customFormat="1" x14ac:dyDescent="0.2">
      <c r="B2944" s="149"/>
      <c r="D2944" s="143" t="s">
        <v>346</v>
      </c>
      <c r="E2944" s="150"/>
      <c r="F2944" s="151" t="s">
        <v>2404</v>
      </c>
      <c r="H2944" s="152">
        <v>33.6</v>
      </c>
      <c r="L2944" s="149"/>
      <c r="M2944" s="153"/>
      <c r="T2944" s="154"/>
      <c r="AT2944" s="150" t="s">
        <v>346</v>
      </c>
      <c r="AU2944" s="150" t="s">
        <v>90</v>
      </c>
      <c r="AV2944" s="148" t="s">
        <v>90</v>
      </c>
      <c r="AW2944" s="148" t="s">
        <v>33</v>
      </c>
      <c r="AX2944" s="148" t="s">
        <v>80</v>
      </c>
      <c r="AY2944" s="150" t="s">
        <v>337</v>
      </c>
    </row>
    <row r="2945" spans="2:51" s="148" customFormat="1" x14ac:dyDescent="0.2">
      <c r="B2945" s="149"/>
      <c r="D2945" s="143" t="s">
        <v>346</v>
      </c>
      <c r="E2945" s="150"/>
      <c r="F2945" s="151" t="s">
        <v>2405</v>
      </c>
      <c r="H2945" s="152">
        <v>-17.760000000000002</v>
      </c>
      <c r="L2945" s="149"/>
      <c r="M2945" s="153"/>
      <c r="T2945" s="154"/>
      <c r="AT2945" s="150" t="s">
        <v>346</v>
      </c>
      <c r="AU2945" s="150" t="s">
        <v>90</v>
      </c>
      <c r="AV2945" s="148" t="s">
        <v>90</v>
      </c>
      <c r="AW2945" s="148" t="s">
        <v>33</v>
      </c>
      <c r="AX2945" s="148" t="s">
        <v>80</v>
      </c>
      <c r="AY2945" s="150" t="s">
        <v>337</v>
      </c>
    </row>
    <row r="2946" spans="2:51" s="148" customFormat="1" x14ac:dyDescent="0.2">
      <c r="B2946" s="149"/>
      <c r="D2946" s="143" t="s">
        <v>346</v>
      </c>
      <c r="E2946" s="150"/>
      <c r="F2946" s="151" t="s">
        <v>2406</v>
      </c>
      <c r="H2946" s="152">
        <v>-33.325000000000003</v>
      </c>
      <c r="L2946" s="149"/>
      <c r="M2946" s="153"/>
      <c r="T2946" s="154"/>
      <c r="AT2946" s="150" t="s">
        <v>346</v>
      </c>
      <c r="AU2946" s="150" t="s">
        <v>90</v>
      </c>
      <c r="AV2946" s="148" t="s">
        <v>90</v>
      </c>
      <c r="AW2946" s="148" t="s">
        <v>33</v>
      </c>
      <c r="AX2946" s="148" t="s">
        <v>80</v>
      </c>
      <c r="AY2946" s="150" t="s">
        <v>337</v>
      </c>
    </row>
    <row r="2947" spans="2:51" s="148" customFormat="1" x14ac:dyDescent="0.2">
      <c r="B2947" s="149"/>
      <c r="D2947" s="143" t="s">
        <v>346</v>
      </c>
      <c r="E2947" s="150"/>
      <c r="F2947" s="151" t="s">
        <v>2407</v>
      </c>
      <c r="H2947" s="152">
        <v>-44.847000000000001</v>
      </c>
      <c r="L2947" s="149"/>
      <c r="M2947" s="153"/>
      <c r="T2947" s="154"/>
      <c r="AT2947" s="150" t="s">
        <v>346</v>
      </c>
      <c r="AU2947" s="150" t="s">
        <v>90</v>
      </c>
      <c r="AV2947" s="148" t="s">
        <v>90</v>
      </c>
      <c r="AW2947" s="148" t="s">
        <v>33</v>
      </c>
      <c r="AX2947" s="148" t="s">
        <v>80</v>
      </c>
      <c r="AY2947" s="150" t="s">
        <v>337</v>
      </c>
    </row>
    <row r="2948" spans="2:51" s="148" customFormat="1" x14ac:dyDescent="0.2">
      <c r="B2948" s="149"/>
      <c r="D2948" s="143" t="s">
        <v>346</v>
      </c>
      <c r="E2948" s="150"/>
      <c r="F2948" s="151" t="s">
        <v>2408</v>
      </c>
      <c r="H2948" s="152">
        <v>-15.3</v>
      </c>
      <c r="L2948" s="149"/>
      <c r="M2948" s="153"/>
      <c r="T2948" s="154"/>
      <c r="AT2948" s="150" t="s">
        <v>346</v>
      </c>
      <c r="AU2948" s="150" t="s">
        <v>90</v>
      </c>
      <c r="AV2948" s="148" t="s">
        <v>90</v>
      </c>
      <c r="AW2948" s="148" t="s">
        <v>33</v>
      </c>
      <c r="AX2948" s="148" t="s">
        <v>80</v>
      </c>
      <c r="AY2948" s="150" t="s">
        <v>337</v>
      </c>
    </row>
    <row r="2949" spans="2:51" s="148" customFormat="1" x14ac:dyDescent="0.2">
      <c r="B2949" s="149"/>
      <c r="D2949" s="143" t="s">
        <v>346</v>
      </c>
      <c r="E2949" s="150"/>
      <c r="F2949" s="151" t="s">
        <v>2409</v>
      </c>
      <c r="H2949" s="152">
        <v>-61.92</v>
      </c>
      <c r="L2949" s="149"/>
      <c r="M2949" s="153"/>
      <c r="T2949" s="154"/>
      <c r="AT2949" s="150" t="s">
        <v>346</v>
      </c>
      <c r="AU2949" s="150" t="s">
        <v>90</v>
      </c>
      <c r="AV2949" s="148" t="s">
        <v>90</v>
      </c>
      <c r="AW2949" s="148" t="s">
        <v>33</v>
      </c>
      <c r="AX2949" s="148" t="s">
        <v>80</v>
      </c>
      <c r="AY2949" s="150" t="s">
        <v>337</v>
      </c>
    </row>
    <row r="2950" spans="2:51" s="148" customFormat="1" x14ac:dyDescent="0.2">
      <c r="B2950" s="149"/>
      <c r="D2950" s="143" t="s">
        <v>346</v>
      </c>
      <c r="E2950" s="150"/>
      <c r="F2950" s="151" t="s">
        <v>2389</v>
      </c>
      <c r="H2950" s="152">
        <v>7.6230000000000002</v>
      </c>
      <c r="L2950" s="149"/>
      <c r="M2950" s="153"/>
      <c r="T2950" s="154"/>
      <c r="AT2950" s="150" t="s">
        <v>346</v>
      </c>
      <c r="AU2950" s="150" t="s">
        <v>90</v>
      </c>
      <c r="AV2950" s="148" t="s">
        <v>90</v>
      </c>
      <c r="AW2950" s="148" t="s">
        <v>33</v>
      </c>
      <c r="AX2950" s="148" t="s">
        <v>80</v>
      </c>
      <c r="AY2950" s="150" t="s">
        <v>337</v>
      </c>
    </row>
    <row r="2951" spans="2:51" s="141" customFormat="1" x14ac:dyDescent="0.2">
      <c r="B2951" s="142"/>
      <c r="D2951" s="143" t="s">
        <v>346</v>
      </c>
      <c r="E2951" s="144"/>
      <c r="F2951" s="145" t="s">
        <v>2410</v>
      </c>
      <c r="H2951" s="144"/>
      <c r="L2951" s="142"/>
      <c r="M2951" s="146"/>
      <c r="T2951" s="147"/>
      <c r="AT2951" s="144" t="s">
        <v>346</v>
      </c>
      <c r="AU2951" s="144" t="s">
        <v>90</v>
      </c>
      <c r="AV2951" s="141" t="s">
        <v>87</v>
      </c>
      <c r="AW2951" s="141" t="s">
        <v>33</v>
      </c>
      <c r="AX2951" s="141" t="s">
        <v>80</v>
      </c>
      <c r="AY2951" s="144" t="s">
        <v>337</v>
      </c>
    </row>
    <row r="2952" spans="2:51" s="148" customFormat="1" x14ac:dyDescent="0.2">
      <c r="B2952" s="149"/>
      <c r="D2952" s="143" t="s">
        <v>346</v>
      </c>
      <c r="E2952" s="150"/>
      <c r="F2952" s="151" t="s">
        <v>2411</v>
      </c>
      <c r="H2952" s="152">
        <v>134.268</v>
      </c>
      <c r="L2952" s="149"/>
      <c r="M2952" s="153"/>
      <c r="T2952" s="154"/>
      <c r="AT2952" s="150" t="s">
        <v>346</v>
      </c>
      <c r="AU2952" s="150" t="s">
        <v>90</v>
      </c>
      <c r="AV2952" s="148" t="s">
        <v>90</v>
      </c>
      <c r="AW2952" s="148" t="s">
        <v>33</v>
      </c>
      <c r="AX2952" s="148" t="s">
        <v>80</v>
      </c>
      <c r="AY2952" s="150" t="s">
        <v>337</v>
      </c>
    </row>
    <row r="2953" spans="2:51" s="148" customFormat="1" x14ac:dyDescent="0.2">
      <c r="B2953" s="149"/>
      <c r="D2953" s="143" t="s">
        <v>346</v>
      </c>
      <c r="E2953" s="150"/>
      <c r="F2953" s="151" t="s">
        <v>2407</v>
      </c>
      <c r="H2953" s="152">
        <v>-44.847000000000001</v>
      </c>
      <c r="L2953" s="149"/>
      <c r="M2953" s="153"/>
      <c r="T2953" s="154"/>
      <c r="AT2953" s="150" t="s">
        <v>346</v>
      </c>
      <c r="AU2953" s="150" t="s">
        <v>90</v>
      </c>
      <c r="AV2953" s="148" t="s">
        <v>90</v>
      </c>
      <c r="AW2953" s="148" t="s">
        <v>33</v>
      </c>
      <c r="AX2953" s="148" t="s">
        <v>80</v>
      </c>
      <c r="AY2953" s="150" t="s">
        <v>337</v>
      </c>
    </row>
    <row r="2954" spans="2:51" s="148" customFormat="1" x14ac:dyDescent="0.2">
      <c r="B2954" s="149"/>
      <c r="D2954" s="143" t="s">
        <v>346</v>
      </c>
      <c r="E2954" s="150"/>
      <c r="F2954" s="151" t="s">
        <v>2412</v>
      </c>
      <c r="H2954" s="152">
        <v>-12.96</v>
      </c>
      <c r="L2954" s="149"/>
      <c r="M2954" s="153"/>
      <c r="T2954" s="154"/>
      <c r="AT2954" s="150" t="s">
        <v>346</v>
      </c>
      <c r="AU2954" s="150" t="s">
        <v>90</v>
      </c>
      <c r="AV2954" s="148" t="s">
        <v>90</v>
      </c>
      <c r="AW2954" s="148" t="s">
        <v>33</v>
      </c>
      <c r="AX2954" s="148" t="s">
        <v>80</v>
      </c>
      <c r="AY2954" s="150" t="s">
        <v>337</v>
      </c>
    </row>
    <row r="2955" spans="2:51" s="148" customFormat="1" x14ac:dyDescent="0.2">
      <c r="B2955" s="149"/>
      <c r="D2955" s="143" t="s">
        <v>346</v>
      </c>
      <c r="E2955" s="150"/>
      <c r="F2955" s="151" t="s">
        <v>2413</v>
      </c>
      <c r="H2955" s="152">
        <v>-6.48</v>
      </c>
      <c r="L2955" s="149"/>
      <c r="M2955" s="153"/>
      <c r="T2955" s="154"/>
      <c r="AT2955" s="150" t="s">
        <v>346</v>
      </c>
      <c r="AU2955" s="150" t="s">
        <v>90</v>
      </c>
      <c r="AV2955" s="148" t="s">
        <v>90</v>
      </c>
      <c r="AW2955" s="148" t="s">
        <v>33</v>
      </c>
      <c r="AX2955" s="148" t="s">
        <v>80</v>
      </c>
      <c r="AY2955" s="150" t="s">
        <v>337</v>
      </c>
    </row>
    <row r="2956" spans="2:51" s="148" customFormat="1" x14ac:dyDescent="0.2">
      <c r="B2956" s="149"/>
      <c r="D2956" s="143" t="s">
        <v>346</v>
      </c>
      <c r="E2956" s="150"/>
      <c r="F2956" s="151" t="s">
        <v>2414</v>
      </c>
      <c r="H2956" s="152">
        <v>1.68</v>
      </c>
      <c r="L2956" s="149"/>
      <c r="M2956" s="153"/>
      <c r="T2956" s="154"/>
      <c r="AT2956" s="150" t="s">
        <v>346</v>
      </c>
      <c r="AU2956" s="150" t="s">
        <v>90</v>
      </c>
      <c r="AV2956" s="148" t="s">
        <v>90</v>
      </c>
      <c r="AW2956" s="148" t="s">
        <v>33</v>
      </c>
      <c r="AX2956" s="148" t="s">
        <v>80</v>
      </c>
      <c r="AY2956" s="150" t="s">
        <v>337</v>
      </c>
    </row>
    <row r="2957" spans="2:51" s="148" customFormat="1" x14ac:dyDescent="0.2">
      <c r="B2957" s="149"/>
      <c r="D2957" s="143" t="s">
        <v>346</v>
      </c>
      <c r="E2957" s="150"/>
      <c r="F2957" s="151" t="s">
        <v>2415</v>
      </c>
      <c r="H2957" s="152">
        <v>1.17</v>
      </c>
      <c r="L2957" s="149"/>
      <c r="M2957" s="153"/>
      <c r="T2957" s="154"/>
      <c r="AT2957" s="150" t="s">
        <v>346</v>
      </c>
      <c r="AU2957" s="150" t="s">
        <v>90</v>
      </c>
      <c r="AV2957" s="148" t="s">
        <v>90</v>
      </c>
      <c r="AW2957" s="148" t="s">
        <v>33</v>
      </c>
      <c r="AX2957" s="148" t="s">
        <v>80</v>
      </c>
      <c r="AY2957" s="150" t="s">
        <v>337</v>
      </c>
    </row>
    <row r="2958" spans="2:51" s="148" customFormat="1" x14ac:dyDescent="0.2">
      <c r="B2958" s="149"/>
      <c r="D2958" s="143" t="s">
        <v>346</v>
      </c>
      <c r="E2958" s="150"/>
      <c r="F2958" s="151" t="s">
        <v>2416</v>
      </c>
      <c r="H2958" s="152">
        <v>1.56</v>
      </c>
      <c r="L2958" s="149"/>
      <c r="M2958" s="153"/>
      <c r="T2958" s="154"/>
      <c r="AT2958" s="150" t="s">
        <v>346</v>
      </c>
      <c r="AU2958" s="150" t="s">
        <v>90</v>
      </c>
      <c r="AV2958" s="148" t="s">
        <v>90</v>
      </c>
      <c r="AW2958" s="148" t="s">
        <v>33</v>
      </c>
      <c r="AX2958" s="148" t="s">
        <v>80</v>
      </c>
      <c r="AY2958" s="150" t="s">
        <v>337</v>
      </c>
    </row>
    <row r="2959" spans="2:51" s="141" customFormat="1" x14ac:dyDescent="0.2">
      <c r="B2959" s="142"/>
      <c r="D2959" s="143" t="s">
        <v>346</v>
      </c>
      <c r="E2959" s="144"/>
      <c r="F2959" s="145" t="s">
        <v>2417</v>
      </c>
      <c r="H2959" s="144"/>
      <c r="L2959" s="142"/>
      <c r="M2959" s="146"/>
      <c r="T2959" s="147"/>
      <c r="AT2959" s="144" t="s">
        <v>346</v>
      </c>
      <c r="AU2959" s="144" t="s">
        <v>90</v>
      </c>
      <c r="AV2959" s="141" t="s">
        <v>87</v>
      </c>
      <c r="AW2959" s="141" t="s">
        <v>33</v>
      </c>
      <c r="AX2959" s="141" t="s">
        <v>80</v>
      </c>
      <c r="AY2959" s="144" t="s">
        <v>337</v>
      </c>
    </row>
    <row r="2960" spans="2:51" s="148" customFormat="1" x14ac:dyDescent="0.2">
      <c r="B2960" s="149"/>
      <c r="D2960" s="143" t="s">
        <v>346</v>
      </c>
      <c r="E2960" s="150"/>
      <c r="F2960" s="151" t="s">
        <v>2418</v>
      </c>
      <c r="H2960" s="152">
        <v>163.774</v>
      </c>
      <c r="L2960" s="149"/>
      <c r="M2960" s="153"/>
      <c r="T2960" s="154"/>
      <c r="AT2960" s="150" t="s">
        <v>346</v>
      </c>
      <c r="AU2960" s="150" t="s">
        <v>90</v>
      </c>
      <c r="AV2960" s="148" t="s">
        <v>90</v>
      </c>
      <c r="AW2960" s="148" t="s">
        <v>33</v>
      </c>
      <c r="AX2960" s="148" t="s">
        <v>80</v>
      </c>
      <c r="AY2960" s="150" t="s">
        <v>337</v>
      </c>
    </row>
    <row r="2961" spans="2:51" s="148" customFormat="1" x14ac:dyDescent="0.2">
      <c r="B2961" s="149"/>
      <c r="D2961" s="143" t="s">
        <v>346</v>
      </c>
      <c r="E2961" s="150"/>
      <c r="F2961" s="151" t="s">
        <v>2419</v>
      </c>
      <c r="H2961" s="152">
        <v>89.661000000000001</v>
      </c>
      <c r="L2961" s="149"/>
      <c r="M2961" s="153"/>
      <c r="T2961" s="154"/>
      <c r="AT2961" s="150" t="s">
        <v>346</v>
      </c>
      <c r="AU2961" s="150" t="s">
        <v>90</v>
      </c>
      <c r="AV2961" s="148" t="s">
        <v>90</v>
      </c>
      <c r="AW2961" s="148" t="s">
        <v>33</v>
      </c>
      <c r="AX2961" s="148" t="s">
        <v>80</v>
      </c>
      <c r="AY2961" s="150" t="s">
        <v>337</v>
      </c>
    </row>
    <row r="2962" spans="2:51" s="148" customFormat="1" x14ac:dyDescent="0.2">
      <c r="B2962" s="149"/>
      <c r="D2962" s="143" t="s">
        <v>346</v>
      </c>
      <c r="E2962" s="150"/>
      <c r="F2962" s="151" t="s">
        <v>2406</v>
      </c>
      <c r="H2962" s="152">
        <v>-33.325000000000003</v>
      </c>
      <c r="L2962" s="149"/>
      <c r="M2962" s="153"/>
      <c r="T2962" s="154"/>
      <c r="AT2962" s="150" t="s">
        <v>346</v>
      </c>
      <c r="AU2962" s="150" t="s">
        <v>90</v>
      </c>
      <c r="AV2962" s="148" t="s">
        <v>90</v>
      </c>
      <c r="AW2962" s="148" t="s">
        <v>33</v>
      </c>
      <c r="AX2962" s="148" t="s">
        <v>80</v>
      </c>
      <c r="AY2962" s="150" t="s">
        <v>337</v>
      </c>
    </row>
    <row r="2963" spans="2:51" s="141" customFormat="1" x14ac:dyDescent="0.2">
      <c r="B2963" s="142"/>
      <c r="D2963" s="143" t="s">
        <v>346</v>
      </c>
      <c r="E2963" s="144"/>
      <c r="F2963" s="145" t="s">
        <v>2248</v>
      </c>
      <c r="H2963" s="144"/>
      <c r="L2963" s="142"/>
      <c r="M2963" s="146"/>
      <c r="T2963" s="147"/>
      <c r="AT2963" s="144" t="s">
        <v>346</v>
      </c>
      <c r="AU2963" s="144" t="s">
        <v>90</v>
      </c>
      <c r="AV2963" s="141" t="s">
        <v>87</v>
      </c>
      <c r="AW2963" s="141" t="s">
        <v>33</v>
      </c>
      <c r="AX2963" s="141" t="s">
        <v>80</v>
      </c>
      <c r="AY2963" s="144" t="s">
        <v>337</v>
      </c>
    </row>
    <row r="2964" spans="2:51" s="148" customFormat="1" x14ac:dyDescent="0.2">
      <c r="B2964" s="149"/>
      <c r="D2964" s="143" t="s">
        <v>346</v>
      </c>
      <c r="E2964" s="150"/>
      <c r="F2964" s="151" t="s">
        <v>2420</v>
      </c>
      <c r="H2964" s="152">
        <v>29.483000000000001</v>
      </c>
      <c r="L2964" s="149"/>
      <c r="M2964" s="153"/>
      <c r="T2964" s="154"/>
      <c r="AT2964" s="150" t="s">
        <v>346</v>
      </c>
      <c r="AU2964" s="150" t="s">
        <v>90</v>
      </c>
      <c r="AV2964" s="148" t="s">
        <v>90</v>
      </c>
      <c r="AW2964" s="148" t="s">
        <v>33</v>
      </c>
      <c r="AX2964" s="148" t="s">
        <v>80</v>
      </c>
      <c r="AY2964" s="150" t="s">
        <v>337</v>
      </c>
    </row>
    <row r="2965" spans="2:51" s="141" customFormat="1" x14ac:dyDescent="0.2">
      <c r="B2965" s="142"/>
      <c r="D2965" s="143" t="s">
        <v>346</v>
      </c>
      <c r="E2965" s="144"/>
      <c r="F2965" s="145" t="s">
        <v>2421</v>
      </c>
      <c r="H2965" s="144"/>
      <c r="L2965" s="142"/>
      <c r="M2965" s="146"/>
      <c r="T2965" s="147"/>
      <c r="AT2965" s="144" t="s">
        <v>346</v>
      </c>
      <c r="AU2965" s="144" t="s">
        <v>90</v>
      </c>
      <c r="AV2965" s="141" t="s">
        <v>87</v>
      </c>
      <c r="AW2965" s="141" t="s">
        <v>33</v>
      </c>
      <c r="AX2965" s="141" t="s">
        <v>80</v>
      </c>
      <c r="AY2965" s="144" t="s">
        <v>337</v>
      </c>
    </row>
    <row r="2966" spans="2:51" s="148" customFormat="1" x14ac:dyDescent="0.2">
      <c r="B2966" s="149"/>
      <c r="D2966" s="143" t="s">
        <v>346</v>
      </c>
      <c r="E2966" s="150"/>
      <c r="F2966" s="151" t="s">
        <v>2422</v>
      </c>
      <c r="H2966" s="152">
        <v>17.12</v>
      </c>
      <c r="L2966" s="149"/>
      <c r="M2966" s="153"/>
      <c r="T2966" s="154"/>
      <c r="AT2966" s="150" t="s">
        <v>346</v>
      </c>
      <c r="AU2966" s="150" t="s">
        <v>90</v>
      </c>
      <c r="AV2966" s="148" t="s">
        <v>90</v>
      </c>
      <c r="AW2966" s="148" t="s">
        <v>33</v>
      </c>
      <c r="AX2966" s="148" t="s">
        <v>80</v>
      </c>
      <c r="AY2966" s="150" t="s">
        <v>337</v>
      </c>
    </row>
    <row r="2967" spans="2:51" s="148" customFormat="1" x14ac:dyDescent="0.2">
      <c r="B2967" s="149"/>
      <c r="D2967" s="143" t="s">
        <v>346</v>
      </c>
      <c r="E2967" s="150"/>
      <c r="F2967" s="151" t="s">
        <v>2423</v>
      </c>
      <c r="H2967" s="152">
        <v>10.71</v>
      </c>
      <c r="L2967" s="149"/>
      <c r="M2967" s="153"/>
      <c r="T2967" s="154"/>
      <c r="AT2967" s="150" t="s">
        <v>346</v>
      </c>
      <c r="AU2967" s="150" t="s">
        <v>90</v>
      </c>
      <c r="AV2967" s="148" t="s">
        <v>90</v>
      </c>
      <c r="AW2967" s="148" t="s">
        <v>33</v>
      </c>
      <c r="AX2967" s="148" t="s">
        <v>80</v>
      </c>
      <c r="AY2967" s="150" t="s">
        <v>337</v>
      </c>
    </row>
    <row r="2968" spans="2:51" s="148" customFormat="1" x14ac:dyDescent="0.2">
      <c r="B2968" s="149"/>
      <c r="D2968" s="143" t="s">
        <v>346</v>
      </c>
      <c r="E2968" s="150"/>
      <c r="F2968" s="151" t="s">
        <v>2424</v>
      </c>
      <c r="H2968" s="152">
        <v>2.6070000000000002</v>
      </c>
      <c r="L2968" s="149"/>
      <c r="M2968" s="153"/>
      <c r="T2968" s="154"/>
      <c r="AT2968" s="150" t="s">
        <v>346</v>
      </c>
      <c r="AU2968" s="150" t="s">
        <v>90</v>
      </c>
      <c r="AV2968" s="148" t="s">
        <v>90</v>
      </c>
      <c r="AW2968" s="148" t="s">
        <v>33</v>
      </c>
      <c r="AX2968" s="148" t="s">
        <v>80</v>
      </c>
      <c r="AY2968" s="150" t="s">
        <v>337</v>
      </c>
    </row>
    <row r="2969" spans="2:51" s="141" customFormat="1" x14ac:dyDescent="0.2">
      <c r="B2969" s="142"/>
      <c r="D2969" s="143" t="s">
        <v>346</v>
      </c>
      <c r="E2969" s="144"/>
      <c r="F2969" s="145" t="s">
        <v>2425</v>
      </c>
      <c r="H2969" s="144"/>
      <c r="L2969" s="142"/>
      <c r="M2969" s="146"/>
      <c r="T2969" s="147"/>
      <c r="AT2969" s="144" t="s">
        <v>346</v>
      </c>
      <c r="AU2969" s="144" t="s">
        <v>90</v>
      </c>
      <c r="AV2969" s="141" t="s">
        <v>87</v>
      </c>
      <c r="AW2969" s="141" t="s">
        <v>33</v>
      </c>
      <c r="AX2969" s="141" t="s">
        <v>80</v>
      </c>
      <c r="AY2969" s="144" t="s">
        <v>337</v>
      </c>
    </row>
    <row r="2970" spans="2:51" s="148" customFormat="1" x14ac:dyDescent="0.2">
      <c r="B2970" s="149"/>
      <c r="D2970" s="143" t="s">
        <v>346</v>
      </c>
      <c r="E2970" s="150"/>
      <c r="F2970" s="151" t="s">
        <v>2426</v>
      </c>
      <c r="H2970" s="152">
        <v>73.355000000000004</v>
      </c>
      <c r="L2970" s="149"/>
      <c r="M2970" s="153"/>
      <c r="T2970" s="154"/>
      <c r="AT2970" s="150" t="s">
        <v>346</v>
      </c>
      <c r="AU2970" s="150" t="s">
        <v>90</v>
      </c>
      <c r="AV2970" s="148" t="s">
        <v>90</v>
      </c>
      <c r="AW2970" s="148" t="s">
        <v>33</v>
      </c>
      <c r="AX2970" s="148" t="s">
        <v>80</v>
      </c>
      <c r="AY2970" s="150" t="s">
        <v>337</v>
      </c>
    </row>
    <row r="2971" spans="2:51" s="148" customFormat="1" x14ac:dyDescent="0.2">
      <c r="B2971" s="149"/>
      <c r="D2971" s="143" t="s">
        <v>346</v>
      </c>
      <c r="E2971" s="150"/>
      <c r="F2971" s="151" t="s">
        <v>2427</v>
      </c>
      <c r="H2971" s="152">
        <v>40.234000000000002</v>
      </c>
      <c r="L2971" s="149"/>
      <c r="M2971" s="153"/>
      <c r="T2971" s="154"/>
      <c r="AT2971" s="150" t="s">
        <v>346</v>
      </c>
      <c r="AU2971" s="150" t="s">
        <v>90</v>
      </c>
      <c r="AV2971" s="148" t="s">
        <v>90</v>
      </c>
      <c r="AW2971" s="148" t="s">
        <v>33</v>
      </c>
      <c r="AX2971" s="148" t="s">
        <v>80</v>
      </c>
      <c r="AY2971" s="150" t="s">
        <v>337</v>
      </c>
    </row>
    <row r="2972" spans="2:51" s="148" customFormat="1" x14ac:dyDescent="0.2">
      <c r="B2972" s="149"/>
      <c r="D2972" s="143" t="s">
        <v>346</v>
      </c>
      <c r="E2972" s="150"/>
      <c r="F2972" s="151" t="s">
        <v>2428</v>
      </c>
      <c r="H2972" s="152">
        <v>9.7750000000000004</v>
      </c>
      <c r="L2972" s="149"/>
      <c r="M2972" s="153"/>
      <c r="T2972" s="154"/>
      <c r="AT2972" s="150" t="s">
        <v>346</v>
      </c>
      <c r="AU2972" s="150" t="s">
        <v>90</v>
      </c>
      <c r="AV2972" s="148" t="s">
        <v>90</v>
      </c>
      <c r="AW2972" s="148" t="s">
        <v>33</v>
      </c>
      <c r="AX2972" s="148" t="s">
        <v>80</v>
      </c>
      <c r="AY2972" s="150" t="s">
        <v>337</v>
      </c>
    </row>
    <row r="2973" spans="2:51" s="148" customFormat="1" x14ac:dyDescent="0.2">
      <c r="B2973" s="149"/>
      <c r="D2973" s="143" t="s">
        <v>346</v>
      </c>
      <c r="E2973" s="150"/>
      <c r="F2973" s="151" t="s">
        <v>2429</v>
      </c>
      <c r="H2973" s="152">
        <v>9.1530000000000005</v>
      </c>
      <c r="L2973" s="149"/>
      <c r="M2973" s="153"/>
      <c r="T2973" s="154"/>
      <c r="AT2973" s="150" t="s">
        <v>346</v>
      </c>
      <c r="AU2973" s="150" t="s">
        <v>90</v>
      </c>
      <c r="AV2973" s="148" t="s">
        <v>90</v>
      </c>
      <c r="AW2973" s="148" t="s">
        <v>33</v>
      </c>
      <c r="AX2973" s="148" t="s">
        <v>80</v>
      </c>
      <c r="AY2973" s="150" t="s">
        <v>337</v>
      </c>
    </row>
    <row r="2974" spans="2:51" s="141" customFormat="1" x14ac:dyDescent="0.2">
      <c r="B2974" s="142"/>
      <c r="D2974" s="143" t="s">
        <v>346</v>
      </c>
      <c r="E2974" s="144"/>
      <c r="F2974" s="145" t="s">
        <v>2430</v>
      </c>
      <c r="H2974" s="144"/>
      <c r="L2974" s="142"/>
      <c r="M2974" s="146"/>
      <c r="T2974" s="147"/>
      <c r="AT2974" s="144" t="s">
        <v>346</v>
      </c>
      <c r="AU2974" s="144" t="s">
        <v>90</v>
      </c>
      <c r="AV2974" s="141" t="s">
        <v>87</v>
      </c>
      <c r="AW2974" s="141" t="s">
        <v>33</v>
      </c>
      <c r="AX2974" s="141" t="s">
        <v>80</v>
      </c>
      <c r="AY2974" s="144" t="s">
        <v>337</v>
      </c>
    </row>
    <row r="2975" spans="2:51" s="148" customFormat="1" x14ac:dyDescent="0.2">
      <c r="B2975" s="149"/>
      <c r="D2975" s="143" t="s">
        <v>346</v>
      </c>
      <c r="E2975" s="150"/>
      <c r="F2975" s="151" t="s">
        <v>2431</v>
      </c>
      <c r="H2975" s="152">
        <v>-932.84</v>
      </c>
      <c r="L2975" s="149"/>
      <c r="M2975" s="153"/>
      <c r="T2975" s="154"/>
      <c r="AT2975" s="150" t="s">
        <v>346</v>
      </c>
      <c r="AU2975" s="150" t="s">
        <v>90</v>
      </c>
      <c r="AV2975" s="148" t="s">
        <v>90</v>
      </c>
      <c r="AW2975" s="148" t="s">
        <v>33</v>
      </c>
      <c r="AX2975" s="148" t="s">
        <v>80</v>
      </c>
      <c r="AY2975" s="150" t="s">
        <v>337</v>
      </c>
    </row>
    <row r="2976" spans="2:51" s="148" customFormat="1" x14ac:dyDescent="0.2">
      <c r="B2976" s="149"/>
      <c r="D2976" s="143" t="s">
        <v>346</v>
      </c>
      <c r="E2976" s="150"/>
      <c r="F2976" s="151" t="s">
        <v>2432</v>
      </c>
      <c r="H2976" s="152">
        <v>-215.51</v>
      </c>
      <c r="L2976" s="149"/>
      <c r="M2976" s="153"/>
      <c r="T2976" s="154"/>
      <c r="AT2976" s="150" t="s">
        <v>346</v>
      </c>
      <c r="AU2976" s="150" t="s">
        <v>90</v>
      </c>
      <c r="AV2976" s="148" t="s">
        <v>90</v>
      </c>
      <c r="AW2976" s="148" t="s">
        <v>33</v>
      </c>
      <c r="AX2976" s="148" t="s">
        <v>80</v>
      </c>
      <c r="AY2976" s="150" t="s">
        <v>337</v>
      </c>
    </row>
    <row r="2977" spans="2:65" s="148" customFormat="1" x14ac:dyDescent="0.2">
      <c r="B2977" s="149"/>
      <c r="D2977" s="143" t="s">
        <v>346</v>
      </c>
      <c r="E2977" s="150"/>
      <c r="F2977" s="151" t="s">
        <v>2433</v>
      </c>
      <c r="H2977" s="152">
        <v>-5.76</v>
      </c>
      <c r="L2977" s="149"/>
      <c r="M2977" s="153"/>
      <c r="T2977" s="154"/>
      <c r="AT2977" s="150" t="s">
        <v>346</v>
      </c>
      <c r="AU2977" s="150" t="s">
        <v>90</v>
      </c>
      <c r="AV2977" s="148" t="s">
        <v>90</v>
      </c>
      <c r="AW2977" s="148" t="s">
        <v>33</v>
      </c>
      <c r="AX2977" s="148" t="s">
        <v>80</v>
      </c>
      <c r="AY2977" s="150" t="s">
        <v>337</v>
      </c>
    </row>
    <row r="2978" spans="2:65" s="155" customFormat="1" x14ac:dyDescent="0.2">
      <c r="B2978" s="156"/>
      <c r="D2978" s="143" t="s">
        <v>346</v>
      </c>
      <c r="E2978" s="157"/>
      <c r="F2978" s="158" t="s">
        <v>351</v>
      </c>
      <c r="H2978" s="159">
        <v>3648.8159999999998</v>
      </c>
      <c r="L2978" s="156"/>
      <c r="M2978" s="160"/>
      <c r="T2978" s="161"/>
      <c r="AT2978" s="157" t="s">
        <v>346</v>
      </c>
      <c r="AU2978" s="157" t="s">
        <v>90</v>
      </c>
      <c r="AV2978" s="155" t="s">
        <v>344</v>
      </c>
      <c r="AW2978" s="155" t="s">
        <v>33</v>
      </c>
      <c r="AX2978" s="155" t="s">
        <v>87</v>
      </c>
      <c r="AY2978" s="157" t="s">
        <v>337</v>
      </c>
    </row>
    <row r="2979" spans="2:65" s="16" customFormat="1" ht="16.5" customHeight="1" x14ac:dyDescent="0.2">
      <c r="B2979" s="17"/>
      <c r="C2979" s="128">
        <v>213</v>
      </c>
      <c r="D2979" s="128" t="s">
        <v>339</v>
      </c>
      <c r="E2979" s="129" t="s">
        <v>2435</v>
      </c>
      <c r="F2979" s="130" t="s">
        <v>2436</v>
      </c>
      <c r="G2979" s="131" t="s">
        <v>425</v>
      </c>
      <c r="H2979" s="132">
        <v>335.79</v>
      </c>
      <c r="I2979" s="133"/>
      <c r="J2979" s="134">
        <f>ROUND(I2979*H2979,2)</f>
        <v>0</v>
      </c>
      <c r="K2979" s="130" t="s">
        <v>343</v>
      </c>
      <c r="L2979" s="17"/>
      <c r="M2979" s="135"/>
      <c r="N2979" s="136" t="s">
        <v>45</v>
      </c>
      <c r="P2979" s="137">
        <f>O2979*H2979</f>
        <v>0</v>
      </c>
      <c r="Q2979" s="137">
        <v>2.7999999999999998E-4</v>
      </c>
      <c r="R2979" s="137">
        <f>Q2979*H2979</f>
        <v>9.4021199999999999E-2</v>
      </c>
      <c r="S2979" s="137">
        <v>0</v>
      </c>
      <c r="T2979" s="138">
        <f>S2979*H2979</f>
        <v>0</v>
      </c>
      <c r="AR2979" s="139" t="s">
        <v>496</v>
      </c>
      <c r="AT2979" s="139" t="s">
        <v>339</v>
      </c>
      <c r="AU2979" s="139" t="s">
        <v>90</v>
      </c>
      <c r="AY2979" s="2" t="s">
        <v>337</v>
      </c>
      <c r="BE2979" s="140">
        <f>IF(N2979="základní",J2979,0)</f>
        <v>0</v>
      </c>
      <c r="BF2979" s="140">
        <f>IF(N2979="snížená",J2979,0)</f>
        <v>0</v>
      </c>
      <c r="BG2979" s="140">
        <f>IF(N2979="zákl. přenesená",J2979,0)</f>
        <v>0</v>
      </c>
      <c r="BH2979" s="140">
        <f>IF(N2979="sníž. přenesená",J2979,0)</f>
        <v>0</v>
      </c>
      <c r="BI2979" s="140">
        <f>IF(N2979="nulová",J2979,0)</f>
        <v>0</v>
      </c>
      <c r="BJ2979" s="2" t="s">
        <v>87</v>
      </c>
      <c r="BK2979" s="140">
        <f>ROUND(I2979*H2979,2)</f>
        <v>0</v>
      </c>
      <c r="BL2979" s="2" t="s">
        <v>496</v>
      </c>
      <c r="BM2979" s="139" t="s">
        <v>2437</v>
      </c>
    </row>
    <row r="2980" spans="2:65" s="141" customFormat="1" x14ac:dyDescent="0.2">
      <c r="B2980" s="142"/>
      <c r="D2980" s="143" t="s">
        <v>346</v>
      </c>
      <c r="E2980" s="144"/>
      <c r="F2980" s="145" t="s">
        <v>2438</v>
      </c>
      <c r="H2980" s="144"/>
      <c r="L2980" s="142"/>
      <c r="M2980" s="146"/>
      <c r="T2980" s="147"/>
      <c r="AT2980" s="144" t="s">
        <v>346</v>
      </c>
      <c r="AU2980" s="144" t="s">
        <v>90</v>
      </c>
      <c r="AV2980" s="141" t="s">
        <v>87</v>
      </c>
      <c r="AW2980" s="141" t="s">
        <v>33</v>
      </c>
      <c r="AX2980" s="141" t="s">
        <v>80</v>
      </c>
      <c r="AY2980" s="144" t="s">
        <v>337</v>
      </c>
    </row>
    <row r="2981" spans="2:65" s="148" customFormat="1" x14ac:dyDescent="0.2">
      <c r="B2981" s="149"/>
      <c r="D2981" s="143" t="s">
        <v>346</v>
      </c>
      <c r="E2981" s="150"/>
      <c r="F2981" s="151" t="s">
        <v>277</v>
      </c>
      <c r="H2981" s="152">
        <v>102.72</v>
      </c>
      <c r="L2981" s="149"/>
      <c r="M2981" s="153"/>
      <c r="T2981" s="154"/>
      <c r="AT2981" s="150" t="s">
        <v>346</v>
      </c>
      <c r="AU2981" s="150" t="s">
        <v>90</v>
      </c>
      <c r="AV2981" s="148" t="s">
        <v>90</v>
      </c>
      <c r="AW2981" s="148" t="s">
        <v>33</v>
      </c>
      <c r="AX2981" s="148" t="s">
        <v>80</v>
      </c>
      <c r="AY2981" s="150" t="s">
        <v>337</v>
      </c>
    </row>
    <row r="2982" spans="2:65" s="141" customFormat="1" x14ac:dyDescent="0.2">
      <c r="B2982" s="142"/>
      <c r="D2982" s="143" t="s">
        <v>346</v>
      </c>
      <c r="E2982" s="144"/>
      <c r="F2982" s="145" t="s">
        <v>2345</v>
      </c>
      <c r="H2982" s="144"/>
      <c r="L2982" s="142"/>
      <c r="M2982" s="146"/>
      <c r="T2982" s="147"/>
      <c r="AT2982" s="144" t="s">
        <v>346</v>
      </c>
      <c r="AU2982" s="144" t="s">
        <v>90</v>
      </c>
      <c r="AV2982" s="141" t="s">
        <v>87</v>
      </c>
      <c r="AW2982" s="141" t="s">
        <v>33</v>
      </c>
      <c r="AX2982" s="141" t="s">
        <v>80</v>
      </c>
      <c r="AY2982" s="144" t="s">
        <v>337</v>
      </c>
    </row>
    <row r="2983" spans="2:65" s="148" customFormat="1" x14ac:dyDescent="0.2">
      <c r="B2983" s="149"/>
      <c r="D2983" s="143" t="s">
        <v>346</v>
      </c>
      <c r="E2983" s="150"/>
      <c r="F2983" s="151" t="s">
        <v>275</v>
      </c>
      <c r="H2983" s="152">
        <v>233.07</v>
      </c>
      <c r="L2983" s="149"/>
      <c r="M2983" s="153"/>
      <c r="T2983" s="154"/>
      <c r="AT2983" s="150" t="s">
        <v>346</v>
      </c>
      <c r="AU2983" s="150" t="s">
        <v>90</v>
      </c>
      <c r="AV2983" s="148" t="s">
        <v>90</v>
      </c>
      <c r="AW2983" s="148" t="s">
        <v>33</v>
      </c>
      <c r="AX2983" s="148" t="s">
        <v>80</v>
      </c>
      <c r="AY2983" s="150" t="s">
        <v>337</v>
      </c>
    </row>
    <row r="2984" spans="2:65" s="155" customFormat="1" x14ac:dyDescent="0.2">
      <c r="B2984" s="156"/>
      <c r="D2984" s="143" t="s">
        <v>346</v>
      </c>
      <c r="E2984" s="157" t="s">
        <v>234</v>
      </c>
      <c r="F2984" s="158" t="s">
        <v>351</v>
      </c>
      <c r="H2984" s="159">
        <v>335.79</v>
      </c>
      <c r="L2984" s="156"/>
      <c r="M2984" s="181"/>
      <c r="N2984" s="182"/>
      <c r="O2984" s="182"/>
      <c r="P2984" s="182"/>
      <c r="Q2984" s="182"/>
      <c r="R2984" s="182"/>
      <c r="S2984" s="182"/>
      <c r="T2984" s="183"/>
      <c r="AT2984" s="157" t="s">
        <v>346</v>
      </c>
      <c r="AU2984" s="157" t="s">
        <v>90</v>
      </c>
      <c r="AV2984" s="155" t="s">
        <v>344</v>
      </c>
      <c r="AW2984" s="155" t="s">
        <v>33</v>
      </c>
      <c r="AX2984" s="155" t="s">
        <v>87</v>
      </c>
      <c r="AY2984" s="157" t="s">
        <v>337</v>
      </c>
    </row>
    <row r="2985" spans="2:65" s="16" customFormat="1" ht="6.95" customHeight="1" x14ac:dyDescent="0.2">
      <c r="B2985" s="30"/>
      <c r="C2985" s="19"/>
      <c r="D2985" s="19"/>
      <c r="E2985" s="19"/>
      <c r="F2985" s="19"/>
      <c r="G2985" s="19"/>
      <c r="H2985" s="19"/>
      <c r="I2985" s="19"/>
      <c r="J2985" s="19"/>
      <c r="K2985" s="19"/>
      <c r="L2985" s="17"/>
    </row>
  </sheetData>
  <sheetProtection algorithmName="SHA-512" hashValue="en9+xZxZOvVTAd2EWIHf7/rlvVBBY9iF4BA0vt7HYRun1Ery1oCHYcWRz1qArOPp64MfQ12QDnc4x+oAAkgRNA==" saltValue="CdpMjt8qby9+OOSI60LIVA==" spinCount="100000" sheet="1" objects="1" scenarios="1" formatCells="0" formatColumns="0" formatRows="0" autoFilter="0"/>
  <autoFilter ref="C137:K2984" xr:uid="{00000000-0009-0000-0000-000001000000}"/>
  <mergeCells count="13"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  <mergeCell ref="J94:K94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0"/>
  <dimension ref="B2:BM151"/>
  <sheetViews>
    <sheetView showGridLines="0" workbookViewId="0">
      <selection activeCell="F99" sqref="F99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157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6831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7536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/>
      <c r="L24" s="17"/>
    </row>
    <row r="25" spans="2:12" s="16" customFormat="1" ht="18" hidden="1" customHeight="1" x14ac:dyDescent="0.2">
      <c r="B25" s="17"/>
      <c r="E25" s="10" t="s">
        <v>6833</v>
      </c>
      <c r="I25" s="12" t="s">
        <v>26</v>
      </c>
      <c r="J25" s="10"/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/>
      <c r="L27" s="17"/>
    </row>
    <row r="28" spans="2:12" s="16" customFormat="1" ht="18" hidden="1" customHeight="1" x14ac:dyDescent="0.2">
      <c r="B28" s="17"/>
      <c r="E28" s="10" t="s">
        <v>6833</v>
      </c>
      <c r="I28" s="12" t="s">
        <v>26</v>
      </c>
      <c r="J28" s="10"/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16.5" hidden="1" customHeight="1" x14ac:dyDescent="0.2">
      <c r="B31" s="82"/>
      <c r="E31" s="304"/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ROUND((SUM(BE139:BE150)),  2)</f>
        <v>0</v>
      </c>
      <c r="I37" s="86">
        <v>0.21</v>
      </c>
      <c r="J37" s="73">
        <f>ROUND(((SUM(BE139:BE150))*I37),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ROUND((SUM(BF139:BF150)),  2)</f>
        <v>0</v>
      </c>
      <c r="I38" s="86">
        <v>0.12</v>
      </c>
      <c r="J38" s="73">
        <f>ROUND(((SUM(BF139:BF150))*I38),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ROUND((SUM(BG139:BG150)),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ROUND((SUM(BH139:BH150)),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ROUND((SUM(BI139:BI150)),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6831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FVE - FVE systém - LFP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Karel Sommer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Karel Sommer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6835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98" customFormat="1" ht="24.95" customHeight="1" x14ac:dyDescent="0.2">
      <c r="B102" s="99"/>
      <c r="D102" s="100" t="s">
        <v>7537</v>
      </c>
      <c r="E102" s="101"/>
      <c r="F102" s="101"/>
      <c r="G102" s="101"/>
      <c r="H102" s="101"/>
      <c r="I102" s="101"/>
      <c r="J102" s="102">
        <f>J142</f>
        <v>0</v>
      </c>
      <c r="L102" s="99"/>
    </row>
    <row r="103" spans="2:47" s="98" customFormat="1" ht="24.95" customHeight="1" x14ac:dyDescent="0.2">
      <c r="B103" s="99"/>
      <c r="D103" s="100" t="s">
        <v>7538</v>
      </c>
      <c r="E103" s="101"/>
      <c r="F103" s="101"/>
      <c r="G103" s="101"/>
      <c r="H103" s="101"/>
      <c r="I103" s="101"/>
      <c r="J103" s="102">
        <f>J146</f>
        <v>0</v>
      </c>
      <c r="L103" s="99"/>
    </row>
    <row r="104" spans="2:47" s="98" customFormat="1" ht="24.95" customHeight="1" x14ac:dyDescent="0.2">
      <c r="B104" s="99"/>
      <c r="D104" s="100" t="s">
        <v>6840</v>
      </c>
      <c r="E104" s="101"/>
      <c r="F104" s="101"/>
      <c r="G104" s="101"/>
      <c r="H104" s="101"/>
      <c r="I104" s="101"/>
      <c r="J104" s="102">
        <f>J149</f>
        <v>0</v>
      </c>
      <c r="L104" s="99"/>
    </row>
    <row r="105" spans="2:47" s="16" customFormat="1" ht="21.75" customHeight="1" x14ac:dyDescent="0.2">
      <c r="B105" s="17"/>
      <c r="L105" s="17"/>
    </row>
    <row r="106" spans="2:47" s="16" customFormat="1" ht="6.95" customHeight="1" x14ac:dyDescent="0.2">
      <c r="B106" s="30"/>
      <c r="C106" s="19"/>
      <c r="D106" s="19"/>
      <c r="E106" s="19"/>
      <c r="F106" s="19"/>
      <c r="G106" s="19"/>
      <c r="H106" s="19"/>
      <c r="I106" s="19"/>
      <c r="J106" s="19"/>
      <c r="K106" s="19"/>
      <c r="L106" s="17"/>
    </row>
    <row r="110" spans="2:47" ht="3" customHeight="1" x14ac:dyDescent="0.2"/>
    <row r="111" spans="2:47" ht="3" customHeight="1" x14ac:dyDescent="0.2"/>
    <row r="112" spans="2:47" ht="3" customHeight="1" x14ac:dyDescent="0.2"/>
    <row r="113" spans="2:12" ht="3" customHeight="1" x14ac:dyDescent="0.2"/>
    <row r="114" spans="2:12" ht="3" customHeight="1" x14ac:dyDescent="0.2"/>
    <row r="115" spans="2:12" ht="3" customHeight="1" x14ac:dyDescent="0.2"/>
    <row r="116" spans="2:12" ht="3" customHeight="1" x14ac:dyDescent="0.2"/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6831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FVE - FVE systém - LFP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Karel Sommer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15" t="str">
        <f>E28</f>
        <v>Karel Sommer</v>
      </c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P140+P142+P146+P149</f>
        <v>0</v>
      </c>
      <c r="Q139" s="39"/>
      <c r="R139" s="113">
        <f>R140+R142+R146+R149</f>
        <v>0</v>
      </c>
      <c r="S139" s="39"/>
      <c r="T139" s="114">
        <f>T140+T142+T146+T149</f>
        <v>0</v>
      </c>
      <c r="AT139" s="2" t="s">
        <v>79</v>
      </c>
      <c r="AU139" s="2" t="s">
        <v>303</v>
      </c>
      <c r="BK139" s="115">
        <f>BK140+BK142+BK146+BK149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87</v>
      </c>
      <c r="F140" s="119" t="s">
        <v>6841</v>
      </c>
      <c r="J140" s="120">
        <f>BK140</f>
        <v>0</v>
      </c>
      <c r="L140" s="117"/>
      <c r="M140" s="121"/>
      <c r="P140" s="122">
        <f>P141</f>
        <v>0</v>
      </c>
      <c r="R140" s="122">
        <f>R141</f>
        <v>0</v>
      </c>
      <c r="T140" s="123">
        <f>T141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BK141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6842</v>
      </c>
      <c r="F141" s="130" t="s">
        <v>7539</v>
      </c>
      <c r="G141" s="131" t="s">
        <v>724</v>
      </c>
      <c r="H141" s="132">
        <v>80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90</v>
      </c>
    </row>
    <row r="142" spans="2:65" s="116" customFormat="1" ht="25.9" customHeight="1" x14ac:dyDescent="0.2">
      <c r="B142" s="117"/>
      <c r="D142" s="118" t="s">
        <v>79</v>
      </c>
      <c r="E142" s="119" t="s">
        <v>90</v>
      </c>
      <c r="F142" s="119" t="s">
        <v>7007</v>
      </c>
      <c r="J142" s="120">
        <f>BK142</f>
        <v>0</v>
      </c>
      <c r="L142" s="117"/>
      <c r="M142" s="121"/>
      <c r="P142" s="122">
        <f>SUM(P143:P145)</f>
        <v>0</v>
      </c>
      <c r="R142" s="122">
        <f>SUM(R143:R145)</f>
        <v>0</v>
      </c>
      <c r="T142" s="123">
        <f>SUM(T143:T145)</f>
        <v>0</v>
      </c>
      <c r="AR142" s="118" t="s">
        <v>87</v>
      </c>
      <c r="AT142" s="124" t="s">
        <v>79</v>
      </c>
      <c r="AU142" s="124" t="s">
        <v>80</v>
      </c>
      <c r="AY142" s="118" t="s">
        <v>337</v>
      </c>
      <c r="BK142" s="125">
        <f>SUM(BK143:BK145)</f>
        <v>0</v>
      </c>
    </row>
    <row r="143" spans="2:65" s="16" customFormat="1" ht="16.5" customHeight="1" x14ac:dyDescent="0.2">
      <c r="B143" s="17"/>
      <c r="C143" s="128">
        <v>2</v>
      </c>
      <c r="D143" s="128" t="s">
        <v>339</v>
      </c>
      <c r="E143" s="129" t="s">
        <v>6969</v>
      </c>
      <c r="F143" s="130" t="s">
        <v>7016</v>
      </c>
      <c r="G143" s="131" t="s">
        <v>4460</v>
      </c>
      <c r="H143" s="132">
        <v>1</v>
      </c>
      <c r="I143" s="133"/>
      <c r="J143" s="134">
        <f>ROUND(I143*H143,2)</f>
        <v>0</v>
      </c>
      <c r="K143" s="130"/>
      <c r="L143" s="17"/>
      <c r="M143" s="135"/>
      <c r="N143" s="136" t="s">
        <v>45</v>
      </c>
      <c r="P143" s="137">
        <f>O143*H143</f>
        <v>0</v>
      </c>
      <c r="Q143" s="137">
        <v>0</v>
      </c>
      <c r="R143" s="137">
        <f>Q143*H143</f>
        <v>0</v>
      </c>
      <c r="S143" s="137">
        <v>0</v>
      </c>
      <c r="T143" s="138">
        <f>S143*H143</f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>IF(N143="základní",J143,0)</f>
        <v>0</v>
      </c>
      <c r="BF143" s="140">
        <f>IF(N143="snížená",J143,0)</f>
        <v>0</v>
      </c>
      <c r="BG143" s="140">
        <f>IF(N143="zákl. přenesená",J143,0)</f>
        <v>0</v>
      </c>
      <c r="BH143" s="140">
        <f>IF(N143="sníž. přenesená",J143,0)</f>
        <v>0</v>
      </c>
      <c r="BI143" s="140">
        <f>IF(N143="nulová",J143,0)</f>
        <v>0</v>
      </c>
      <c r="BJ143" s="2" t="s">
        <v>87</v>
      </c>
      <c r="BK143" s="140">
        <f>ROUND(I143*H143,2)</f>
        <v>0</v>
      </c>
      <c r="BL143" s="2" t="s">
        <v>344</v>
      </c>
      <c r="BM143" s="139" t="s">
        <v>344</v>
      </c>
    </row>
    <row r="144" spans="2:65" s="16" customFormat="1" ht="16.5" customHeight="1" x14ac:dyDescent="0.2">
      <c r="B144" s="17"/>
      <c r="C144" s="128">
        <v>3</v>
      </c>
      <c r="D144" s="128" t="s">
        <v>339</v>
      </c>
      <c r="E144" s="129" t="s">
        <v>6971</v>
      </c>
      <c r="F144" s="130" t="s">
        <v>7540</v>
      </c>
      <c r="G144" s="131" t="s">
        <v>7010</v>
      </c>
      <c r="H144" s="132">
        <v>1</v>
      </c>
      <c r="I144" s="133"/>
      <c r="J144" s="134">
        <f>ROUND(I144*H144,2)</f>
        <v>0</v>
      </c>
      <c r="K144" s="130"/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</v>
      </c>
      <c r="T144" s="138">
        <f>S144*H144</f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344</v>
      </c>
      <c r="BM144" s="139" t="s">
        <v>430</v>
      </c>
    </row>
    <row r="145" spans="2:65" s="16" customFormat="1" ht="16.5" customHeight="1" x14ac:dyDescent="0.2">
      <c r="B145" s="17"/>
      <c r="C145" s="128">
        <v>4</v>
      </c>
      <c r="D145" s="128" t="s">
        <v>339</v>
      </c>
      <c r="E145" s="129" t="s">
        <v>6973</v>
      </c>
      <c r="F145" s="130" t="s">
        <v>7014</v>
      </c>
      <c r="G145" s="131" t="s">
        <v>4460</v>
      </c>
      <c r="H145" s="132">
        <v>1</v>
      </c>
      <c r="I145" s="133"/>
      <c r="J145" s="134">
        <f>ROUND(I145*H145,2)</f>
        <v>0</v>
      </c>
      <c r="K145" s="130"/>
      <c r="L145" s="17"/>
      <c r="M145" s="135"/>
      <c r="N145" s="136" t="s">
        <v>45</v>
      </c>
      <c r="P145" s="137">
        <f>O145*H145</f>
        <v>0</v>
      </c>
      <c r="Q145" s="137">
        <v>0</v>
      </c>
      <c r="R145" s="137">
        <f>Q145*H145</f>
        <v>0</v>
      </c>
      <c r="S145" s="137">
        <v>0</v>
      </c>
      <c r="T145" s="138">
        <f>S145*H145</f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>IF(N145="základní",J145,0)</f>
        <v>0</v>
      </c>
      <c r="BF145" s="140">
        <f>IF(N145="snížená",J145,0)</f>
        <v>0</v>
      </c>
      <c r="BG145" s="140">
        <f>IF(N145="zákl. přenesená",J145,0)</f>
        <v>0</v>
      </c>
      <c r="BH145" s="140">
        <f>IF(N145="sníž. přenesená",J145,0)</f>
        <v>0</v>
      </c>
      <c r="BI145" s="140">
        <f>IF(N145="nulová",J145,0)</f>
        <v>0</v>
      </c>
      <c r="BJ145" s="2" t="s">
        <v>87</v>
      </c>
      <c r="BK145" s="140">
        <f>ROUND(I145*H145,2)</f>
        <v>0</v>
      </c>
      <c r="BL145" s="2" t="s">
        <v>344</v>
      </c>
      <c r="BM145" s="139" t="s">
        <v>446</v>
      </c>
    </row>
    <row r="146" spans="2:65" s="116" customFormat="1" ht="25.9" customHeight="1" x14ac:dyDescent="0.2">
      <c r="B146" s="117"/>
      <c r="D146" s="118" t="s">
        <v>79</v>
      </c>
      <c r="E146" s="119" t="s">
        <v>113</v>
      </c>
      <c r="F146" s="119" t="s">
        <v>7032</v>
      </c>
      <c r="J146" s="120">
        <f>BK146</f>
        <v>0</v>
      </c>
      <c r="L146" s="117"/>
      <c r="M146" s="121"/>
      <c r="P146" s="122">
        <f>SUM(P147:P148)</f>
        <v>0</v>
      </c>
      <c r="R146" s="122">
        <f>SUM(R147:R148)</f>
        <v>0</v>
      </c>
      <c r="T146" s="123">
        <f>SUM(T147:T148)</f>
        <v>0</v>
      </c>
      <c r="AR146" s="118" t="s">
        <v>87</v>
      </c>
      <c r="AT146" s="124" t="s">
        <v>79</v>
      </c>
      <c r="AU146" s="124" t="s">
        <v>80</v>
      </c>
      <c r="AY146" s="118" t="s">
        <v>337</v>
      </c>
      <c r="BK146" s="125">
        <f>SUM(BK147:BK148)</f>
        <v>0</v>
      </c>
    </row>
    <row r="147" spans="2:65" s="16" customFormat="1" ht="16.5" customHeight="1" x14ac:dyDescent="0.2">
      <c r="B147" s="17"/>
      <c r="C147" s="128">
        <v>5</v>
      </c>
      <c r="D147" s="128" t="s">
        <v>339</v>
      </c>
      <c r="E147" s="129" t="s">
        <v>6992</v>
      </c>
      <c r="F147" s="130" t="s">
        <v>7539</v>
      </c>
      <c r="G147" s="131" t="s">
        <v>724</v>
      </c>
      <c r="H147" s="132">
        <v>80</v>
      </c>
      <c r="I147" s="133"/>
      <c r="J147" s="134">
        <f>ROUND(I147*H147,2)</f>
        <v>0</v>
      </c>
      <c r="K147" s="130"/>
      <c r="L147" s="17"/>
      <c r="M147" s="135"/>
      <c r="N147" s="136" t="s">
        <v>45</v>
      </c>
      <c r="P147" s="137">
        <f>O147*H147</f>
        <v>0</v>
      </c>
      <c r="Q147" s="137">
        <v>0</v>
      </c>
      <c r="R147" s="137">
        <f>Q147*H147</f>
        <v>0</v>
      </c>
      <c r="S147" s="137">
        <v>0</v>
      </c>
      <c r="T147" s="138">
        <f>S147*H147</f>
        <v>0</v>
      </c>
      <c r="AR147" s="139" t="s">
        <v>344</v>
      </c>
      <c r="AT147" s="139" t="s">
        <v>339</v>
      </c>
      <c r="AU147" s="139" t="s">
        <v>87</v>
      </c>
      <c r="AY147" s="2" t="s">
        <v>337</v>
      </c>
      <c r="BE147" s="140">
        <f>IF(N147="základní",J147,0)</f>
        <v>0</v>
      </c>
      <c r="BF147" s="140">
        <f>IF(N147="snížená",J147,0)</f>
        <v>0</v>
      </c>
      <c r="BG147" s="140">
        <f>IF(N147="zákl. přenesená",J147,0)</f>
        <v>0</v>
      </c>
      <c r="BH147" s="140">
        <f>IF(N147="sníž. přenesená",J147,0)</f>
        <v>0</v>
      </c>
      <c r="BI147" s="140">
        <f>IF(N147="nulová",J147,0)</f>
        <v>0</v>
      </c>
      <c r="BJ147" s="2" t="s">
        <v>87</v>
      </c>
      <c r="BK147" s="140">
        <f>ROUND(I147*H147,2)</f>
        <v>0</v>
      </c>
      <c r="BL147" s="2" t="s">
        <v>344</v>
      </c>
      <c r="BM147" s="139" t="s">
        <v>457</v>
      </c>
    </row>
    <row r="148" spans="2:65" s="16" customFormat="1" ht="16.5" customHeight="1" x14ac:dyDescent="0.2">
      <c r="B148" s="17"/>
      <c r="C148" s="128">
        <v>6</v>
      </c>
      <c r="D148" s="128" t="s">
        <v>339</v>
      </c>
      <c r="E148" s="129" t="s">
        <v>6994</v>
      </c>
      <c r="F148" s="130" t="s">
        <v>7541</v>
      </c>
      <c r="G148" s="131" t="s">
        <v>7010</v>
      </c>
      <c r="H148" s="132">
        <v>1</v>
      </c>
      <c r="I148" s="133"/>
      <c r="J148" s="134">
        <f>ROUND(I148*H148,2)</f>
        <v>0</v>
      </c>
      <c r="K148" s="130"/>
      <c r="L148" s="17"/>
      <c r="M148" s="135"/>
      <c r="N148" s="136" t="s">
        <v>45</v>
      </c>
      <c r="P148" s="137">
        <f>O148*H148</f>
        <v>0</v>
      </c>
      <c r="Q148" s="137">
        <v>0</v>
      </c>
      <c r="R148" s="137">
        <f>Q148*H148</f>
        <v>0</v>
      </c>
      <c r="S148" s="137">
        <v>0</v>
      </c>
      <c r="T148" s="138">
        <f>S148*H148</f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>IF(N148="základní",J148,0)</f>
        <v>0</v>
      </c>
      <c r="BF148" s="140">
        <f>IF(N148="snížená",J148,0)</f>
        <v>0</v>
      </c>
      <c r="BG148" s="140">
        <f>IF(N148="zákl. přenesená",J148,0)</f>
        <v>0</v>
      </c>
      <c r="BH148" s="140">
        <f>IF(N148="sníž. přenesená",J148,0)</f>
        <v>0</v>
      </c>
      <c r="BI148" s="140">
        <f>IF(N148="nulová",J148,0)</f>
        <v>0</v>
      </c>
      <c r="BJ148" s="2" t="s">
        <v>87</v>
      </c>
      <c r="BK148" s="140">
        <f>ROUND(I148*H148,2)</f>
        <v>0</v>
      </c>
      <c r="BL148" s="2" t="s">
        <v>344</v>
      </c>
      <c r="BM148" s="139" t="s">
        <v>7</v>
      </c>
    </row>
    <row r="149" spans="2:65" s="116" customFormat="1" ht="25.9" customHeight="1" x14ac:dyDescent="0.2">
      <c r="B149" s="117"/>
      <c r="D149" s="118" t="s">
        <v>79</v>
      </c>
      <c r="E149" s="119" t="s">
        <v>1125</v>
      </c>
      <c r="F149" s="119" t="s">
        <v>7399</v>
      </c>
      <c r="J149" s="120">
        <f>BK149</f>
        <v>0</v>
      </c>
      <c r="L149" s="117"/>
      <c r="M149" s="121"/>
      <c r="P149" s="122">
        <f>P150</f>
        <v>0</v>
      </c>
      <c r="R149" s="122">
        <f>R150</f>
        <v>0</v>
      </c>
      <c r="T149" s="123">
        <f>T150</f>
        <v>0</v>
      </c>
      <c r="AR149" s="118" t="s">
        <v>87</v>
      </c>
      <c r="AT149" s="124" t="s">
        <v>79</v>
      </c>
      <c r="AU149" s="124" t="s">
        <v>80</v>
      </c>
      <c r="AY149" s="118" t="s">
        <v>337</v>
      </c>
      <c r="BK149" s="125">
        <f>BK150</f>
        <v>0</v>
      </c>
    </row>
    <row r="150" spans="2:65" s="16" customFormat="1" ht="16.5" customHeight="1" x14ac:dyDescent="0.2">
      <c r="B150" s="17"/>
      <c r="C150" s="128">
        <v>7</v>
      </c>
      <c r="D150" s="128" t="s">
        <v>339</v>
      </c>
      <c r="E150" s="129" t="s">
        <v>7400</v>
      </c>
      <c r="F150" s="130" t="s">
        <v>7399</v>
      </c>
      <c r="G150" s="131" t="s">
        <v>7010</v>
      </c>
      <c r="H150" s="132">
        <v>1</v>
      </c>
      <c r="I150" s="133"/>
      <c r="J150" s="134">
        <f>ROUND(I150*H150,2)</f>
        <v>0</v>
      </c>
      <c r="K150" s="130"/>
      <c r="L150" s="17"/>
      <c r="M150" s="187"/>
      <c r="N150" s="188" t="s">
        <v>45</v>
      </c>
      <c r="O150" s="189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>IF(N150="základní",J150,0)</f>
        <v>0</v>
      </c>
      <c r="BF150" s="140">
        <f>IF(N150="snížená",J150,0)</f>
        <v>0</v>
      </c>
      <c r="BG150" s="140">
        <f>IF(N150="zákl. přenesená",J150,0)</f>
        <v>0</v>
      </c>
      <c r="BH150" s="140">
        <f>IF(N150="sníž. přenesená",J150,0)</f>
        <v>0</v>
      </c>
      <c r="BI150" s="140">
        <f>IF(N150="nulová",J150,0)</f>
        <v>0</v>
      </c>
      <c r="BJ150" s="2" t="s">
        <v>87</v>
      </c>
      <c r="BK150" s="140">
        <f>ROUND(I150*H150,2)</f>
        <v>0</v>
      </c>
      <c r="BL150" s="2" t="s">
        <v>344</v>
      </c>
      <c r="BM150" s="139" t="s">
        <v>7542</v>
      </c>
    </row>
    <row r="151" spans="2:65" s="16" customFormat="1" ht="6.95" customHeight="1" x14ac:dyDescent="0.2">
      <c r="B151" s="30"/>
      <c r="C151" s="19"/>
      <c r="D151" s="19"/>
      <c r="E151" s="19"/>
      <c r="F151" s="19"/>
      <c r="G151" s="19"/>
      <c r="H151" s="19"/>
      <c r="I151" s="19"/>
      <c r="J151" s="19"/>
      <c r="K151" s="19"/>
      <c r="L151" s="17"/>
    </row>
  </sheetData>
  <sheetProtection algorithmName="SHA-512" hashValue="TuhqGUY6zhR360SUniipkr76SQ2p5n2geep16M4Ea8nMgvb7bR5iVLgjnMclKuU7HlTsan2vjLOkRN/5QzUL8Q==" saltValue="doqQyUuXsy8iniNWdgknRQ==" spinCount="100000" sheet="1" objects="1" scenarios="1" formatCells="0" formatColumns="0" formatRows="0" autoFilter="0"/>
  <autoFilter ref="C138:K150" xr:uid="{00000000-0009-0000-0000-000013000000}"/>
  <mergeCells count="15"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  <mergeCell ref="E22:H22"/>
    <mergeCell ref="L2:V2"/>
    <mergeCell ref="E7:H7"/>
    <mergeCell ref="E9:H9"/>
    <mergeCell ref="E11:H11"/>
    <mergeCell ref="E13:H13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21"/>
  <dimension ref="B2:BM169"/>
  <sheetViews>
    <sheetView showGridLines="0" workbookViewId="0">
      <selection activeCell="F100" sqref="F100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160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6831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7543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/>
      <c r="L24" s="17"/>
    </row>
    <row r="25" spans="2:12" s="16" customFormat="1" ht="18" hidden="1" customHeight="1" x14ac:dyDescent="0.2">
      <c r="B25" s="17"/>
      <c r="E25" s="10" t="s">
        <v>6833</v>
      </c>
      <c r="I25" s="12" t="s">
        <v>26</v>
      </c>
      <c r="J25" s="10"/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/>
      <c r="L27" s="17"/>
    </row>
    <row r="28" spans="2:12" s="16" customFormat="1" ht="18" hidden="1" customHeight="1" x14ac:dyDescent="0.2">
      <c r="B28" s="17"/>
      <c r="E28" s="10" t="s">
        <v>6833</v>
      </c>
      <c r="I28" s="12" t="s">
        <v>26</v>
      </c>
      <c r="J28" s="10"/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16.5" hidden="1" customHeight="1" x14ac:dyDescent="0.2">
      <c r="B31" s="82"/>
      <c r="E31" s="304"/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ROUND((SUM(BE139:BE168)),  2)</f>
        <v>0</v>
      </c>
      <c r="I37" s="86">
        <v>0.21</v>
      </c>
      <c r="J37" s="73">
        <f>ROUND(((SUM(BE139:BE168))*I37),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ROUND((SUM(BF139:BF168)),  2)</f>
        <v>0</v>
      </c>
      <c r="I38" s="86">
        <v>0.12</v>
      </c>
      <c r="J38" s="73">
        <f>ROUND(((SUM(BF139:BF168))*I38),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ROUND((SUM(BG139:BG168)),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ROUND((SUM(BH139:BH168)),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ROUND((SUM(BI139:BI168)),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6831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FV - FV systém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Karel Sommer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Karel Sommer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6835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98" customFormat="1" ht="24.95" customHeight="1" x14ac:dyDescent="0.2">
      <c r="B102" s="99"/>
      <c r="D102" s="100" t="s">
        <v>7537</v>
      </c>
      <c r="E102" s="101"/>
      <c r="F102" s="101"/>
      <c r="G102" s="101"/>
      <c r="H102" s="101"/>
      <c r="I102" s="101"/>
      <c r="J102" s="102">
        <f>J147</f>
        <v>0</v>
      </c>
      <c r="L102" s="99"/>
    </row>
    <row r="103" spans="2:47" s="98" customFormat="1" ht="24.95" customHeight="1" x14ac:dyDescent="0.2">
      <c r="B103" s="99"/>
      <c r="D103" s="100" t="s">
        <v>7538</v>
      </c>
      <c r="E103" s="101"/>
      <c r="F103" s="101"/>
      <c r="G103" s="101"/>
      <c r="H103" s="101"/>
      <c r="I103" s="101"/>
      <c r="J103" s="102">
        <f>J153</f>
        <v>0</v>
      </c>
      <c r="L103" s="99"/>
    </row>
    <row r="104" spans="2:47" s="98" customFormat="1" ht="24.95" customHeight="1" x14ac:dyDescent="0.2">
      <c r="B104" s="99"/>
      <c r="D104" s="100" t="s">
        <v>6840</v>
      </c>
      <c r="E104" s="101"/>
      <c r="F104" s="101"/>
      <c r="G104" s="101"/>
      <c r="H104" s="101"/>
      <c r="I104" s="101"/>
      <c r="J104" s="102">
        <f>J167</f>
        <v>0</v>
      </c>
      <c r="L104" s="99"/>
    </row>
    <row r="105" spans="2:47" s="16" customFormat="1" ht="21.75" customHeight="1" x14ac:dyDescent="0.2">
      <c r="B105" s="17"/>
      <c r="L105" s="17"/>
    </row>
    <row r="106" spans="2:47" s="16" customFormat="1" ht="6.95" customHeight="1" x14ac:dyDescent="0.2">
      <c r="B106" s="30"/>
      <c r="C106" s="19"/>
      <c r="D106" s="19"/>
      <c r="E106" s="19"/>
      <c r="F106" s="19"/>
      <c r="G106" s="19"/>
      <c r="H106" s="19"/>
      <c r="I106" s="19"/>
      <c r="J106" s="19"/>
      <c r="K106" s="19"/>
      <c r="L106" s="17"/>
    </row>
    <row r="110" spans="2:47" ht="3" customHeight="1" x14ac:dyDescent="0.2"/>
    <row r="111" spans="2:47" ht="3" customHeight="1" x14ac:dyDescent="0.2"/>
    <row r="112" spans="2:47" ht="3" customHeight="1" x14ac:dyDescent="0.2"/>
    <row r="113" spans="2:12" ht="3" customHeight="1" x14ac:dyDescent="0.2"/>
    <row r="114" spans="2:12" ht="3" customHeight="1" x14ac:dyDescent="0.2"/>
    <row r="115" spans="2:12" ht="3" customHeight="1" x14ac:dyDescent="0.2"/>
    <row r="116" spans="2:12" ht="3" customHeight="1" x14ac:dyDescent="0.2"/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6831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FV - FV systém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Karel Sommer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15" t="str">
        <f>E28</f>
        <v>Karel Sommer</v>
      </c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P140+P147+P153+P167</f>
        <v>0</v>
      </c>
      <c r="Q139" s="39"/>
      <c r="R139" s="113">
        <f>R140+R147+R153+R167</f>
        <v>0</v>
      </c>
      <c r="S139" s="39"/>
      <c r="T139" s="114">
        <f>T140+T147+T153+T167</f>
        <v>0</v>
      </c>
      <c r="AT139" s="2" t="s">
        <v>79</v>
      </c>
      <c r="AU139" s="2" t="s">
        <v>303</v>
      </c>
      <c r="BK139" s="115">
        <f>BK140+BK147+BK153+BK167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87</v>
      </c>
      <c r="F140" s="119" t="s">
        <v>6841</v>
      </c>
      <c r="J140" s="120">
        <f>BK140</f>
        <v>0</v>
      </c>
      <c r="L140" s="117"/>
      <c r="M140" s="121"/>
      <c r="P140" s="122">
        <f>SUM(P141:P146)</f>
        <v>0</v>
      </c>
      <c r="R140" s="122">
        <f>SUM(R141:R146)</f>
        <v>0</v>
      </c>
      <c r="T140" s="123">
        <f>SUM(T141:T146)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SUM(BK141:BK146)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6842</v>
      </c>
      <c r="F141" s="130" t="s">
        <v>7544</v>
      </c>
      <c r="G141" s="131" t="s">
        <v>4460</v>
      </c>
      <c r="H141" s="132">
        <v>50</v>
      </c>
      <c r="I141" s="133"/>
      <c r="J141" s="134">
        <f t="shared" ref="J141:J146" si="0">ROUND(I141*H141,2)</f>
        <v>0</v>
      </c>
      <c r="K141" s="130"/>
      <c r="L141" s="17"/>
      <c r="M141" s="135"/>
      <c r="N141" s="136" t="s">
        <v>45</v>
      </c>
      <c r="P141" s="137">
        <f t="shared" ref="P141:P146" si="1">O141*H141</f>
        <v>0</v>
      </c>
      <c r="Q141" s="137">
        <v>0</v>
      </c>
      <c r="R141" s="137">
        <f t="shared" ref="R141:R146" si="2">Q141*H141</f>
        <v>0</v>
      </c>
      <c r="S141" s="137">
        <v>0</v>
      </c>
      <c r="T141" s="138">
        <f t="shared" ref="T141:T146" si="3"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 t="shared" ref="BE141:BE146" si="4">IF(N141="základní",J141,0)</f>
        <v>0</v>
      </c>
      <c r="BF141" s="140">
        <f t="shared" ref="BF141:BF146" si="5">IF(N141="snížená",J141,0)</f>
        <v>0</v>
      </c>
      <c r="BG141" s="140">
        <f t="shared" ref="BG141:BG146" si="6">IF(N141="zákl. přenesená",J141,0)</f>
        <v>0</v>
      </c>
      <c r="BH141" s="140">
        <f t="shared" ref="BH141:BH146" si="7">IF(N141="sníž. přenesená",J141,0)</f>
        <v>0</v>
      </c>
      <c r="BI141" s="140">
        <f t="shared" ref="BI141:BI146" si="8">IF(N141="nulová",J141,0)</f>
        <v>0</v>
      </c>
      <c r="BJ141" s="2" t="s">
        <v>87</v>
      </c>
      <c r="BK141" s="140">
        <f t="shared" ref="BK141:BK146" si="9">ROUND(I141*H141,2)</f>
        <v>0</v>
      </c>
      <c r="BL141" s="2" t="s">
        <v>344</v>
      </c>
      <c r="BM141" s="139" t="s">
        <v>90</v>
      </c>
    </row>
    <row r="142" spans="2:65" s="16" customFormat="1" ht="16.5" customHeight="1" x14ac:dyDescent="0.2">
      <c r="B142" s="17"/>
      <c r="C142" s="128">
        <v>2</v>
      </c>
      <c r="D142" s="128" t="s">
        <v>339</v>
      </c>
      <c r="E142" s="129" t="s">
        <v>6844</v>
      </c>
      <c r="F142" s="130" t="s">
        <v>7545</v>
      </c>
      <c r="G142" s="131" t="s">
        <v>4460</v>
      </c>
      <c r="H142" s="132">
        <v>1</v>
      </c>
      <c r="I142" s="133"/>
      <c r="J142" s="134">
        <f t="shared" si="0"/>
        <v>0</v>
      </c>
      <c r="K142" s="130"/>
      <c r="L142" s="17"/>
      <c r="M142" s="135"/>
      <c r="N142" s="136" t="s">
        <v>45</v>
      </c>
      <c r="P142" s="137">
        <f t="shared" si="1"/>
        <v>0</v>
      </c>
      <c r="Q142" s="137">
        <v>0</v>
      </c>
      <c r="R142" s="137">
        <f t="shared" si="2"/>
        <v>0</v>
      </c>
      <c r="S142" s="137">
        <v>0</v>
      </c>
      <c r="T142" s="138">
        <f t="shared" si="3"/>
        <v>0</v>
      </c>
      <c r="AR142" s="139" t="s">
        <v>344</v>
      </c>
      <c r="AT142" s="139" t="s">
        <v>339</v>
      </c>
      <c r="AU142" s="139" t="s">
        <v>87</v>
      </c>
      <c r="AY142" s="2" t="s">
        <v>337</v>
      </c>
      <c r="BE142" s="140">
        <f t="shared" si="4"/>
        <v>0</v>
      </c>
      <c r="BF142" s="140">
        <f t="shared" si="5"/>
        <v>0</v>
      </c>
      <c r="BG142" s="140">
        <f t="shared" si="6"/>
        <v>0</v>
      </c>
      <c r="BH142" s="140">
        <f t="shared" si="7"/>
        <v>0</v>
      </c>
      <c r="BI142" s="140">
        <f t="shared" si="8"/>
        <v>0</v>
      </c>
      <c r="BJ142" s="2" t="s">
        <v>87</v>
      </c>
      <c r="BK142" s="140">
        <f t="shared" si="9"/>
        <v>0</v>
      </c>
      <c r="BL142" s="2" t="s">
        <v>344</v>
      </c>
      <c r="BM142" s="139" t="s">
        <v>344</v>
      </c>
    </row>
    <row r="143" spans="2:65" s="16" customFormat="1" ht="16.5" customHeight="1" x14ac:dyDescent="0.2">
      <c r="B143" s="17"/>
      <c r="C143" s="128">
        <v>3</v>
      </c>
      <c r="D143" s="128" t="s">
        <v>339</v>
      </c>
      <c r="E143" s="129" t="s">
        <v>6846</v>
      </c>
      <c r="F143" s="130" t="s">
        <v>7546</v>
      </c>
      <c r="G143" s="131" t="s">
        <v>724</v>
      </c>
      <c r="H143" s="132">
        <v>200</v>
      </c>
      <c r="I143" s="133"/>
      <c r="J143" s="134">
        <f t="shared" si="0"/>
        <v>0</v>
      </c>
      <c r="K143" s="130"/>
      <c r="L143" s="17"/>
      <c r="M143" s="135"/>
      <c r="N143" s="136" t="s">
        <v>45</v>
      </c>
      <c r="P143" s="137">
        <f t="shared" si="1"/>
        <v>0</v>
      </c>
      <c r="Q143" s="137">
        <v>0</v>
      </c>
      <c r="R143" s="137">
        <f t="shared" si="2"/>
        <v>0</v>
      </c>
      <c r="S143" s="137">
        <v>0</v>
      </c>
      <c r="T143" s="138">
        <f t="shared" si="3"/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 t="shared" si="4"/>
        <v>0</v>
      </c>
      <c r="BF143" s="140">
        <f t="shared" si="5"/>
        <v>0</v>
      </c>
      <c r="BG143" s="140">
        <f t="shared" si="6"/>
        <v>0</v>
      </c>
      <c r="BH143" s="140">
        <f t="shared" si="7"/>
        <v>0</v>
      </c>
      <c r="BI143" s="140">
        <f t="shared" si="8"/>
        <v>0</v>
      </c>
      <c r="BJ143" s="2" t="s">
        <v>87</v>
      </c>
      <c r="BK143" s="140">
        <f t="shared" si="9"/>
        <v>0</v>
      </c>
      <c r="BL143" s="2" t="s">
        <v>344</v>
      </c>
      <c r="BM143" s="139" t="s">
        <v>430</v>
      </c>
    </row>
    <row r="144" spans="2:65" s="16" customFormat="1" ht="16.5" customHeight="1" x14ac:dyDescent="0.2">
      <c r="B144" s="17"/>
      <c r="C144" s="128">
        <v>4</v>
      </c>
      <c r="D144" s="128" t="s">
        <v>339</v>
      </c>
      <c r="E144" s="129" t="s">
        <v>6848</v>
      </c>
      <c r="F144" s="130" t="s">
        <v>7547</v>
      </c>
      <c r="G144" s="131" t="s">
        <v>7010</v>
      </c>
      <c r="H144" s="132">
        <v>1</v>
      </c>
      <c r="I144" s="133"/>
      <c r="J144" s="134">
        <f t="shared" si="0"/>
        <v>0</v>
      </c>
      <c r="K144" s="130"/>
      <c r="L144" s="17"/>
      <c r="M144" s="135"/>
      <c r="N144" s="136" t="s">
        <v>45</v>
      </c>
      <c r="P144" s="137">
        <f t="shared" si="1"/>
        <v>0</v>
      </c>
      <c r="Q144" s="137">
        <v>0</v>
      </c>
      <c r="R144" s="137">
        <f t="shared" si="2"/>
        <v>0</v>
      </c>
      <c r="S144" s="137">
        <v>0</v>
      </c>
      <c r="T144" s="138">
        <f t="shared" si="3"/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 t="shared" si="4"/>
        <v>0</v>
      </c>
      <c r="BF144" s="140">
        <f t="shared" si="5"/>
        <v>0</v>
      </c>
      <c r="BG144" s="140">
        <f t="shared" si="6"/>
        <v>0</v>
      </c>
      <c r="BH144" s="140">
        <f t="shared" si="7"/>
        <v>0</v>
      </c>
      <c r="BI144" s="140">
        <f t="shared" si="8"/>
        <v>0</v>
      </c>
      <c r="BJ144" s="2" t="s">
        <v>87</v>
      </c>
      <c r="BK144" s="140">
        <f t="shared" si="9"/>
        <v>0</v>
      </c>
      <c r="BL144" s="2" t="s">
        <v>344</v>
      </c>
      <c r="BM144" s="139" t="s">
        <v>446</v>
      </c>
    </row>
    <row r="145" spans="2:65" s="16" customFormat="1" ht="16.5" customHeight="1" x14ac:dyDescent="0.2">
      <c r="B145" s="17"/>
      <c r="C145" s="128">
        <v>5</v>
      </c>
      <c r="D145" s="128" t="s">
        <v>339</v>
      </c>
      <c r="E145" s="129" t="s">
        <v>6850</v>
      </c>
      <c r="F145" s="130" t="s">
        <v>7548</v>
      </c>
      <c r="G145" s="131" t="s">
        <v>724</v>
      </c>
      <c r="H145" s="132">
        <v>150</v>
      </c>
      <c r="I145" s="133"/>
      <c r="J145" s="134">
        <f t="shared" si="0"/>
        <v>0</v>
      </c>
      <c r="K145" s="130"/>
      <c r="L145" s="17"/>
      <c r="M145" s="135"/>
      <c r="N145" s="136" t="s">
        <v>45</v>
      </c>
      <c r="P145" s="137">
        <f t="shared" si="1"/>
        <v>0</v>
      </c>
      <c r="Q145" s="137">
        <v>0</v>
      </c>
      <c r="R145" s="137">
        <f t="shared" si="2"/>
        <v>0</v>
      </c>
      <c r="S145" s="137">
        <v>0</v>
      </c>
      <c r="T145" s="138">
        <f t="shared" si="3"/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 t="shared" si="4"/>
        <v>0</v>
      </c>
      <c r="BF145" s="140">
        <f t="shared" si="5"/>
        <v>0</v>
      </c>
      <c r="BG145" s="140">
        <f t="shared" si="6"/>
        <v>0</v>
      </c>
      <c r="BH145" s="140">
        <f t="shared" si="7"/>
        <v>0</v>
      </c>
      <c r="BI145" s="140">
        <f t="shared" si="8"/>
        <v>0</v>
      </c>
      <c r="BJ145" s="2" t="s">
        <v>87</v>
      </c>
      <c r="BK145" s="140">
        <f t="shared" si="9"/>
        <v>0</v>
      </c>
      <c r="BL145" s="2" t="s">
        <v>344</v>
      </c>
      <c r="BM145" s="139" t="s">
        <v>457</v>
      </c>
    </row>
    <row r="146" spans="2:65" s="16" customFormat="1" ht="16.5" customHeight="1" x14ac:dyDescent="0.2">
      <c r="B146" s="17"/>
      <c r="C146" s="128">
        <v>6</v>
      </c>
      <c r="D146" s="128" t="s">
        <v>339</v>
      </c>
      <c r="E146" s="129" t="s">
        <v>6852</v>
      </c>
      <c r="F146" s="130" t="s">
        <v>7549</v>
      </c>
      <c r="G146" s="131" t="s">
        <v>4460</v>
      </c>
      <c r="H146" s="132">
        <v>50</v>
      </c>
      <c r="I146" s="133"/>
      <c r="J146" s="134">
        <f t="shared" si="0"/>
        <v>0</v>
      </c>
      <c r="K146" s="130"/>
      <c r="L146" s="17"/>
      <c r="M146" s="135"/>
      <c r="N146" s="136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344</v>
      </c>
      <c r="AT146" s="139" t="s">
        <v>339</v>
      </c>
      <c r="AU146" s="139" t="s">
        <v>87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344</v>
      </c>
      <c r="BM146" s="139" t="s">
        <v>7</v>
      </c>
    </row>
    <row r="147" spans="2:65" s="116" customFormat="1" ht="25.9" customHeight="1" x14ac:dyDescent="0.2">
      <c r="B147" s="117"/>
      <c r="D147" s="118" t="s">
        <v>79</v>
      </c>
      <c r="E147" s="119" t="s">
        <v>90</v>
      </c>
      <c r="F147" s="119" t="s">
        <v>7007</v>
      </c>
      <c r="J147" s="120">
        <f>BK147</f>
        <v>0</v>
      </c>
      <c r="L147" s="117"/>
      <c r="M147" s="121"/>
      <c r="P147" s="122">
        <f>SUM(P148:P152)</f>
        <v>0</v>
      </c>
      <c r="R147" s="122">
        <f>SUM(R148:R152)</f>
        <v>0</v>
      </c>
      <c r="T147" s="123">
        <f>SUM(T148:T152)</f>
        <v>0</v>
      </c>
      <c r="AR147" s="118" t="s">
        <v>87</v>
      </c>
      <c r="AT147" s="124" t="s">
        <v>79</v>
      </c>
      <c r="AU147" s="124" t="s">
        <v>80</v>
      </c>
      <c r="AY147" s="118" t="s">
        <v>337</v>
      </c>
      <c r="BK147" s="125">
        <f>SUM(BK148:BK152)</f>
        <v>0</v>
      </c>
    </row>
    <row r="148" spans="2:65" s="16" customFormat="1" ht="16.5" customHeight="1" x14ac:dyDescent="0.2">
      <c r="B148" s="17"/>
      <c r="C148" s="128">
        <v>7</v>
      </c>
      <c r="D148" s="128" t="s">
        <v>339</v>
      </c>
      <c r="E148" s="129" t="s">
        <v>6969</v>
      </c>
      <c r="F148" s="130" t="s">
        <v>7016</v>
      </c>
      <c r="G148" s="131" t="s">
        <v>4460</v>
      </c>
      <c r="H148" s="132">
        <v>1</v>
      </c>
      <c r="I148" s="133"/>
      <c r="J148" s="134">
        <f>ROUND(I148*H148,2)</f>
        <v>0</v>
      </c>
      <c r="K148" s="130"/>
      <c r="L148" s="17"/>
      <c r="M148" s="135"/>
      <c r="N148" s="136" t="s">
        <v>45</v>
      </c>
      <c r="P148" s="137">
        <f>O148*H148</f>
        <v>0</v>
      </c>
      <c r="Q148" s="137">
        <v>0</v>
      </c>
      <c r="R148" s="137">
        <f>Q148*H148</f>
        <v>0</v>
      </c>
      <c r="S148" s="137">
        <v>0</v>
      </c>
      <c r="T148" s="138">
        <f>S148*H148</f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>IF(N148="základní",J148,0)</f>
        <v>0</v>
      </c>
      <c r="BF148" s="140">
        <f>IF(N148="snížená",J148,0)</f>
        <v>0</v>
      </c>
      <c r="BG148" s="140">
        <f>IF(N148="zákl. přenesená",J148,0)</f>
        <v>0</v>
      </c>
      <c r="BH148" s="140">
        <f>IF(N148="sníž. přenesená",J148,0)</f>
        <v>0</v>
      </c>
      <c r="BI148" s="140">
        <f>IF(N148="nulová",J148,0)</f>
        <v>0</v>
      </c>
      <c r="BJ148" s="2" t="s">
        <v>87</v>
      </c>
      <c r="BK148" s="140">
        <f>ROUND(I148*H148,2)</f>
        <v>0</v>
      </c>
      <c r="BL148" s="2" t="s">
        <v>344</v>
      </c>
      <c r="BM148" s="139" t="s">
        <v>480</v>
      </c>
    </row>
    <row r="149" spans="2:65" s="16" customFormat="1" ht="16.5" customHeight="1" x14ac:dyDescent="0.2">
      <c r="B149" s="17"/>
      <c r="C149" s="128">
        <v>8</v>
      </c>
      <c r="D149" s="128" t="s">
        <v>339</v>
      </c>
      <c r="E149" s="129" t="s">
        <v>6971</v>
      </c>
      <c r="F149" s="130" t="s">
        <v>7550</v>
      </c>
      <c r="G149" s="131" t="s">
        <v>7026</v>
      </c>
      <c r="H149" s="132">
        <v>5</v>
      </c>
      <c r="I149" s="133"/>
      <c r="J149" s="134">
        <f>ROUND(I149*H149,2)</f>
        <v>0</v>
      </c>
      <c r="K149" s="130"/>
      <c r="L149" s="17"/>
      <c r="M149" s="135"/>
      <c r="N149" s="136" t="s">
        <v>45</v>
      </c>
      <c r="P149" s="137">
        <f>O149*H149</f>
        <v>0</v>
      </c>
      <c r="Q149" s="137">
        <v>0</v>
      </c>
      <c r="R149" s="137">
        <f>Q149*H149</f>
        <v>0</v>
      </c>
      <c r="S149" s="137">
        <v>0</v>
      </c>
      <c r="T149" s="138">
        <f>S149*H149</f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>IF(N149="základní",J149,0)</f>
        <v>0</v>
      </c>
      <c r="BF149" s="140">
        <f>IF(N149="snížená",J149,0)</f>
        <v>0</v>
      </c>
      <c r="BG149" s="140">
        <f>IF(N149="zákl. přenesená",J149,0)</f>
        <v>0</v>
      </c>
      <c r="BH149" s="140">
        <f>IF(N149="sníž. přenesená",J149,0)</f>
        <v>0</v>
      </c>
      <c r="BI149" s="140">
        <f>IF(N149="nulová",J149,0)</f>
        <v>0</v>
      </c>
      <c r="BJ149" s="2" t="s">
        <v>87</v>
      </c>
      <c r="BK149" s="140">
        <f>ROUND(I149*H149,2)</f>
        <v>0</v>
      </c>
      <c r="BL149" s="2" t="s">
        <v>344</v>
      </c>
      <c r="BM149" s="139" t="s">
        <v>496</v>
      </c>
    </row>
    <row r="150" spans="2:65" s="16" customFormat="1" ht="16.5" customHeight="1" x14ac:dyDescent="0.2">
      <c r="B150" s="17"/>
      <c r="C150" s="128">
        <v>9</v>
      </c>
      <c r="D150" s="128" t="s">
        <v>339</v>
      </c>
      <c r="E150" s="129" t="s">
        <v>6973</v>
      </c>
      <c r="F150" s="130" t="s">
        <v>7540</v>
      </c>
      <c r="G150" s="131" t="s">
        <v>7010</v>
      </c>
      <c r="H150" s="132">
        <v>1</v>
      </c>
      <c r="I150" s="133"/>
      <c r="J150" s="134">
        <f>ROUND(I150*H150,2)</f>
        <v>0</v>
      </c>
      <c r="K150" s="130"/>
      <c r="L150" s="17"/>
      <c r="M150" s="135"/>
      <c r="N150" s="136" t="s">
        <v>45</v>
      </c>
      <c r="P150" s="137">
        <f>O150*H150</f>
        <v>0</v>
      </c>
      <c r="Q150" s="137">
        <v>0</v>
      </c>
      <c r="R150" s="137">
        <f>Q150*H150</f>
        <v>0</v>
      </c>
      <c r="S150" s="137">
        <v>0</v>
      </c>
      <c r="T150" s="138">
        <f>S150*H150</f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>IF(N150="základní",J150,0)</f>
        <v>0</v>
      </c>
      <c r="BF150" s="140">
        <f>IF(N150="snížená",J150,0)</f>
        <v>0</v>
      </c>
      <c r="BG150" s="140">
        <f>IF(N150="zákl. přenesená",J150,0)</f>
        <v>0</v>
      </c>
      <c r="BH150" s="140">
        <f>IF(N150="sníž. přenesená",J150,0)</f>
        <v>0</v>
      </c>
      <c r="BI150" s="140">
        <f>IF(N150="nulová",J150,0)</f>
        <v>0</v>
      </c>
      <c r="BJ150" s="2" t="s">
        <v>87</v>
      </c>
      <c r="BK150" s="140">
        <f>ROUND(I150*H150,2)</f>
        <v>0</v>
      </c>
      <c r="BL150" s="2" t="s">
        <v>344</v>
      </c>
      <c r="BM150" s="139" t="s">
        <v>2547</v>
      </c>
    </row>
    <row r="151" spans="2:65" s="16" customFormat="1" ht="16.5" customHeight="1" x14ac:dyDescent="0.2">
      <c r="B151" s="17"/>
      <c r="C151" s="128">
        <v>10</v>
      </c>
      <c r="D151" s="128" t="s">
        <v>339</v>
      </c>
      <c r="E151" s="129" t="s">
        <v>6975</v>
      </c>
      <c r="F151" s="130" t="s">
        <v>7551</v>
      </c>
      <c r="G151" s="131" t="s">
        <v>7010</v>
      </c>
      <c r="H151" s="132">
        <v>1</v>
      </c>
      <c r="I151" s="133"/>
      <c r="J151" s="134">
        <f>ROUND(I151*H151,2)</f>
        <v>0</v>
      </c>
      <c r="K151" s="130"/>
      <c r="L151" s="17"/>
      <c r="M151" s="135"/>
      <c r="N151" s="136" t="s">
        <v>45</v>
      </c>
      <c r="P151" s="137">
        <f>O151*H151</f>
        <v>0</v>
      </c>
      <c r="Q151" s="137">
        <v>0</v>
      </c>
      <c r="R151" s="137">
        <f>Q151*H151</f>
        <v>0</v>
      </c>
      <c r="S151" s="137">
        <v>0</v>
      </c>
      <c r="T151" s="138">
        <f>S151*H151</f>
        <v>0</v>
      </c>
      <c r="AR151" s="139" t="s">
        <v>344</v>
      </c>
      <c r="AT151" s="139" t="s">
        <v>339</v>
      </c>
      <c r="AU151" s="139" t="s">
        <v>87</v>
      </c>
      <c r="AY151" s="2" t="s">
        <v>337</v>
      </c>
      <c r="BE151" s="140">
        <f>IF(N151="základní",J151,0)</f>
        <v>0</v>
      </c>
      <c r="BF151" s="140">
        <f>IF(N151="snížená",J151,0)</f>
        <v>0</v>
      </c>
      <c r="BG151" s="140">
        <f>IF(N151="zákl. přenesená",J151,0)</f>
        <v>0</v>
      </c>
      <c r="BH151" s="140">
        <f>IF(N151="sníž. přenesená",J151,0)</f>
        <v>0</v>
      </c>
      <c r="BI151" s="140">
        <f>IF(N151="nulová",J151,0)</f>
        <v>0</v>
      </c>
      <c r="BJ151" s="2" t="s">
        <v>87</v>
      </c>
      <c r="BK151" s="140">
        <f>ROUND(I151*H151,2)</f>
        <v>0</v>
      </c>
      <c r="BL151" s="2" t="s">
        <v>344</v>
      </c>
      <c r="BM151" s="139" t="s">
        <v>532</v>
      </c>
    </row>
    <row r="152" spans="2:65" s="16" customFormat="1" ht="16.5" customHeight="1" x14ac:dyDescent="0.2">
      <c r="B152" s="17"/>
      <c r="C152" s="128">
        <v>11</v>
      </c>
      <c r="D152" s="128" t="s">
        <v>339</v>
      </c>
      <c r="E152" s="129" t="s">
        <v>6977</v>
      </c>
      <c r="F152" s="130" t="s">
        <v>7014</v>
      </c>
      <c r="G152" s="131" t="s">
        <v>4460</v>
      </c>
      <c r="H152" s="132">
        <v>1</v>
      </c>
      <c r="I152" s="133"/>
      <c r="J152" s="134">
        <f>ROUND(I152*H152,2)</f>
        <v>0</v>
      </c>
      <c r="K152" s="130"/>
      <c r="L152" s="17"/>
      <c r="M152" s="135"/>
      <c r="N152" s="136" t="s">
        <v>45</v>
      </c>
      <c r="P152" s="137">
        <f>O152*H152</f>
        <v>0</v>
      </c>
      <c r="Q152" s="137">
        <v>0</v>
      </c>
      <c r="R152" s="137">
        <f>Q152*H152</f>
        <v>0</v>
      </c>
      <c r="S152" s="137">
        <v>0</v>
      </c>
      <c r="T152" s="138">
        <f>S152*H152</f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>IF(N152="základní",J152,0)</f>
        <v>0</v>
      </c>
      <c r="BF152" s="140">
        <f>IF(N152="snížená",J152,0)</f>
        <v>0</v>
      </c>
      <c r="BG152" s="140">
        <f>IF(N152="zákl. přenesená",J152,0)</f>
        <v>0</v>
      </c>
      <c r="BH152" s="140">
        <f>IF(N152="sníž. přenesená",J152,0)</f>
        <v>0</v>
      </c>
      <c r="BI152" s="140">
        <f>IF(N152="nulová",J152,0)</f>
        <v>0</v>
      </c>
      <c r="BJ152" s="2" t="s">
        <v>87</v>
      </c>
      <c r="BK152" s="140">
        <f>ROUND(I152*H152,2)</f>
        <v>0</v>
      </c>
      <c r="BL152" s="2" t="s">
        <v>344</v>
      </c>
      <c r="BM152" s="139" t="s">
        <v>543</v>
      </c>
    </row>
    <row r="153" spans="2:65" s="116" customFormat="1" ht="25.9" customHeight="1" x14ac:dyDescent="0.2">
      <c r="B153" s="117"/>
      <c r="D153" s="118" t="s">
        <v>79</v>
      </c>
      <c r="E153" s="119" t="s">
        <v>113</v>
      </c>
      <c r="F153" s="119" t="s">
        <v>7032</v>
      </c>
      <c r="J153" s="120">
        <f>BK153</f>
        <v>0</v>
      </c>
      <c r="L153" s="117"/>
      <c r="M153" s="121"/>
      <c r="P153" s="122">
        <f>SUM(P154:P166)</f>
        <v>0</v>
      </c>
      <c r="R153" s="122">
        <f>SUM(R154:R166)</f>
        <v>0</v>
      </c>
      <c r="T153" s="123">
        <f>SUM(T154:T166)</f>
        <v>0</v>
      </c>
      <c r="AR153" s="118" t="s">
        <v>87</v>
      </c>
      <c r="AT153" s="124" t="s">
        <v>79</v>
      </c>
      <c r="AU153" s="124" t="s">
        <v>80</v>
      </c>
      <c r="AY153" s="118" t="s">
        <v>337</v>
      </c>
      <c r="BK153" s="125">
        <f>SUM(BK154:BK166)</f>
        <v>0</v>
      </c>
    </row>
    <row r="154" spans="2:65" s="16" customFormat="1" ht="16.5" customHeight="1" x14ac:dyDescent="0.2">
      <c r="B154" s="17"/>
      <c r="C154" s="128">
        <v>12</v>
      </c>
      <c r="D154" s="128" t="s">
        <v>339</v>
      </c>
      <c r="E154" s="129" t="s">
        <v>6992</v>
      </c>
      <c r="F154" s="130" t="s">
        <v>7552</v>
      </c>
      <c r="G154" s="131" t="s">
        <v>4460</v>
      </c>
      <c r="H154" s="132">
        <v>1</v>
      </c>
      <c r="I154" s="133"/>
      <c r="J154" s="134">
        <f t="shared" ref="J154:J159" si="10">ROUND(I154*H154,2)</f>
        <v>0</v>
      </c>
      <c r="K154" s="130"/>
      <c r="L154" s="17"/>
      <c r="M154" s="135"/>
      <c r="N154" s="136" t="s">
        <v>45</v>
      </c>
      <c r="P154" s="137">
        <f t="shared" ref="P154:P159" si="11">O154*H154</f>
        <v>0</v>
      </c>
      <c r="Q154" s="137">
        <v>0</v>
      </c>
      <c r="R154" s="137">
        <f t="shared" ref="R154:R159" si="12">Q154*H154</f>
        <v>0</v>
      </c>
      <c r="S154" s="137">
        <v>0</v>
      </c>
      <c r="T154" s="138">
        <f t="shared" ref="T154:T159" si="13">S154*H154</f>
        <v>0</v>
      </c>
      <c r="AR154" s="139" t="s">
        <v>344</v>
      </c>
      <c r="AT154" s="139" t="s">
        <v>339</v>
      </c>
      <c r="AU154" s="139" t="s">
        <v>87</v>
      </c>
      <c r="AY154" s="2" t="s">
        <v>337</v>
      </c>
      <c r="BE154" s="140">
        <f t="shared" ref="BE154:BE159" si="14">IF(N154="základní",J154,0)</f>
        <v>0</v>
      </c>
      <c r="BF154" s="140">
        <f t="shared" ref="BF154:BF159" si="15">IF(N154="snížená",J154,0)</f>
        <v>0</v>
      </c>
      <c r="BG154" s="140">
        <f t="shared" ref="BG154:BG159" si="16">IF(N154="zákl. přenesená",J154,0)</f>
        <v>0</v>
      </c>
      <c r="BH154" s="140">
        <f t="shared" ref="BH154:BH159" si="17">IF(N154="sníž. přenesená",J154,0)</f>
        <v>0</v>
      </c>
      <c r="BI154" s="140">
        <f t="shared" ref="BI154:BI159" si="18">IF(N154="nulová",J154,0)</f>
        <v>0</v>
      </c>
      <c r="BJ154" s="2" t="s">
        <v>87</v>
      </c>
      <c r="BK154" s="140">
        <f t="shared" ref="BK154:BK159" si="19">ROUND(I154*H154,2)</f>
        <v>0</v>
      </c>
      <c r="BL154" s="2" t="s">
        <v>344</v>
      </c>
      <c r="BM154" s="139" t="s">
        <v>569</v>
      </c>
    </row>
    <row r="155" spans="2:65" s="16" customFormat="1" ht="16.5" customHeight="1" x14ac:dyDescent="0.2">
      <c r="B155" s="17"/>
      <c r="C155" s="128">
        <v>13</v>
      </c>
      <c r="D155" s="128" t="s">
        <v>339</v>
      </c>
      <c r="E155" s="129" t="s">
        <v>6994</v>
      </c>
      <c r="F155" s="130" t="s">
        <v>7553</v>
      </c>
      <c r="G155" s="131" t="s">
        <v>7010</v>
      </c>
      <c r="H155" s="132">
        <v>1</v>
      </c>
      <c r="I155" s="133"/>
      <c r="J155" s="134">
        <f t="shared" si="10"/>
        <v>0</v>
      </c>
      <c r="K155" s="130"/>
      <c r="L155" s="17"/>
      <c r="M155" s="135"/>
      <c r="N155" s="136" t="s">
        <v>45</v>
      </c>
      <c r="P155" s="137">
        <f t="shared" si="11"/>
        <v>0</v>
      </c>
      <c r="Q155" s="137">
        <v>0</v>
      </c>
      <c r="R155" s="137">
        <f t="shared" si="12"/>
        <v>0</v>
      </c>
      <c r="S155" s="137">
        <v>0</v>
      </c>
      <c r="T155" s="138">
        <f t="shared" si="13"/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 t="shared" si="14"/>
        <v>0</v>
      </c>
      <c r="BF155" s="140">
        <f t="shared" si="15"/>
        <v>0</v>
      </c>
      <c r="BG155" s="140">
        <f t="shared" si="16"/>
        <v>0</v>
      </c>
      <c r="BH155" s="140">
        <f t="shared" si="17"/>
        <v>0</v>
      </c>
      <c r="BI155" s="140">
        <f t="shared" si="18"/>
        <v>0</v>
      </c>
      <c r="BJ155" s="2" t="s">
        <v>87</v>
      </c>
      <c r="BK155" s="140">
        <f t="shared" si="19"/>
        <v>0</v>
      </c>
      <c r="BL155" s="2" t="s">
        <v>344</v>
      </c>
      <c r="BM155" s="139" t="s">
        <v>577</v>
      </c>
    </row>
    <row r="156" spans="2:65" s="16" customFormat="1" ht="16.5" customHeight="1" x14ac:dyDescent="0.2">
      <c r="B156" s="17"/>
      <c r="C156" s="128">
        <v>14</v>
      </c>
      <c r="D156" s="128" t="s">
        <v>339</v>
      </c>
      <c r="E156" s="129" t="s">
        <v>6996</v>
      </c>
      <c r="F156" s="130" t="s">
        <v>7554</v>
      </c>
      <c r="G156" s="131" t="s">
        <v>4460</v>
      </c>
      <c r="H156" s="132">
        <v>37</v>
      </c>
      <c r="I156" s="133"/>
      <c r="J156" s="134">
        <f t="shared" si="10"/>
        <v>0</v>
      </c>
      <c r="K156" s="130"/>
      <c r="L156" s="17"/>
      <c r="M156" s="135"/>
      <c r="N156" s="136" t="s">
        <v>45</v>
      </c>
      <c r="P156" s="137">
        <f t="shared" si="11"/>
        <v>0</v>
      </c>
      <c r="Q156" s="137">
        <v>0</v>
      </c>
      <c r="R156" s="137">
        <f t="shared" si="12"/>
        <v>0</v>
      </c>
      <c r="S156" s="137">
        <v>0</v>
      </c>
      <c r="T156" s="138">
        <f t="shared" si="13"/>
        <v>0</v>
      </c>
      <c r="AR156" s="139" t="s">
        <v>344</v>
      </c>
      <c r="AT156" s="139" t="s">
        <v>339</v>
      </c>
      <c r="AU156" s="139" t="s">
        <v>87</v>
      </c>
      <c r="AY156" s="2" t="s">
        <v>337</v>
      </c>
      <c r="BE156" s="140">
        <f t="shared" si="14"/>
        <v>0</v>
      </c>
      <c r="BF156" s="140">
        <f t="shared" si="15"/>
        <v>0</v>
      </c>
      <c r="BG156" s="140">
        <f t="shared" si="16"/>
        <v>0</v>
      </c>
      <c r="BH156" s="140">
        <f t="shared" si="17"/>
        <v>0</v>
      </c>
      <c r="BI156" s="140">
        <f t="shared" si="18"/>
        <v>0</v>
      </c>
      <c r="BJ156" s="2" t="s">
        <v>87</v>
      </c>
      <c r="BK156" s="140">
        <f t="shared" si="19"/>
        <v>0</v>
      </c>
      <c r="BL156" s="2" t="s">
        <v>344</v>
      </c>
      <c r="BM156" s="139" t="s">
        <v>591</v>
      </c>
    </row>
    <row r="157" spans="2:65" s="16" customFormat="1" ht="16.5" customHeight="1" x14ac:dyDescent="0.2">
      <c r="B157" s="17"/>
      <c r="C157" s="128">
        <v>15</v>
      </c>
      <c r="D157" s="128" t="s">
        <v>339</v>
      </c>
      <c r="E157" s="129" t="s">
        <v>7001</v>
      </c>
      <c r="F157" s="130" t="s">
        <v>7555</v>
      </c>
      <c r="G157" s="131" t="s">
        <v>4460</v>
      </c>
      <c r="H157" s="132">
        <v>26</v>
      </c>
      <c r="I157" s="133"/>
      <c r="J157" s="134">
        <f t="shared" si="10"/>
        <v>0</v>
      </c>
      <c r="K157" s="130"/>
      <c r="L157" s="17"/>
      <c r="M157" s="135"/>
      <c r="N157" s="136" t="s">
        <v>45</v>
      </c>
      <c r="P157" s="137">
        <f t="shared" si="11"/>
        <v>0</v>
      </c>
      <c r="Q157" s="137">
        <v>0</v>
      </c>
      <c r="R157" s="137">
        <f t="shared" si="12"/>
        <v>0</v>
      </c>
      <c r="S157" s="137">
        <v>0</v>
      </c>
      <c r="T157" s="138">
        <f t="shared" si="13"/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 t="shared" si="14"/>
        <v>0</v>
      </c>
      <c r="BF157" s="140">
        <f t="shared" si="15"/>
        <v>0</v>
      </c>
      <c r="BG157" s="140">
        <f t="shared" si="16"/>
        <v>0</v>
      </c>
      <c r="BH157" s="140">
        <f t="shared" si="17"/>
        <v>0</v>
      </c>
      <c r="BI157" s="140">
        <f t="shared" si="18"/>
        <v>0</v>
      </c>
      <c r="BJ157" s="2" t="s">
        <v>87</v>
      </c>
      <c r="BK157" s="140">
        <f t="shared" si="19"/>
        <v>0</v>
      </c>
      <c r="BL157" s="2" t="s">
        <v>344</v>
      </c>
      <c r="BM157" s="139" t="s">
        <v>614</v>
      </c>
    </row>
    <row r="158" spans="2:65" s="16" customFormat="1" ht="16.5" customHeight="1" x14ac:dyDescent="0.2">
      <c r="B158" s="17"/>
      <c r="C158" s="128">
        <v>16</v>
      </c>
      <c r="D158" s="128" t="s">
        <v>339</v>
      </c>
      <c r="E158" s="129" t="s">
        <v>7003</v>
      </c>
      <c r="F158" s="130" t="s">
        <v>7556</v>
      </c>
      <c r="G158" s="131" t="s">
        <v>4460</v>
      </c>
      <c r="H158" s="132">
        <v>50</v>
      </c>
      <c r="I158" s="133"/>
      <c r="J158" s="134">
        <f t="shared" si="10"/>
        <v>0</v>
      </c>
      <c r="K158" s="130"/>
      <c r="L158" s="17"/>
      <c r="M158" s="135"/>
      <c r="N158" s="136" t="s">
        <v>45</v>
      </c>
      <c r="P158" s="137">
        <f t="shared" si="11"/>
        <v>0</v>
      </c>
      <c r="Q158" s="137">
        <v>0</v>
      </c>
      <c r="R158" s="137">
        <f t="shared" si="12"/>
        <v>0</v>
      </c>
      <c r="S158" s="137">
        <v>0</v>
      </c>
      <c r="T158" s="138">
        <f t="shared" si="13"/>
        <v>0</v>
      </c>
      <c r="AR158" s="139" t="s">
        <v>344</v>
      </c>
      <c r="AT158" s="139" t="s">
        <v>339</v>
      </c>
      <c r="AU158" s="139" t="s">
        <v>87</v>
      </c>
      <c r="AY158" s="2" t="s">
        <v>337</v>
      </c>
      <c r="BE158" s="140">
        <f t="shared" si="14"/>
        <v>0</v>
      </c>
      <c r="BF158" s="140">
        <f t="shared" si="15"/>
        <v>0</v>
      </c>
      <c r="BG158" s="140">
        <f t="shared" si="16"/>
        <v>0</v>
      </c>
      <c r="BH158" s="140">
        <f t="shared" si="17"/>
        <v>0</v>
      </c>
      <c r="BI158" s="140">
        <f t="shared" si="18"/>
        <v>0</v>
      </c>
      <c r="BJ158" s="2" t="s">
        <v>87</v>
      </c>
      <c r="BK158" s="140">
        <f t="shared" si="19"/>
        <v>0</v>
      </c>
      <c r="BL158" s="2" t="s">
        <v>344</v>
      </c>
      <c r="BM158" s="139" t="s">
        <v>621</v>
      </c>
    </row>
    <row r="159" spans="2:65" s="16" customFormat="1" ht="16.5" customHeight="1" x14ac:dyDescent="0.2">
      <c r="B159" s="17"/>
      <c r="C159" s="128">
        <v>17</v>
      </c>
      <c r="D159" s="128" t="s">
        <v>339</v>
      </c>
      <c r="E159" s="129" t="s">
        <v>7005</v>
      </c>
      <c r="F159" s="130" t="s">
        <v>7546</v>
      </c>
      <c r="G159" s="131" t="s">
        <v>724</v>
      </c>
      <c r="H159" s="132">
        <v>210</v>
      </c>
      <c r="I159" s="133"/>
      <c r="J159" s="134">
        <f t="shared" si="10"/>
        <v>0</v>
      </c>
      <c r="K159" s="130"/>
      <c r="L159" s="17"/>
      <c r="M159" s="135"/>
      <c r="N159" s="136" t="s">
        <v>45</v>
      </c>
      <c r="P159" s="137">
        <f t="shared" si="11"/>
        <v>0</v>
      </c>
      <c r="Q159" s="137">
        <v>0</v>
      </c>
      <c r="R159" s="137">
        <f t="shared" si="12"/>
        <v>0</v>
      </c>
      <c r="S159" s="137">
        <v>0</v>
      </c>
      <c r="T159" s="138">
        <f t="shared" si="13"/>
        <v>0</v>
      </c>
      <c r="AR159" s="139" t="s">
        <v>344</v>
      </c>
      <c r="AT159" s="139" t="s">
        <v>339</v>
      </c>
      <c r="AU159" s="139" t="s">
        <v>87</v>
      </c>
      <c r="AY159" s="2" t="s">
        <v>337</v>
      </c>
      <c r="BE159" s="140">
        <f t="shared" si="14"/>
        <v>0</v>
      </c>
      <c r="BF159" s="140">
        <f t="shared" si="15"/>
        <v>0</v>
      </c>
      <c r="BG159" s="140">
        <f t="shared" si="16"/>
        <v>0</v>
      </c>
      <c r="BH159" s="140">
        <f t="shared" si="17"/>
        <v>0</v>
      </c>
      <c r="BI159" s="140">
        <f t="shared" si="18"/>
        <v>0</v>
      </c>
      <c r="BJ159" s="2" t="s">
        <v>87</v>
      </c>
      <c r="BK159" s="140">
        <f t="shared" si="19"/>
        <v>0</v>
      </c>
      <c r="BL159" s="2" t="s">
        <v>344</v>
      </c>
      <c r="BM159" s="139" t="s">
        <v>637</v>
      </c>
    </row>
    <row r="160" spans="2:65" s="148" customFormat="1" x14ac:dyDescent="0.2">
      <c r="B160" s="149"/>
      <c r="D160" s="143" t="s">
        <v>346</v>
      </c>
      <c r="F160" s="151" t="s">
        <v>7557</v>
      </c>
      <c r="H160" s="152">
        <v>210</v>
      </c>
      <c r="L160" s="149"/>
      <c r="M160" s="153"/>
      <c r="T160" s="154"/>
      <c r="AT160" s="150" t="s">
        <v>346</v>
      </c>
      <c r="AU160" s="150" t="s">
        <v>87</v>
      </c>
      <c r="AV160" s="148" t="s">
        <v>90</v>
      </c>
      <c r="AW160" s="148" t="s">
        <v>3</v>
      </c>
      <c r="AX160" s="148" t="s">
        <v>87</v>
      </c>
      <c r="AY160" s="150" t="s">
        <v>337</v>
      </c>
    </row>
    <row r="161" spans="2:65" s="16" customFormat="1" ht="16.5" customHeight="1" x14ac:dyDescent="0.2">
      <c r="B161" s="17"/>
      <c r="C161" s="128">
        <v>18</v>
      </c>
      <c r="D161" s="128" t="s">
        <v>339</v>
      </c>
      <c r="E161" s="129" t="s">
        <v>7444</v>
      </c>
      <c r="F161" s="130" t="s">
        <v>7548</v>
      </c>
      <c r="G161" s="131" t="s">
        <v>724</v>
      </c>
      <c r="H161" s="132">
        <v>157.5</v>
      </c>
      <c r="I161" s="133"/>
      <c r="J161" s="134">
        <f>ROUND(I161*H161,2)</f>
        <v>0</v>
      </c>
      <c r="K161" s="130"/>
      <c r="L161" s="17"/>
      <c r="M161" s="135"/>
      <c r="N161" s="136" t="s">
        <v>45</v>
      </c>
      <c r="P161" s="137">
        <f>O161*H161</f>
        <v>0</v>
      </c>
      <c r="Q161" s="137">
        <v>0</v>
      </c>
      <c r="R161" s="137">
        <f>Q161*H161</f>
        <v>0</v>
      </c>
      <c r="S161" s="137">
        <v>0</v>
      </c>
      <c r="T161" s="138">
        <f>S161*H161</f>
        <v>0</v>
      </c>
      <c r="AR161" s="139" t="s">
        <v>344</v>
      </c>
      <c r="AT161" s="139" t="s">
        <v>339</v>
      </c>
      <c r="AU161" s="139" t="s">
        <v>87</v>
      </c>
      <c r="AY161" s="2" t="s">
        <v>337</v>
      </c>
      <c r="BE161" s="140">
        <f>IF(N161="základní",J161,0)</f>
        <v>0</v>
      </c>
      <c r="BF161" s="140">
        <f>IF(N161="snížená",J161,0)</f>
        <v>0</v>
      </c>
      <c r="BG161" s="140">
        <f>IF(N161="zákl. přenesená",J161,0)</f>
        <v>0</v>
      </c>
      <c r="BH161" s="140">
        <f>IF(N161="sníž. přenesená",J161,0)</f>
        <v>0</v>
      </c>
      <c r="BI161" s="140">
        <f>IF(N161="nulová",J161,0)</f>
        <v>0</v>
      </c>
      <c r="BJ161" s="2" t="s">
        <v>87</v>
      </c>
      <c r="BK161" s="140">
        <f>ROUND(I161*H161,2)</f>
        <v>0</v>
      </c>
      <c r="BL161" s="2" t="s">
        <v>344</v>
      </c>
      <c r="BM161" s="139" t="s">
        <v>646</v>
      </c>
    </row>
    <row r="162" spans="2:65" s="148" customFormat="1" x14ac:dyDescent="0.2">
      <c r="B162" s="149"/>
      <c r="D162" s="143" t="s">
        <v>346</v>
      </c>
      <c r="F162" s="151" t="s">
        <v>7558</v>
      </c>
      <c r="H162" s="152">
        <v>157.5</v>
      </c>
      <c r="L162" s="149"/>
      <c r="M162" s="153"/>
      <c r="T162" s="154"/>
      <c r="AT162" s="150" t="s">
        <v>346</v>
      </c>
      <c r="AU162" s="150" t="s">
        <v>87</v>
      </c>
      <c r="AV162" s="148" t="s">
        <v>90</v>
      </c>
      <c r="AW162" s="148" t="s">
        <v>3</v>
      </c>
      <c r="AX162" s="148" t="s">
        <v>87</v>
      </c>
      <c r="AY162" s="150" t="s">
        <v>337</v>
      </c>
    </row>
    <row r="163" spans="2:65" s="16" customFormat="1" ht="16.5" customHeight="1" x14ac:dyDescent="0.2">
      <c r="B163" s="17"/>
      <c r="C163" s="128">
        <v>19</v>
      </c>
      <c r="D163" s="128" t="s">
        <v>339</v>
      </c>
      <c r="E163" s="129" t="s">
        <v>7446</v>
      </c>
      <c r="F163" s="130" t="s">
        <v>7559</v>
      </c>
      <c r="G163" s="131" t="s">
        <v>4460</v>
      </c>
      <c r="H163" s="132">
        <v>1</v>
      </c>
      <c r="I163" s="133"/>
      <c r="J163" s="134">
        <f>ROUND(I163*H163,2)</f>
        <v>0</v>
      </c>
      <c r="K163" s="130"/>
      <c r="L163" s="17"/>
      <c r="M163" s="135"/>
      <c r="N163" s="136" t="s">
        <v>45</v>
      </c>
      <c r="P163" s="137">
        <f>O163*H163</f>
        <v>0</v>
      </c>
      <c r="Q163" s="137">
        <v>0</v>
      </c>
      <c r="R163" s="137">
        <f>Q163*H163</f>
        <v>0</v>
      </c>
      <c r="S163" s="137">
        <v>0</v>
      </c>
      <c r="T163" s="138">
        <f>S163*H163</f>
        <v>0</v>
      </c>
      <c r="AR163" s="139" t="s">
        <v>344</v>
      </c>
      <c r="AT163" s="139" t="s">
        <v>339</v>
      </c>
      <c r="AU163" s="139" t="s">
        <v>87</v>
      </c>
      <c r="AY163" s="2" t="s">
        <v>337</v>
      </c>
      <c r="BE163" s="140">
        <f>IF(N163="základní",J163,0)</f>
        <v>0</v>
      </c>
      <c r="BF163" s="140">
        <f>IF(N163="snížená",J163,0)</f>
        <v>0</v>
      </c>
      <c r="BG163" s="140">
        <f>IF(N163="zákl. přenesená",J163,0)</f>
        <v>0</v>
      </c>
      <c r="BH163" s="140">
        <f>IF(N163="sníž. přenesená",J163,0)</f>
        <v>0</v>
      </c>
      <c r="BI163" s="140">
        <f>IF(N163="nulová",J163,0)</f>
        <v>0</v>
      </c>
      <c r="BJ163" s="2" t="s">
        <v>87</v>
      </c>
      <c r="BK163" s="140">
        <f>ROUND(I163*H163,2)</f>
        <v>0</v>
      </c>
      <c r="BL163" s="2" t="s">
        <v>344</v>
      </c>
      <c r="BM163" s="139" t="s">
        <v>658</v>
      </c>
    </row>
    <row r="164" spans="2:65" s="16" customFormat="1" ht="16.5" customHeight="1" x14ac:dyDescent="0.2">
      <c r="B164" s="17"/>
      <c r="C164" s="128">
        <v>20</v>
      </c>
      <c r="D164" s="128" t="s">
        <v>339</v>
      </c>
      <c r="E164" s="129" t="s">
        <v>7448</v>
      </c>
      <c r="F164" s="130" t="s">
        <v>7560</v>
      </c>
      <c r="G164" s="131" t="s">
        <v>4460</v>
      </c>
      <c r="H164" s="132">
        <v>50</v>
      </c>
      <c r="I164" s="133"/>
      <c r="J164" s="134">
        <f>ROUND(I164*H164,2)</f>
        <v>0</v>
      </c>
      <c r="K164" s="130"/>
      <c r="L164" s="17"/>
      <c r="M164" s="135"/>
      <c r="N164" s="136" t="s">
        <v>45</v>
      </c>
      <c r="P164" s="137">
        <f>O164*H164</f>
        <v>0</v>
      </c>
      <c r="Q164" s="137">
        <v>0</v>
      </c>
      <c r="R164" s="137">
        <f>Q164*H164</f>
        <v>0</v>
      </c>
      <c r="S164" s="137">
        <v>0</v>
      </c>
      <c r="T164" s="138">
        <f>S164*H164</f>
        <v>0</v>
      </c>
      <c r="AR164" s="139" t="s">
        <v>344</v>
      </c>
      <c r="AT164" s="139" t="s">
        <v>339</v>
      </c>
      <c r="AU164" s="139" t="s">
        <v>87</v>
      </c>
      <c r="AY164" s="2" t="s">
        <v>337</v>
      </c>
      <c r="BE164" s="140">
        <f>IF(N164="základní",J164,0)</f>
        <v>0</v>
      </c>
      <c r="BF164" s="140">
        <f>IF(N164="snížená",J164,0)</f>
        <v>0</v>
      </c>
      <c r="BG164" s="140">
        <f>IF(N164="zákl. přenesená",J164,0)</f>
        <v>0</v>
      </c>
      <c r="BH164" s="140">
        <f>IF(N164="sníž. přenesená",J164,0)</f>
        <v>0</v>
      </c>
      <c r="BI164" s="140">
        <f>IF(N164="nulová",J164,0)</f>
        <v>0</v>
      </c>
      <c r="BJ164" s="2" t="s">
        <v>87</v>
      </c>
      <c r="BK164" s="140">
        <f>ROUND(I164*H164,2)</f>
        <v>0</v>
      </c>
      <c r="BL164" s="2" t="s">
        <v>344</v>
      </c>
      <c r="BM164" s="139" t="s">
        <v>685</v>
      </c>
    </row>
    <row r="165" spans="2:65" s="16" customFormat="1" ht="16.5" customHeight="1" x14ac:dyDescent="0.2">
      <c r="B165" s="17"/>
      <c r="C165" s="128">
        <v>21</v>
      </c>
      <c r="D165" s="128" t="s">
        <v>339</v>
      </c>
      <c r="E165" s="129" t="s">
        <v>7561</v>
      </c>
      <c r="F165" s="130" t="s">
        <v>7562</v>
      </c>
      <c r="G165" s="131" t="s">
        <v>4460</v>
      </c>
      <c r="H165" s="132">
        <v>100</v>
      </c>
      <c r="I165" s="133"/>
      <c r="J165" s="134">
        <f>ROUND(I165*H165,2)</f>
        <v>0</v>
      </c>
      <c r="K165" s="130"/>
      <c r="L165" s="17"/>
      <c r="M165" s="135"/>
      <c r="N165" s="136" t="s">
        <v>45</v>
      </c>
      <c r="P165" s="137">
        <f>O165*H165</f>
        <v>0</v>
      </c>
      <c r="Q165" s="137">
        <v>0</v>
      </c>
      <c r="R165" s="137">
        <f>Q165*H165</f>
        <v>0</v>
      </c>
      <c r="S165" s="137">
        <v>0</v>
      </c>
      <c r="T165" s="138">
        <f>S165*H165</f>
        <v>0</v>
      </c>
      <c r="AR165" s="139" t="s">
        <v>344</v>
      </c>
      <c r="AT165" s="139" t="s">
        <v>339</v>
      </c>
      <c r="AU165" s="139" t="s">
        <v>87</v>
      </c>
      <c r="AY165" s="2" t="s">
        <v>337</v>
      </c>
      <c r="BE165" s="140">
        <f>IF(N165="základní",J165,0)</f>
        <v>0</v>
      </c>
      <c r="BF165" s="140">
        <f>IF(N165="snížená",J165,0)</f>
        <v>0</v>
      </c>
      <c r="BG165" s="140">
        <f>IF(N165="zákl. přenesená",J165,0)</f>
        <v>0</v>
      </c>
      <c r="BH165" s="140">
        <f>IF(N165="sníž. přenesená",J165,0)</f>
        <v>0</v>
      </c>
      <c r="BI165" s="140">
        <f>IF(N165="nulová",J165,0)</f>
        <v>0</v>
      </c>
      <c r="BJ165" s="2" t="s">
        <v>87</v>
      </c>
      <c r="BK165" s="140">
        <f>ROUND(I165*H165,2)</f>
        <v>0</v>
      </c>
      <c r="BL165" s="2" t="s">
        <v>344</v>
      </c>
      <c r="BM165" s="139" t="s">
        <v>7563</v>
      </c>
    </row>
    <row r="166" spans="2:65" s="16" customFormat="1" ht="16.5" customHeight="1" x14ac:dyDescent="0.2">
      <c r="B166" s="17"/>
      <c r="C166" s="128">
        <v>22</v>
      </c>
      <c r="D166" s="128" t="s">
        <v>339</v>
      </c>
      <c r="E166" s="129" t="s">
        <v>7449</v>
      </c>
      <c r="F166" s="130" t="s">
        <v>7564</v>
      </c>
      <c r="G166" s="131" t="s">
        <v>7010</v>
      </c>
      <c r="H166" s="132">
        <v>1</v>
      </c>
      <c r="I166" s="133"/>
      <c r="J166" s="134">
        <f>ROUND(I166*H166,2)</f>
        <v>0</v>
      </c>
      <c r="K166" s="130"/>
      <c r="L166" s="17"/>
      <c r="M166" s="135"/>
      <c r="N166" s="136" t="s">
        <v>45</v>
      </c>
      <c r="P166" s="137">
        <f>O166*H166</f>
        <v>0</v>
      </c>
      <c r="Q166" s="137">
        <v>0</v>
      </c>
      <c r="R166" s="137">
        <f>Q166*H166</f>
        <v>0</v>
      </c>
      <c r="S166" s="137">
        <v>0</v>
      </c>
      <c r="T166" s="138">
        <f>S166*H166</f>
        <v>0</v>
      </c>
      <c r="AR166" s="139" t="s">
        <v>344</v>
      </c>
      <c r="AT166" s="139" t="s">
        <v>339</v>
      </c>
      <c r="AU166" s="139" t="s">
        <v>87</v>
      </c>
      <c r="AY166" s="2" t="s">
        <v>337</v>
      </c>
      <c r="BE166" s="140">
        <f>IF(N166="základní",J166,0)</f>
        <v>0</v>
      </c>
      <c r="BF166" s="140">
        <f>IF(N166="snížená",J166,0)</f>
        <v>0</v>
      </c>
      <c r="BG166" s="140">
        <f>IF(N166="zákl. přenesená",J166,0)</f>
        <v>0</v>
      </c>
      <c r="BH166" s="140">
        <f>IF(N166="sníž. přenesená",J166,0)</f>
        <v>0</v>
      </c>
      <c r="BI166" s="140">
        <f>IF(N166="nulová",J166,0)</f>
        <v>0</v>
      </c>
      <c r="BJ166" s="2" t="s">
        <v>87</v>
      </c>
      <c r="BK166" s="140">
        <f>ROUND(I166*H166,2)</f>
        <v>0</v>
      </c>
      <c r="BL166" s="2" t="s">
        <v>344</v>
      </c>
      <c r="BM166" s="139" t="s">
        <v>699</v>
      </c>
    </row>
    <row r="167" spans="2:65" s="116" customFormat="1" ht="25.9" customHeight="1" x14ac:dyDescent="0.2">
      <c r="B167" s="117"/>
      <c r="D167" s="118" t="s">
        <v>79</v>
      </c>
      <c r="E167" s="119" t="s">
        <v>1125</v>
      </c>
      <c r="F167" s="119" t="s">
        <v>7399</v>
      </c>
      <c r="J167" s="120">
        <f>BK167</f>
        <v>0</v>
      </c>
      <c r="L167" s="117"/>
      <c r="M167" s="121"/>
      <c r="P167" s="122">
        <f>P168</f>
        <v>0</v>
      </c>
      <c r="R167" s="122">
        <f>R168</f>
        <v>0</v>
      </c>
      <c r="T167" s="123">
        <f>T168</f>
        <v>0</v>
      </c>
      <c r="AR167" s="118" t="s">
        <v>87</v>
      </c>
      <c r="AT167" s="124" t="s">
        <v>79</v>
      </c>
      <c r="AU167" s="124" t="s">
        <v>80</v>
      </c>
      <c r="AY167" s="118" t="s">
        <v>337</v>
      </c>
      <c r="BK167" s="125">
        <f>BK168</f>
        <v>0</v>
      </c>
    </row>
    <row r="168" spans="2:65" s="16" customFormat="1" ht="16.5" customHeight="1" x14ac:dyDescent="0.2">
      <c r="B168" s="17"/>
      <c r="C168" s="128">
        <v>23</v>
      </c>
      <c r="D168" s="128" t="s">
        <v>339</v>
      </c>
      <c r="E168" s="129" t="s">
        <v>7400</v>
      </c>
      <c r="F168" s="130" t="s">
        <v>7399</v>
      </c>
      <c r="G168" s="131" t="s">
        <v>7010</v>
      </c>
      <c r="H168" s="132">
        <v>1</v>
      </c>
      <c r="I168" s="133"/>
      <c r="J168" s="134">
        <f>ROUND(I168*H168,2)</f>
        <v>0</v>
      </c>
      <c r="K168" s="130"/>
      <c r="L168" s="17"/>
      <c r="M168" s="187"/>
      <c r="N168" s="188" t="s">
        <v>45</v>
      </c>
      <c r="O168" s="189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AR168" s="139" t="s">
        <v>344</v>
      </c>
      <c r="AT168" s="139" t="s">
        <v>339</v>
      </c>
      <c r="AU168" s="139" t="s">
        <v>87</v>
      </c>
      <c r="AY168" s="2" t="s">
        <v>337</v>
      </c>
      <c r="BE168" s="140">
        <f>IF(N168="základní",J168,0)</f>
        <v>0</v>
      </c>
      <c r="BF168" s="140">
        <f>IF(N168="snížená",J168,0)</f>
        <v>0</v>
      </c>
      <c r="BG168" s="140">
        <f>IF(N168="zákl. přenesená",J168,0)</f>
        <v>0</v>
      </c>
      <c r="BH168" s="140">
        <f>IF(N168="sníž. přenesená",J168,0)</f>
        <v>0</v>
      </c>
      <c r="BI168" s="140">
        <f>IF(N168="nulová",J168,0)</f>
        <v>0</v>
      </c>
      <c r="BJ168" s="2" t="s">
        <v>87</v>
      </c>
      <c r="BK168" s="140">
        <f>ROUND(I168*H168,2)</f>
        <v>0</v>
      </c>
      <c r="BL168" s="2" t="s">
        <v>344</v>
      </c>
      <c r="BM168" s="139" t="s">
        <v>7565</v>
      </c>
    </row>
    <row r="169" spans="2:65" s="16" customFormat="1" ht="6.95" customHeight="1" x14ac:dyDescent="0.2">
      <c r="B169" s="30"/>
      <c r="C169" s="19"/>
      <c r="D169" s="19"/>
      <c r="E169" s="19"/>
      <c r="F169" s="19"/>
      <c r="G169" s="19"/>
      <c r="H169" s="19"/>
      <c r="I169" s="19"/>
      <c r="J169" s="19"/>
      <c r="K169" s="19"/>
      <c r="L169" s="17"/>
    </row>
  </sheetData>
  <sheetProtection algorithmName="SHA-512" hashValue="/o8J9BtFgRG94dxD8c9wVb+UiU6+NfaedV35C4m/0+KPCA09hYzCMW9bkeXuC9BTzsZvhArdyMGDohDefgvb5g==" saltValue="s0HZFFgZFP4DwH5i1Tcq0g==" spinCount="100000" sheet="1" objects="1" scenarios="1" formatCells="0" formatColumns="0" formatRows="0" autoFilter="0"/>
  <autoFilter ref="C138:K168" xr:uid="{00000000-0009-0000-0000-000014000000}"/>
  <mergeCells count="15"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  <mergeCell ref="E22:H22"/>
    <mergeCell ref="L2:V2"/>
    <mergeCell ref="E7:H7"/>
    <mergeCell ref="E9:H9"/>
    <mergeCell ref="E11:H11"/>
    <mergeCell ref="E13:H13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22"/>
  <dimension ref="B2:BM232"/>
  <sheetViews>
    <sheetView showGridLines="0" workbookViewId="0"/>
  </sheetViews>
  <sheetFormatPr defaultColWidth="8.5" defaultRowHeight="11.25" x14ac:dyDescent="0.2"/>
  <cols>
    <col min="1" max="1" width="7.6640625" customWidth="1"/>
    <col min="2" max="2" width="1" customWidth="1"/>
    <col min="3" max="3" width="6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5" customWidth="1"/>
    <col min="11" max="11" width="20.83203125" customWidth="1"/>
    <col min="12" max="12" width="12.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163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6831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7566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 t="str">
        <f>IF(Rekapitulace_stavby!AN16="","",Rekapitulace_stavby!AN16)</f>
        <v>48025721</v>
      </c>
      <c r="L24" s="17"/>
    </row>
    <row r="25" spans="2:12" s="16" customFormat="1" ht="18" hidden="1" customHeight="1" x14ac:dyDescent="0.2">
      <c r="B25" s="17"/>
      <c r="E25" s="10" t="str">
        <f>IF(Rekapitulace_stavby!E17="","",Rekapitulace_stavby!E17)</f>
        <v>MEPRO s.r.o.</v>
      </c>
      <c r="I25" s="12" t="s">
        <v>26</v>
      </c>
      <c r="J25" s="10" t="str">
        <f>IF(Rekapitulace_stavby!AN17="","",Rekapitulace_stavby!AN17)</f>
        <v>CZ48025721</v>
      </c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 t="str">
        <f>IF(Rekapitulace_stavby!AN19="","",Rekapitulace_stavby!AN19)</f>
        <v>25415751</v>
      </c>
      <c r="L27" s="17"/>
    </row>
    <row r="28" spans="2:12" s="16" customFormat="1" ht="18" hidden="1" customHeight="1" x14ac:dyDescent="0.2">
      <c r="B28" s="17"/>
      <c r="E28" s="10" t="str">
        <f>IF(Rekapitulace_stavby!E20="","",Rekapitulace_stavby!E20)</f>
        <v>Propos Liberec s.r.o.</v>
      </c>
      <c r="I28" s="12" t="s">
        <v>26</v>
      </c>
      <c r="J28" s="10" t="str">
        <f>IF(Rekapitulace_stavby!AN20="","",Rekapitulace_stavby!AN20)</f>
        <v>CZ25415751</v>
      </c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47.25" hidden="1" customHeight="1" x14ac:dyDescent="0.2">
      <c r="B31" s="82"/>
      <c r="E31" s="304" t="s">
        <v>6834</v>
      </c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ROUND((SUM(BE139:BE231)),  2)</f>
        <v>0</v>
      </c>
      <c r="I37" s="86">
        <v>0.21</v>
      </c>
      <c r="J37" s="73">
        <f>ROUND(((SUM(BE139:BE231))*I37),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ROUND((SUM(BF139:BF231)),  2)</f>
        <v>0</v>
      </c>
      <c r="I38" s="86">
        <v>0.12</v>
      </c>
      <c r="J38" s="73">
        <f>ROUND(((SUM(BF139:BF231))*I38),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ROUND((SUM(BG139:BG231)),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ROUND((SUM(BH139:BH231)),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ROUND((SUM(BI139:BI231)),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6831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NZS - NZS - EPS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MEPRO s.r.o.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Propos Liberec s.r.o.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7567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98" customFormat="1" ht="24.95" customHeight="1" x14ac:dyDescent="0.2">
      <c r="B102" s="99"/>
      <c r="D102" s="100" t="s">
        <v>7568</v>
      </c>
      <c r="E102" s="101"/>
      <c r="F102" s="101"/>
      <c r="G102" s="101"/>
      <c r="H102" s="101"/>
      <c r="I102" s="101"/>
      <c r="J102" s="102">
        <f>J143</f>
        <v>0</v>
      </c>
      <c r="L102" s="99"/>
    </row>
    <row r="103" spans="2:47" s="98" customFormat="1" ht="24.95" customHeight="1" x14ac:dyDescent="0.2">
      <c r="B103" s="99"/>
      <c r="D103" s="100" t="s">
        <v>7569</v>
      </c>
      <c r="E103" s="101"/>
      <c r="F103" s="101"/>
      <c r="G103" s="101"/>
      <c r="H103" s="101"/>
      <c r="I103" s="101"/>
      <c r="J103" s="102">
        <f>J154</f>
        <v>0</v>
      </c>
      <c r="L103" s="99"/>
    </row>
    <row r="104" spans="2:47" s="98" customFormat="1" ht="24.95" customHeight="1" x14ac:dyDescent="0.2">
      <c r="B104" s="99"/>
      <c r="D104" s="100" t="s">
        <v>7570</v>
      </c>
      <c r="E104" s="101"/>
      <c r="F104" s="101"/>
      <c r="G104" s="101"/>
      <c r="H104" s="101"/>
      <c r="I104" s="101"/>
      <c r="J104" s="102">
        <f>J159</f>
        <v>0</v>
      </c>
      <c r="L104" s="99"/>
    </row>
    <row r="105" spans="2:47" s="98" customFormat="1" ht="24.95" customHeight="1" x14ac:dyDescent="0.2">
      <c r="B105" s="99"/>
      <c r="D105" s="100" t="s">
        <v>7571</v>
      </c>
      <c r="E105" s="101"/>
      <c r="F105" s="101"/>
      <c r="G105" s="101"/>
      <c r="H105" s="101"/>
      <c r="I105" s="101"/>
      <c r="J105" s="102">
        <f>J166</f>
        <v>0</v>
      </c>
      <c r="L105" s="99"/>
    </row>
    <row r="106" spans="2:47" s="98" customFormat="1" ht="24.95" customHeight="1" x14ac:dyDescent="0.2">
      <c r="B106" s="99"/>
      <c r="D106" s="100" t="s">
        <v>7572</v>
      </c>
      <c r="E106" s="101"/>
      <c r="F106" s="101"/>
      <c r="G106" s="101"/>
      <c r="H106" s="101"/>
      <c r="I106" s="101"/>
      <c r="J106" s="102">
        <f>J171</f>
        <v>0</v>
      </c>
      <c r="L106" s="99"/>
    </row>
    <row r="107" spans="2:47" s="98" customFormat="1" ht="24.95" customHeight="1" x14ac:dyDescent="0.2">
      <c r="B107" s="99"/>
      <c r="D107" s="100" t="s">
        <v>7573</v>
      </c>
      <c r="E107" s="101"/>
      <c r="F107" s="101"/>
      <c r="G107" s="101"/>
      <c r="H107" s="101"/>
      <c r="I107" s="101"/>
      <c r="J107" s="102">
        <f>J173</f>
        <v>0</v>
      </c>
      <c r="L107" s="99"/>
    </row>
    <row r="108" spans="2:47" s="98" customFormat="1" ht="24.95" customHeight="1" x14ac:dyDescent="0.2">
      <c r="B108" s="99"/>
      <c r="D108" s="100" t="s">
        <v>7574</v>
      </c>
      <c r="E108" s="101"/>
      <c r="F108" s="101"/>
      <c r="G108" s="101"/>
      <c r="H108" s="101"/>
      <c r="I108" s="101"/>
      <c r="J108" s="102">
        <f>J176</f>
        <v>0</v>
      </c>
      <c r="L108" s="99"/>
    </row>
    <row r="109" spans="2:47" s="98" customFormat="1" ht="24.95" customHeight="1" x14ac:dyDescent="0.2">
      <c r="B109" s="99"/>
      <c r="D109" s="100" t="s">
        <v>7575</v>
      </c>
      <c r="E109" s="101"/>
      <c r="F109" s="101"/>
      <c r="G109" s="101"/>
      <c r="H109" s="101"/>
      <c r="I109" s="101"/>
      <c r="J109" s="102">
        <f>J183</f>
        <v>0</v>
      </c>
      <c r="L109" s="99"/>
    </row>
    <row r="110" spans="2:47" s="98" customFormat="1" ht="24.95" customHeight="1" x14ac:dyDescent="0.2">
      <c r="B110" s="99"/>
      <c r="D110" s="100" t="s">
        <v>7576</v>
      </c>
      <c r="E110" s="101"/>
      <c r="F110" s="101"/>
      <c r="G110" s="101"/>
      <c r="H110" s="101"/>
      <c r="I110" s="101"/>
      <c r="J110" s="102">
        <f>J186</f>
        <v>0</v>
      </c>
      <c r="L110" s="99"/>
    </row>
    <row r="111" spans="2:47" s="98" customFormat="1" ht="24.95" customHeight="1" x14ac:dyDescent="0.2">
      <c r="B111" s="99"/>
      <c r="D111" s="100" t="s">
        <v>7577</v>
      </c>
      <c r="E111" s="101"/>
      <c r="F111" s="101"/>
      <c r="G111" s="101"/>
      <c r="H111" s="101"/>
      <c r="I111" s="101"/>
      <c r="J111" s="102">
        <f>J198</f>
        <v>0</v>
      </c>
      <c r="L111" s="99"/>
    </row>
    <row r="112" spans="2:47" s="98" customFormat="1" ht="24.95" customHeight="1" x14ac:dyDescent="0.2">
      <c r="B112" s="99"/>
      <c r="D112" s="100" t="s">
        <v>7578</v>
      </c>
      <c r="E112" s="101"/>
      <c r="F112" s="101"/>
      <c r="G112" s="101"/>
      <c r="H112" s="101"/>
      <c r="I112" s="101"/>
      <c r="J112" s="102">
        <f>J213</f>
        <v>0</v>
      </c>
      <c r="L112" s="99"/>
    </row>
    <row r="113" spans="2:12" s="16" customFormat="1" ht="21.75" customHeight="1" x14ac:dyDescent="0.2">
      <c r="B113" s="17"/>
      <c r="L113" s="17"/>
    </row>
    <row r="114" spans="2:12" s="16" customFormat="1" ht="6.95" customHeight="1" x14ac:dyDescent="0.2">
      <c r="B114" s="30"/>
      <c r="C114" s="19"/>
      <c r="D114" s="19"/>
      <c r="E114" s="19"/>
      <c r="F114" s="19"/>
      <c r="G114" s="19"/>
      <c r="H114" s="19"/>
      <c r="I114" s="19"/>
      <c r="J114" s="19"/>
      <c r="K114" s="19"/>
      <c r="L114" s="17"/>
    </row>
    <row r="118" spans="2:12" ht="3" customHeight="1" x14ac:dyDescent="0.2"/>
    <row r="119" spans="2:12" ht="3" customHeight="1" x14ac:dyDescent="0.2"/>
    <row r="120" spans="2:12" ht="3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6831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NZS - NZS - EPS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MEPRO s.r.o.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304" t="str">
        <f>E28</f>
        <v>Propos Liberec s.r.o.</v>
      </c>
      <c r="K136" s="327"/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P140+P143+P154+P159+P166+P171+P173+P176+P183+P186+P198+P213</f>
        <v>0</v>
      </c>
      <c r="Q139" s="39"/>
      <c r="R139" s="113">
        <f>R140+R143+R154+R159+R166+R171+R173+R176+R183+R186+R198+R213</f>
        <v>0</v>
      </c>
      <c r="S139" s="39"/>
      <c r="T139" s="114">
        <f>T140+T143+T154+T159+T166+T171+T173+T176+T183+T186+T198+T213</f>
        <v>0</v>
      </c>
      <c r="AT139" s="2" t="s">
        <v>79</v>
      </c>
      <c r="AU139" s="2" t="s">
        <v>303</v>
      </c>
      <c r="BK139" s="115">
        <f>BK140+BK143+BK154+BK159+BK166+BK171+BK173+BK176+BK183+BK186+BK198+BK213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87</v>
      </c>
      <c r="F140" s="119" t="s">
        <v>7579</v>
      </c>
      <c r="J140" s="120">
        <f>BK140</f>
        <v>0</v>
      </c>
      <c r="L140" s="117"/>
      <c r="M140" s="121"/>
      <c r="P140" s="122">
        <f>SUM(P141:P142)</f>
        <v>0</v>
      </c>
      <c r="R140" s="122">
        <f>SUM(R141:R142)</f>
        <v>0</v>
      </c>
      <c r="T140" s="123">
        <f>SUM(T141:T142)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SUM(BK141:BK142)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6842</v>
      </c>
      <c r="F141" s="130" t="s">
        <v>7580</v>
      </c>
      <c r="G141" s="131" t="s">
        <v>4460</v>
      </c>
      <c r="H141" s="132">
        <v>1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90</v>
      </c>
    </row>
    <row r="142" spans="2:65" s="16" customFormat="1" ht="16.5" customHeight="1" x14ac:dyDescent="0.2">
      <c r="B142" s="17"/>
      <c r="C142" s="128">
        <v>2</v>
      </c>
      <c r="D142" s="128" t="s">
        <v>339</v>
      </c>
      <c r="E142" s="129" t="s">
        <v>6844</v>
      </c>
      <c r="F142" s="130" t="s">
        <v>7581</v>
      </c>
      <c r="G142" s="131" t="s">
        <v>4460</v>
      </c>
      <c r="H142" s="132">
        <v>1</v>
      </c>
      <c r="I142" s="133"/>
      <c r="J142" s="134">
        <f>ROUND(I142*H142,2)</f>
        <v>0</v>
      </c>
      <c r="K142" s="130"/>
      <c r="L142" s="17"/>
      <c r="M142" s="135"/>
      <c r="N142" s="136" t="s">
        <v>45</v>
      </c>
      <c r="P142" s="137">
        <f>O142*H142</f>
        <v>0</v>
      </c>
      <c r="Q142" s="137">
        <v>0</v>
      </c>
      <c r="R142" s="137">
        <f>Q142*H142</f>
        <v>0</v>
      </c>
      <c r="S142" s="137">
        <v>0</v>
      </c>
      <c r="T142" s="138">
        <f>S142*H142</f>
        <v>0</v>
      </c>
      <c r="AR142" s="139" t="s">
        <v>344</v>
      </c>
      <c r="AT142" s="139" t="s">
        <v>339</v>
      </c>
      <c r="AU142" s="139" t="s">
        <v>87</v>
      </c>
      <c r="AY142" s="2" t="s">
        <v>337</v>
      </c>
      <c r="BE142" s="140">
        <f>IF(N142="základní",J142,0)</f>
        <v>0</v>
      </c>
      <c r="BF142" s="140">
        <f>IF(N142="snížená",J142,0)</f>
        <v>0</v>
      </c>
      <c r="BG142" s="140">
        <f>IF(N142="zákl. přenesená",J142,0)</f>
        <v>0</v>
      </c>
      <c r="BH142" s="140">
        <f>IF(N142="sníž. přenesená",J142,0)</f>
        <v>0</v>
      </c>
      <c r="BI142" s="140">
        <f>IF(N142="nulová",J142,0)</f>
        <v>0</v>
      </c>
      <c r="BJ142" s="2" t="s">
        <v>87</v>
      </c>
      <c r="BK142" s="140">
        <f>ROUND(I142*H142,2)</f>
        <v>0</v>
      </c>
      <c r="BL142" s="2" t="s">
        <v>344</v>
      </c>
      <c r="BM142" s="139" t="s">
        <v>344</v>
      </c>
    </row>
    <row r="143" spans="2:65" s="116" customFormat="1" ht="25.9" customHeight="1" x14ac:dyDescent="0.2">
      <c r="B143" s="117"/>
      <c r="D143" s="118" t="s">
        <v>79</v>
      </c>
      <c r="E143" s="119" t="s">
        <v>90</v>
      </c>
      <c r="F143" s="119" t="s">
        <v>7582</v>
      </c>
      <c r="J143" s="120">
        <f>BK143</f>
        <v>0</v>
      </c>
      <c r="L143" s="117"/>
      <c r="M143" s="121"/>
      <c r="P143" s="122">
        <f>SUM(P144:P153)</f>
        <v>0</v>
      </c>
      <c r="R143" s="122">
        <f>SUM(R144:R153)</f>
        <v>0</v>
      </c>
      <c r="T143" s="123">
        <f>SUM(T144:T153)</f>
        <v>0</v>
      </c>
      <c r="AR143" s="118" t="s">
        <v>87</v>
      </c>
      <c r="AT143" s="124" t="s">
        <v>79</v>
      </c>
      <c r="AU143" s="124" t="s">
        <v>80</v>
      </c>
      <c r="AY143" s="118" t="s">
        <v>337</v>
      </c>
      <c r="BK143" s="125">
        <f>SUM(BK144:BK153)</f>
        <v>0</v>
      </c>
    </row>
    <row r="144" spans="2:65" s="16" customFormat="1" ht="16.5" customHeight="1" x14ac:dyDescent="0.2">
      <c r="B144" s="17"/>
      <c r="C144" s="128">
        <v>3</v>
      </c>
      <c r="D144" s="128" t="s">
        <v>339</v>
      </c>
      <c r="E144" s="129" t="s">
        <v>6969</v>
      </c>
      <c r="F144" s="130" t="s">
        <v>7583</v>
      </c>
      <c r="G144" s="131" t="s">
        <v>4460</v>
      </c>
      <c r="H144" s="132">
        <v>1</v>
      </c>
      <c r="I144" s="133"/>
      <c r="J144" s="134">
        <f t="shared" ref="J144:J153" si="0">ROUND(I144*H144,2)</f>
        <v>0</v>
      </c>
      <c r="K144" s="130"/>
      <c r="L144" s="17"/>
      <c r="M144" s="135"/>
      <c r="N144" s="136" t="s">
        <v>45</v>
      </c>
      <c r="P144" s="137">
        <f t="shared" ref="P144:P153" si="1">O144*H144</f>
        <v>0</v>
      </c>
      <c r="Q144" s="137">
        <v>0</v>
      </c>
      <c r="R144" s="137">
        <f t="shared" ref="R144:R153" si="2">Q144*H144</f>
        <v>0</v>
      </c>
      <c r="S144" s="137">
        <v>0</v>
      </c>
      <c r="T144" s="138">
        <f t="shared" ref="T144:T153" si="3">S144*H144</f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 t="shared" ref="BE144:BE153" si="4">IF(N144="základní",J144,0)</f>
        <v>0</v>
      </c>
      <c r="BF144" s="140">
        <f t="shared" ref="BF144:BF153" si="5">IF(N144="snížená",J144,0)</f>
        <v>0</v>
      </c>
      <c r="BG144" s="140">
        <f t="shared" ref="BG144:BG153" si="6">IF(N144="zákl. přenesená",J144,0)</f>
        <v>0</v>
      </c>
      <c r="BH144" s="140">
        <f t="shared" ref="BH144:BH153" si="7">IF(N144="sníž. přenesená",J144,0)</f>
        <v>0</v>
      </c>
      <c r="BI144" s="140">
        <f t="shared" ref="BI144:BI153" si="8">IF(N144="nulová",J144,0)</f>
        <v>0</v>
      </c>
      <c r="BJ144" s="2" t="s">
        <v>87</v>
      </c>
      <c r="BK144" s="140">
        <f t="shared" ref="BK144:BK153" si="9">ROUND(I144*H144,2)</f>
        <v>0</v>
      </c>
      <c r="BL144" s="2" t="s">
        <v>344</v>
      </c>
      <c r="BM144" s="139" t="s">
        <v>430</v>
      </c>
    </row>
    <row r="145" spans="2:65" s="16" customFormat="1" ht="16.5" customHeight="1" x14ac:dyDescent="0.2">
      <c r="B145" s="17"/>
      <c r="C145" s="128">
        <v>4</v>
      </c>
      <c r="D145" s="128" t="s">
        <v>339</v>
      </c>
      <c r="E145" s="129" t="s">
        <v>6971</v>
      </c>
      <c r="F145" s="130" t="s">
        <v>7584</v>
      </c>
      <c r="G145" s="131" t="s">
        <v>4460</v>
      </c>
      <c r="H145" s="132">
        <v>1</v>
      </c>
      <c r="I145" s="133"/>
      <c r="J145" s="134">
        <f t="shared" si="0"/>
        <v>0</v>
      </c>
      <c r="K145" s="130"/>
      <c r="L145" s="17"/>
      <c r="M145" s="135"/>
      <c r="N145" s="136" t="s">
        <v>45</v>
      </c>
      <c r="P145" s="137">
        <f t="shared" si="1"/>
        <v>0</v>
      </c>
      <c r="Q145" s="137">
        <v>0</v>
      </c>
      <c r="R145" s="137">
        <f t="shared" si="2"/>
        <v>0</v>
      </c>
      <c r="S145" s="137">
        <v>0</v>
      </c>
      <c r="T145" s="138">
        <f t="shared" si="3"/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 t="shared" si="4"/>
        <v>0</v>
      </c>
      <c r="BF145" s="140">
        <f t="shared" si="5"/>
        <v>0</v>
      </c>
      <c r="BG145" s="140">
        <f t="shared" si="6"/>
        <v>0</v>
      </c>
      <c r="BH145" s="140">
        <f t="shared" si="7"/>
        <v>0</v>
      </c>
      <c r="BI145" s="140">
        <f t="shared" si="8"/>
        <v>0</v>
      </c>
      <c r="BJ145" s="2" t="s">
        <v>87</v>
      </c>
      <c r="BK145" s="140">
        <f t="shared" si="9"/>
        <v>0</v>
      </c>
      <c r="BL145" s="2" t="s">
        <v>344</v>
      </c>
      <c r="BM145" s="139" t="s">
        <v>446</v>
      </c>
    </row>
    <row r="146" spans="2:65" s="16" customFormat="1" ht="16.5" customHeight="1" x14ac:dyDescent="0.2">
      <c r="B146" s="17"/>
      <c r="C146" s="128">
        <v>5</v>
      </c>
      <c r="D146" s="128" t="s">
        <v>339</v>
      </c>
      <c r="E146" s="129" t="s">
        <v>6973</v>
      </c>
      <c r="F146" s="130" t="s">
        <v>7585</v>
      </c>
      <c r="G146" s="131" t="s">
        <v>4460</v>
      </c>
      <c r="H146" s="132">
        <v>1</v>
      </c>
      <c r="I146" s="133"/>
      <c r="J146" s="134">
        <f t="shared" si="0"/>
        <v>0</v>
      </c>
      <c r="K146" s="130"/>
      <c r="L146" s="17"/>
      <c r="M146" s="135"/>
      <c r="N146" s="136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344</v>
      </c>
      <c r="AT146" s="139" t="s">
        <v>339</v>
      </c>
      <c r="AU146" s="139" t="s">
        <v>87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344</v>
      </c>
      <c r="BM146" s="139" t="s">
        <v>457</v>
      </c>
    </row>
    <row r="147" spans="2:65" s="16" customFormat="1" ht="16.5" customHeight="1" x14ac:dyDescent="0.2">
      <c r="B147" s="17"/>
      <c r="C147" s="128">
        <v>6</v>
      </c>
      <c r="D147" s="128" t="s">
        <v>339</v>
      </c>
      <c r="E147" s="129" t="s">
        <v>6975</v>
      </c>
      <c r="F147" s="130" t="s">
        <v>7586</v>
      </c>
      <c r="G147" s="131" t="s">
        <v>4460</v>
      </c>
      <c r="H147" s="132">
        <v>1</v>
      </c>
      <c r="I147" s="133"/>
      <c r="J147" s="134">
        <f t="shared" si="0"/>
        <v>0</v>
      </c>
      <c r="K147" s="130"/>
      <c r="L147" s="17"/>
      <c r="M147" s="135"/>
      <c r="N147" s="136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AR147" s="139" t="s">
        <v>344</v>
      </c>
      <c r="AT147" s="139" t="s">
        <v>339</v>
      </c>
      <c r="AU147" s="139" t="s">
        <v>87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344</v>
      </c>
      <c r="BM147" s="139" t="s">
        <v>7</v>
      </c>
    </row>
    <row r="148" spans="2:65" s="16" customFormat="1" ht="16.5" customHeight="1" x14ac:dyDescent="0.2">
      <c r="B148" s="17"/>
      <c r="C148" s="128">
        <v>7</v>
      </c>
      <c r="D148" s="128" t="s">
        <v>339</v>
      </c>
      <c r="E148" s="129" t="s">
        <v>6977</v>
      </c>
      <c r="F148" s="130" t="s">
        <v>7587</v>
      </c>
      <c r="G148" s="131" t="s">
        <v>4460</v>
      </c>
      <c r="H148" s="132">
        <v>3</v>
      </c>
      <c r="I148" s="133"/>
      <c r="J148" s="134">
        <f t="shared" si="0"/>
        <v>0</v>
      </c>
      <c r="K148" s="130"/>
      <c r="L148" s="17"/>
      <c r="M148" s="135"/>
      <c r="N148" s="136" t="s">
        <v>45</v>
      </c>
      <c r="P148" s="137">
        <f t="shared" si="1"/>
        <v>0</v>
      </c>
      <c r="Q148" s="137">
        <v>0</v>
      </c>
      <c r="R148" s="137">
        <f t="shared" si="2"/>
        <v>0</v>
      </c>
      <c r="S148" s="137">
        <v>0</v>
      </c>
      <c r="T148" s="138">
        <f t="shared" si="3"/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 t="shared" si="4"/>
        <v>0</v>
      </c>
      <c r="BF148" s="140">
        <f t="shared" si="5"/>
        <v>0</v>
      </c>
      <c r="BG148" s="140">
        <f t="shared" si="6"/>
        <v>0</v>
      </c>
      <c r="BH148" s="140">
        <f t="shared" si="7"/>
        <v>0</v>
      </c>
      <c r="BI148" s="140">
        <f t="shared" si="8"/>
        <v>0</v>
      </c>
      <c r="BJ148" s="2" t="s">
        <v>87</v>
      </c>
      <c r="BK148" s="140">
        <f t="shared" si="9"/>
        <v>0</v>
      </c>
      <c r="BL148" s="2" t="s">
        <v>344</v>
      </c>
      <c r="BM148" s="139" t="s">
        <v>480</v>
      </c>
    </row>
    <row r="149" spans="2:65" s="16" customFormat="1" ht="16.5" customHeight="1" x14ac:dyDescent="0.2">
      <c r="B149" s="17"/>
      <c r="C149" s="128">
        <v>8</v>
      </c>
      <c r="D149" s="128" t="s">
        <v>339</v>
      </c>
      <c r="E149" s="129" t="s">
        <v>6979</v>
      </c>
      <c r="F149" s="130" t="s">
        <v>7588</v>
      </c>
      <c r="G149" s="131" t="s">
        <v>4460</v>
      </c>
      <c r="H149" s="132">
        <v>1</v>
      </c>
      <c r="I149" s="133"/>
      <c r="J149" s="134">
        <f t="shared" si="0"/>
        <v>0</v>
      </c>
      <c r="K149" s="130"/>
      <c r="L149" s="17"/>
      <c r="M149" s="135"/>
      <c r="N149" s="136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344</v>
      </c>
      <c r="BM149" s="139" t="s">
        <v>496</v>
      </c>
    </row>
    <row r="150" spans="2:65" s="16" customFormat="1" ht="16.5" customHeight="1" x14ac:dyDescent="0.2">
      <c r="B150" s="17"/>
      <c r="C150" s="128">
        <v>9</v>
      </c>
      <c r="D150" s="128" t="s">
        <v>339</v>
      </c>
      <c r="E150" s="129" t="s">
        <v>6981</v>
      </c>
      <c r="F150" s="130" t="s">
        <v>7589</v>
      </c>
      <c r="G150" s="131" t="s">
        <v>4460</v>
      </c>
      <c r="H150" s="132">
        <v>1</v>
      </c>
      <c r="I150" s="133"/>
      <c r="J150" s="134">
        <f t="shared" si="0"/>
        <v>0</v>
      </c>
      <c r="K150" s="130"/>
      <c r="L150" s="17"/>
      <c r="M150" s="135"/>
      <c r="N150" s="136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344</v>
      </c>
      <c r="BM150" s="139" t="s">
        <v>2547</v>
      </c>
    </row>
    <row r="151" spans="2:65" s="16" customFormat="1" ht="16.5" customHeight="1" x14ac:dyDescent="0.2">
      <c r="B151" s="17"/>
      <c r="C151" s="128">
        <v>10</v>
      </c>
      <c r="D151" s="128" t="s">
        <v>339</v>
      </c>
      <c r="E151" s="129" t="s">
        <v>6983</v>
      </c>
      <c r="F151" s="130" t="s">
        <v>7590</v>
      </c>
      <c r="G151" s="131" t="s">
        <v>4460</v>
      </c>
      <c r="H151" s="132">
        <v>2</v>
      </c>
      <c r="I151" s="133"/>
      <c r="J151" s="134">
        <f t="shared" si="0"/>
        <v>0</v>
      </c>
      <c r="K151" s="130"/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344</v>
      </c>
      <c r="AT151" s="139" t="s">
        <v>339</v>
      </c>
      <c r="AU151" s="139" t="s">
        <v>87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344</v>
      </c>
      <c r="BM151" s="139" t="s">
        <v>532</v>
      </c>
    </row>
    <row r="152" spans="2:65" s="16" customFormat="1" ht="16.5" customHeight="1" x14ac:dyDescent="0.2">
      <c r="B152" s="17"/>
      <c r="C152" s="128">
        <v>11</v>
      </c>
      <c r="D152" s="128" t="s">
        <v>339</v>
      </c>
      <c r="E152" s="129" t="s">
        <v>6985</v>
      </c>
      <c r="F152" s="130" t="s">
        <v>7591</v>
      </c>
      <c r="G152" s="131" t="s">
        <v>4460</v>
      </c>
      <c r="H152" s="132">
        <v>1</v>
      </c>
      <c r="I152" s="133"/>
      <c r="J152" s="134">
        <f t="shared" si="0"/>
        <v>0</v>
      </c>
      <c r="K152" s="130"/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344</v>
      </c>
      <c r="BM152" s="139" t="s">
        <v>543</v>
      </c>
    </row>
    <row r="153" spans="2:65" s="16" customFormat="1" ht="16.5" customHeight="1" x14ac:dyDescent="0.2">
      <c r="B153" s="17"/>
      <c r="C153" s="128">
        <v>12</v>
      </c>
      <c r="D153" s="128" t="s">
        <v>339</v>
      </c>
      <c r="E153" s="129" t="s">
        <v>6987</v>
      </c>
      <c r="F153" s="130" t="s">
        <v>7592</v>
      </c>
      <c r="G153" s="131" t="s">
        <v>4460</v>
      </c>
      <c r="H153" s="132">
        <v>1</v>
      </c>
      <c r="I153" s="133"/>
      <c r="J153" s="134">
        <f t="shared" si="0"/>
        <v>0</v>
      </c>
      <c r="K153" s="130"/>
      <c r="L153" s="17"/>
      <c r="M153" s="135"/>
      <c r="N153" s="136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</v>
      </c>
      <c r="T153" s="138">
        <f t="shared" si="3"/>
        <v>0</v>
      </c>
      <c r="AR153" s="139" t="s">
        <v>344</v>
      </c>
      <c r="AT153" s="139" t="s">
        <v>339</v>
      </c>
      <c r="AU153" s="139" t="s">
        <v>87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344</v>
      </c>
      <c r="BM153" s="139" t="s">
        <v>569</v>
      </c>
    </row>
    <row r="154" spans="2:65" s="116" customFormat="1" ht="25.9" customHeight="1" x14ac:dyDescent="0.2">
      <c r="B154" s="117"/>
      <c r="D154" s="118" t="s">
        <v>79</v>
      </c>
      <c r="E154" s="119" t="s">
        <v>113</v>
      </c>
      <c r="F154" s="119" t="s">
        <v>7593</v>
      </c>
      <c r="J154" s="120">
        <f>BK154</f>
        <v>0</v>
      </c>
      <c r="L154" s="117"/>
      <c r="M154" s="121"/>
      <c r="P154" s="122">
        <f>SUM(P155:P158)</f>
        <v>0</v>
      </c>
      <c r="R154" s="122">
        <f>SUM(R155:R158)</f>
        <v>0</v>
      </c>
      <c r="T154" s="123">
        <f>SUM(T155:T158)</f>
        <v>0</v>
      </c>
      <c r="AR154" s="118" t="s">
        <v>87</v>
      </c>
      <c r="AT154" s="124" t="s">
        <v>79</v>
      </c>
      <c r="AU154" s="124" t="s">
        <v>80</v>
      </c>
      <c r="AY154" s="118" t="s">
        <v>337</v>
      </c>
      <c r="BK154" s="125">
        <f>SUM(BK155:BK158)</f>
        <v>0</v>
      </c>
    </row>
    <row r="155" spans="2:65" s="16" customFormat="1" ht="16.5" customHeight="1" x14ac:dyDescent="0.2">
      <c r="B155" s="17"/>
      <c r="C155" s="128">
        <v>13</v>
      </c>
      <c r="D155" s="128" t="s">
        <v>339</v>
      </c>
      <c r="E155" s="129" t="s">
        <v>6992</v>
      </c>
      <c r="F155" s="130" t="s">
        <v>7594</v>
      </c>
      <c r="G155" s="131" t="s">
        <v>4460</v>
      </c>
      <c r="H155" s="132">
        <v>2</v>
      </c>
      <c r="I155" s="133"/>
      <c r="J155" s="134">
        <f>ROUND(I155*H155,2)</f>
        <v>0</v>
      </c>
      <c r="K155" s="130"/>
      <c r="L155" s="17"/>
      <c r="M155" s="135"/>
      <c r="N155" s="136" t="s">
        <v>45</v>
      </c>
      <c r="P155" s="137">
        <f>O155*H155</f>
        <v>0</v>
      </c>
      <c r="Q155" s="137">
        <v>0</v>
      </c>
      <c r="R155" s="137">
        <f>Q155*H155</f>
        <v>0</v>
      </c>
      <c r="S155" s="137">
        <v>0</v>
      </c>
      <c r="T155" s="138">
        <f>S155*H155</f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>IF(N155="základní",J155,0)</f>
        <v>0</v>
      </c>
      <c r="BF155" s="140">
        <f>IF(N155="snížená",J155,0)</f>
        <v>0</v>
      </c>
      <c r="BG155" s="140">
        <f>IF(N155="zákl. přenesená",J155,0)</f>
        <v>0</v>
      </c>
      <c r="BH155" s="140">
        <f>IF(N155="sníž. přenesená",J155,0)</f>
        <v>0</v>
      </c>
      <c r="BI155" s="140">
        <f>IF(N155="nulová",J155,0)</f>
        <v>0</v>
      </c>
      <c r="BJ155" s="2" t="s">
        <v>87</v>
      </c>
      <c r="BK155" s="140">
        <f>ROUND(I155*H155,2)</f>
        <v>0</v>
      </c>
      <c r="BL155" s="2" t="s">
        <v>344</v>
      </c>
      <c r="BM155" s="139" t="s">
        <v>577</v>
      </c>
    </row>
    <row r="156" spans="2:65" s="16" customFormat="1" ht="16.5" customHeight="1" x14ac:dyDescent="0.2">
      <c r="B156" s="17"/>
      <c r="C156" s="128">
        <v>14</v>
      </c>
      <c r="D156" s="128" t="s">
        <v>339</v>
      </c>
      <c r="E156" s="129" t="s">
        <v>6994</v>
      </c>
      <c r="F156" s="130" t="s">
        <v>7595</v>
      </c>
      <c r="G156" s="131" t="s">
        <v>4460</v>
      </c>
      <c r="H156" s="132">
        <v>1</v>
      </c>
      <c r="I156" s="133"/>
      <c r="J156" s="134">
        <f>ROUND(I156*H156,2)</f>
        <v>0</v>
      </c>
      <c r="K156" s="130"/>
      <c r="L156" s="17"/>
      <c r="M156" s="135"/>
      <c r="N156" s="136" t="s">
        <v>45</v>
      </c>
      <c r="P156" s="137">
        <f>O156*H156</f>
        <v>0</v>
      </c>
      <c r="Q156" s="137">
        <v>0</v>
      </c>
      <c r="R156" s="137">
        <f>Q156*H156</f>
        <v>0</v>
      </c>
      <c r="S156" s="137">
        <v>0</v>
      </c>
      <c r="T156" s="138">
        <f>S156*H156</f>
        <v>0</v>
      </c>
      <c r="AR156" s="139" t="s">
        <v>344</v>
      </c>
      <c r="AT156" s="139" t="s">
        <v>339</v>
      </c>
      <c r="AU156" s="139" t="s">
        <v>87</v>
      </c>
      <c r="AY156" s="2" t="s">
        <v>337</v>
      </c>
      <c r="BE156" s="140">
        <f>IF(N156="základní",J156,0)</f>
        <v>0</v>
      </c>
      <c r="BF156" s="140">
        <f>IF(N156="snížená",J156,0)</f>
        <v>0</v>
      </c>
      <c r="BG156" s="140">
        <f>IF(N156="zákl. přenesená",J156,0)</f>
        <v>0</v>
      </c>
      <c r="BH156" s="140">
        <f>IF(N156="sníž. přenesená",J156,0)</f>
        <v>0</v>
      </c>
      <c r="BI156" s="140">
        <f>IF(N156="nulová",J156,0)</f>
        <v>0</v>
      </c>
      <c r="BJ156" s="2" t="s">
        <v>87</v>
      </c>
      <c r="BK156" s="140">
        <f>ROUND(I156*H156,2)</f>
        <v>0</v>
      </c>
      <c r="BL156" s="2" t="s">
        <v>344</v>
      </c>
      <c r="BM156" s="139" t="s">
        <v>591</v>
      </c>
    </row>
    <row r="157" spans="2:65" s="16" customFormat="1" ht="16.5" customHeight="1" x14ac:dyDescent="0.2">
      <c r="B157" s="17"/>
      <c r="C157" s="128">
        <v>15</v>
      </c>
      <c r="D157" s="128" t="s">
        <v>339</v>
      </c>
      <c r="E157" s="129" t="s">
        <v>6996</v>
      </c>
      <c r="F157" s="130" t="s">
        <v>7596</v>
      </c>
      <c r="G157" s="131" t="s">
        <v>4460</v>
      </c>
      <c r="H157" s="132">
        <v>1</v>
      </c>
      <c r="I157" s="133"/>
      <c r="J157" s="134">
        <f>ROUND(I157*H157,2)</f>
        <v>0</v>
      </c>
      <c r="K157" s="130"/>
      <c r="L157" s="17"/>
      <c r="M157" s="135"/>
      <c r="N157" s="136" t="s">
        <v>45</v>
      </c>
      <c r="P157" s="137">
        <f>O157*H157</f>
        <v>0</v>
      </c>
      <c r="Q157" s="137">
        <v>0</v>
      </c>
      <c r="R157" s="137">
        <f>Q157*H157</f>
        <v>0</v>
      </c>
      <c r="S157" s="137">
        <v>0</v>
      </c>
      <c r="T157" s="138">
        <f>S157*H157</f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>IF(N157="základní",J157,0)</f>
        <v>0</v>
      </c>
      <c r="BF157" s="140">
        <f>IF(N157="snížená",J157,0)</f>
        <v>0</v>
      </c>
      <c r="BG157" s="140">
        <f>IF(N157="zákl. přenesená",J157,0)</f>
        <v>0</v>
      </c>
      <c r="BH157" s="140">
        <f>IF(N157="sníž. přenesená",J157,0)</f>
        <v>0</v>
      </c>
      <c r="BI157" s="140">
        <f>IF(N157="nulová",J157,0)</f>
        <v>0</v>
      </c>
      <c r="BJ157" s="2" t="s">
        <v>87</v>
      </c>
      <c r="BK157" s="140">
        <f>ROUND(I157*H157,2)</f>
        <v>0</v>
      </c>
      <c r="BL157" s="2" t="s">
        <v>344</v>
      </c>
      <c r="BM157" s="139" t="s">
        <v>614</v>
      </c>
    </row>
    <row r="158" spans="2:65" s="16" customFormat="1" ht="16.5" customHeight="1" x14ac:dyDescent="0.2">
      <c r="B158" s="17"/>
      <c r="C158" s="128">
        <v>16</v>
      </c>
      <c r="D158" s="128" t="s">
        <v>339</v>
      </c>
      <c r="E158" s="129" t="s">
        <v>7001</v>
      </c>
      <c r="F158" s="130" t="s">
        <v>7597</v>
      </c>
      <c r="G158" s="131" t="s">
        <v>4460</v>
      </c>
      <c r="H158" s="132">
        <v>6</v>
      </c>
      <c r="I158" s="133"/>
      <c r="J158" s="134">
        <f>ROUND(I158*H158,2)</f>
        <v>0</v>
      </c>
      <c r="K158" s="130"/>
      <c r="L158" s="17"/>
      <c r="M158" s="135"/>
      <c r="N158" s="136" t="s">
        <v>45</v>
      </c>
      <c r="P158" s="137">
        <f>O158*H158</f>
        <v>0</v>
      </c>
      <c r="Q158" s="137">
        <v>0</v>
      </c>
      <c r="R158" s="137">
        <f>Q158*H158</f>
        <v>0</v>
      </c>
      <c r="S158" s="137">
        <v>0</v>
      </c>
      <c r="T158" s="138">
        <f>S158*H158</f>
        <v>0</v>
      </c>
      <c r="AR158" s="139" t="s">
        <v>344</v>
      </c>
      <c r="AT158" s="139" t="s">
        <v>339</v>
      </c>
      <c r="AU158" s="139" t="s">
        <v>87</v>
      </c>
      <c r="AY158" s="2" t="s">
        <v>337</v>
      </c>
      <c r="BE158" s="140">
        <f>IF(N158="základní",J158,0)</f>
        <v>0</v>
      </c>
      <c r="BF158" s="140">
        <f>IF(N158="snížená",J158,0)</f>
        <v>0</v>
      </c>
      <c r="BG158" s="140">
        <f>IF(N158="zákl. přenesená",J158,0)</f>
        <v>0</v>
      </c>
      <c r="BH158" s="140">
        <f>IF(N158="sníž. přenesená",J158,0)</f>
        <v>0</v>
      </c>
      <c r="BI158" s="140">
        <f>IF(N158="nulová",J158,0)</f>
        <v>0</v>
      </c>
      <c r="BJ158" s="2" t="s">
        <v>87</v>
      </c>
      <c r="BK158" s="140">
        <f>ROUND(I158*H158,2)</f>
        <v>0</v>
      </c>
      <c r="BL158" s="2" t="s">
        <v>344</v>
      </c>
      <c r="BM158" s="139" t="s">
        <v>621</v>
      </c>
    </row>
    <row r="159" spans="2:65" s="116" customFormat="1" ht="25.9" customHeight="1" x14ac:dyDescent="0.2">
      <c r="B159" s="117"/>
      <c r="D159" s="118" t="s">
        <v>79</v>
      </c>
      <c r="E159" s="119" t="s">
        <v>344</v>
      </c>
      <c r="F159" s="119" t="s">
        <v>7598</v>
      </c>
      <c r="J159" s="120">
        <f>BK159</f>
        <v>0</v>
      </c>
      <c r="L159" s="117"/>
      <c r="M159" s="121"/>
      <c r="P159" s="122">
        <f>SUM(P160:P165)</f>
        <v>0</v>
      </c>
      <c r="R159" s="122">
        <f>SUM(R160:R165)</f>
        <v>0</v>
      </c>
      <c r="T159" s="123">
        <f>SUM(T160:T165)</f>
        <v>0</v>
      </c>
      <c r="AR159" s="118" t="s">
        <v>87</v>
      </c>
      <c r="AT159" s="124" t="s">
        <v>79</v>
      </c>
      <c r="AU159" s="124" t="s">
        <v>80</v>
      </c>
      <c r="AY159" s="118" t="s">
        <v>337</v>
      </c>
      <c r="BK159" s="125">
        <f>SUM(BK160:BK165)</f>
        <v>0</v>
      </c>
    </row>
    <row r="160" spans="2:65" s="16" customFormat="1" ht="16.5" customHeight="1" x14ac:dyDescent="0.2">
      <c r="B160" s="17"/>
      <c r="C160" s="128">
        <v>17</v>
      </c>
      <c r="D160" s="128" t="s">
        <v>339</v>
      </c>
      <c r="E160" s="129" t="s">
        <v>7008</v>
      </c>
      <c r="F160" s="130" t="s">
        <v>7599</v>
      </c>
      <c r="G160" s="131" t="s">
        <v>4460</v>
      </c>
      <c r="H160" s="132">
        <v>2</v>
      </c>
      <c r="I160" s="133"/>
      <c r="J160" s="134">
        <f t="shared" ref="J160:J165" si="10">ROUND(I160*H160,2)</f>
        <v>0</v>
      </c>
      <c r="K160" s="130"/>
      <c r="L160" s="17"/>
      <c r="M160" s="135"/>
      <c r="N160" s="136" t="s">
        <v>45</v>
      </c>
      <c r="P160" s="137">
        <f t="shared" ref="P160:P165" si="11">O160*H160</f>
        <v>0</v>
      </c>
      <c r="Q160" s="137">
        <v>0</v>
      </c>
      <c r="R160" s="137">
        <f t="shared" ref="R160:R165" si="12">Q160*H160</f>
        <v>0</v>
      </c>
      <c r="S160" s="137">
        <v>0</v>
      </c>
      <c r="T160" s="138">
        <f t="shared" ref="T160:T165" si="13">S160*H160</f>
        <v>0</v>
      </c>
      <c r="AR160" s="139" t="s">
        <v>344</v>
      </c>
      <c r="AT160" s="139" t="s">
        <v>339</v>
      </c>
      <c r="AU160" s="139" t="s">
        <v>87</v>
      </c>
      <c r="AY160" s="2" t="s">
        <v>337</v>
      </c>
      <c r="BE160" s="140">
        <f t="shared" ref="BE160:BE165" si="14">IF(N160="základní",J160,0)</f>
        <v>0</v>
      </c>
      <c r="BF160" s="140">
        <f t="shared" ref="BF160:BF165" si="15">IF(N160="snížená",J160,0)</f>
        <v>0</v>
      </c>
      <c r="BG160" s="140">
        <f t="shared" ref="BG160:BG165" si="16">IF(N160="zákl. přenesená",J160,0)</f>
        <v>0</v>
      </c>
      <c r="BH160" s="140">
        <f t="shared" ref="BH160:BH165" si="17">IF(N160="sníž. přenesená",J160,0)</f>
        <v>0</v>
      </c>
      <c r="BI160" s="140">
        <f t="shared" ref="BI160:BI165" si="18">IF(N160="nulová",J160,0)</f>
        <v>0</v>
      </c>
      <c r="BJ160" s="2" t="s">
        <v>87</v>
      </c>
      <c r="BK160" s="140">
        <f t="shared" ref="BK160:BK165" si="19">ROUND(I160*H160,2)</f>
        <v>0</v>
      </c>
      <c r="BL160" s="2" t="s">
        <v>344</v>
      </c>
      <c r="BM160" s="139" t="s">
        <v>637</v>
      </c>
    </row>
    <row r="161" spans="2:65" s="16" customFormat="1" ht="16.5" customHeight="1" x14ac:dyDescent="0.2">
      <c r="B161" s="17"/>
      <c r="C161" s="128">
        <v>18</v>
      </c>
      <c r="D161" s="128" t="s">
        <v>339</v>
      </c>
      <c r="E161" s="129" t="s">
        <v>7011</v>
      </c>
      <c r="F161" s="130" t="s">
        <v>7600</v>
      </c>
      <c r="G161" s="131" t="s">
        <v>4460</v>
      </c>
      <c r="H161" s="132">
        <v>2</v>
      </c>
      <c r="I161" s="133"/>
      <c r="J161" s="134">
        <f t="shared" si="10"/>
        <v>0</v>
      </c>
      <c r="K161" s="130"/>
      <c r="L161" s="17"/>
      <c r="M161" s="135"/>
      <c r="N161" s="136" t="s">
        <v>45</v>
      </c>
      <c r="P161" s="137">
        <f t="shared" si="11"/>
        <v>0</v>
      </c>
      <c r="Q161" s="137">
        <v>0</v>
      </c>
      <c r="R161" s="137">
        <f t="shared" si="12"/>
        <v>0</v>
      </c>
      <c r="S161" s="137">
        <v>0</v>
      </c>
      <c r="T161" s="138">
        <f t="shared" si="13"/>
        <v>0</v>
      </c>
      <c r="AR161" s="139" t="s">
        <v>344</v>
      </c>
      <c r="AT161" s="139" t="s">
        <v>339</v>
      </c>
      <c r="AU161" s="139" t="s">
        <v>87</v>
      </c>
      <c r="AY161" s="2" t="s">
        <v>337</v>
      </c>
      <c r="BE161" s="140">
        <f t="shared" si="14"/>
        <v>0</v>
      </c>
      <c r="BF161" s="140">
        <f t="shared" si="15"/>
        <v>0</v>
      </c>
      <c r="BG161" s="140">
        <f t="shared" si="16"/>
        <v>0</v>
      </c>
      <c r="BH161" s="140">
        <f t="shared" si="17"/>
        <v>0</v>
      </c>
      <c r="BI161" s="140">
        <f t="shared" si="18"/>
        <v>0</v>
      </c>
      <c r="BJ161" s="2" t="s">
        <v>87</v>
      </c>
      <c r="BK161" s="140">
        <f t="shared" si="19"/>
        <v>0</v>
      </c>
      <c r="BL161" s="2" t="s">
        <v>344</v>
      </c>
      <c r="BM161" s="139" t="s">
        <v>646</v>
      </c>
    </row>
    <row r="162" spans="2:65" s="16" customFormat="1" ht="16.5" customHeight="1" x14ac:dyDescent="0.2">
      <c r="B162" s="17"/>
      <c r="C162" s="128">
        <v>19</v>
      </c>
      <c r="D162" s="128" t="s">
        <v>339</v>
      </c>
      <c r="E162" s="129" t="s">
        <v>7013</v>
      </c>
      <c r="F162" s="130" t="s">
        <v>7601</v>
      </c>
      <c r="G162" s="131" t="s">
        <v>4460</v>
      </c>
      <c r="H162" s="132">
        <v>2</v>
      </c>
      <c r="I162" s="133"/>
      <c r="J162" s="134">
        <f t="shared" si="10"/>
        <v>0</v>
      </c>
      <c r="K162" s="130"/>
      <c r="L162" s="17"/>
      <c r="M162" s="135"/>
      <c r="N162" s="136" t="s">
        <v>45</v>
      </c>
      <c r="P162" s="137">
        <f t="shared" si="11"/>
        <v>0</v>
      </c>
      <c r="Q162" s="137">
        <v>0</v>
      </c>
      <c r="R162" s="137">
        <f t="shared" si="12"/>
        <v>0</v>
      </c>
      <c r="S162" s="137">
        <v>0</v>
      </c>
      <c r="T162" s="138">
        <f t="shared" si="13"/>
        <v>0</v>
      </c>
      <c r="AR162" s="139" t="s">
        <v>344</v>
      </c>
      <c r="AT162" s="139" t="s">
        <v>339</v>
      </c>
      <c r="AU162" s="139" t="s">
        <v>87</v>
      </c>
      <c r="AY162" s="2" t="s">
        <v>337</v>
      </c>
      <c r="BE162" s="140">
        <f t="shared" si="14"/>
        <v>0</v>
      </c>
      <c r="BF162" s="140">
        <f t="shared" si="15"/>
        <v>0</v>
      </c>
      <c r="BG162" s="140">
        <f t="shared" si="16"/>
        <v>0</v>
      </c>
      <c r="BH162" s="140">
        <f t="shared" si="17"/>
        <v>0</v>
      </c>
      <c r="BI162" s="140">
        <f t="shared" si="18"/>
        <v>0</v>
      </c>
      <c r="BJ162" s="2" t="s">
        <v>87</v>
      </c>
      <c r="BK162" s="140">
        <f t="shared" si="19"/>
        <v>0</v>
      </c>
      <c r="BL162" s="2" t="s">
        <v>344</v>
      </c>
      <c r="BM162" s="139" t="s">
        <v>658</v>
      </c>
    </row>
    <row r="163" spans="2:65" s="16" customFormat="1" ht="16.5" customHeight="1" x14ac:dyDescent="0.2">
      <c r="B163" s="17"/>
      <c r="C163" s="128">
        <v>20</v>
      </c>
      <c r="D163" s="128" t="s">
        <v>339</v>
      </c>
      <c r="E163" s="129" t="s">
        <v>7015</v>
      </c>
      <c r="F163" s="130" t="s">
        <v>7602</v>
      </c>
      <c r="G163" s="131" t="s">
        <v>4460</v>
      </c>
      <c r="H163" s="132">
        <v>1</v>
      </c>
      <c r="I163" s="133"/>
      <c r="J163" s="134">
        <f t="shared" si="10"/>
        <v>0</v>
      </c>
      <c r="K163" s="130"/>
      <c r="L163" s="17"/>
      <c r="M163" s="135"/>
      <c r="N163" s="136" t="s">
        <v>45</v>
      </c>
      <c r="P163" s="137">
        <f t="shared" si="11"/>
        <v>0</v>
      </c>
      <c r="Q163" s="137">
        <v>0</v>
      </c>
      <c r="R163" s="137">
        <f t="shared" si="12"/>
        <v>0</v>
      </c>
      <c r="S163" s="137">
        <v>0</v>
      </c>
      <c r="T163" s="138">
        <f t="shared" si="13"/>
        <v>0</v>
      </c>
      <c r="AR163" s="139" t="s">
        <v>344</v>
      </c>
      <c r="AT163" s="139" t="s">
        <v>339</v>
      </c>
      <c r="AU163" s="139" t="s">
        <v>87</v>
      </c>
      <c r="AY163" s="2" t="s">
        <v>337</v>
      </c>
      <c r="BE163" s="140">
        <f t="shared" si="14"/>
        <v>0</v>
      </c>
      <c r="BF163" s="140">
        <f t="shared" si="15"/>
        <v>0</v>
      </c>
      <c r="BG163" s="140">
        <f t="shared" si="16"/>
        <v>0</v>
      </c>
      <c r="BH163" s="140">
        <f t="shared" si="17"/>
        <v>0</v>
      </c>
      <c r="BI163" s="140">
        <f t="shared" si="18"/>
        <v>0</v>
      </c>
      <c r="BJ163" s="2" t="s">
        <v>87</v>
      </c>
      <c r="BK163" s="140">
        <f t="shared" si="19"/>
        <v>0</v>
      </c>
      <c r="BL163" s="2" t="s">
        <v>344</v>
      </c>
      <c r="BM163" s="139" t="s">
        <v>685</v>
      </c>
    </row>
    <row r="164" spans="2:65" s="16" customFormat="1" ht="16.5" customHeight="1" x14ac:dyDescent="0.2">
      <c r="B164" s="17"/>
      <c r="C164" s="128">
        <v>21</v>
      </c>
      <c r="D164" s="128" t="s">
        <v>339</v>
      </c>
      <c r="E164" s="129" t="s">
        <v>7017</v>
      </c>
      <c r="F164" s="130" t="s">
        <v>7603</v>
      </c>
      <c r="G164" s="131" t="s">
        <v>4460</v>
      </c>
      <c r="H164" s="132">
        <v>1</v>
      </c>
      <c r="I164" s="133"/>
      <c r="J164" s="134">
        <f t="shared" si="10"/>
        <v>0</v>
      </c>
      <c r="K164" s="130"/>
      <c r="L164" s="17"/>
      <c r="M164" s="135"/>
      <c r="N164" s="136" t="s">
        <v>45</v>
      </c>
      <c r="P164" s="137">
        <f t="shared" si="11"/>
        <v>0</v>
      </c>
      <c r="Q164" s="137">
        <v>0</v>
      </c>
      <c r="R164" s="137">
        <f t="shared" si="12"/>
        <v>0</v>
      </c>
      <c r="S164" s="137">
        <v>0</v>
      </c>
      <c r="T164" s="138">
        <f t="shared" si="13"/>
        <v>0</v>
      </c>
      <c r="AR164" s="139" t="s">
        <v>344</v>
      </c>
      <c r="AT164" s="139" t="s">
        <v>339</v>
      </c>
      <c r="AU164" s="139" t="s">
        <v>87</v>
      </c>
      <c r="AY164" s="2" t="s">
        <v>337</v>
      </c>
      <c r="BE164" s="140">
        <f t="shared" si="14"/>
        <v>0</v>
      </c>
      <c r="BF164" s="140">
        <f t="shared" si="15"/>
        <v>0</v>
      </c>
      <c r="BG164" s="140">
        <f t="shared" si="16"/>
        <v>0</v>
      </c>
      <c r="BH164" s="140">
        <f t="shared" si="17"/>
        <v>0</v>
      </c>
      <c r="BI164" s="140">
        <f t="shared" si="18"/>
        <v>0</v>
      </c>
      <c r="BJ164" s="2" t="s">
        <v>87</v>
      </c>
      <c r="BK164" s="140">
        <f t="shared" si="19"/>
        <v>0</v>
      </c>
      <c r="BL164" s="2" t="s">
        <v>344</v>
      </c>
      <c r="BM164" s="139" t="s">
        <v>699</v>
      </c>
    </row>
    <row r="165" spans="2:65" s="16" customFormat="1" ht="16.5" customHeight="1" x14ac:dyDescent="0.2">
      <c r="B165" s="17"/>
      <c r="C165" s="128">
        <v>22</v>
      </c>
      <c r="D165" s="128" t="s">
        <v>339</v>
      </c>
      <c r="E165" s="129" t="s">
        <v>7467</v>
      </c>
      <c r="F165" s="130" t="s">
        <v>7604</v>
      </c>
      <c r="G165" s="131" t="s">
        <v>4460</v>
      </c>
      <c r="H165" s="132">
        <v>1</v>
      </c>
      <c r="I165" s="133"/>
      <c r="J165" s="134">
        <f t="shared" si="10"/>
        <v>0</v>
      </c>
      <c r="K165" s="130"/>
      <c r="L165" s="17"/>
      <c r="M165" s="135"/>
      <c r="N165" s="136" t="s">
        <v>45</v>
      </c>
      <c r="P165" s="137">
        <f t="shared" si="11"/>
        <v>0</v>
      </c>
      <c r="Q165" s="137">
        <v>0</v>
      </c>
      <c r="R165" s="137">
        <f t="shared" si="12"/>
        <v>0</v>
      </c>
      <c r="S165" s="137">
        <v>0</v>
      </c>
      <c r="T165" s="138">
        <f t="shared" si="13"/>
        <v>0</v>
      </c>
      <c r="AR165" s="139" t="s">
        <v>344</v>
      </c>
      <c r="AT165" s="139" t="s">
        <v>339</v>
      </c>
      <c r="AU165" s="139" t="s">
        <v>87</v>
      </c>
      <c r="AY165" s="2" t="s">
        <v>337</v>
      </c>
      <c r="BE165" s="140">
        <f t="shared" si="14"/>
        <v>0</v>
      </c>
      <c r="BF165" s="140">
        <f t="shared" si="15"/>
        <v>0</v>
      </c>
      <c r="BG165" s="140">
        <f t="shared" si="16"/>
        <v>0</v>
      </c>
      <c r="BH165" s="140">
        <f t="shared" si="17"/>
        <v>0</v>
      </c>
      <c r="BI165" s="140">
        <f t="shared" si="18"/>
        <v>0</v>
      </c>
      <c r="BJ165" s="2" t="s">
        <v>87</v>
      </c>
      <c r="BK165" s="140">
        <f t="shared" si="19"/>
        <v>0</v>
      </c>
      <c r="BL165" s="2" t="s">
        <v>344</v>
      </c>
      <c r="BM165" s="139" t="s">
        <v>708</v>
      </c>
    </row>
    <row r="166" spans="2:65" s="116" customFormat="1" ht="25.9" customHeight="1" x14ac:dyDescent="0.2">
      <c r="B166" s="117"/>
      <c r="D166" s="118" t="s">
        <v>79</v>
      </c>
      <c r="E166" s="119" t="s">
        <v>422</v>
      </c>
      <c r="F166" s="119" t="s">
        <v>7605</v>
      </c>
      <c r="J166" s="120">
        <f>BK166</f>
        <v>0</v>
      </c>
      <c r="L166" s="117"/>
      <c r="M166" s="121"/>
      <c r="P166" s="122">
        <f>SUM(P167:P170)</f>
        <v>0</v>
      </c>
      <c r="R166" s="122">
        <f>SUM(R167:R170)</f>
        <v>0</v>
      </c>
      <c r="T166" s="123">
        <f>SUM(T167:T170)</f>
        <v>0</v>
      </c>
      <c r="AR166" s="118" t="s">
        <v>87</v>
      </c>
      <c r="AT166" s="124" t="s">
        <v>79</v>
      </c>
      <c r="AU166" s="124" t="s">
        <v>80</v>
      </c>
      <c r="AY166" s="118" t="s">
        <v>337</v>
      </c>
      <c r="BK166" s="125">
        <f>SUM(BK167:BK170)</f>
        <v>0</v>
      </c>
    </row>
    <row r="167" spans="2:65" s="16" customFormat="1" ht="16.5" customHeight="1" x14ac:dyDescent="0.2">
      <c r="B167" s="17"/>
      <c r="C167" s="128">
        <v>23</v>
      </c>
      <c r="D167" s="128" t="s">
        <v>339</v>
      </c>
      <c r="E167" s="129" t="s">
        <v>7033</v>
      </c>
      <c r="F167" s="130" t="s">
        <v>7606</v>
      </c>
      <c r="G167" s="131" t="s">
        <v>4460</v>
      </c>
      <c r="H167" s="132">
        <v>320</v>
      </c>
      <c r="I167" s="133"/>
      <c r="J167" s="134">
        <f>ROUND(I167*H167,2)</f>
        <v>0</v>
      </c>
      <c r="K167" s="130"/>
      <c r="L167" s="17"/>
      <c r="M167" s="135"/>
      <c r="N167" s="136" t="s">
        <v>45</v>
      </c>
      <c r="P167" s="137">
        <f>O167*H167</f>
        <v>0</v>
      </c>
      <c r="Q167" s="137">
        <v>0</v>
      </c>
      <c r="R167" s="137">
        <f>Q167*H167</f>
        <v>0</v>
      </c>
      <c r="S167" s="137">
        <v>0</v>
      </c>
      <c r="T167" s="138">
        <f>S167*H167</f>
        <v>0</v>
      </c>
      <c r="AR167" s="139" t="s">
        <v>344</v>
      </c>
      <c r="AT167" s="139" t="s">
        <v>339</v>
      </c>
      <c r="AU167" s="139" t="s">
        <v>87</v>
      </c>
      <c r="AY167" s="2" t="s">
        <v>337</v>
      </c>
      <c r="BE167" s="140">
        <f>IF(N167="základní",J167,0)</f>
        <v>0</v>
      </c>
      <c r="BF167" s="140">
        <f>IF(N167="snížená",J167,0)</f>
        <v>0</v>
      </c>
      <c r="BG167" s="140">
        <f>IF(N167="zákl. přenesená",J167,0)</f>
        <v>0</v>
      </c>
      <c r="BH167" s="140">
        <f>IF(N167="sníž. přenesená",J167,0)</f>
        <v>0</v>
      </c>
      <c r="BI167" s="140">
        <f>IF(N167="nulová",J167,0)</f>
        <v>0</v>
      </c>
      <c r="BJ167" s="2" t="s">
        <v>87</v>
      </c>
      <c r="BK167" s="140">
        <f>ROUND(I167*H167,2)</f>
        <v>0</v>
      </c>
      <c r="BL167" s="2" t="s">
        <v>344</v>
      </c>
      <c r="BM167" s="139" t="s">
        <v>733</v>
      </c>
    </row>
    <row r="168" spans="2:65" s="16" customFormat="1" ht="16.5" customHeight="1" x14ac:dyDescent="0.2">
      <c r="B168" s="17"/>
      <c r="C168" s="128">
        <v>24</v>
      </c>
      <c r="D168" s="128" t="s">
        <v>339</v>
      </c>
      <c r="E168" s="129" t="s">
        <v>7034</v>
      </c>
      <c r="F168" s="130" t="s">
        <v>7607</v>
      </c>
      <c r="G168" s="131" t="s">
        <v>4460</v>
      </c>
      <c r="H168" s="132">
        <v>22</v>
      </c>
      <c r="I168" s="133"/>
      <c r="J168" s="134">
        <f>ROUND(I168*H168,2)</f>
        <v>0</v>
      </c>
      <c r="K168" s="130"/>
      <c r="L168" s="17"/>
      <c r="M168" s="135"/>
      <c r="N168" s="136" t="s">
        <v>45</v>
      </c>
      <c r="P168" s="137">
        <f>O168*H168</f>
        <v>0</v>
      </c>
      <c r="Q168" s="137">
        <v>0</v>
      </c>
      <c r="R168" s="137">
        <f>Q168*H168</f>
        <v>0</v>
      </c>
      <c r="S168" s="137">
        <v>0</v>
      </c>
      <c r="T168" s="138">
        <f>S168*H168</f>
        <v>0</v>
      </c>
      <c r="AR168" s="139" t="s">
        <v>344</v>
      </c>
      <c r="AT168" s="139" t="s">
        <v>339</v>
      </c>
      <c r="AU168" s="139" t="s">
        <v>87</v>
      </c>
      <c r="AY168" s="2" t="s">
        <v>337</v>
      </c>
      <c r="BE168" s="140">
        <f>IF(N168="základní",J168,0)</f>
        <v>0</v>
      </c>
      <c r="BF168" s="140">
        <f>IF(N168="snížená",J168,0)</f>
        <v>0</v>
      </c>
      <c r="BG168" s="140">
        <f>IF(N168="zákl. přenesená",J168,0)</f>
        <v>0</v>
      </c>
      <c r="BH168" s="140">
        <f>IF(N168="sníž. přenesená",J168,0)</f>
        <v>0</v>
      </c>
      <c r="BI168" s="140">
        <f>IF(N168="nulová",J168,0)</f>
        <v>0</v>
      </c>
      <c r="BJ168" s="2" t="s">
        <v>87</v>
      </c>
      <c r="BK168" s="140">
        <f>ROUND(I168*H168,2)</f>
        <v>0</v>
      </c>
      <c r="BL168" s="2" t="s">
        <v>344</v>
      </c>
      <c r="BM168" s="139" t="s">
        <v>748</v>
      </c>
    </row>
    <row r="169" spans="2:65" s="16" customFormat="1" ht="16.5" customHeight="1" x14ac:dyDescent="0.2">
      <c r="B169" s="17"/>
      <c r="C169" s="128">
        <v>25</v>
      </c>
      <c r="D169" s="128" t="s">
        <v>339</v>
      </c>
      <c r="E169" s="129" t="s">
        <v>7036</v>
      </c>
      <c r="F169" s="130" t="s">
        <v>7608</v>
      </c>
      <c r="G169" s="131" t="s">
        <v>4460</v>
      </c>
      <c r="H169" s="132">
        <v>340</v>
      </c>
      <c r="I169" s="133"/>
      <c r="J169" s="134">
        <f>ROUND(I169*H169,2)</f>
        <v>0</v>
      </c>
      <c r="K169" s="130"/>
      <c r="L169" s="17"/>
      <c r="M169" s="135"/>
      <c r="N169" s="136" t="s">
        <v>45</v>
      </c>
      <c r="P169" s="137">
        <f>O169*H169</f>
        <v>0</v>
      </c>
      <c r="Q169" s="137">
        <v>0</v>
      </c>
      <c r="R169" s="137">
        <f>Q169*H169</f>
        <v>0</v>
      </c>
      <c r="S169" s="137">
        <v>0</v>
      </c>
      <c r="T169" s="138">
        <f>S169*H169</f>
        <v>0</v>
      </c>
      <c r="AR169" s="139" t="s">
        <v>344</v>
      </c>
      <c r="AT169" s="139" t="s">
        <v>339</v>
      </c>
      <c r="AU169" s="139" t="s">
        <v>87</v>
      </c>
      <c r="AY169" s="2" t="s">
        <v>337</v>
      </c>
      <c r="BE169" s="140">
        <f>IF(N169="základní",J169,0)</f>
        <v>0</v>
      </c>
      <c r="BF169" s="140">
        <f>IF(N169="snížená",J169,0)</f>
        <v>0</v>
      </c>
      <c r="BG169" s="140">
        <f>IF(N169="zákl. přenesená",J169,0)</f>
        <v>0</v>
      </c>
      <c r="BH169" s="140">
        <f>IF(N169="sníž. přenesená",J169,0)</f>
        <v>0</v>
      </c>
      <c r="BI169" s="140">
        <f>IF(N169="nulová",J169,0)</f>
        <v>0</v>
      </c>
      <c r="BJ169" s="2" t="s">
        <v>87</v>
      </c>
      <c r="BK169" s="140">
        <f>ROUND(I169*H169,2)</f>
        <v>0</v>
      </c>
      <c r="BL169" s="2" t="s">
        <v>344</v>
      </c>
      <c r="BM169" s="139" t="s">
        <v>762</v>
      </c>
    </row>
    <row r="170" spans="2:65" s="16" customFormat="1" ht="16.5" customHeight="1" x14ac:dyDescent="0.2">
      <c r="B170" s="17"/>
      <c r="C170" s="128">
        <v>26</v>
      </c>
      <c r="D170" s="128" t="s">
        <v>339</v>
      </c>
      <c r="E170" s="129" t="s">
        <v>7038</v>
      </c>
      <c r="F170" s="130" t="s">
        <v>7609</v>
      </c>
      <c r="G170" s="131" t="s">
        <v>4460</v>
      </c>
      <c r="H170" s="132">
        <v>350</v>
      </c>
      <c r="I170" s="133"/>
      <c r="J170" s="134">
        <f>ROUND(I170*H170,2)</f>
        <v>0</v>
      </c>
      <c r="K170" s="130"/>
      <c r="L170" s="17"/>
      <c r="M170" s="135"/>
      <c r="N170" s="136" t="s">
        <v>45</v>
      </c>
      <c r="P170" s="137">
        <f>O170*H170</f>
        <v>0</v>
      </c>
      <c r="Q170" s="137">
        <v>0</v>
      </c>
      <c r="R170" s="137">
        <f>Q170*H170</f>
        <v>0</v>
      </c>
      <c r="S170" s="137">
        <v>0</v>
      </c>
      <c r="T170" s="138">
        <f>S170*H170</f>
        <v>0</v>
      </c>
      <c r="AR170" s="139" t="s">
        <v>344</v>
      </c>
      <c r="AT170" s="139" t="s">
        <v>339</v>
      </c>
      <c r="AU170" s="139" t="s">
        <v>87</v>
      </c>
      <c r="AY170" s="2" t="s">
        <v>337</v>
      </c>
      <c r="BE170" s="140">
        <f>IF(N170="základní",J170,0)</f>
        <v>0</v>
      </c>
      <c r="BF170" s="140">
        <f>IF(N170="snížená",J170,0)</f>
        <v>0</v>
      </c>
      <c r="BG170" s="140">
        <f>IF(N170="zákl. přenesená",J170,0)</f>
        <v>0</v>
      </c>
      <c r="BH170" s="140">
        <f>IF(N170="sníž. přenesená",J170,0)</f>
        <v>0</v>
      </c>
      <c r="BI170" s="140">
        <f>IF(N170="nulová",J170,0)</f>
        <v>0</v>
      </c>
      <c r="BJ170" s="2" t="s">
        <v>87</v>
      </c>
      <c r="BK170" s="140">
        <f>ROUND(I170*H170,2)</f>
        <v>0</v>
      </c>
      <c r="BL170" s="2" t="s">
        <v>344</v>
      </c>
      <c r="BM170" s="139" t="s">
        <v>774</v>
      </c>
    </row>
    <row r="171" spans="2:65" s="116" customFormat="1" ht="25.9" customHeight="1" x14ac:dyDescent="0.2">
      <c r="B171" s="117"/>
      <c r="D171" s="118" t="s">
        <v>79</v>
      </c>
      <c r="E171" s="119" t="s">
        <v>430</v>
      </c>
      <c r="F171" s="119" t="s">
        <v>7610</v>
      </c>
      <c r="J171" s="120">
        <f>BK171</f>
        <v>0</v>
      </c>
      <c r="L171" s="117"/>
      <c r="M171" s="121"/>
      <c r="P171" s="122">
        <f>P172</f>
        <v>0</v>
      </c>
      <c r="R171" s="122">
        <f>R172</f>
        <v>0</v>
      </c>
      <c r="T171" s="123">
        <f>T172</f>
        <v>0</v>
      </c>
      <c r="AR171" s="118" t="s">
        <v>87</v>
      </c>
      <c r="AT171" s="124" t="s">
        <v>79</v>
      </c>
      <c r="AU171" s="124" t="s">
        <v>80</v>
      </c>
      <c r="AY171" s="118" t="s">
        <v>337</v>
      </c>
      <c r="BK171" s="125">
        <f>BK172</f>
        <v>0</v>
      </c>
    </row>
    <row r="172" spans="2:65" s="16" customFormat="1" ht="16.5" customHeight="1" x14ac:dyDescent="0.2">
      <c r="B172" s="17"/>
      <c r="C172" s="128">
        <v>27</v>
      </c>
      <c r="D172" s="128" t="s">
        <v>339</v>
      </c>
      <c r="E172" s="129" t="s">
        <v>7611</v>
      </c>
      <c r="F172" s="130" t="s">
        <v>7612</v>
      </c>
      <c r="G172" s="131" t="s">
        <v>4460</v>
      </c>
      <c r="H172" s="132">
        <v>40</v>
      </c>
      <c r="I172" s="133"/>
      <c r="J172" s="134">
        <f>ROUND(I172*H172,2)</f>
        <v>0</v>
      </c>
      <c r="K172" s="130"/>
      <c r="L172" s="17"/>
      <c r="M172" s="135"/>
      <c r="N172" s="136" t="s">
        <v>45</v>
      </c>
      <c r="P172" s="137">
        <f>O172*H172</f>
        <v>0</v>
      </c>
      <c r="Q172" s="137">
        <v>0</v>
      </c>
      <c r="R172" s="137">
        <f>Q172*H172</f>
        <v>0</v>
      </c>
      <c r="S172" s="137">
        <v>0</v>
      </c>
      <c r="T172" s="138">
        <f>S172*H172</f>
        <v>0</v>
      </c>
      <c r="AR172" s="139" t="s">
        <v>344</v>
      </c>
      <c r="AT172" s="139" t="s">
        <v>339</v>
      </c>
      <c r="AU172" s="139" t="s">
        <v>87</v>
      </c>
      <c r="AY172" s="2" t="s">
        <v>337</v>
      </c>
      <c r="BE172" s="140">
        <f>IF(N172="základní",J172,0)</f>
        <v>0</v>
      </c>
      <c r="BF172" s="140">
        <f>IF(N172="snížená",J172,0)</f>
        <v>0</v>
      </c>
      <c r="BG172" s="140">
        <f>IF(N172="zákl. přenesená",J172,0)</f>
        <v>0</v>
      </c>
      <c r="BH172" s="140">
        <f>IF(N172="sníž. přenesená",J172,0)</f>
        <v>0</v>
      </c>
      <c r="BI172" s="140">
        <f>IF(N172="nulová",J172,0)</f>
        <v>0</v>
      </c>
      <c r="BJ172" s="2" t="s">
        <v>87</v>
      </c>
      <c r="BK172" s="140">
        <f>ROUND(I172*H172,2)</f>
        <v>0</v>
      </c>
      <c r="BL172" s="2" t="s">
        <v>344</v>
      </c>
      <c r="BM172" s="139" t="s">
        <v>788</v>
      </c>
    </row>
    <row r="173" spans="2:65" s="116" customFormat="1" ht="25.9" customHeight="1" x14ac:dyDescent="0.2">
      <c r="B173" s="117"/>
      <c r="D173" s="118" t="s">
        <v>79</v>
      </c>
      <c r="E173" s="119" t="s">
        <v>441</v>
      </c>
      <c r="F173" s="119" t="s">
        <v>7613</v>
      </c>
      <c r="J173" s="120">
        <f>BK173</f>
        <v>0</v>
      </c>
      <c r="L173" s="117"/>
      <c r="M173" s="121"/>
      <c r="P173" s="122">
        <f>SUM(P174:P175)</f>
        <v>0</v>
      </c>
      <c r="R173" s="122">
        <f>SUM(R174:R175)</f>
        <v>0</v>
      </c>
      <c r="T173" s="123">
        <f>SUM(T174:T175)</f>
        <v>0</v>
      </c>
      <c r="AR173" s="118" t="s">
        <v>87</v>
      </c>
      <c r="AT173" s="124" t="s">
        <v>79</v>
      </c>
      <c r="AU173" s="124" t="s">
        <v>80</v>
      </c>
      <c r="AY173" s="118" t="s">
        <v>337</v>
      </c>
      <c r="BK173" s="125">
        <f>SUM(BK174:BK175)</f>
        <v>0</v>
      </c>
    </row>
    <row r="174" spans="2:65" s="16" customFormat="1" ht="16.5" customHeight="1" x14ac:dyDescent="0.2">
      <c r="B174" s="17"/>
      <c r="C174" s="128">
        <v>28</v>
      </c>
      <c r="D174" s="128" t="s">
        <v>339</v>
      </c>
      <c r="E174" s="129" t="s">
        <v>7614</v>
      </c>
      <c r="F174" s="130" t="s">
        <v>7615</v>
      </c>
      <c r="G174" s="131" t="s">
        <v>4460</v>
      </c>
      <c r="H174" s="132">
        <v>3</v>
      </c>
      <c r="I174" s="133"/>
      <c r="J174" s="134">
        <f>ROUND(I174*H174,2)</f>
        <v>0</v>
      </c>
      <c r="K174" s="130"/>
      <c r="L174" s="17"/>
      <c r="M174" s="135"/>
      <c r="N174" s="136" t="s">
        <v>45</v>
      </c>
      <c r="P174" s="137">
        <f>O174*H174</f>
        <v>0</v>
      </c>
      <c r="Q174" s="137">
        <v>0</v>
      </c>
      <c r="R174" s="137">
        <f>Q174*H174</f>
        <v>0</v>
      </c>
      <c r="S174" s="137">
        <v>0</v>
      </c>
      <c r="T174" s="138">
        <f>S174*H174</f>
        <v>0</v>
      </c>
      <c r="AR174" s="139" t="s">
        <v>344</v>
      </c>
      <c r="AT174" s="139" t="s">
        <v>339</v>
      </c>
      <c r="AU174" s="139" t="s">
        <v>87</v>
      </c>
      <c r="AY174" s="2" t="s">
        <v>337</v>
      </c>
      <c r="BE174" s="140">
        <f>IF(N174="základní",J174,0)</f>
        <v>0</v>
      </c>
      <c r="BF174" s="140">
        <f>IF(N174="snížená",J174,0)</f>
        <v>0</v>
      </c>
      <c r="BG174" s="140">
        <f>IF(N174="zákl. přenesená",J174,0)</f>
        <v>0</v>
      </c>
      <c r="BH174" s="140">
        <f>IF(N174="sníž. přenesená",J174,0)</f>
        <v>0</v>
      </c>
      <c r="BI174" s="140">
        <f>IF(N174="nulová",J174,0)</f>
        <v>0</v>
      </c>
      <c r="BJ174" s="2" t="s">
        <v>87</v>
      </c>
      <c r="BK174" s="140">
        <f>ROUND(I174*H174,2)</f>
        <v>0</v>
      </c>
      <c r="BL174" s="2" t="s">
        <v>344</v>
      </c>
      <c r="BM174" s="139" t="s">
        <v>797</v>
      </c>
    </row>
    <row r="175" spans="2:65" s="16" customFormat="1" ht="16.5" customHeight="1" x14ac:dyDescent="0.2">
      <c r="B175" s="17"/>
      <c r="C175" s="128">
        <v>29</v>
      </c>
      <c r="D175" s="128" t="s">
        <v>339</v>
      </c>
      <c r="E175" s="129" t="s">
        <v>7616</v>
      </c>
      <c r="F175" s="130" t="s">
        <v>7608</v>
      </c>
      <c r="G175" s="131" t="s">
        <v>4460</v>
      </c>
      <c r="H175" s="132">
        <v>3</v>
      </c>
      <c r="I175" s="133"/>
      <c r="J175" s="134">
        <f>ROUND(I175*H175,2)</f>
        <v>0</v>
      </c>
      <c r="K175" s="130"/>
      <c r="L175" s="17"/>
      <c r="M175" s="135"/>
      <c r="N175" s="136" t="s">
        <v>45</v>
      </c>
      <c r="P175" s="137">
        <f>O175*H175</f>
        <v>0</v>
      </c>
      <c r="Q175" s="137">
        <v>0</v>
      </c>
      <c r="R175" s="137">
        <f>Q175*H175</f>
        <v>0</v>
      </c>
      <c r="S175" s="137">
        <v>0</v>
      </c>
      <c r="T175" s="138">
        <f>S175*H175</f>
        <v>0</v>
      </c>
      <c r="AR175" s="139" t="s">
        <v>344</v>
      </c>
      <c r="AT175" s="139" t="s">
        <v>339</v>
      </c>
      <c r="AU175" s="139" t="s">
        <v>87</v>
      </c>
      <c r="AY175" s="2" t="s">
        <v>337</v>
      </c>
      <c r="BE175" s="140">
        <f>IF(N175="základní",J175,0)</f>
        <v>0</v>
      </c>
      <c r="BF175" s="140">
        <f>IF(N175="snížená",J175,0)</f>
        <v>0</v>
      </c>
      <c r="BG175" s="140">
        <f>IF(N175="zákl. přenesená",J175,0)</f>
        <v>0</v>
      </c>
      <c r="BH175" s="140">
        <f>IF(N175="sníž. přenesená",J175,0)</f>
        <v>0</v>
      </c>
      <c r="BI175" s="140">
        <f>IF(N175="nulová",J175,0)</f>
        <v>0</v>
      </c>
      <c r="BJ175" s="2" t="s">
        <v>87</v>
      </c>
      <c r="BK175" s="140">
        <f>ROUND(I175*H175,2)</f>
        <v>0</v>
      </c>
      <c r="BL175" s="2" t="s">
        <v>344</v>
      </c>
      <c r="BM175" s="139" t="s">
        <v>807</v>
      </c>
    </row>
    <row r="176" spans="2:65" s="116" customFormat="1" ht="25.9" customHeight="1" x14ac:dyDescent="0.2">
      <c r="B176" s="117"/>
      <c r="D176" s="118" t="s">
        <v>79</v>
      </c>
      <c r="E176" s="119" t="s">
        <v>446</v>
      </c>
      <c r="F176" s="119" t="s">
        <v>7617</v>
      </c>
      <c r="J176" s="120">
        <f>BK176</f>
        <v>0</v>
      </c>
      <c r="L176" s="117"/>
      <c r="M176" s="121"/>
      <c r="P176" s="122">
        <f>SUM(P177:P182)</f>
        <v>0</v>
      </c>
      <c r="R176" s="122">
        <f>SUM(R177:R182)</f>
        <v>0</v>
      </c>
      <c r="T176" s="123">
        <f>SUM(T177:T182)</f>
        <v>0</v>
      </c>
      <c r="AR176" s="118" t="s">
        <v>87</v>
      </c>
      <c r="AT176" s="124" t="s">
        <v>79</v>
      </c>
      <c r="AU176" s="124" t="s">
        <v>80</v>
      </c>
      <c r="AY176" s="118" t="s">
        <v>337</v>
      </c>
      <c r="BK176" s="125">
        <f>SUM(BK177:BK182)</f>
        <v>0</v>
      </c>
    </row>
    <row r="177" spans="2:65" s="16" customFormat="1" ht="16.5" customHeight="1" x14ac:dyDescent="0.2">
      <c r="B177" s="17"/>
      <c r="C177" s="128">
        <v>30</v>
      </c>
      <c r="D177" s="128" t="s">
        <v>339</v>
      </c>
      <c r="E177" s="129" t="s">
        <v>7618</v>
      </c>
      <c r="F177" s="130" t="s">
        <v>7619</v>
      </c>
      <c r="G177" s="131" t="s">
        <v>4460</v>
      </c>
      <c r="H177" s="132">
        <v>5</v>
      </c>
      <c r="I177" s="133"/>
      <c r="J177" s="134">
        <f t="shared" ref="J177:J182" si="20">ROUND(I177*H177,2)</f>
        <v>0</v>
      </c>
      <c r="K177" s="130"/>
      <c r="L177" s="17"/>
      <c r="M177" s="135"/>
      <c r="N177" s="136" t="s">
        <v>45</v>
      </c>
      <c r="P177" s="137">
        <f t="shared" ref="P177:P182" si="21">O177*H177</f>
        <v>0</v>
      </c>
      <c r="Q177" s="137">
        <v>0</v>
      </c>
      <c r="R177" s="137">
        <f t="shared" ref="R177:R182" si="22">Q177*H177</f>
        <v>0</v>
      </c>
      <c r="S177" s="137">
        <v>0</v>
      </c>
      <c r="T177" s="138">
        <f t="shared" ref="T177:T182" si="23">S177*H177</f>
        <v>0</v>
      </c>
      <c r="AR177" s="139" t="s">
        <v>344</v>
      </c>
      <c r="AT177" s="139" t="s">
        <v>339</v>
      </c>
      <c r="AU177" s="139" t="s">
        <v>87</v>
      </c>
      <c r="AY177" s="2" t="s">
        <v>337</v>
      </c>
      <c r="BE177" s="140">
        <f t="shared" ref="BE177:BE182" si="24">IF(N177="základní",J177,0)</f>
        <v>0</v>
      </c>
      <c r="BF177" s="140">
        <f t="shared" ref="BF177:BF182" si="25">IF(N177="snížená",J177,0)</f>
        <v>0</v>
      </c>
      <c r="BG177" s="140">
        <f t="shared" ref="BG177:BG182" si="26">IF(N177="zákl. přenesená",J177,0)</f>
        <v>0</v>
      </c>
      <c r="BH177" s="140">
        <f t="shared" ref="BH177:BH182" si="27">IF(N177="sníž. přenesená",J177,0)</f>
        <v>0</v>
      </c>
      <c r="BI177" s="140">
        <f t="shared" ref="BI177:BI182" si="28">IF(N177="nulová",J177,0)</f>
        <v>0</v>
      </c>
      <c r="BJ177" s="2" t="s">
        <v>87</v>
      </c>
      <c r="BK177" s="140">
        <f t="shared" ref="BK177:BK182" si="29">ROUND(I177*H177,2)</f>
        <v>0</v>
      </c>
      <c r="BL177" s="2" t="s">
        <v>344</v>
      </c>
      <c r="BM177" s="139" t="s">
        <v>818</v>
      </c>
    </row>
    <row r="178" spans="2:65" s="16" customFormat="1" ht="16.5" customHeight="1" x14ac:dyDescent="0.2">
      <c r="B178" s="17"/>
      <c r="C178" s="128">
        <v>31</v>
      </c>
      <c r="D178" s="128" t="s">
        <v>339</v>
      </c>
      <c r="E178" s="129" t="s">
        <v>7620</v>
      </c>
      <c r="F178" s="130" t="s">
        <v>7621</v>
      </c>
      <c r="G178" s="131" t="s">
        <v>4460</v>
      </c>
      <c r="H178" s="132">
        <v>2</v>
      </c>
      <c r="I178" s="133"/>
      <c r="J178" s="134">
        <f t="shared" si="20"/>
        <v>0</v>
      </c>
      <c r="K178" s="130"/>
      <c r="L178" s="17"/>
      <c r="M178" s="135"/>
      <c r="N178" s="136" t="s">
        <v>45</v>
      </c>
      <c r="P178" s="137">
        <f t="shared" si="21"/>
        <v>0</v>
      </c>
      <c r="Q178" s="137">
        <v>0</v>
      </c>
      <c r="R178" s="137">
        <f t="shared" si="22"/>
        <v>0</v>
      </c>
      <c r="S178" s="137">
        <v>0</v>
      </c>
      <c r="T178" s="138">
        <f t="shared" si="23"/>
        <v>0</v>
      </c>
      <c r="AR178" s="139" t="s">
        <v>344</v>
      </c>
      <c r="AT178" s="139" t="s">
        <v>339</v>
      </c>
      <c r="AU178" s="139" t="s">
        <v>87</v>
      </c>
      <c r="AY178" s="2" t="s">
        <v>337</v>
      </c>
      <c r="BE178" s="140">
        <f t="shared" si="24"/>
        <v>0</v>
      </c>
      <c r="BF178" s="140">
        <f t="shared" si="25"/>
        <v>0</v>
      </c>
      <c r="BG178" s="140">
        <f t="shared" si="26"/>
        <v>0</v>
      </c>
      <c r="BH178" s="140">
        <f t="shared" si="27"/>
        <v>0</v>
      </c>
      <c r="BI178" s="140">
        <f t="shared" si="28"/>
        <v>0</v>
      </c>
      <c r="BJ178" s="2" t="s">
        <v>87</v>
      </c>
      <c r="BK178" s="140">
        <f t="shared" si="29"/>
        <v>0</v>
      </c>
      <c r="BL178" s="2" t="s">
        <v>344</v>
      </c>
      <c r="BM178" s="139" t="s">
        <v>829</v>
      </c>
    </row>
    <row r="179" spans="2:65" s="16" customFormat="1" ht="16.5" customHeight="1" x14ac:dyDescent="0.2">
      <c r="B179" s="17"/>
      <c r="C179" s="128">
        <v>32</v>
      </c>
      <c r="D179" s="128" t="s">
        <v>339</v>
      </c>
      <c r="E179" s="129" t="s">
        <v>7622</v>
      </c>
      <c r="F179" s="130" t="s">
        <v>7623</v>
      </c>
      <c r="G179" s="131" t="s">
        <v>4460</v>
      </c>
      <c r="H179" s="132">
        <v>3</v>
      </c>
      <c r="I179" s="133"/>
      <c r="J179" s="134">
        <f t="shared" si="20"/>
        <v>0</v>
      </c>
      <c r="K179" s="130"/>
      <c r="L179" s="17"/>
      <c r="M179" s="135"/>
      <c r="N179" s="136" t="s">
        <v>45</v>
      </c>
      <c r="P179" s="137">
        <f t="shared" si="21"/>
        <v>0</v>
      </c>
      <c r="Q179" s="137">
        <v>0</v>
      </c>
      <c r="R179" s="137">
        <f t="shared" si="22"/>
        <v>0</v>
      </c>
      <c r="S179" s="137">
        <v>0</v>
      </c>
      <c r="T179" s="138">
        <f t="shared" si="23"/>
        <v>0</v>
      </c>
      <c r="AR179" s="139" t="s">
        <v>344</v>
      </c>
      <c r="AT179" s="139" t="s">
        <v>339</v>
      </c>
      <c r="AU179" s="139" t="s">
        <v>87</v>
      </c>
      <c r="AY179" s="2" t="s">
        <v>337</v>
      </c>
      <c r="BE179" s="140">
        <f t="shared" si="24"/>
        <v>0</v>
      </c>
      <c r="BF179" s="140">
        <f t="shared" si="25"/>
        <v>0</v>
      </c>
      <c r="BG179" s="140">
        <f t="shared" si="26"/>
        <v>0</v>
      </c>
      <c r="BH179" s="140">
        <f t="shared" si="27"/>
        <v>0</v>
      </c>
      <c r="BI179" s="140">
        <f t="shared" si="28"/>
        <v>0</v>
      </c>
      <c r="BJ179" s="2" t="s">
        <v>87</v>
      </c>
      <c r="BK179" s="140">
        <f t="shared" si="29"/>
        <v>0</v>
      </c>
      <c r="BL179" s="2" t="s">
        <v>344</v>
      </c>
      <c r="BM179" s="139" t="s">
        <v>850</v>
      </c>
    </row>
    <row r="180" spans="2:65" s="16" customFormat="1" ht="16.5" customHeight="1" x14ac:dyDescent="0.2">
      <c r="B180" s="17"/>
      <c r="C180" s="128">
        <v>33</v>
      </c>
      <c r="D180" s="128" t="s">
        <v>339</v>
      </c>
      <c r="E180" s="129" t="s">
        <v>7624</v>
      </c>
      <c r="F180" s="130" t="s">
        <v>7625</v>
      </c>
      <c r="G180" s="131" t="s">
        <v>4460</v>
      </c>
      <c r="H180" s="132">
        <v>11</v>
      </c>
      <c r="I180" s="133"/>
      <c r="J180" s="134">
        <f t="shared" si="20"/>
        <v>0</v>
      </c>
      <c r="K180" s="130"/>
      <c r="L180" s="17"/>
      <c r="M180" s="135"/>
      <c r="N180" s="136" t="s">
        <v>45</v>
      </c>
      <c r="P180" s="137">
        <f t="shared" si="21"/>
        <v>0</v>
      </c>
      <c r="Q180" s="137">
        <v>0</v>
      </c>
      <c r="R180" s="137">
        <f t="shared" si="22"/>
        <v>0</v>
      </c>
      <c r="S180" s="137">
        <v>0</v>
      </c>
      <c r="T180" s="138">
        <f t="shared" si="23"/>
        <v>0</v>
      </c>
      <c r="AR180" s="139" t="s">
        <v>344</v>
      </c>
      <c r="AT180" s="139" t="s">
        <v>339</v>
      </c>
      <c r="AU180" s="139" t="s">
        <v>87</v>
      </c>
      <c r="AY180" s="2" t="s">
        <v>337</v>
      </c>
      <c r="BE180" s="140">
        <f t="shared" si="24"/>
        <v>0</v>
      </c>
      <c r="BF180" s="140">
        <f t="shared" si="25"/>
        <v>0</v>
      </c>
      <c r="BG180" s="140">
        <f t="shared" si="26"/>
        <v>0</v>
      </c>
      <c r="BH180" s="140">
        <f t="shared" si="27"/>
        <v>0</v>
      </c>
      <c r="BI180" s="140">
        <f t="shared" si="28"/>
        <v>0</v>
      </c>
      <c r="BJ180" s="2" t="s">
        <v>87</v>
      </c>
      <c r="BK180" s="140">
        <f t="shared" si="29"/>
        <v>0</v>
      </c>
      <c r="BL180" s="2" t="s">
        <v>344</v>
      </c>
      <c r="BM180" s="139" t="s">
        <v>3442</v>
      </c>
    </row>
    <row r="181" spans="2:65" s="16" customFormat="1" ht="16.5" customHeight="1" x14ac:dyDescent="0.2">
      <c r="B181" s="17"/>
      <c r="C181" s="128">
        <v>34</v>
      </c>
      <c r="D181" s="128" t="s">
        <v>339</v>
      </c>
      <c r="E181" s="129" t="s">
        <v>7626</v>
      </c>
      <c r="F181" s="130" t="s">
        <v>7627</v>
      </c>
      <c r="G181" s="131" t="s">
        <v>4460</v>
      </c>
      <c r="H181" s="132">
        <v>3</v>
      </c>
      <c r="I181" s="133"/>
      <c r="J181" s="134">
        <f t="shared" si="20"/>
        <v>0</v>
      </c>
      <c r="K181" s="130"/>
      <c r="L181" s="17"/>
      <c r="M181" s="135"/>
      <c r="N181" s="136" t="s">
        <v>45</v>
      </c>
      <c r="P181" s="137">
        <f t="shared" si="21"/>
        <v>0</v>
      </c>
      <c r="Q181" s="137">
        <v>0</v>
      </c>
      <c r="R181" s="137">
        <f t="shared" si="22"/>
        <v>0</v>
      </c>
      <c r="S181" s="137">
        <v>0</v>
      </c>
      <c r="T181" s="138">
        <f t="shared" si="23"/>
        <v>0</v>
      </c>
      <c r="AR181" s="139" t="s">
        <v>344</v>
      </c>
      <c r="AT181" s="139" t="s">
        <v>339</v>
      </c>
      <c r="AU181" s="139" t="s">
        <v>87</v>
      </c>
      <c r="AY181" s="2" t="s">
        <v>337</v>
      </c>
      <c r="BE181" s="140">
        <f t="shared" si="24"/>
        <v>0</v>
      </c>
      <c r="BF181" s="140">
        <f t="shared" si="25"/>
        <v>0</v>
      </c>
      <c r="BG181" s="140">
        <f t="shared" si="26"/>
        <v>0</v>
      </c>
      <c r="BH181" s="140">
        <f t="shared" si="27"/>
        <v>0</v>
      </c>
      <c r="BI181" s="140">
        <f t="shared" si="28"/>
        <v>0</v>
      </c>
      <c r="BJ181" s="2" t="s">
        <v>87</v>
      </c>
      <c r="BK181" s="140">
        <f t="shared" si="29"/>
        <v>0</v>
      </c>
      <c r="BL181" s="2" t="s">
        <v>344</v>
      </c>
      <c r="BM181" s="139" t="s">
        <v>870</v>
      </c>
    </row>
    <row r="182" spans="2:65" s="16" customFormat="1" ht="16.5" customHeight="1" x14ac:dyDescent="0.2">
      <c r="B182" s="17"/>
      <c r="C182" s="128">
        <v>35</v>
      </c>
      <c r="D182" s="128" t="s">
        <v>339</v>
      </c>
      <c r="E182" s="129" t="s">
        <v>7628</v>
      </c>
      <c r="F182" s="130" t="s">
        <v>7629</v>
      </c>
      <c r="G182" s="131" t="s">
        <v>4460</v>
      </c>
      <c r="H182" s="132">
        <v>2</v>
      </c>
      <c r="I182" s="133"/>
      <c r="J182" s="134">
        <f t="shared" si="20"/>
        <v>0</v>
      </c>
      <c r="K182" s="130"/>
      <c r="L182" s="17"/>
      <c r="M182" s="135"/>
      <c r="N182" s="136" t="s">
        <v>45</v>
      </c>
      <c r="P182" s="137">
        <f t="shared" si="21"/>
        <v>0</v>
      </c>
      <c r="Q182" s="137">
        <v>0</v>
      </c>
      <c r="R182" s="137">
        <f t="shared" si="22"/>
        <v>0</v>
      </c>
      <c r="S182" s="137">
        <v>0</v>
      </c>
      <c r="T182" s="138">
        <f t="shared" si="23"/>
        <v>0</v>
      </c>
      <c r="AR182" s="139" t="s">
        <v>344</v>
      </c>
      <c r="AT182" s="139" t="s">
        <v>339</v>
      </c>
      <c r="AU182" s="139" t="s">
        <v>87</v>
      </c>
      <c r="AY182" s="2" t="s">
        <v>337</v>
      </c>
      <c r="BE182" s="140">
        <f t="shared" si="24"/>
        <v>0</v>
      </c>
      <c r="BF182" s="140">
        <f t="shared" si="25"/>
        <v>0</v>
      </c>
      <c r="BG182" s="140">
        <f t="shared" si="26"/>
        <v>0</v>
      </c>
      <c r="BH182" s="140">
        <f t="shared" si="27"/>
        <v>0</v>
      </c>
      <c r="BI182" s="140">
        <f t="shared" si="28"/>
        <v>0</v>
      </c>
      <c r="BJ182" s="2" t="s">
        <v>87</v>
      </c>
      <c r="BK182" s="140">
        <f t="shared" si="29"/>
        <v>0</v>
      </c>
      <c r="BL182" s="2" t="s">
        <v>344</v>
      </c>
      <c r="BM182" s="139" t="s">
        <v>943</v>
      </c>
    </row>
    <row r="183" spans="2:65" s="116" customFormat="1" ht="25.9" customHeight="1" x14ac:dyDescent="0.2">
      <c r="B183" s="117"/>
      <c r="D183" s="118" t="s">
        <v>79</v>
      </c>
      <c r="E183" s="119" t="s">
        <v>452</v>
      </c>
      <c r="F183" s="119" t="s">
        <v>7630</v>
      </c>
      <c r="J183" s="120">
        <f>BK183</f>
        <v>0</v>
      </c>
      <c r="L183" s="117"/>
      <c r="M183" s="121"/>
      <c r="P183" s="122">
        <f>SUM(P184:P185)</f>
        <v>0</v>
      </c>
      <c r="R183" s="122">
        <f>SUM(R184:R185)</f>
        <v>0</v>
      </c>
      <c r="T183" s="123">
        <f>SUM(T184:T185)</f>
        <v>0</v>
      </c>
      <c r="AR183" s="118" t="s">
        <v>87</v>
      </c>
      <c r="AT183" s="124" t="s">
        <v>79</v>
      </c>
      <c r="AU183" s="124" t="s">
        <v>80</v>
      </c>
      <c r="AY183" s="118" t="s">
        <v>337</v>
      </c>
      <c r="BK183" s="125">
        <f>SUM(BK184:BK185)</f>
        <v>0</v>
      </c>
    </row>
    <row r="184" spans="2:65" s="16" customFormat="1" ht="16.5" customHeight="1" x14ac:dyDescent="0.2">
      <c r="B184" s="17"/>
      <c r="C184" s="128">
        <v>36</v>
      </c>
      <c r="D184" s="128" t="s">
        <v>339</v>
      </c>
      <c r="E184" s="129" t="s">
        <v>7631</v>
      </c>
      <c r="F184" s="130" t="s">
        <v>7632</v>
      </c>
      <c r="G184" s="131" t="s">
        <v>4460</v>
      </c>
      <c r="H184" s="132">
        <v>1</v>
      </c>
      <c r="I184" s="133"/>
      <c r="J184" s="134">
        <f>ROUND(I184*H184,2)</f>
        <v>0</v>
      </c>
      <c r="K184" s="130"/>
      <c r="L184" s="17"/>
      <c r="M184" s="135"/>
      <c r="N184" s="136" t="s">
        <v>45</v>
      </c>
      <c r="P184" s="137">
        <f>O184*H184</f>
        <v>0</v>
      </c>
      <c r="Q184" s="137">
        <v>0</v>
      </c>
      <c r="R184" s="137">
        <f>Q184*H184</f>
        <v>0</v>
      </c>
      <c r="S184" s="137">
        <v>0</v>
      </c>
      <c r="T184" s="138">
        <f>S184*H184</f>
        <v>0</v>
      </c>
      <c r="AR184" s="139" t="s">
        <v>344</v>
      </c>
      <c r="AT184" s="139" t="s">
        <v>339</v>
      </c>
      <c r="AU184" s="139" t="s">
        <v>87</v>
      </c>
      <c r="AY184" s="2" t="s">
        <v>337</v>
      </c>
      <c r="BE184" s="140">
        <f>IF(N184="základní",J184,0)</f>
        <v>0</v>
      </c>
      <c r="BF184" s="140">
        <f>IF(N184="snížená",J184,0)</f>
        <v>0</v>
      </c>
      <c r="BG184" s="140">
        <f>IF(N184="zákl. přenesená",J184,0)</f>
        <v>0</v>
      </c>
      <c r="BH184" s="140">
        <f>IF(N184="sníž. přenesená",J184,0)</f>
        <v>0</v>
      </c>
      <c r="BI184" s="140">
        <f>IF(N184="nulová",J184,0)</f>
        <v>0</v>
      </c>
      <c r="BJ184" s="2" t="s">
        <v>87</v>
      </c>
      <c r="BK184" s="140">
        <f>ROUND(I184*H184,2)</f>
        <v>0</v>
      </c>
      <c r="BL184" s="2" t="s">
        <v>344</v>
      </c>
      <c r="BM184" s="139" t="s">
        <v>950</v>
      </c>
    </row>
    <row r="185" spans="2:65" s="16" customFormat="1" ht="16.5" customHeight="1" x14ac:dyDescent="0.2">
      <c r="B185" s="17"/>
      <c r="C185" s="128">
        <v>37</v>
      </c>
      <c r="D185" s="128" t="s">
        <v>339</v>
      </c>
      <c r="E185" s="129" t="s">
        <v>7633</v>
      </c>
      <c r="F185" s="130" t="s">
        <v>7634</v>
      </c>
      <c r="G185" s="131" t="s">
        <v>4460</v>
      </c>
      <c r="H185" s="132">
        <v>1</v>
      </c>
      <c r="I185" s="133"/>
      <c r="J185" s="134">
        <f>ROUND(I185*H185,2)</f>
        <v>0</v>
      </c>
      <c r="K185" s="130"/>
      <c r="L185" s="17"/>
      <c r="M185" s="135"/>
      <c r="N185" s="136" t="s">
        <v>45</v>
      </c>
      <c r="P185" s="137">
        <f>O185*H185</f>
        <v>0</v>
      </c>
      <c r="Q185" s="137">
        <v>0</v>
      </c>
      <c r="R185" s="137">
        <f>Q185*H185</f>
        <v>0</v>
      </c>
      <c r="S185" s="137">
        <v>0</v>
      </c>
      <c r="T185" s="138">
        <f>S185*H185</f>
        <v>0</v>
      </c>
      <c r="AR185" s="139" t="s">
        <v>344</v>
      </c>
      <c r="AT185" s="139" t="s">
        <v>339</v>
      </c>
      <c r="AU185" s="139" t="s">
        <v>87</v>
      </c>
      <c r="AY185" s="2" t="s">
        <v>337</v>
      </c>
      <c r="BE185" s="140">
        <f>IF(N185="základní",J185,0)</f>
        <v>0</v>
      </c>
      <c r="BF185" s="140">
        <f>IF(N185="snížená",J185,0)</f>
        <v>0</v>
      </c>
      <c r="BG185" s="140">
        <f>IF(N185="zákl. přenesená",J185,0)</f>
        <v>0</v>
      </c>
      <c r="BH185" s="140">
        <f>IF(N185="sníž. přenesená",J185,0)</f>
        <v>0</v>
      </c>
      <c r="BI185" s="140">
        <f>IF(N185="nulová",J185,0)</f>
        <v>0</v>
      </c>
      <c r="BJ185" s="2" t="s">
        <v>87</v>
      </c>
      <c r="BK185" s="140">
        <f>ROUND(I185*H185,2)</f>
        <v>0</v>
      </c>
      <c r="BL185" s="2" t="s">
        <v>344</v>
      </c>
      <c r="BM185" s="139" t="s">
        <v>958</v>
      </c>
    </row>
    <row r="186" spans="2:65" s="116" customFormat="1" ht="25.9" customHeight="1" x14ac:dyDescent="0.2">
      <c r="B186" s="117"/>
      <c r="D186" s="118" t="s">
        <v>79</v>
      </c>
      <c r="E186" s="119" t="s">
        <v>462</v>
      </c>
      <c r="F186" s="119" t="s">
        <v>7635</v>
      </c>
      <c r="J186" s="120">
        <f>BK186</f>
        <v>0</v>
      </c>
      <c r="L186" s="117"/>
      <c r="M186" s="121"/>
      <c r="P186" s="122">
        <f>SUM(P187:P197)</f>
        <v>0</v>
      </c>
      <c r="R186" s="122">
        <f>SUM(R187:R197)</f>
        <v>0</v>
      </c>
      <c r="T186" s="123">
        <f>SUM(T187:T197)</f>
        <v>0</v>
      </c>
      <c r="AR186" s="118" t="s">
        <v>87</v>
      </c>
      <c r="AT186" s="124" t="s">
        <v>79</v>
      </c>
      <c r="AU186" s="124" t="s">
        <v>80</v>
      </c>
      <c r="AY186" s="118" t="s">
        <v>337</v>
      </c>
      <c r="BK186" s="125">
        <f>SUM(BK187:BK197)</f>
        <v>0</v>
      </c>
    </row>
    <row r="187" spans="2:65" s="16" customFormat="1" ht="16.5" customHeight="1" x14ac:dyDescent="0.2">
      <c r="B187" s="17"/>
      <c r="C187" s="128">
        <v>38</v>
      </c>
      <c r="D187" s="128" t="s">
        <v>339</v>
      </c>
      <c r="E187" s="129" t="s">
        <v>7636</v>
      </c>
      <c r="F187" s="130" t="s">
        <v>7637</v>
      </c>
      <c r="G187" s="131" t="s">
        <v>4460</v>
      </c>
      <c r="H187" s="132">
        <v>1</v>
      </c>
      <c r="I187" s="133"/>
      <c r="J187" s="134">
        <f t="shared" ref="J187:J197" si="30">ROUND(I187*H187,2)</f>
        <v>0</v>
      </c>
      <c r="K187" s="130"/>
      <c r="L187" s="17"/>
      <c r="M187" s="135"/>
      <c r="N187" s="136" t="s">
        <v>45</v>
      </c>
      <c r="P187" s="137">
        <f t="shared" ref="P187:P197" si="31">O187*H187</f>
        <v>0</v>
      </c>
      <c r="Q187" s="137">
        <v>0</v>
      </c>
      <c r="R187" s="137">
        <f t="shared" ref="R187:R197" si="32">Q187*H187</f>
        <v>0</v>
      </c>
      <c r="S187" s="137">
        <v>0</v>
      </c>
      <c r="T187" s="138">
        <f t="shared" ref="T187:T197" si="33">S187*H187</f>
        <v>0</v>
      </c>
      <c r="AR187" s="139" t="s">
        <v>344</v>
      </c>
      <c r="AT187" s="139" t="s">
        <v>339</v>
      </c>
      <c r="AU187" s="139" t="s">
        <v>87</v>
      </c>
      <c r="AY187" s="2" t="s">
        <v>337</v>
      </c>
      <c r="BE187" s="140">
        <f t="shared" ref="BE187:BE197" si="34">IF(N187="základní",J187,0)</f>
        <v>0</v>
      </c>
      <c r="BF187" s="140">
        <f t="shared" ref="BF187:BF197" si="35">IF(N187="snížená",J187,0)</f>
        <v>0</v>
      </c>
      <c r="BG187" s="140">
        <f t="shared" ref="BG187:BG197" si="36">IF(N187="zákl. přenesená",J187,0)</f>
        <v>0</v>
      </c>
      <c r="BH187" s="140">
        <f t="shared" ref="BH187:BH197" si="37">IF(N187="sníž. přenesená",J187,0)</f>
        <v>0</v>
      </c>
      <c r="BI187" s="140">
        <f t="shared" ref="BI187:BI197" si="38">IF(N187="nulová",J187,0)</f>
        <v>0</v>
      </c>
      <c r="BJ187" s="2" t="s">
        <v>87</v>
      </c>
      <c r="BK187" s="140">
        <f t="shared" ref="BK187:BK197" si="39">ROUND(I187*H187,2)</f>
        <v>0</v>
      </c>
      <c r="BL187" s="2" t="s">
        <v>344</v>
      </c>
      <c r="BM187" s="139" t="s">
        <v>970</v>
      </c>
    </row>
    <row r="188" spans="2:65" s="16" customFormat="1" ht="16.5" customHeight="1" x14ac:dyDescent="0.2">
      <c r="B188" s="17"/>
      <c r="C188" s="128">
        <v>39</v>
      </c>
      <c r="D188" s="128" t="s">
        <v>339</v>
      </c>
      <c r="E188" s="129" t="s">
        <v>7638</v>
      </c>
      <c r="F188" s="130" t="s">
        <v>7639</v>
      </c>
      <c r="G188" s="131" t="s">
        <v>4460</v>
      </c>
      <c r="H188" s="132">
        <v>1</v>
      </c>
      <c r="I188" s="133"/>
      <c r="J188" s="134">
        <f t="shared" si="30"/>
        <v>0</v>
      </c>
      <c r="K188" s="130"/>
      <c r="L188" s="17"/>
      <c r="M188" s="135"/>
      <c r="N188" s="136" t="s">
        <v>45</v>
      </c>
      <c r="P188" s="137">
        <f t="shared" si="31"/>
        <v>0</v>
      </c>
      <c r="Q188" s="137">
        <v>0</v>
      </c>
      <c r="R188" s="137">
        <f t="shared" si="32"/>
        <v>0</v>
      </c>
      <c r="S188" s="137">
        <v>0</v>
      </c>
      <c r="T188" s="138">
        <f t="shared" si="33"/>
        <v>0</v>
      </c>
      <c r="AR188" s="139" t="s">
        <v>344</v>
      </c>
      <c r="AT188" s="139" t="s">
        <v>339</v>
      </c>
      <c r="AU188" s="139" t="s">
        <v>87</v>
      </c>
      <c r="AY188" s="2" t="s">
        <v>337</v>
      </c>
      <c r="BE188" s="140">
        <f t="shared" si="34"/>
        <v>0</v>
      </c>
      <c r="BF188" s="140">
        <f t="shared" si="35"/>
        <v>0</v>
      </c>
      <c r="BG188" s="140">
        <f t="shared" si="36"/>
        <v>0</v>
      </c>
      <c r="BH188" s="140">
        <f t="shared" si="37"/>
        <v>0</v>
      </c>
      <c r="BI188" s="140">
        <f t="shared" si="38"/>
        <v>0</v>
      </c>
      <c r="BJ188" s="2" t="s">
        <v>87</v>
      </c>
      <c r="BK188" s="140">
        <f t="shared" si="39"/>
        <v>0</v>
      </c>
      <c r="BL188" s="2" t="s">
        <v>344</v>
      </c>
      <c r="BM188" s="139" t="s">
        <v>981</v>
      </c>
    </row>
    <row r="189" spans="2:65" s="16" customFormat="1" ht="16.5" customHeight="1" x14ac:dyDescent="0.2">
      <c r="B189" s="17"/>
      <c r="C189" s="128">
        <v>40</v>
      </c>
      <c r="D189" s="128" t="s">
        <v>339</v>
      </c>
      <c r="E189" s="129" t="s">
        <v>7640</v>
      </c>
      <c r="F189" s="130" t="s">
        <v>7641</v>
      </c>
      <c r="G189" s="131" t="s">
        <v>4460</v>
      </c>
      <c r="H189" s="132">
        <v>2</v>
      </c>
      <c r="I189" s="133"/>
      <c r="J189" s="134">
        <f t="shared" si="30"/>
        <v>0</v>
      </c>
      <c r="K189" s="130"/>
      <c r="L189" s="17"/>
      <c r="M189" s="135"/>
      <c r="N189" s="136" t="s">
        <v>45</v>
      </c>
      <c r="P189" s="137">
        <f t="shared" si="31"/>
        <v>0</v>
      </c>
      <c r="Q189" s="137">
        <v>0</v>
      </c>
      <c r="R189" s="137">
        <f t="shared" si="32"/>
        <v>0</v>
      </c>
      <c r="S189" s="137">
        <v>0</v>
      </c>
      <c r="T189" s="138">
        <f t="shared" si="33"/>
        <v>0</v>
      </c>
      <c r="AR189" s="139" t="s">
        <v>344</v>
      </c>
      <c r="AT189" s="139" t="s">
        <v>339</v>
      </c>
      <c r="AU189" s="139" t="s">
        <v>87</v>
      </c>
      <c r="AY189" s="2" t="s">
        <v>337</v>
      </c>
      <c r="BE189" s="140">
        <f t="shared" si="34"/>
        <v>0</v>
      </c>
      <c r="BF189" s="140">
        <f t="shared" si="35"/>
        <v>0</v>
      </c>
      <c r="BG189" s="140">
        <f t="shared" si="36"/>
        <v>0</v>
      </c>
      <c r="BH189" s="140">
        <f t="shared" si="37"/>
        <v>0</v>
      </c>
      <c r="BI189" s="140">
        <f t="shared" si="38"/>
        <v>0</v>
      </c>
      <c r="BJ189" s="2" t="s">
        <v>87</v>
      </c>
      <c r="BK189" s="140">
        <f t="shared" si="39"/>
        <v>0</v>
      </c>
      <c r="BL189" s="2" t="s">
        <v>344</v>
      </c>
      <c r="BM189" s="139" t="s">
        <v>996</v>
      </c>
    </row>
    <row r="190" spans="2:65" s="16" customFormat="1" ht="16.5" customHeight="1" x14ac:dyDescent="0.2">
      <c r="B190" s="17"/>
      <c r="C190" s="128">
        <v>41</v>
      </c>
      <c r="D190" s="128" t="s">
        <v>339</v>
      </c>
      <c r="E190" s="129" t="s">
        <v>7642</v>
      </c>
      <c r="F190" s="130" t="s">
        <v>7643</v>
      </c>
      <c r="G190" s="131" t="s">
        <v>4460</v>
      </c>
      <c r="H190" s="132">
        <v>1</v>
      </c>
      <c r="I190" s="133"/>
      <c r="J190" s="134">
        <f t="shared" si="30"/>
        <v>0</v>
      </c>
      <c r="K190" s="130"/>
      <c r="L190" s="17"/>
      <c r="M190" s="135"/>
      <c r="N190" s="136" t="s">
        <v>45</v>
      </c>
      <c r="P190" s="137">
        <f t="shared" si="31"/>
        <v>0</v>
      </c>
      <c r="Q190" s="137">
        <v>0</v>
      </c>
      <c r="R190" s="137">
        <f t="shared" si="32"/>
        <v>0</v>
      </c>
      <c r="S190" s="137">
        <v>0</v>
      </c>
      <c r="T190" s="138">
        <f t="shared" si="33"/>
        <v>0</v>
      </c>
      <c r="AR190" s="139" t="s">
        <v>344</v>
      </c>
      <c r="AT190" s="139" t="s">
        <v>339</v>
      </c>
      <c r="AU190" s="139" t="s">
        <v>87</v>
      </c>
      <c r="AY190" s="2" t="s">
        <v>337</v>
      </c>
      <c r="BE190" s="140">
        <f t="shared" si="34"/>
        <v>0</v>
      </c>
      <c r="BF190" s="140">
        <f t="shared" si="35"/>
        <v>0</v>
      </c>
      <c r="BG190" s="140">
        <f t="shared" si="36"/>
        <v>0</v>
      </c>
      <c r="BH190" s="140">
        <f t="shared" si="37"/>
        <v>0</v>
      </c>
      <c r="BI190" s="140">
        <f t="shared" si="38"/>
        <v>0</v>
      </c>
      <c r="BJ190" s="2" t="s">
        <v>87</v>
      </c>
      <c r="BK190" s="140">
        <f t="shared" si="39"/>
        <v>0</v>
      </c>
      <c r="BL190" s="2" t="s">
        <v>344</v>
      </c>
      <c r="BM190" s="139" t="s">
        <v>1008</v>
      </c>
    </row>
    <row r="191" spans="2:65" s="16" customFormat="1" ht="16.5" customHeight="1" x14ac:dyDescent="0.2">
      <c r="B191" s="17"/>
      <c r="C191" s="128">
        <v>42</v>
      </c>
      <c r="D191" s="128" t="s">
        <v>339</v>
      </c>
      <c r="E191" s="129" t="s">
        <v>7644</v>
      </c>
      <c r="F191" s="130" t="s">
        <v>7645</v>
      </c>
      <c r="G191" s="131" t="s">
        <v>4460</v>
      </c>
      <c r="H191" s="132">
        <v>2</v>
      </c>
      <c r="I191" s="133"/>
      <c r="J191" s="134">
        <f t="shared" si="30"/>
        <v>0</v>
      </c>
      <c r="K191" s="130"/>
      <c r="L191" s="17"/>
      <c r="M191" s="135"/>
      <c r="N191" s="136" t="s">
        <v>45</v>
      </c>
      <c r="P191" s="137">
        <f t="shared" si="31"/>
        <v>0</v>
      </c>
      <c r="Q191" s="137">
        <v>0</v>
      </c>
      <c r="R191" s="137">
        <f t="shared" si="32"/>
        <v>0</v>
      </c>
      <c r="S191" s="137">
        <v>0</v>
      </c>
      <c r="T191" s="138">
        <f t="shared" si="33"/>
        <v>0</v>
      </c>
      <c r="AR191" s="139" t="s">
        <v>344</v>
      </c>
      <c r="AT191" s="139" t="s">
        <v>339</v>
      </c>
      <c r="AU191" s="139" t="s">
        <v>87</v>
      </c>
      <c r="AY191" s="2" t="s">
        <v>337</v>
      </c>
      <c r="BE191" s="140">
        <f t="shared" si="34"/>
        <v>0</v>
      </c>
      <c r="BF191" s="140">
        <f t="shared" si="35"/>
        <v>0</v>
      </c>
      <c r="BG191" s="140">
        <f t="shared" si="36"/>
        <v>0</v>
      </c>
      <c r="BH191" s="140">
        <f t="shared" si="37"/>
        <v>0</v>
      </c>
      <c r="BI191" s="140">
        <f t="shared" si="38"/>
        <v>0</v>
      </c>
      <c r="BJ191" s="2" t="s">
        <v>87</v>
      </c>
      <c r="BK191" s="140">
        <f t="shared" si="39"/>
        <v>0</v>
      </c>
      <c r="BL191" s="2" t="s">
        <v>344</v>
      </c>
      <c r="BM191" s="139" t="s">
        <v>3778</v>
      </c>
    </row>
    <row r="192" spans="2:65" s="16" customFormat="1" ht="16.5" customHeight="1" x14ac:dyDescent="0.2">
      <c r="B192" s="17"/>
      <c r="C192" s="128">
        <v>43</v>
      </c>
      <c r="D192" s="128" t="s">
        <v>339</v>
      </c>
      <c r="E192" s="129" t="s">
        <v>7646</v>
      </c>
      <c r="F192" s="130" t="s">
        <v>7647</v>
      </c>
      <c r="G192" s="131" t="s">
        <v>4460</v>
      </c>
      <c r="H192" s="132">
        <v>162</v>
      </c>
      <c r="I192" s="133"/>
      <c r="J192" s="134">
        <f t="shared" si="30"/>
        <v>0</v>
      </c>
      <c r="K192" s="130"/>
      <c r="L192" s="17"/>
      <c r="M192" s="135"/>
      <c r="N192" s="136" t="s">
        <v>45</v>
      </c>
      <c r="P192" s="137">
        <f t="shared" si="31"/>
        <v>0</v>
      </c>
      <c r="Q192" s="137">
        <v>0</v>
      </c>
      <c r="R192" s="137">
        <f t="shared" si="32"/>
        <v>0</v>
      </c>
      <c r="S192" s="137">
        <v>0</v>
      </c>
      <c r="T192" s="138">
        <f t="shared" si="33"/>
        <v>0</v>
      </c>
      <c r="AR192" s="139" t="s">
        <v>344</v>
      </c>
      <c r="AT192" s="139" t="s">
        <v>339</v>
      </c>
      <c r="AU192" s="139" t="s">
        <v>87</v>
      </c>
      <c r="AY192" s="2" t="s">
        <v>337</v>
      </c>
      <c r="BE192" s="140">
        <f t="shared" si="34"/>
        <v>0</v>
      </c>
      <c r="BF192" s="140">
        <f t="shared" si="35"/>
        <v>0</v>
      </c>
      <c r="BG192" s="140">
        <f t="shared" si="36"/>
        <v>0</v>
      </c>
      <c r="BH192" s="140">
        <f t="shared" si="37"/>
        <v>0</v>
      </c>
      <c r="BI192" s="140">
        <f t="shared" si="38"/>
        <v>0</v>
      </c>
      <c r="BJ192" s="2" t="s">
        <v>87</v>
      </c>
      <c r="BK192" s="140">
        <f t="shared" si="39"/>
        <v>0</v>
      </c>
      <c r="BL192" s="2" t="s">
        <v>344</v>
      </c>
      <c r="BM192" s="139" t="s">
        <v>1037</v>
      </c>
    </row>
    <row r="193" spans="2:65" s="16" customFormat="1" ht="16.5" customHeight="1" x14ac:dyDescent="0.2">
      <c r="B193" s="17"/>
      <c r="C193" s="128">
        <v>44</v>
      </c>
      <c r="D193" s="128" t="s">
        <v>339</v>
      </c>
      <c r="E193" s="129" t="s">
        <v>7648</v>
      </c>
      <c r="F193" s="130" t="s">
        <v>7649</v>
      </c>
      <c r="G193" s="131" t="s">
        <v>4460</v>
      </c>
      <c r="H193" s="132">
        <v>17</v>
      </c>
      <c r="I193" s="133"/>
      <c r="J193" s="134">
        <f t="shared" si="30"/>
        <v>0</v>
      </c>
      <c r="K193" s="130"/>
      <c r="L193" s="17"/>
      <c r="M193" s="135"/>
      <c r="N193" s="136" t="s">
        <v>45</v>
      </c>
      <c r="P193" s="137">
        <f t="shared" si="31"/>
        <v>0</v>
      </c>
      <c r="Q193" s="137">
        <v>0</v>
      </c>
      <c r="R193" s="137">
        <f t="shared" si="32"/>
        <v>0</v>
      </c>
      <c r="S193" s="137">
        <v>0</v>
      </c>
      <c r="T193" s="138">
        <f t="shared" si="33"/>
        <v>0</v>
      </c>
      <c r="AR193" s="139" t="s">
        <v>344</v>
      </c>
      <c r="AT193" s="139" t="s">
        <v>339</v>
      </c>
      <c r="AU193" s="139" t="s">
        <v>87</v>
      </c>
      <c r="AY193" s="2" t="s">
        <v>337</v>
      </c>
      <c r="BE193" s="140">
        <f t="shared" si="34"/>
        <v>0</v>
      </c>
      <c r="BF193" s="140">
        <f t="shared" si="35"/>
        <v>0</v>
      </c>
      <c r="BG193" s="140">
        <f t="shared" si="36"/>
        <v>0</v>
      </c>
      <c r="BH193" s="140">
        <f t="shared" si="37"/>
        <v>0</v>
      </c>
      <c r="BI193" s="140">
        <f t="shared" si="38"/>
        <v>0</v>
      </c>
      <c r="BJ193" s="2" t="s">
        <v>87</v>
      </c>
      <c r="BK193" s="140">
        <f t="shared" si="39"/>
        <v>0</v>
      </c>
      <c r="BL193" s="2" t="s">
        <v>344</v>
      </c>
      <c r="BM193" s="139" t="s">
        <v>1049</v>
      </c>
    </row>
    <row r="194" spans="2:65" s="16" customFormat="1" ht="16.5" customHeight="1" x14ac:dyDescent="0.2">
      <c r="B194" s="17"/>
      <c r="C194" s="128">
        <v>45</v>
      </c>
      <c r="D194" s="128" t="s">
        <v>339</v>
      </c>
      <c r="E194" s="129" t="s">
        <v>7650</v>
      </c>
      <c r="F194" s="130" t="s">
        <v>7651</v>
      </c>
      <c r="G194" s="131" t="s">
        <v>4460</v>
      </c>
      <c r="H194" s="132">
        <v>17</v>
      </c>
      <c r="I194" s="133"/>
      <c r="J194" s="134">
        <f t="shared" si="30"/>
        <v>0</v>
      </c>
      <c r="K194" s="130"/>
      <c r="L194" s="17"/>
      <c r="M194" s="135"/>
      <c r="N194" s="136" t="s">
        <v>45</v>
      </c>
      <c r="P194" s="137">
        <f t="shared" si="31"/>
        <v>0</v>
      </c>
      <c r="Q194" s="137">
        <v>0</v>
      </c>
      <c r="R194" s="137">
        <f t="shared" si="32"/>
        <v>0</v>
      </c>
      <c r="S194" s="137">
        <v>0</v>
      </c>
      <c r="T194" s="138">
        <f t="shared" si="33"/>
        <v>0</v>
      </c>
      <c r="AR194" s="139" t="s">
        <v>344</v>
      </c>
      <c r="AT194" s="139" t="s">
        <v>339</v>
      </c>
      <c r="AU194" s="139" t="s">
        <v>87</v>
      </c>
      <c r="AY194" s="2" t="s">
        <v>337</v>
      </c>
      <c r="BE194" s="140">
        <f t="shared" si="34"/>
        <v>0</v>
      </c>
      <c r="BF194" s="140">
        <f t="shared" si="35"/>
        <v>0</v>
      </c>
      <c r="BG194" s="140">
        <f t="shared" si="36"/>
        <v>0</v>
      </c>
      <c r="BH194" s="140">
        <f t="shared" si="37"/>
        <v>0</v>
      </c>
      <c r="BI194" s="140">
        <f t="shared" si="38"/>
        <v>0</v>
      </c>
      <c r="BJ194" s="2" t="s">
        <v>87</v>
      </c>
      <c r="BK194" s="140">
        <f t="shared" si="39"/>
        <v>0</v>
      </c>
      <c r="BL194" s="2" t="s">
        <v>344</v>
      </c>
      <c r="BM194" s="139" t="s">
        <v>1738</v>
      </c>
    </row>
    <row r="195" spans="2:65" s="16" customFormat="1" ht="16.5" customHeight="1" x14ac:dyDescent="0.2">
      <c r="B195" s="17"/>
      <c r="C195" s="128">
        <v>46</v>
      </c>
      <c r="D195" s="128" t="s">
        <v>339</v>
      </c>
      <c r="E195" s="129" t="s">
        <v>7652</v>
      </c>
      <c r="F195" s="130" t="s">
        <v>7653</v>
      </c>
      <c r="G195" s="131" t="s">
        <v>4460</v>
      </c>
      <c r="H195" s="132">
        <v>13</v>
      </c>
      <c r="I195" s="133"/>
      <c r="J195" s="134">
        <f t="shared" si="30"/>
        <v>0</v>
      </c>
      <c r="K195" s="130"/>
      <c r="L195" s="17"/>
      <c r="M195" s="135"/>
      <c r="N195" s="136" t="s">
        <v>45</v>
      </c>
      <c r="P195" s="137">
        <f t="shared" si="31"/>
        <v>0</v>
      </c>
      <c r="Q195" s="137">
        <v>0</v>
      </c>
      <c r="R195" s="137">
        <f t="shared" si="32"/>
        <v>0</v>
      </c>
      <c r="S195" s="137">
        <v>0</v>
      </c>
      <c r="T195" s="138">
        <f t="shared" si="33"/>
        <v>0</v>
      </c>
      <c r="AR195" s="139" t="s">
        <v>344</v>
      </c>
      <c r="AT195" s="139" t="s">
        <v>339</v>
      </c>
      <c r="AU195" s="139" t="s">
        <v>87</v>
      </c>
      <c r="AY195" s="2" t="s">
        <v>337</v>
      </c>
      <c r="BE195" s="140">
        <f t="shared" si="34"/>
        <v>0</v>
      </c>
      <c r="BF195" s="140">
        <f t="shared" si="35"/>
        <v>0</v>
      </c>
      <c r="BG195" s="140">
        <f t="shared" si="36"/>
        <v>0</v>
      </c>
      <c r="BH195" s="140">
        <f t="shared" si="37"/>
        <v>0</v>
      </c>
      <c r="BI195" s="140">
        <f t="shared" si="38"/>
        <v>0</v>
      </c>
      <c r="BJ195" s="2" t="s">
        <v>87</v>
      </c>
      <c r="BK195" s="140">
        <f t="shared" si="39"/>
        <v>0</v>
      </c>
      <c r="BL195" s="2" t="s">
        <v>344</v>
      </c>
      <c r="BM195" s="139" t="s">
        <v>1080</v>
      </c>
    </row>
    <row r="196" spans="2:65" s="16" customFormat="1" ht="16.5" customHeight="1" x14ac:dyDescent="0.2">
      <c r="B196" s="17"/>
      <c r="C196" s="128">
        <v>47</v>
      </c>
      <c r="D196" s="128" t="s">
        <v>339</v>
      </c>
      <c r="E196" s="129" t="s">
        <v>7654</v>
      </c>
      <c r="F196" s="130" t="s">
        <v>7655</v>
      </c>
      <c r="G196" s="131" t="s">
        <v>4460</v>
      </c>
      <c r="H196" s="132">
        <v>12</v>
      </c>
      <c r="I196" s="133"/>
      <c r="J196" s="134">
        <f t="shared" ref="J196" si="40">ROUND(I196*H196,2)</f>
        <v>0</v>
      </c>
      <c r="K196" s="130"/>
      <c r="L196" s="17"/>
      <c r="M196" s="135"/>
      <c r="N196" s="136" t="s">
        <v>45</v>
      </c>
      <c r="P196" s="137">
        <f t="shared" ref="P196" si="41">O196*H196</f>
        <v>0</v>
      </c>
      <c r="Q196" s="137">
        <v>0</v>
      </c>
      <c r="R196" s="137">
        <f t="shared" ref="R196" si="42">Q196*H196</f>
        <v>0</v>
      </c>
      <c r="S196" s="137">
        <v>0</v>
      </c>
      <c r="T196" s="138">
        <f t="shared" ref="T196" si="43">S196*H196</f>
        <v>0</v>
      </c>
      <c r="AR196" s="139" t="s">
        <v>344</v>
      </c>
      <c r="AT196" s="139" t="s">
        <v>339</v>
      </c>
      <c r="AU196" s="139" t="s">
        <v>87</v>
      </c>
      <c r="AY196" s="2" t="s">
        <v>337</v>
      </c>
      <c r="BE196" s="140">
        <f t="shared" ref="BE196" si="44">IF(N196="základní",J196,0)</f>
        <v>0</v>
      </c>
      <c r="BF196" s="140">
        <f t="shared" ref="BF196" si="45">IF(N196="snížená",J196,0)</f>
        <v>0</v>
      </c>
      <c r="BG196" s="140">
        <f t="shared" ref="BG196" si="46">IF(N196="zákl. přenesená",J196,0)</f>
        <v>0</v>
      </c>
      <c r="BH196" s="140">
        <f t="shared" ref="BH196" si="47">IF(N196="sníž. přenesená",J196,0)</f>
        <v>0</v>
      </c>
      <c r="BI196" s="140">
        <f t="shared" ref="BI196" si="48">IF(N196="nulová",J196,0)</f>
        <v>0</v>
      </c>
      <c r="BJ196" s="2" t="s">
        <v>87</v>
      </c>
      <c r="BK196" s="140">
        <f t="shared" ref="BK196" si="49">ROUND(I196*H196,2)</f>
        <v>0</v>
      </c>
      <c r="BL196" s="2" t="s">
        <v>344</v>
      </c>
      <c r="BM196" s="139" t="s">
        <v>1093</v>
      </c>
    </row>
    <row r="197" spans="2:65" s="16" customFormat="1" ht="16.5" customHeight="1" x14ac:dyDescent="0.2">
      <c r="B197" s="17"/>
      <c r="C197" s="289" t="s">
        <v>9270</v>
      </c>
      <c r="D197" s="289" t="s">
        <v>339</v>
      </c>
      <c r="E197" s="290" t="s">
        <v>9261</v>
      </c>
      <c r="F197" s="291" t="s">
        <v>9262</v>
      </c>
      <c r="G197" s="292" t="s">
        <v>4460</v>
      </c>
      <c r="H197" s="288">
        <v>1</v>
      </c>
      <c r="I197" s="294"/>
      <c r="J197" s="295">
        <f t="shared" si="30"/>
        <v>0</v>
      </c>
      <c r="K197" s="130"/>
      <c r="L197" s="293" t="s">
        <v>9251</v>
      </c>
      <c r="M197" s="135"/>
      <c r="N197" s="136" t="s">
        <v>45</v>
      </c>
      <c r="P197" s="137">
        <f t="shared" si="31"/>
        <v>0</v>
      </c>
      <c r="Q197" s="137">
        <v>0</v>
      </c>
      <c r="R197" s="137">
        <f t="shared" si="32"/>
        <v>0</v>
      </c>
      <c r="S197" s="137">
        <v>0</v>
      </c>
      <c r="T197" s="138">
        <f t="shared" si="33"/>
        <v>0</v>
      </c>
      <c r="AR197" s="139" t="s">
        <v>344</v>
      </c>
      <c r="AT197" s="139" t="s">
        <v>339</v>
      </c>
      <c r="AU197" s="139" t="s">
        <v>87</v>
      </c>
      <c r="AY197" s="2" t="s">
        <v>337</v>
      </c>
      <c r="BE197" s="140">
        <f t="shared" si="34"/>
        <v>0</v>
      </c>
      <c r="BF197" s="140">
        <f t="shared" si="35"/>
        <v>0</v>
      </c>
      <c r="BG197" s="140">
        <f t="shared" si="36"/>
        <v>0</v>
      </c>
      <c r="BH197" s="140">
        <f t="shared" si="37"/>
        <v>0</v>
      </c>
      <c r="BI197" s="140">
        <f t="shared" si="38"/>
        <v>0</v>
      </c>
      <c r="BJ197" s="2" t="s">
        <v>87</v>
      </c>
      <c r="BK197" s="140">
        <f t="shared" si="39"/>
        <v>0</v>
      </c>
      <c r="BL197" s="2" t="s">
        <v>344</v>
      </c>
      <c r="BM197" s="139" t="s">
        <v>1093</v>
      </c>
    </row>
    <row r="198" spans="2:65" s="116" customFormat="1" ht="25.9" customHeight="1" x14ac:dyDescent="0.2">
      <c r="B198" s="117"/>
      <c r="D198" s="118" t="s">
        <v>79</v>
      </c>
      <c r="E198" s="119" t="s">
        <v>7</v>
      </c>
      <c r="F198" s="119" t="s">
        <v>7656</v>
      </c>
      <c r="J198" s="120">
        <f>BK198</f>
        <v>0</v>
      </c>
      <c r="L198" s="117"/>
      <c r="M198" s="121"/>
      <c r="P198" s="122">
        <f>SUM(P199:P212)</f>
        <v>0</v>
      </c>
      <c r="R198" s="122">
        <f>SUM(R199:R212)</f>
        <v>0</v>
      </c>
      <c r="T198" s="123">
        <f>SUM(T199:T212)</f>
        <v>0</v>
      </c>
      <c r="AR198" s="118" t="s">
        <v>87</v>
      </c>
      <c r="AT198" s="124" t="s">
        <v>79</v>
      </c>
      <c r="AU198" s="124" t="s">
        <v>80</v>
      </c>
      <c r="AY198" s="118" t="s">
        <v>337</v>
      </c>
      <c r="BK198" s="125">
        <f>SUM(BK199:BK212)</f>
        <v>0</v>
      </c>
    </row>
    <row r="199" spans="2:65" s="16" customFormat="1" ht="16.5" customHeight="1" x14ac:dyDescent="0.2">
      <c r="B199" s="17"/>
      <c r="C199" s="128">
        <v>48</v>
      </c>
      <c r="D199" s="128" t="s">
        <v>339</v>
      </c>
      <c r="E199" s="129" t="s">
        <v>7657</v>
      </c>
      <c r="F199" s="130" t="s">
        <v>7658</v>
      </c>
      <c r="G199" s="131" t="s">
        <v>724</v>
      </c>
      <c r="H199" s="132">
        <v>200</v>
      </c>
      <c r="I199" s="133"/>
      <c r="J199" s="134">
        <f t="shared" ref="J199:J212" si="50">ROUND(I199*H199,2)</f>
        <v>0</v>
      </c>
      <c r="K199" s="130"/>
      <c r="L199" s="17"/>
      <c r="M199" s="135"/>
      <c r="N199" s="136" t="s">
        <v>45</v>
      </c>
      <c r="P199" s="137">
        <f t="shared" ref="P199:P212" si="51">O199*H199</f>
        <v>0</v>
      </c>
      <c r="Q199" s="137">
        <v>0</v>
      </c>
      <c r="R199" s="137">
        <f t="shared" ref="R199:R212" si="52">Q199*H199</f>
        <v>0</v>
      </c>
      <c r="S199" s="137">
        <v>0</v>
      </c>
      <c r="T199" s="138">
        <f t="shared" ref="T199:T212" si="53">S199*H199</f>
        <v>0</v>
      </c>
      <c r="AR199" s="139" t="s">
        <v>344</v>
      </c>
      <c r="AT199" s="139" t="s">
        <v>339</v>
      </c>
      <c r="AU199" s="139" t="s">
        <v>87</v>
      </c>
      <c r="AY199" s="2" t="s">
        <v>337</v>
      </c>
      <c r="BE199" s="140">
        <f t="shared" ref="BE199:BE212" si="54">IF(N199="základní",J199,0)</f>
        <v>0</v>
      </c>
      <c r="BF199" s="140">
        <f t="shared" ref="BF199:BF212" si="55">IF(N199="snížená",J199,0)</f>
        <v>0</v>
      </c>
      <c r="BG199" s="140">
        <f t="shared" ref="BG199:BG212" si="56">IF(N199="zákl. přenesená",J199,0)</f>
        <v>0</v>
      </c>
      <c r="BH199" s="140">
        <f t="shared" ref="BH199:BH212" si="57">IF(N199="sníž. přenesená",J199,0)</f>
        <v>0</v>
      </c>
      <c r="BI199" s="140">
        <f t="shared" ref="BI199:BI212" si="58">IF(N199="nulová",J199,0)</f>
        <v>0</v>
      </c>
      <c r="BJ199" s="2" t="s">
        <v>87</v>
      </c>
      <c r="BK199" s="140">
        <f t="shared" ref="BK199:BK212" si="59">ROUND(I199*H199,2)</f>
        <v>0</v>
      </c>
      <c r="BL199" s="2" t="s">
        <v>344</v>
      </c>
      <c r="BM199" s="139" t="s">
        <v>3852</v>
      </c>
    </row>
    <row r="200" spans="2:65" s="16" customFormat="1" ht="16.5" customHeight="1" x14ac:dyDescent="0.2">
      <c r="B200" s="17"/>
      <c r="C200" s="128">
        <v>49</v>
      </c>
      <c r="D200" s="128" t="s">
        <v>339</v>
      </c>
      <c r="E200" s="129" t="s">
        <v>7659</v>
      </c>
      <c r="F200" s="130" t="s">
        <v>9263</v>
      </c>
      <c r="G200" s="131" t="s">
        <v>724</v>
      </c>
      <c r="H200" s="132">
        <v>2500</v>
      </c>
      <c r="I200" s="133"/>
      <c r="J200" s="134">
        <f t="shared" si="50"/>
        <v>0</v>
      </c>
      <c r="K200" s="130"/>
      <c r="L200" s="17"/>
      <c r="M200" s="135"/>
      <c r="N200" s="136" t="s">
        <v>45</v>
      </c>
      <c r="P200" s="137">
        <f t="shared" si="51"/>
        <v>0</v>
      </c>
      <c r="Q200" s="137">
        <v>0</v>
      </c>
      <c r="R200" s="137">
        <f t="shared" si="52"/>
        <v>0</v>
      </c>
      <c r="S200" s="137">
        <v>0</v>
      </c>
      <c r="T200" s="138">
        <f t="shared" si="53"/>
        <v>0</v>
      </c>
      <c r="AR200" s="139" t="s">
        <v>344</v>
      </c>
      <c r="AT200" s="139" t="s">
        <v>339</v>
      </c>
      <c r="AU200" s="139" t="s">
        <v>87</v>
      </c>
      <c r="AY200" s="2" t="s">
        <v>337</v>
      </c>
      <c r="BE200" s="140">
        <f t="shared" si="54"/>
        <v>0</v>
      </c>
      <c r="BF200" s="140">
        <f t="shared" si="55"/>
        <v>0</v>
      </c>
      <c r="BG200" s="140">
        <f t="shared" si="56"/>
        <v>0</v>
      </c>
      <c r="BH200" s="140">
        <f t="shared" si="57"/>
        <v>0</v>
      </c>
      <c r="BI200" s="140">
        <f t="shared" si="58"/>
        <v>0</v>
      </c>
      <c r="BJ200" s="2" t="s">
        <v>87</v>
      </c>
      <c r="BK200" s="140">
        <f t="shared" si="59"/>
        <v>0</v>
      </c>
      <c r="BL200" s="2" t="s">
        <v>344</v>
      </c>
      <c r="BM200" s="139" t="s">
        <v>3864</v>
      </c>
    </row>
    <row r="201" spans="2:65" s="16" customFormat="1" ht="16.5" customHeight="1" x14ac:dyDescent="0.2">
      <c r="B201" s="17"/>
      <c r="C201" s="128">
        <v>50</v>
      </c>
      <c r="D201" s="128" t="s">
        <v>339</v>
      </c>
      <c r="E201" s="129" t="s">
        <v>7660</v>
      </c>
      <c r="F201" s="130" t="s">
        <v>7661</v>
      </c>
      <c r="G201" s="131" t="s">
        <v>4460</v>
      </c>
      <c r="H201" s="132">
        <v>200</v>
      </c>
      <c r="I201" s="133"/>
      <c r="J201" s="134">
        <f t="shared" si="50"/>
        <v>0</v>
      </c>
      <c r="K201" s="130"/>
      <c r="L201" s="17"/>
      <c r="M201" s="135"/>
      <c r="N201" s="136" t="s">
        <v>45</v>
      </c>
      <c r="P201" s="137">
        <f t="shared" si="51"/>
        <v>0</v>
      </c>
      <c r="Q201" s="137">
        <v>0</v>
      </c>
      <c r="R201" s="137">
        <f t="shared" si="52"/>
        <v>0</v>
      </c>
      <c r="S201" s="137">
        <v>0</v>
      </c>
      <c r="T201" s="138">
        <f t="shared" si="53"/>
        <v>0</v>
      </c>
      <c r="AR201" s="139" t="s">
        <v>344</v>
      </c>
      <c r="AT201" s="139" t="s">
        <v>339</v>
      </c>
      <c r="AU201" s="139" t="s">
        <v>87</v>
      </c>
      <c r="AY201" s="2" t="s">
        <v>337</v>
      </c>
      <c r="BE201" s="140">
        <f t="shared" si="54"/>
        <v>0</v>
      </c>
      <c r="BF201" s="140">
        <f t="shared" si="55"/>
        <v>0</v>
      </c>
      <c r="BG201" s="140">
        <f t="shared" si="56"/>
        <v>0</v>
      </c>
      <c r="BH201" s="140">
        <f t="shared" si="57"/>
        <v>0</v>
      </c>
      <c r="BI201" s="140">
        <f t="shared" si="58"/>
        <v>0</v>
      </c>
      <c r="BJ201" s="2" t="s">
        <v>87</v>
      </c>
      <c r="BK201" s="140">
        <f t="shared" si="59"/>
        <v>0</v>
      </c>
      <c r="BL201" s="2" t="s">
        <v>344</v>
      </c>
      <c r="BM201" s="139" t="s">
        <v>1737</v>
      </c>
    </row>
    <row r="202" spans="2:65" s="16" customFormat="1" ht="16.5" customHeight="1" x14ac:dyDescent="0.2">
      <c r="B202" s="17"/>
      <c r="C202" s="128">
        <v>51</v>
      </c>
      <c r="D202" s="128" t="s">
        <v>339</v>
      </c>
      <c r="E202" s="129" t="s">
        <v>7662</v>
      </c>
      <c r="F202" s="130" t="s">
        <v>7663</v>
      </c>
      <c r="G202" s="131" t="s">
        <v>724</v>
      </c>
      <c r="H202" s="132">
        <v>1400</v>
      </c>
      <c r="I202" s="133"/>
      <c r="J202" s="134">
        <f t="shared" si="50"/>
        <v>0</v>
      </c>
      <c r="K202" s="130"/>
      <c r="L202" s="17"/>
      <c r="M202" s="135"/>
      <c r="N202" s="136" t="s">
        <v>45</v>
      </c>
      <c r="P202" s="137">
        <f t="shared" si="51"/>
        <v>0</v>
      </c>
      <c r="Q202" s="137">
        <v>0</v>
      </c>
      <c r="R202" s="137">
        <f t="shared" si="52"/>
        <v>0</v>
      </c>
      <c r="S202" s="137">
        <v>0</v>
      </c>
      <c r="T202" s="138">
        <f t="shared" si="53"/>
        <v>0</v>
      </c>
      <c r="AR202" s="139" t="s">
        <v>344</v>
      </c>
      <c r="AT202" s="139" t="s">
        <v>339</v>
      </c>
      <c r="AU202" s="139" t="s">
        <v>87</v>
      </c>
      <c r="AY202" s="2" t="s">
        <v>337</v>
      </c>
      <c r="BE202" s="140">
        <f t="shared" si="54"/>
        <v>0</v>
      </c>
      <c r="BF202" s="140">
        <f t="shared" si="55"/>
        <v>0</v>
      </c>
      <c r="BG202" s="140">
        <f t="shared" si="56"/>
        <v>0</v>
      </c>
      <c r="BH202" s="140">
        <f t="shared" si="57"/>
        <v>0</v>
      </c>
      <c r="BI202" s="140">
        <f t="shared" si="58"/>
        <v>0</v>
      </c>
      <c r="BJ202" s="2" t="s">
        <v>87</v>
      </c>
      <c r="BK202" s="140">
        <f t="shared" si="59"/>
        <v>0</v>
      </c>
      <c r="BL202" s="2" t="s">
        <v>344</v>
      </c>
      <c r="BM202" s="139" t="s">
        <v>1146</v>
      </c>
    </row>
    <row r="203" spans="2:65" s="16" customFormat="1" ht="16.5" customHeight="1" x14ac:dyDescent="0.2">
      <c r="B203" s="17"/>
      <c r="C203" s="128">
        <v>52</v>
      </c>
      <c r="D203" s="128" t="s">
        <v>339</v>
      </c>
      <c r="E203" s="129" t="s">
        <v>7664</v>
      </c>
      <c r="F203" s="130" t="s">
        <v>7665</v>
      </c>
      <c r="G203" s="131" t="s">
        <v>724</v>
      </c>
      <c r="H203" s="132">
        <v>450</v>
      </c>
      <c r="I203" s="133"/>
      <c r="J203" s="134">
        <f t="shared" si="50"/>
        <v>0</v>
      </c>
      <c r="K203" s="130"/>
      <c r="L203" s="17"/>
      <c r="M203" s="135"/>
      <c r="N203" s="136" t="s">
        <v>45</v>
      </c>
      <c r="P203" s="137">
        <f t="shared" si="51"/>
        <v>0</v>
      </c>
      <c r="Q203" s="137">
        <v>0</v>
      </c>
      <c r="R203" s="137">
        <f t="shared" si="52"/>
        <v>0</v>
      </c>
      <c r="S203" s="137">
        <v>0</v>
      </c>
      <c r="T203" s="138">
        <f t="shared" si="53"/>
        <v>0</v>
      </c>
      <c r="AR203" s="139" t="s">
        <v>344</v>
      </c>
      <c r="AT203" s="139" t="s">
        <v>339</v>
      </c>
      <c r="AU203" s="139" t="s">
        <v>87</v>
      </c>
      <c r="AY203" s="2" t="s">
        <v>337</v>
      </c>
      <c r="BE203" s="140">
        <f t="shared" si="54"/>
        <v>0</v>
      </c>
      <c r="BF203" s="140">
        <f t="shared" si="55"/>
        <v>0</v>
      </c>
      <c r="BG203" s="140">
        <f t="shared" si="56"/>
        <v>0</v>
      </c>
      <c r="BH203" s="140">
        <f t="shared" si="57"/>
        <v>0</v>
      </c>
      <c r="BI203" s="140">
        <f t="shared" si="58"/>
        <v>0</v>
      </c>
      <c r="BJ203" s="2" t="s">
        <v>87</v>
      </c>
      <c r="BK203" s="140">
        <f t="shared" si="59"/>
        <v>0</v>
      </c>
      <c r="BL203" s="2" t="s">
        <v>344</v>
      </c>
      <c r="BM203" s="139" t="s">
        <v>1156</v>
      </c>
    </row>
    <row r="204" spans="2:65" s="16" customFormat="1" ht="16.5" customHeight="1" x14ac:dyDescent="0.2">
      <c r="B204" s="17"/>
      <c r="C204" s="128">
        <v>53</v>
      </c>
      <c r="D204" s="128" t="s">
        <v>339</v>
      </c>
      <c r="E204" s="129" t="s">
        <v>7666</v>
      </c>
      <c r="F204" s="130" t="s">
        <v>7667</v>
      </c>
      <c r="G204" s="131" t="s">
        <v>724</v>
      </c>
      <c r="H204" s="132">
        <v>2500</v>
      </c>
      <c r="I204" s="133"/>
      <c r="J204" s="134">
        <f t="shared" si="50"/>
        <v>0</v>
      </c>
      <c r="K204" s="130"/>
      <c r="L204" s="17"/>
      <c r="M204" s="135"/>
      <c r="N204" s="136" t="s">
        <v>45</v>
      </c>
      <c r="P204" s="137">
        <f t="shared" si="51"/>
        <v>0</v>
      </c>
      <c r="Q204" s="137">
        <v>0</v>
      </c>
      <c r="R204" s="137">
        <f t="shared" si="52"/>
        <v>0</v>
      </c>
      <c r="S204" s="137">
        <v>0</v>
      </c>
      <c r="T204" s="138">
        <f t="shared" si="53"/>
        <v>0</v>
      </c>
      <c r="AR204" s="139" t="s">
        <v>344</v>
      </c>
      <c r="AT204" s="139" t="s">
        <v>339</v>
      </c>
      <c r="AU204" s="139" t="s">
        <v>87</v>
      </c>
      <c r="AY204" s="2" t="s">
        <v>337</v>
      </c>
      <c r="BE204" s="140">
        <f t="shared" si="54"/>
        <v>0</v>
      </c>
      <c r="BF204" s="140">
        <f t="shared" si="55"/>
        <v>0</v>
      </c>
      <c r="BG204" s="140">
        <f t="shared" si="56"/>
        <v>0</v>
      </c>
      <c r="BH204" s="140">
        <f t="shared" si="57"/>
        <v>0</v>
      </c>
      <c r="BI204" s="140">
        <f t="shared" si="58"/>
        <v>0</v>
      </c>
      <c r="BJ204" s="2" t="s">
        <v>87</v>
      </c>
      <c r="BK204" s="140">
        <f t="shared" si="59"/>
        <v>0</v>
      </c>
      <c r="BL204" s="2" t="s">
        <v>344</v>
      </c>
      <c r="BM204" s="139" t="s">
        <v>1172</v>
      </c>
    </row>
    <row r="205" spans="2:65" s="16" customFormat="1" ht="16.5" customHeight="1" x14ac:dyDescent="0.2">
      <c r="B205" s="17"/>
      <c r="C205" s="128">
        <v>54</v>
      </c>
      <c r="D205" s="128" t="s">
        <v>339</v>
      </c>
      <c r="E205" s="129" t="s">
        <v>7668</v>
      </c>
      <c r="F205" s="130" t="s">
        <v>7669</v>
      </c>
      <c r="G205" s="131" t="s">
        <v>4460</v>
      </c>
      <c r="H205" s="132">
        <v>4500</v>
      </c>
      <c r="I205" s="133"/>
      <c r="J205" s="134">
        <f t="shared" si="50"/>
        <v>0</v>
      </c>
      <c r="K205" s="130"/>
      <c r="L205" s="17"/>
      <c r="M205" s="135"/>
      <c r="N205" s="136" t="s">
        <v>45</v>
      </c>
      <c r="P205" s="137">
        <f t="shared" si="51"/>
        <v>0</v>
      </c>
      <c r="Q205" s="137">
        <v>0</v>
      </c>
      <c r="R205" s="137">
        <f t="shared" si="52"/>
        <v>0</v>
      </c>
      <c r="S205" s="137">
        <v>0</v>
      </c>
      <c r="T205" s="138">
        <f t="shared" si="53"/>
        <v>0</v>
      </c>
      <c r="AR205" s="139" t="s">
        <v>344</v>
      </c>
      <c r="AT205" s="139" t="s">
        <v>339</v>
      </c>
      <c r="AU205" s="139" t="s">
        <v>87</v>
      </c>
      <c r="AY205" s="2" t="s">
        <v>337</v>
      </c>
      <c r="BE205" s="140">
        <f t="shared" si="54"/>
        <v>0</v>
      </c>
      <c r="BF205" s="140">
        <f t="shared" si="55"/>
        <v>0</v>
      </c>
      <c r="BG205" s="140">
        <f t="shared" si="56"/>
        <v>0</v>
      </c>
      <c r="BH205" s="140">
        <f t="shared" si="57"/>
        <v>0</v>
      </c>
      <c r="BI205" s="140">
        <f t="shared" si="58"/>
        <v>0</v>
      </c>
      <c r="BJ205" s="2" t="s">
        <v>87</v>
      </c>
      <c r="BK205" s="140">
        <f t="shared" si="59"/>
        <v>0</v>
      </c>
      <c r="BL205" s="2" t="s">
        <v>344</v>
      </c>
      <c r="BM205" s="139" t="s">
        <v>1220</v>
      </c>
    </row>
    <row r="206" spans="2:65" s="16" customFormat="1" ht="16.5" customHeight="1" x14ac:dyDescent="0.2">
      <c r="B206" s="17"/>
      <c r="C206" s="128">
        <v>55</v>
      </c>
      <c r="D206" s="128" t="s">
        <v>339</v>
      </c>
      <c r="E206" s="129" t="s">
        <v>7670</v>
      </c>
      <c r="F206" s="130" t="s">
        <v>7671</v>
      </c>
      <c r="G206" s="131" t="s">
        <v>724</v>
      </c>
      <c r="H206" s="132">
        <v>100</v>
      </c>
      <c r="I206" s="133"/>
      <c r="J206" s="134">
        <f t="shared" si="50"/>
        <v>0</v>
      </c>
      <c r="K206" s="130"/>
      <c r="L206" s="17"/>
      <c r="M206" s="135"/>
      <c r="N206" s="136" t="s">
        <v>45</v>
      </c>
      <c r="P206" s="137">
        <f t="shared" si="51"/>
        <v>0</v>
      </c>
      <c r="Q206" s="137">
        <v>0</v>
      </c>
      <c r="R206" s="137">
        <f t="shared" si="52"/>
        <v>0</v>
      </c>
      <c r="S206" s="137">
        <v>0</v>
      </c>
      <c r="T206" s="138">
        <f t="shared" si="53"/>
        <v>0</v>
      </c>
      <c r="AR206" s="139" t="s">
        <v>344</v>
      </c>
      <c r="AT206" s="139" t="s">
        <v>339</v>
      </c>
      <c r="AU206" s="139" t="s">
        <v>87</v>
      </c>
      <c r="AY206" s="2" t="s">
        <v>337</v>
      </c>
      <c r="BE206" s="140">
        <f t="shared" si="54"/>
        <v>0</v>
      </c>
      <c r="BF206" s="140">
        <f t="shared" si="55"/>
        <v>0</v>
      </c>
      <c r="BG206" s="140">
        <f t="shared" si="56"/>
        <v>0</v>
      </c>
      <c r="BH206" s="140">
        <f t="shared" si="57"/>
        <v>0</v>
      </c>
      <c r="BI206" s="140">
        <f t="shared" si="58"/>
        <v>0</v>
      </c>
      <c r="BJ206" s="2" t="s">
        <v>87</v>
      </c>
      <c r="BK206" s="140">
        <f t="shared" si="59"/>
        <v>0</v>
      </c>
      <c r="BL206" s="2" t="s">
        <v>344</v>
      </c>
      <c r="BM206" s="139" t="s">
        <v>1242</v>
      </c>
    </row>
    <row r="207" spans="2:65" s="16" customFormat="1" ht="16.5" customHeight="1" x14ac:dyDescent="0.2">
      <c r="B207" s="17"/>
      <c r="C207" s="128">
        <v>56</v>
      </c>
      <c r="D207" s="128" t="s">
        <v>339</v>
      </c>
      <c r="E207" s="129" t="s">
        <v>7672</v>
      </c>
      <c r="F207" s="130" t="s">
        <v>7673</v>
      </c>
      <c r="G207" s="131" t="s">
        <v>724</v>
      </c>
      <c r="H207" s="132">
        <v>200</v>
      </c>
      <c r="I207" s="133"/>
      <c r="J207" s="134">
        <f t="shared" si="50"/>
        <v>0</v>
      </c>
      <c r="K207" s="130"/>
      <c r="L207" s="17"/>
      <c r="M207" s="135"/>
      <c r="N207" s="136" t="s">
        <v>45</v>
      </c>
      <c r="P207" s="137">
        <f t="shared" si="51"/>
        <v>0</v>
      </c>
      <c r="Q207" s="137">
        <v>0</v>
      </c>
      <c r="R207" s="137">
        <f t="shared" si="52"/>
        <v>0</v>
      </c>
      <c r="S207" s="137">
        <v>0</v>
      </c>
      <c r="T207" s="138">
        <f t="shared" si="53"/>
        <v>0</v>
      </c>
      <c r="AR207" s="139" t="s">
        <v>344</v>
      </c>
      <c r="AT207" s="139" t="s">
        <v>339</v>
      </c>
      <c r="AU207" s="139" t="s">
        <v>87</v>
      </c>
      <c r="AY207" s="2" t="s">
        <v>337</v>
      </c>
      <c r="BE207" s="140">
        <f t="shared" si="54"/>
        <v>0</v>
      </c>
      <c r="BF207" s="140">
        <f t="shared" si="55"/>
        <v>0</v>
      </c>
      <c r="BG207" s="140">
        <f t="shared" si="56"/>
        <v>0</v>
      </c>
      <c r="BH207" s="140">
        <f t="shared" si="57"/>
        <v>0</v>
      </c>
      <c r="BI207" s="140">
        <f t="shared" si="58"/>
        <v>0</v>
      </c>
      <c r="BJ207" s="2" t="s">
        <v>87</v>
      </c>
      <c r="BK207" s="140">
        <f t="shared" si="59"/>
        <v>0</v>
      </c>
      <c r="BL207" s="2" t="s">
        <v>344</v>
      </c>
      <c r="BM207" s="139" t="s">
        <v>1272</v>
      </c>
    </row>
    <row r="208" spans="2:65" s="16" customFormat="1" ht="16.5" customHeight="1" x14ac:dyDescent="0.2">
      <c r="B208" s="17"/>
      <c r="C208" s="128">
        <v>57</v>
      </c>
      <c r="D208" s="128" t="s">
        <v>339</v>
      </c>
      <c r="E208" s="129" t="s">
        <v>7674</v>
      </c>
      <c r="F208" s="130" t="s">
        <v>7675</v>
      </c>
      <c r="G208" s="131" t="s">
        <v>4460</v>
      </c>
      <c r="H208" s="132">
        <v>20</v>
      </c>
      <c r="I208" s="133"/>
      <c r="J208" s="134">
        <f t="shared" si="50"/>
        <v>0</v>
      </c>
      <c r="K208" s="130"/>
      <c r="L208" s="17"/>
      <c r="M208" s="135"/>
      <c r="N208" s="136" t="s">
        <v>45</v>
      </c>
      <c r="P208" s="137">
        <f t="shared" si="51"/>
        <v>0</v>
      </c>
      <c r="Q208" s="137">
        <v>0</v>
      </c>
      <c r="R208" s="137">
        <f t="shared" si="52"/>
        <v>0</v>
      </c>
      <c r="S208" s="137">
        <v>0</v>
      </c>
      <c r="T208" s="138">
        <f t="shared" si="53"/>
        <v>0</v>
      </c>
      <c r="AR208" s="139" t="s">
        <v>344</v>
      </c>
      <c r="AT208" s="139" t="s">
        <v>339</v>
      </c>
      <c r="AU208" s="139" t="s">
        <v>87</v>
      </c>
      <c r="AY208" s="2" t="s">
        <v>337</v>
      </c>
      <c r="BE208" s="140">
        <f t="shared" si="54"/>
        <v>0</v>
      </c>
      <c r="BF208" s="140">
        <f t="shared" si="55"/>
        <v>0</v>
      </c>
      <c r="BG208" s="140">
        <f t="shared" si="56"/>
        <v>0</v>
      </c>
      <c r="BH208" s="140">
        <f t="shared" si="57"/>
        <v>0</v>
      </c>
      <c r="BI208" s="140">
        <f t="shared" si="58"/>
        <v>0</v>
      </c>
      <c r="BJ208" s="2" t="s">
        <v>87</v>
      </c>
      <c r="BK208" s="140">
        <f t="shared" si="59"/>
        <v>0</v>
      </c>
      <c r="BL208" s="2" t="s">
        <v>344</v>
      </c>
      <c r="BM208" s="139" t="s">
        <v>1300</v>
      </c>
    </row>
    <row r="209" spans="2:65" s="16" customFormat="1" ht="16.5" customHeight="1" x14ac:dyDescent="0.2">
      <c r="B209" s="17"/>
      <c r="C209" s="128">
        <v>58</v>
      </c>
      <c r="D209" s="128" t="s">
        <v>339</v>
      </c>
      <c r="E209" s="129" t="s">
        <v>7676</v>
      </c>
      <c r="F209" s="130" t="s">
        <v>7408</v>
      </c>
      <c r="G209" s="131" t="s">
        <v>724</v>
      </c>
      <c r="H209" s="132">
        <v>1000</v>
      </c>
      <c r="I209" s="133"/>
      <c r="J209" s="134">
        <f t="shared" si="50"/>
        <v>0</v>
      </c>
      <c r="K209" s="130"/>
      <c r="L209" s="17"/>
      <c r="M209" s="135"/>
      <c r="N209" s="136" t="s">
        <v>45</v>
      </c>
      <c r="P209" s="137">
        <f t="shared" si="51"/>
        <v>0</v>
      </c>
      <c r="Q209" s="137">
        <v>0</v>
      </c>
      <c r="R209" s="137">
        <f t="shared" si="52"/>
        <v>0</v>
      </c>
      <c r="S209" s="137">
        <v>0</v>
      </c>
      <c r="T209" s="138">
        <f t="shared" si="53"/>
        <v>0</v>
      </c>
      <c r="AR209" s="139" t="s">
        <v>344</v>
      </c>
      <c r="AT209" s="139" t="s">
        <v>339</v>
      </c>
      <c r="AU209" s="139" t="s">
        <v>87</v>
      </c>
      <c r="AY209" s="2" t="s">
        <v>337</v>
      </c>
      <c r="BE209" s="140">
        <f t="shared" si="54"/>
        <v>0</v>
      </c>
      <c r="BF209" s="140">
        <f t="shared" si="55"/>
        <v>0</v>
      </c>
      <c r="BG209" s="140">
        <f t="shared" si="56"/>
        <v>0</v>
      </c>
      <c r="BH209" s="140">
        <f t="shared" si="57"/>
        <v>0</v>
      </c>
      <c r="BI209" s="140">
        <f t="shared" si="58"/>
        <v>0</v>
      </c>
      <c r="BJ209" s="2" t="s">
        <v>87</v>
      </c>
      <c r="BK209" s="140">
        <f t="shared" si="59"/>
        <v>0</v>
      </c>
      <c r="BL209" s="2" t="s">
        <v>344</v>
      </c>
      <c r="BM209" s="139" t="s">
        <v>1324</v>
      </c>
    </row>
    <row r="210" spans="2:65" s="16" customFormat="1" ht="16.5" customHeight="1" x14ac:dyDescent="0.2">
      <c r="B210" s="17"/>
      <c r="C210" s="128">
        <v>59</v>
      </c>
      <c r="D210" s="128" t="s">
        <v>339</v>
      </c>
      <c r="E210" s="129" t="s">
        <v>7677</v>
      </c>
      <c r="F210" s="130" t="s">
        <v>7678</v>
      </c>
      <c r="G210" s="131" t="s">
        <v>4460</v>
      </c>
      <c r="H210" s="132">
        <v>30</v>
      </c>
      <c r="I210" s="133"/>
      <c r="J210" s="134">
        <f t="shared" si="50"/>
        <v>0</v>
      </c>
      <c r="K210" s="130"/>
      <c r="L210" s="17"/>
      <c r="M210" s="135"/>
      <c r="N210" s="136" t="s">
        <v>45</v>
      </c>
      <c r="P210" s="137">
        <f t="shared" si="51"/>
        <v>0</v>
      </c>
      <c r="Q210" s="137">
        <v>0</v>
      </c>
      <c r="R210" s="137">
        <f t="shared" si="52"/>
        <v>0</v>
      </c>
      <c r="S210" s="137">
        <v>0</v>
      </c>
      <c r="T210" s="138">
        <f t="shared" si="53"/>
        <v>0</v>
      </c>
      <c r="AR210" s="139" t="s">
        <v>344</v>
      </c>
      <c r="AT210" s="139" t="s">
        <v>339</v>
      </c>
      <c r="AU210" s="139" t="s">
        <v>87</v>
      </c>
      <c r="AY210" s="2" t="s">
        <v>337</v>
      </c>
      <c r="BE210" s="140">
        <f t="shared" si="54"/>
        <v>0</v>
      </c>
      <c r="BF210" s="140">
        <f t="shared" si="55"/>
        <v>0</v>
      </c>
      <c r="BG210" s="140">
        <f t="shared" si="56"/>
        <v>0</v>
      </c>
      <c r="BH210" s="140">
        <f t="shared" si="57"/>
        <v>0</v>
      </c>
      <c r="BI210" s="140">
        <f t="shared" si="58"/>
        <v>0</v>
      </c>
      <c r="BJ210" s="2" t="s">
        <v>87</v>
      </c>
      <c r="BK210" s="140">
        <f t="shared" si="59"/>
        <v>0</v>
      </c>
      <c r="BL210" s="2" t="s">
        <v>344</v>
      </c>
      <c r="BM210" s="139" t="s">
        <v>1345</v>
      </c>
    </row>
    <row r="211" spans="2:65" s="16" customFormat="1" ht="16.5" customHeight="1" x14ac:dyDescent="0.2">
      <c r="B211" s="17"/>
      <c r="C211" s="128">
        <v>60</v>
      </c>
      <c r="D211" s="128" t="s">
        <v>339</v>
      </c>
      <c r="E211" s="129" t="s">
        <v>7679</v>
      </c>
      <c r="F211" s="130" t="s">
        <v>7680</v>
      </c>
      <c r="G211" s="131" t="s">
        <v>4460</v>
      </c>
      <c r="H211" s="132">
        <v>50</v>
      </c>
      <c r="I211" s="133"/>
      <c r="J211" s="134">
        <f t="shared" si="50"/>
        <v>0</v>
      </c>
      <c r="K211" s="130"/>
      <c r="L211" s="17"/>
      <c r="M211" s="135"/>
      <c r="N211" s="136" t="s">
        <v>45</v>
      </c>
      <c r="P211" s="137">
        <f t="shared" si="51"/>
        <v>0</v>
      </c>
      <c r="Q211" s="137">
        <v>0</v>
      </c>
      <c r="R211" s="137">
        <f t="shared" si="52"/>
        <v>0</v>
      </c>
      <c r="S211" s="137">
        <v>0</v>
      </c>
      <c r="T211" s="138">
        <f t="shared" si="53"/>
        <v>0</v>
      </c>
      <c r="AR211" s="139" t="s">
        <v>344</v>
      </c>
      <c r="AT211" s="139" t="s">
        <v>339</v>
      </c>
      <c r="AU211" s="139" t="s">
        <v>87</v>
      </c>
      <c r="AY211" s="2" t="s">
        <v>337</v>
      </c>
      <c r="BE211" s="140">
        <f t="shared" si="54"/>
        <v>0</v>
      </c>
      <c r="BF211" s="140">
        <f t="shared" si="55"/>
        <v>0</v>
      </c>
      <c r="BG211" s="140">
        <f t="shared" si="56"/>
        <v>0</v>
      </c>
      <c r="BH211" s="140">
        <f t="shared" si="57"/>
        <v>0</v>
      </c>
      <c r="BI211" s="140">
        <f t="shared" si="58"/>
        <v>0</v>
      </c>
      <c r="BJ211" s="2" t="s">
        <v>87</v>
      </c>
      <c r="BK211" s="140">
        <f t="shared" si="59"/>
        <v>0</v>
      </c>
      <c r="BL211" s="2" t="s">
        <v>344</v>
      </c>
      <c r="BM211" s="139" t="s">
        <v>1362</v>
      </c>
    </row>
    <row r="212" spans="2:65" s="16" customFormat="1" ht="16.5" customHeight="1" x14ac:dyDescent="0.2">
      <c r="B212" s="17"/>
      <c r="C212" s="128">
        <v>61</v>
      </c>
      <c r="D212" s="128" t="s">
        <v>339</v>
      </c>
      <c r="E212" s="129" t="s">
        <v>7681</v>
      </c>
      <c r="F212" s="130" t="s">
        <v>7682</v>
      </c>
      <c r="G212" s="131" t="s">
        <v>724</v>
      </c>
      <c r="H212" s="132">
        <v>420</v>
      </c>
      <c r="I212" s="133"/>
      <c r="J212" s="134">
        <f t="shared" si="50"/>
        <v>0</v>
      </c>
      <c r="K212" s="130"/>
      <c r="L212" s="17"/>
      <c r="M212" s="135"/>
      <c r="N212" s="136" t="s">
        <v>45</v>
      </c>
      <c r="P212" s="137">
        <f t="shared" si="51"/>
        <v>0</v>
      </c>
      <c r="Q212" s="137">
        <v>0</v>
      </c>
      <c r="R212" s="137">
        <f t="shared" si="52"/>
        <v>0</v>
      </c>
      <c r="S212" s="137">
        <v>0</v>
      </c>
      <c r="T212" s="138">
        <f t="shared" si="53"/>
        <v>0</v>
      </c>
      <c r="AR212" s="139" t="s">
        <v>344</v>
      </c>
      <c r="AT212" s="139" t="s">
        <v>339</v>
      </c>
      <c r="AU212" s="139" t="s">
        <v>87</v>
      </c>
      <c r="AY212" s="2" t="s">
        <v>337</v>
      </c>
      <c r="BE212" s="140">
        <f t="shared" si="54"/>
        <v>0</v>
      </c>
      <c r="BF212" s="140">
        <f t="shared" si="55"/>
        <v>0</v>
      </c>
      <c r="BG212" s="140">
        <f t="shared" si="56"/>
        <v>0</v>
      </c>
      <c r="BH212" s="140">
        <f t="shared" si="57"/>
        <v>0</v>
      </c>
      <c r="BI212" s="140">
        <f t="shared" si="58"/>
        <v>0</v>
      </c>
      <c r="BJ212" s="2" t="s">
        <v>87</v>
      </c>
      <c r="BK212" s="140">
        <f t="shared" si="59"/>
        <v>0</v>
      </c>
      <c r="BL212" s="2" t="s">
        <v>344</v>
      </c>
      <c r="BM212" s="139" t="s">
        <v>1373</v>
      </c>
    </row>
    <row r="213" spans="2:65" s="116" customFormat="1" ht="25.9" customHeight="1" x14ac:dyDescent="0.2">
      <c r="B213" s="117"/>
      <c r="D213" s="118" t="s">
        <v>79</v>
      </c>
      <c r="E213" s="119" t="s">
        <v>473</v>
      </c>
      <c r="F213" s="119" t="s">
        <v>7683</v>
      </c>
      <c r="J213" s="120">
        <f>BK213</f>
        <v>0</v>
      </c>
      <c r="L213" s="117"/>
      <c r="M213" s="121"/>
      <c r="P213" s="122">
        <f>SUM(P214:P231)</f>
        <v>0</v>
      </c>
      <c r="R213" s="122">
        <f>SUM(R214:R231)</f>
        <v>0</v>
      </c>
      <c r="T213" s="123">
        <f>SUM(T214:T231)</f>
        <v>0</v>
      </c>
      <c r="AR213" s="118" t="s">
        <v>87</v>
      </c>
      <c r="AT213" s="124" t="s">
        <v>79</v>
      </c>
      <c r="AU213" s="124" t="s">
        <v>80</v>
      </c>
      <c r="AY213" s="118" t="s">
        <v>337</v>
      </c>
      <c r="BK213" s="125">
        <f>SUM(BK214:BK231)</f>
        <v>0</v>
      </c>
    </row>
    <row r="214" spans="2:65" s="16" customFormat="1" ht="24.2" customHeight="1" x14ac:dyDescent="0.2">
      <c r="B214" s="17"/>
      <c r="C214" s="128">
        <v>62</v>
      </c>
      <c r="D214" s="128" t="s">
        <v>339</v>
      </c>
      <c r="E214" s="129" t="s">
        <v>7684</v>
      </c>
      <c r="F214" s="130" t="s">
        <v>7685</v>
      </c>
      <c r="G214" s="131" t="s">
        <v>4460</v>
      </c>
      <c r="H214" s="132">
        <v>1</v>
      </c>
      <c r="I214" s="133"/>
      <c r="J214" s="134">
        <f t="shared" ref="J214:J231" si="60">ROUND(I214*H214,2)</f>
        <v>0</v>
      </c>
      <c r="K214" s="130"/>
      <c r="L214" s="17"/>
      <c r="M214" s="135"/>
      <c r="N214" s="136" t="s">
        <v>45</v>
      </c>
      <c r="P214" s="137">
        <f t="shared" ref="P214:P231" si="61">O214*H214</f>
        <v>0</v>
      </c>
      <c r="Q214" s="137">
        <v>0</v>
      </c>
      <c r="R214" s="137">
        <f t="shared" ref="R214:R231" si="62">Q214*H214</f>
        <v>0</v>
      </c>
      <c r="S214" s="137">
        <v>0</v>
      </c>
      <c r="T214" s="138">
        <f t="shared" ref="T214:T231" si="63">S214*H214</f>
        <v>0</v>
      </c>
      <c r="AR214" s="139" t="s">
        <v>344</v>
      </c>
      <c r="AT214" s="139" t="s">
        <v>339</v>
      </c>
      <c r="AU214" s="139" t="s">
        <v>87</v>
      </c>
      <c r="AY214" s="2" t="s">
        <v>337</v>
      </c>
      <c r="BE214" s="140">
        <f t="shared" ref="BE214:BE231" si="64">IF(N214="základní",J214,0)</f>
        <v>0</v>
      </c>
      <c r="BF214" s="140">
        <f t="shared" ref="BF214:BF231" si="65">IF(N214="snížená",J214,0)</f>
        <v>0</v>
      </c>
      <c r="BG214" s="140">
        <f t="shared" ref="BG214:BG231" si="66">IF(N214="zákl. přenesená",J214,0)</f>
        <v>0</v>
      </c>
      <c r="BH214" s="140">
        <f t="shared" ref="BH214:BH231" si="67">IF(N214="sníž. přenesená",J214,0)</f>
        <v>0</v>
      </c>
      <c r="BI214" s="140">
        <f t="shared" ref="BI214:BI231" si="68">IF(N214="nulová",J214,0)</f>
        <v>0</v>
      </c>
      <c r="BJ214" s="2" t="s">
        <v>87</v>
      </c>
      <c r="BK214" s="140">
        <f t="shared" ref="BK214:BK231" si="69">ROUND(I214*H214,2)</f>
        <v>0</v>
      </c>
      <c r="BL214" s="2" t="s">
        <v>344</v>
      </c>
      <c r="BM214" s="139" t="s">
        <v>1389</v>
      </c>
    </row>
    <row r="215" spans="2:65" s="16" customFormat="1" ht="16.5" customHeight="1" x14ac:dyDescent="0.2">
      <c r="B215" s="17"/>
      <c r="C215" s="128">
        <v>63</v>
      </c>
      <c r="D215" s="128" t="s">
        <v>339</v>
      </c>
      <c r="E215" s="129" t="s">
        <v>7686</v>
      </c>
      <c r="F215" s="130" t="s">
        <v>7687</v>
      </c>
      <c r="G215" s="131" t="s">
        <v>7026</v>
      </c>
      <c r="H215" s="132">
        <v>16</v>
      </c>
      <c r="I215" s="133"/>
      <c r="J215" s="134">
        <f t="shared" si="60"/>
        <v>0</v>
      </c>
      <c r="K215" s="130"/>
      <c r="L215" s="17"/>
      <c r="M215" s="135"/>
      <c r="N215" s="136" t="s">
        <v>45</v>
      </c>
      <c r="P215" s="137">
        <f t="shared" si="61"/>
        <v>0</v>
      </c>
      <c r="Q215" s="137">
        <v>0</v>
      </c>
      <c r="R215" s="137">
        <f t="shared" si="62"/>
        <v>0</v>
      </c>
      <c r="S215" s="137">
        <v>0</v>
      </c>
      <c r="T215" s="138">
        <f t="shared" si="63"/>
        <v>0</v>
      </c>
      <c r="AR215" s="139" t="s">
        <v>344</v>
      </c>
      <c r="AT215" s="139" t="s">
        <v>339</v>
      </c>
      <c r="AU215" s="139" t="s">
        <v>87</v>
      </c>
      <c r="AY215" s="2" t="s">
        <v>337</v>
      </c>
      <c r="BE215" s="140">
        <f t="shared" si="64"/>
        <v>0</v>
      </c>
      <c r="BF215" s="140">
        <f t="shared" si="65"/>
        <v>0</v>
      </c>
      <c r="BG215" s="140">
        <f t="shared" si="66"/>
        <v>0</v>
      </c>
      <c r="BH215" s="140">
        <f t="shared" si="67"/>
        <v>0</v>
      </c>
      <c r="BI215" s="140">
        <f t="shared" si="68"/>
        <v>0</v>
      </c>
      <c r="BJ215" s="2" t="s">
        <v>87</v>
      </c>
      <c r="BK215" s="140">
        <f t="shared" si="69"/>
        <v>0</v>
      </c>
      <c r="BL215" s="2" t="s">
        <v>344</v>
      </c>
      <c r="BM215" s="139" t="s">
        <v>1409</v>
      </c>
    </row>
    <row r="216" spans="2:65" s="16" customFormat="1" ht="16.5" customHeight="1" x14ac:dyDescent="0.2">
      <c r="B216" s="17"/>
      <c r="C216" s="128">
        <v>64</v>
      </c>
      <c r="D216" s="128" t="s">
        <v>339</v>
      </c>
      <c r="E216" s="129" t="s">
        <v>7688</v>
      </c>
      <c r="F216" s="130" t="s">
        <v>7689</v>
      </c>
      <c r="G216" s="131" t="s">
        <v>4460</v>
      </c>
      <c r="H216" s="132">
        <v>1</v>
      </c>
      <c r="I216" s="133"/>
      <c r="J216" s="134">
        <f t="shared" si="60"/>
        <v>0</v>
      </c>
      <c r="K216" s="130"/>
      <c r="L216" s="17"/>
      <c r="M216" s="135"/>
      <c r="N216" s="136" t="s">
        <v>45</v>
      </c>
      <c r="P216" s="137">
        <f t="shared" si="61"/>
        <v>0</v>
      </c>
      <c r="Q216" s="137">
        <v>0</v>
      </c>
      <c r="R216" s="137">
        <f t="shared" si="62"/>
        <v>0</v>
      </c>
      <c r="S216" s="137">
        <v>0</v>
      </c>
      <c r="T216" s="138">
        <f t="shared" si="63"/>
        <v>0</v>
      </c>
      <c r="AR216" s="139" t="s">
        <v>344</v>
      </c>
      <c r="AT216" s="139" t="s">
        <v>339</v>
      </c>
      <c r="AU216" s="139" t="s">
        <v>87</v>
      </c>
      <c r="AY216" s="2" t="s">
        <v>337</v>
      </c>
      <c r="BE216" s="140">
        <f t="shared" si="64"/>
        <v>0</v>
      </c>
      <c r="BF216" s="140">
        <f t="shared" si="65"/>
        <v>0</v>
      </c>
      <c r="BG216" s="140">
        <f t="shared" si="66"/>
        <v>0</v>
      </c>
      <c r="BH216" s="140">
        <f t="shared" si="67"/>
        <v>0</v>
      </c>
      <c r="BI216" s="140">
        <f t="shared" si="68"/>
        <v>0</v>
      </c>
      <c r="BJ216" s="2" t="s">
        <v>87</v>
      </c>
      <c r="BK216" s="140">
        <f t="shared" si="69"/>
        <v>0</v>
      </c>
      <c r="BL216" s="2" t="s">
        <v>344</v>
      </c>
      <c r="BM216" s="139" t="s">
        <v>1439</v>
      </c>
    </row>
    <row r="217" spans="2:65" s="16" customFormat="1" ht="16.5" customHeight="1" x14ac:dyDescent="0.2">
      <c r="B217" s="17"/>
      <c r="C217" s="128">
        <v>65</v>
      </c>
      <c r="D217" s="128" t="s">
        <v>339</v>
      </c>
      <c r="E217" s="129" t="s">
        <v>7690</v>
      </c>
      <c r="F217" s="130" t="s">
        <v>7691</v>
      </c>
      <c r="G217" s="131" t="s">
        <v>7010</v>
      </c>
      <c r="H217" s="132">
        <v>1</v>
      </c>
      <c r="I217" s="133"/>
      <c r="J217" s="134">
        <f t="shared" si="60"/>
        <v>0</v>
      </c>
      <c r="K217" s="130"/>
      <c r="L217" s="17"/>
      <c r="M217" s="135"/>
      <c r="N217" s="136" t="s">
        <v>45</v>
      </c>
      <c r="P217" s="137">
        <f t="shared" si="61"/>
        <v>0</v>
      </c>
      <c r="Q217" s="137">
        <v>0</v>
      </c>
      <c r="R217" s="137">
        <f t="shared" si="62"/>
        <v>0</v>
      </c>
      <c r="S217" s="137">
        <v>0</v>
      </c>
      <c r="T217" s="138">
        <f t="shared" si="63"/>
        <v>0</v>
      </c>
      <c r="AR217" s="139" t="s">
        <v>344</v>
      </c>
      <c r="AT217" s="139" t="s">
        <v>339</v>
      </c>
      <c r="AU217" s="139" t="s">
        <v>87</v>
      </c>
      <c r="AY217" s="2" t="s">
        <v>337</v>
      </c>
      <c r="BE217" s="140">
        <f t="shared" si="64"/>
        <v>0</v>
      </c>
      <c r="BF217" s="140">
        <f t="shared" si="65"/>
        <v>0</v>
      </c>
      <c r="BG217" s="140">
        <f t="shared" si="66"/>
        <v>0</v>
      </c>
      <c r="BH217" s="140">
        <f t="shared" si="67"/>
        <v>0</v>
      </c>
      <c r="BI217" s="140">
        <f t="shared" si="68"/>
        <v>0</v>
      </c>
      <c r="BJ217" s="2" t="s">
        <v>87</v>
      </c>
      <c r="BK217" s="140">
        <f t="shared" si="69"/>
        <v>0</v>
      </c>
      <c r="BL217" s="2" t="s">
        <v>344</v>
      </c>
      <c r="BM217" s="139" t="s">
        <v>1463</v>
      </c>
    </row>
    <row r="218" spans="2:65" s="16" customFormat="1" ht="16.5" customHeight="1" x14ac:dyDescent="0.2">
      <c r="B218" s="17"/>
      <c r="C218" s="128">
        <v>66</v>
      </c>
      <c r="D218" s="128" t="s">
        <v>339</v>
      </c>
      <c r="E218" s="129" t="s">
        <v>7692</v>
      </c>
      <c r="F218" s="130" t="s">
        <v>7693</v>
      </c>
      <c r="G218" s="131" t="s">
        <v>7010</v>
      </c>
      <c r="H218" s="132">
        <v>1</v>
      </c>
      <c r="I218" s="133"/>
      <c r="J218" s="134">
        <f t="shared" si="60"/>
        <v>0</v>
      </c>
      <c r="K218" s="130"/>
      <c r="L218" s="17"/>
      <c r="M218" s="135"/>
      <c r="N218" s="136" t="s">
        <v>45</v>
      </c>
      <c r="P218" s="137">
        <f t="shared" si="61"/>
        <v>0</v>
      </c>
      <c r="Q218" s="137">
        <v>0</v>
      </c>
      <c r="R218" s="137">
        <f t="shared" si="62"/>
        <v>0</v>
      </c>
      <c r="S218" s="137">
        <v>0</v>
      </c>
      <c r="T218" s="138">
        <f t="shared" si="63"/>
        <v>0</v>
      </c>
      <c r="AR218" s="139" t="s">
        <v>344</v>
      </c>
      <c r="AT218" s="139" t="s">
        <v>339</v>
      </c>
      <c r="AU218" s="139" t="s">
        <v>87</v>
      </c>
      <c r="AY218" s="2" t="s">
        <v>337</v>
      </c>
      <c r="BE218" s="140">
        <f t="shared" si="64"/>
        <v>0</v>
      </c>
      <c r="BF218" s="140">
        <f t="shared" si="65"/>
        <v>0</v>
      </c>
      <c r="BG218" s="140">
        <f t="shared" si="66"/>
        <v>0</v>
      </c>
      <c r="BH218" s="140">
        <f t="shared" si="67"/>
        <v>0</v>
      </c>
      <c r="BI218" s="140">
        <f t="shared" si="68"/>
        <v>0</v>
      </c>
      <c r="BJ218" s="2" t="s">
        <v>87</v>
      </c>
      <c r="BK218" s="140">
        <f t="shared" si="69"/>
        <v>0</v>
      </c>
      <c r="BL218" s="2" t="s">
        <v>344</v>
      </c>
      <c r="BM218" s="139" t="s">
        <v>1492</v>
      </c>
    </row>
    <row r="219" spans="2:65" s="16" customFormat="1" ht="16.5" customHeight="1" x14ac:dyDescent="0.2">
      <c r="B219" s="17"/>
      <c r="C219" s="128">
        <v>67</v>
      </c>
      <c r="D219" s="128" t="s">
        <v>339</v>
      </c>
      <c r="E219" s="129" t="s">
        <v>7694</v>
      </c>
      <c r="F219" s="130" t="s">
        <v>7695</v>
      </c>
      <c r="G219" s="131" t="s">
        <v>7026</v>
      </c>
      <c r="H219" s="132">
        <v>16</v>
      </c>
      <c r="I219" s="133"/>
      <c r="J219" s="134">
        <f t="shared" si="60"/>
        <v>0</v>
      </c>
      <c r="K219" s="130"/>
      <c r="L219" s="17"/>
      <c r="M219" s="135"/>
      <c r="N219" s="136" t="s">
        <v>45</v>
      </c>
      <c r="P219" s="137">
        <f t="shared" si="61"/>
        <v>0</v>
      </c>
      <c r="Q219" s="137">
        <v>0</v>
      </c>
      <c r="R219" s="137">
        <f t="shared" si="62"/>
        <v>0</v>
      </c>
      <c r="S219" s="137">
        <v>0</v>
      </c>
      <c r="T219" s="138">
        <f t="shared" si="63"/>
        <v>0</v>
      </c>
      <c r="AR219" s="139" t="s">
        <v>344</v>
      </c>
      <c r="AT219" s="139" t="s">
        <v>339</v>
      </c>
      <c r="AU219" s="139" t="s">
        <v>87</v>
      </c>
      <c r="AY219" s="2" t="s">
        <v>337</v>
      </c>
      <c r="BE219" s="140">
        <f t="shared" si="64"/>
        <v>0</v>
      </c>
      <c r="BF219" s="140">
        <f t="shared" si="65"/>
        <v>0</v>
      </c>
      <c r="BG219" s="140">
        <f t="shared" si="66"/>
        <v>0</v>
      </c>
      <c r="BH219" s="140">
        <f t="shared" si="67"/>
        <v>0</v>
      </c>
      <c r="BI219" s="140">
        <f t="shared" si="68"/>
        <v>0</v>
      </c>
      <c r="BJ219" s="2" t="s">
        <v>87</v>
      </c>
      <c r="BK219" s="140">
        <f t="shared" si="69"/>
        <v>0</v>
      </c>
      <c r="BL219" s="2" t="s">
        <v>344</v>
      </c>
      <c r="BM219" s="139" t="s">
        <v>1499</v>
      </c>
    </row>
    <row r="220" spans="2:65" s="16" customFormat="1" ht="16.5" customHeight="1" x14ac:dyDescent="0.2">
      <c r="B220" s="17"/>
      <c r="C220" s="128">
        <v>68</v>
      </c>
      <c r="D220" s="128" t="s">
        <v>339</v>
      </c>
      <c r="E220" s="129" t="s">
        <v>7696</v>
      </c>
      <c r="F220" s="130" t="s">
        <v>7697</v>
      </c>
      <c r="G220" s="131" t="s">
        <v>7026</v>
      </c>
      <c r="H220" s="132">
        <v>16</v>
      </c>
      <c r="I220" s="133"/>
      <c r="J220" s="134">
        <f t="shared" si="60"/>
        <v>0</v>
      </c>
      <c r="K220" s="130"/>
      <c r="L220" s="17"/>
      <c r="M220" s="135"/>
      <c r="N220" s="136" t="s">
        <v>45</v>
      </c>
      <c r="P220" s="137">
        <f t="shared" si="61"/>
        <v>0</v>
      </c>
      <c r="Q220" s="137">
        <v>0</v>
      </c>
      <c r="R220" s="137">
        <f t="shared" si="62"/>
        <v>0</v>
      </c>
      <c r="S220" s="137">
        <v>0</v>
      </c>
      <c r="T220" s="138">
        <f t="shared" si="63"/>
        <v>0</v>
      </c>
      <c r="AR220" s="139" t="s">
        <v>344</v>
      </c>
      <c r="AT220" s="139" t="s">
        <v>339</v>
      </c>
      <c r="AU220" s="139" t="s">
        <v>87</v>
      </c>
      <c r="AY220" s="2" t="s">
        <v>337</v>
      </c>
      <c r="BE220" s="140">
        <f t="shared" si="64"/>
        <v>0</v>
      </c>
      <c r="BF220" s="140">
        <f t="shared" si="65"/>
        <v>0</v>
      </c>
      <c r="BG220" s="140">
        <f t="shared" si="66"/>
        <v>0</v>
      </c>
      <c r="BH220" s="140">
        <f t="shared" si="67"/>
        <v>0</v>
      </c>
      <c r="BI220" s="140">
        <f t="shared" si="68"/>
        <v>0</v>
      </c>
      <c r="BJ220" s="2" t="s">
        <v>87</v>
      </c>
      <c r="BK220" s="140">
        <f t="shared" si="69"/>
        <v>0</v>
      </c>
      <c r="BL220" s="2" t="s">
        <v>344</v>
      </c>
      <c r="BM220" s="139" t="s">
        <v>7698</v>
      </c>
    </row>
    <row r="221" spans="2:65" s="16" customFormat="1" ht="16.5" customHeight="1" x14ac:dyDescent="0.2">
      <c r="B221" s="17"/>
      <c r="C221" s="128">
        <v>69</v>
      </c>
      <c r="D221" s="128" t="s">
        <v>339</v>
      </c>
      <c r="E221" s="129" t="s">
        <v>7699</v>
      </c>
      <c r="F221" s="130" t="s">
        <v>7700</v>
      </c>
      <c r="G221" s="131" t="s">
        <v>4460</v>
      </c>
      <c r="H221" s="132">
        <v>1</v>
      </c>
      <c r="I221" s="133"/>
      <c r="J221" s="134">
        <f t="shared" si="60"/>
        <v>0</v>
      </c>
      <c r="K221" s="130"/>
      <c r="L221" s="17"/>
      <c r="M221" s="135"/>
      <c r="N221" s="136" t="s">
        <v>45</v>
      </c>
      <c r="P221" s="137">
        <f t="shared" si="61"/>
        <v>0</v>
      </c>
      <c r="Q221" s="137">
        <v>0</v>
      </c>
      <c r="R221" s="137">
        <f t="shared" si="62"/>
        <v>0</v>
      </c>
      <c r="S221" s="137">
        <v>0</v>
      </c>
      <c r="T221" s="138">
        <f t="shared" si="63"/>
        <v>0</v>
      </c>
      <c r="AR221" s="139" t="s">
        <v>344</v>
      </c>
      <c r="AT221" s="139" t="s">
        <v>339</v>
      </c>
      <c r="AU221" s="139" t="s">
        <v>87</v>
      </c>
      <c r="AY221" s="2" t="s">
        <v>337</v>
      </c>
      <c r="BE221" s="140">
        <f t="shared" si="64"/>
        <v>0</v>
      </c>
      <c r="BF221" s="140">
        <f t="shared" si="65"/>
        <v>0</v>
      </c>
      <c r="BG221" s="140">
        <f t="shared" si="66"/>
        <v>0</v>
      </c>
      <c r="BH221" s="140">
        <f t="shared" si="67"/>
        <v>0</v>
      </c>
      <c r="BI221" s="140">
        <f t="shared" si="68"/>
        <v>0</v>
      </c>
      <c r="BJ221" s="2" t="s">
        <v>87</v>
      </c>
      <c r="BK221" s="140">
        <f t="shared" si="69"/>
        <v>0</v>
      </c>
      <c r="BL221" s="2" t="s">
        <v>344</v>
      </c>
      <c r="BM221" s="139" t="s">
        <v>1535</v>
      </c>
    </row>
    <row r="222" spans="2:65" s="16" customFormat="1" ht="16.5" customHeight="1" x14ac:dyDescent="0.2">
      <c r="B222" s="17"/>
      <c r="C222" s="128">
        <v>70</v>
      </c>
      <c r="D222" s="128" t="s">
        <v>339</v>
      </c>
      <c r="E222" s="129" t="s">
        <v>7701</v>
      </c>
      <c r="F222" s="130" t="s">
        <v>7702</v>
      </c>
      <c r="G222" s="131" t="s">
        <v>7026</v>
      </c>
      <c r="H222" s="132">
        <v>14</v>
      </c>
      <c r="I222" s="133"/>
      <c r="J222" s="134">
        <f t="shared" si="60"/>
        <v>0</v>
      </c>
      <c r="K222" s="130"/>
      <c r="L222" s="17"/>
      <c r="M222" s="135"/>
      <c r="N222" s="136" t="s">
        <v>45</v>
      </c>
      <c r="P222" s="137">
        <f t="shared" si="61"/>
        <v>0</v>
      </c>
      <c r="Q222" s="137">
        <v>0</v>
      </c>
      <c r="R222" s="137">
        <f t="shared" si="62"/>
        <v>0</v>
      </c>
      <c r="S222" s="137">
        <v>0</v>
      </c>
      <c r="T222" s="138">
        <f t="shared" si="63"/>
        <v>0</v>
      </c>
      <c r="AR222" s="139" t="s">
        <v>344</v>
      </c>
      <c r="AT222" s="139" t="s">
        <v>339</v>
      </c>
      <c r="AU222" s="139" t="s">
        <v>87</v>
      </c>
      <c r="AY222" s="2" t="s">
        <v>337</v>
      </c>
      <c r="BE222" s="140">
        <f t="shared" si="64"/>
        <v>0</v>
      </c>
      <c r="BF222" s="140">
        <f t="shared" si="65"/>
        <v>0</v>
      </c>
      <c r="BG222" s="140">
        <f t="shared" si="66"/>
        <v>0</v>
      </c>
      <c r="BH222" s="140">
        <f t="shared" si="67"/>
        <v>0</v>
      </c>
      <c r="BI222" s="140">
        <f t="shared" si="68"/>
        <v>0</v>
      </c>
      <c r="BJ222" s="2" t="s">
        <v>87</v>
      </c>
      <c r="BK222" s="140">
        <f t="shared" si="69"/>
        <v>0</v>
      </c>
      <c r="BL222" s="2" t="s">
        <v>344</v>
      </c>
      <c r="BM222" s="139" t="s">
        <v>6156</v>
      </c>
    </row>
    <row r="223" spans="2:65" s="16" customFormat="1" ht="16.5" customHeight="1" x14ac:dyDescent="0.2">
      <c r="B223" s="17"/>
      <c r="C223" s="128">
        <v>71</v>
      </c>
      <c r="D223" s="128" t="s">
        <v>339</v>
      </c>
      <c r="E223" s="129" t="s">
        <v>7703</v>
      </c>
      <c r="F223" s="130" t="s">
        <v>7704</v>
      </c>
      <c r="G223" s="131" t="s">
        <v>7026</v>
      </c>
      <c r="H223" s="132">
        <v>10</v>
      </c>
      <c r="I223" s="133"/>
      <c r="J223" s="134">
        <f t="shared" si="60"/>
        <v>0</v>
      </c>
      <c r="K223" s="130"/>
      <c r="L223" s="17"/>
      <c r="M223" s="135"/>
      <c r="N223" s="136" t="s">
        <v>45</v>
      </c>
      <c r="P223" s="137">
        <f t="shared" si="61"/>
        <v>0</v>
      </c>
      <c r="Q223" s="137">
        <v>0</v>
      </c>
      <c r="R223" s="137">
        <f t="shared" si="62"/>
        <v>0</v>
      </c>
      <c r="S223" s="137">
        <v>0</v>
      </c>
      <c r="T223" s="138">
        <f t="shared" si="63"/>
        <v>0</v>
      </c>
      <c r="AR223" s="139" t="s">
        <v>344</v>
      </c>
      <c r="AT223" s="139" t="s">
        <v>339</v>
      </c>
      <c r="AU223" s="139" t="s">
        <v>87</v>
      </c>
      <c r="AY223" s="2" t="s">
        <v>337</v>
      </c>
      <c r="BE223" s="140">
        <f t="shared" si="64"/>
        <v>0</v>
      </c>
      <c r="BF223" s="140">
        <f t="shared" si="65"/>
        <v>0</v>
      </c>
      <c r="BG223" s="140">
        <f t="shared" si="66"/>
        <v>0</v>
      </c>
      <c r="BH223" s="140">
        <f t="shared" si="67"/>
        <v>0</v>
      </c>
      <c r="BI223" s="140">
        <f t="shared" si="68"/>
        <v>0</v>
      </c>
      <c r="BJ223" s="2" t="s">
        <v>87</v>
      </c>
      <c r="BK223" s="140">
        <f t="shared" si="69"/>
        <v>0</v>
      </c>
      <c r="BL223" s="2" t="s">
        <v>344</v>
      </c>
      <c r="BM223" s="139" t="s">
        <v>1541</v>
      </c>
    </row>
    <row r="224" spans="2:65" s="16" customFormat="1" ht="16.5" customHeight="1" x14ac:dyDescent="0.2">
      <c r="B224" s="17"/>
      <c r="C224" s="128">
        <v>72</v>
      </c>
      <c r="D224" s="128" t="s">
        <v>339</v>
      </c>
      <c r="E224" s="129" t="s">
        <v>7705</v>
      </c>
      <c r="F224" s="130" t="s">
        <v>7706</v>
      </c>
      <c r="G224" s="131" t="s">
        <v>7026</v>
      </c>
      <c r="H224" s="132">
        <v>10</v>
      </c>
      <c r="I224" s="133"/>
      <c r="J224" s="134">
        <f t="shared" si="60"/>
        <v>0</v>
      </c>
      <c r="K224" s="130"/>
      <c r="L224" s="17"/>
      <c r="M224" s="135"/>
      <c r="N224" s="136" t="s">
        <v>45</v>
      </c>
      <c r="P224" s="137">
        <f t="shared" si="61"/>
        <v>0</v>
      </c>
      <c r="Q224" s="137">
        <v>0</v>
      </c>
      <c r="R224" s="137">
        <f t="shared" si="62"/>
        <v>0</v>
      </c>
      <c r="S224" s="137">
        <v>0</v>
      </c>
      <c r="T224" s="138">
        <f t="shared" si="63"/>
        <v>0</v>
      </c>
      <c r="AR224" s="139" t="s">
        <v>344</v>
      </c>
      <c r="AT224" s="139" t="s">
        <v>339</v>
      </c>
      <c r="AU224" s="139" t="s">
        <v>87</v>
      </c>
      <c r="AY224" s="2" t="s">
        <v>337</v>
      </c>
      <c r="BE224" s="140">
        <f t="shared" si="64"/>
        <v>0</v>
      </c>
      <c r="BF224" s="140">
        <f t="shared" si="65"/>
        <v>0</v>
      </c>
      <c r="BG224" s="140">
        <f t="shared" si="66"/>
        <v>0</v>
      </c>
      <c r="BH224" s="140">
        <f t="shared" si="67"/>
        <v>0</v>
      </c>
      <c r="BI224" s="140">
        <f t="shared" si="68"/>
        <v>0</v>
      </c>
      <c r="BJ224" s="2" t="s">
        <v>87</v>
      </c>
      <c r="BK224" s="140">
        <f t="shared" si="69"/>
        <v>0</v>
      </c>
      <c r="BL224" s="2" t="s">
        <v>344</v>
      </c>
      <c r="BM224" s="139" t="s">
        <v>6161</v>
      </c>
    </row>
    <row r="225" spans="2:65" s="16" customFormat="1" ht="16.5" customHeight="1" x14ac:dyDescent="0.2">
      <c r="B225" s="17"/>
      <c r="C225" s="128">
        <v>73</v>
      </c>
      <c r="D225" s="128" t="s">
        <v>339</v>
      </c>
      <c r="E225" s="129" t="s">
        <v>7707</v>
      </c>
      <c r="F225" s="130" t="s">
        <v>7708</v>
      </c>
      <c r="G225" s="131" t="s">
        <v>7026</v>
      </c>
      <c r="H225" s="132">
        <v>10</v>
      </c>
      <c r="I225" s="133"/>
      <c r="J225" s="134">
        <f t="shared" si="60"/>
        <v>0</v>
      </c>
      <c r="K225" s="130"/>
      <c r="L225" s="17"/>
      <c r="M225" s="135"/>
      <c r="N225" s="136" t="s">
        <v>45</v>
      </c>
      <c r="P225" s="137">
        <f t="shared" si="61"/>
        <v>0</v>
      </c>
      <c r="Q225" s="137">
        <v>0</v>
      </c>
      <c r="R225" s="137">
        <f t="shared" si="62"/>
        <v>0</v>
      </c>
      <c r="S225" s="137">
        <v>0</v>
      </c>
      <c r="T225" s="138">
        <f t="shared" si="63"/>
        <v>0</v>
      </c>
      <c r="AR225" s="139" t="s">
        <v>344</v>
      </c>
      <c r="AT225" s="139" t="s">
        <v>339</v>
      </c>
      <c r="AU225" s="139" t="s">
        <v>87</v>
      </c>
      <c r="AY225" s="2" t="s">
        <v>337</v>
      </c>
      <c r="BE225" s="140">
        <f t="shared" si="64"/>
        <v>0</v>
      </c>
      <c r="BF225" s="140">
        <f t="shared" si="65"/>
        <v>0</v>
      </c>
      <c r="BG225" s="140">
        <f t="shared" si="66"/>
        <v>0</v>
      </c>
      <c r="BH225" s="140">
        <f t="shared" si="67"/>
        <v>0</v>
      </c>
      <c r="BI225" s="140">
        <f t="shared" si="68"/>
        <v>0</v>
      </c>
      <c r="BJ225" s="2" t="s">
        <v>87</v>
      </c>
      <c r="BK225" s="140">
        <f t="shared" si="69"/>
        <v>0</v>
      </c>
      <c r="BL225" s="2" t="s">
        <v>344</v>
      </c>
      <c r="BM225" s="139" t="s">
        <v>1576</v>
      </c>
    </row>
    <row r="226" spans="2:65" s="16" customFormat="1" ht="16.5" customHeight="1" x14ac:dyDescent="0.2">
      <c r="B226" s="17"/>
      <c r="C226" s="128">
        <v>74</v>
      </c>
      <c r="D226" s="128" t="s">
        <v>339</v>
      </c>
      <c r="E226" s="129" t="s">
        <v>7709</v>
      </c>
      <c r="F226" s="130" t="s">
        <v>7710</v>
      </c>
      <c r="G226" s="131" t="s">
        <v>7010</v>
      </c>
      <c r="H226" s="132">
        <v>1</v>
      </c>
      <c r="I226" s="133"/>
      <c r="J226" s="134">
        <f t="shared" si="60"/>
        <v>0</v>
      </c>
      <c r="K226" s="130"/>
      <c r="L226" s="17"/>
      <c r="M226" s="135"/>
      <c r="N226" s="136" t="s">
        <v>45</v>
      </c>
      <c r="P226" s="137">
        <f t="shared" si="61"/>
        <v>0</v>
      </c>
      <c r="Q226" s="137">
        <v>0</v>
      </c>
      <c r="R226" s="137">
        <f t="shared" si="62"/>
        <v>0</v>
      </c>
      <c r="S226" s="137">
        <v>0</v>
      </c>
      <c r="T226" s="138">
        <f t="shared" si="63"/>
        <v>0</v>
      </c>
      <c r="AR226" s="139" t="s">
        <v>344</v>
      </c>
      <c r="AT226" s="139" t="s">
        <v>339</v>
      </c>
      <c r="AU226" s="139" t="s">
        <v>87</v>
      </c>
      <c r="AY226" s="2" t="s">
        <v>337</v>
      </c>
      <c r="BE226" s="140">
        <f t="shared" si="64"/>
        <v>0</v>
      </c>
      <c r="BF226" s="140">
        <f t="shared" si="65"/>
        <v>0</v>
      </c>
      <c r="BG226" s="140">
        <f t="shared" si="66"/>
        <v>0</v>
      </c>
      <c r="BH226" s="140">
        <f t="shared" si="67"/>
        <v>0</v>
      </c>
      <c r="BI226" s="140">
        <f t="shared" si="68"/>
        <v>0</v>
      </c>
      <c r="BJ226" s="2" t="s">
        <v>87</v>
      </c>
      <c r="BK226" s="140">
        <f t="shared" si="69"/>
        <v>0</v>
      </c>
      <c r="BL226" s="2" t="s">
        <v>344</v>
      </c>
      <c r="BM226" s="139" t="s">
        <v>1663</v>
      </c>
    </row>
    <row r="227" spans="2:65" s="16" customFormat="1" ht="16.5" customHeight="1" x14ac:dyDescent="0.2">
      <c r="B227" s="17"/>
      <c r="C227" s="128">
        <v>75</v>
      </c>
      <c r="D227" s="128" t="s">
        <v>339</v>
      </c>
      <c r="E227" s="129" t="s">
        <v>7711</v>
      </c>
      <c r="F227" s="130" t="s">
        <v>7712</v>
      </c>
      <c r="G227" s="131" t="s">
        <v>7026</v>
      </c>
      <c r="H227" s="132">
        <v>8</v>
      </c>
      <c r="I227" s="133"/>
      <c r="J227" s="134">
        <f t="shared" si="60"/>
        <v>0</v>
      </c>
      <c r="K227" s="130"/>
      <c r="L227" s="17"/>
      <c r="M227" s="135"/>
      <c r="N227" s="136" t="s">
        <v>45</v>
      </c>
      <c r="P227" s="137">
        <f t="shared" si="61"/>
        <v>0</v>
      </c>
      <c r="Q227" s="137">
        <v>0</v>
      </c>
      <c r="R227" s="137">
        <f t="shared" si="62"/>
        <v>0</v>
      </c>
      <c r="S227" s="137">
        <v>0</v>
      </c>
      <c r="T227" s="138">
        <f t="shared" si="63"/>
        <v>0</v>
      </c>
      <c r="AR227" s="139" t="s">
        <v>344</v>
      </c>
      <c r="AT227" s="139" t="s">
        <v>339</v>
      </c>
      <c r="AU227" s="139" t="s">
        <v>87</v>
      </c>
      <c r="AY227" s="2" t="s">
        <v>337</v>
      </c>
      <c r="BE227" s="140">
        <f t="shared" si="64"/>
        <v>0</v>
      </c>
      <c r="BF227" s="140">
        <f t="shared" si="65"/>
        <v>0</v>
      </c>
      <c r="BG227" s="140">
        <f t="shared" si="66"/>
        <v>0</v>
      </c>
      <c r="BH227" s="140">
        <f t="shared" si="67"/>
        <v>0</v>
      </c>
      <c r="BI227" s="140">
        <f t="shared" si="68"/>
        <v>0</v>
      </c>
      <c r="BJ227" s="2" t="s">
        <v>87</v>
      </c>
      <c r="BK227" s="140">
        <f t="shared" si="69"/>
        <v>0</v>
      </c>
      <c r="BL227" s="2" t="s">
        <v>344</v>
      </c>
      <c r="BM227" s="139" t="s">
        <v>1672</v>
      </c>
    </row>
    <row r="228" spans="2:65" s="16" customFormat="1" ht="16.5" customHeight="1" x14ac:dyDescent="0.2">
      <c r="B228" s="17"/>
      <c r="C228" s="128">
        <v>76</v>
      </c>
      <c r="D228" s="128" t="s">
        <v>339</v>
      </c>
      <c r="E228" s="129" t="s">
        <v>7713</v>
      </c>
      <c r="F228" s="130" t="s">
        <v>7714</v>
      </c>
      <c r="G228" s="131" t="s">
        <v>7010</v>
      </c>
      <c r="H228" s="132">
        <v>1</v>
      </c>
      <c r="I228" s="133"/>
      <c r="J228" s="134">
        <f t="shared" si="60"/>
        <v>0</v>
      </c>
      <c r="K228" s="130"/>
      <c r="L228" s="17"/>
      <c r="M228" s="135"/>
      <c r="N228" s="136" t="s">
        <v>45</v>
      </c>
      <c r="P228" s="137">
        <f t="shared" si="61"/>
        <v>0</v>
      </c>
      <c r="Q228" s="137">
        <v>0</v>
      </c>
      <c r="R228" s="137">
        <f t="shared" si="62"/>
        <v>0</v>
      </c>
      <c r="S228" s="137">
        <v>0</v>
      </c>
      <c r="T228" s="138">
        <f t="shared" si="63"/>
        <v>0</v>
      </c>
      <c r="AR228" s="139" t="s">
        <v>344</v>
      </c>
      <c r="AT228" s="139" t="s">
        <v>339</v>
      </c>
      <c r="AU228" s="139" t="s">
        <v>87</v>
      </c>
      <c r="AY228" s="2" t="s">
        <v>337</v>
      </c>
      <c r="BE228" s="140">
        <f t="shared" si="64"/>
        <v>0</v>
      </c>
      <c r="BF228" s="140">
        <f t="shared" si="65"/>
        <v>0</v>
      </c>
      <c r="BG228" s="140">
        <f t="shared" si="66"/>
        <v>0</v>
      </c>
      <c r="BH228" s="140">
        <f t="shared" si="67"/>
        <v>0</v>
      </c>
      <c r="BI228" s="140">
        <f t="shared" si="68"/>
        <v>0</v>
      </c>
      <c r="BJ228" s="2" t="s">
        <v>87</v>
      </c>
      <c r="BK228" s="140">
        <f t="shared" si="69"/>
        <v>0</v>
      </c>
      <c r="BL228" s="2" t="s">
        <v>344</v>
      </c>
      <c r="BM228" s="139" t="s">
        <v>1683</v>
      </c>
    </row>
    <row r="229" spans="2:65" s="16" customFormat="1" ht="16.5" customHeight="1" x14ac:dyDescent="0.2">
      <c r="B229" s="17"/>
      <c r="C229" s="128">
        <v>77</v>
      </c>
      <c r="D229" s="128" t="s">
        <v>339</v>
      </c>
      <c r="E229" s="129" t="s">
        <v>7715</v>
      </c>
      <c r="F229" s="130" t="s">
        <v>7716</v>
      </c>
      <c r="G229" s="131" t="s">
        <v>7026</v>
      </c>
      <c r="H229" s="132">
        <v>20</v>
      </c>
      <c r="I229" s="133"/>
      <c r="J229" s="134">
        <f t="shared" si="60"/>
        <v>0</v>
      </c>
      <c r="K229" s="130"/>
      <c r="L229" s="17"/>
      <c r="M229" s="135"/>
      <c r="N229" s="136" t="s">
        <v>45</v>
      </c>
      <c r="P229" s="137">
        <f t="shared" si="61"/>
        <v>0</v>
      </c>
      <c r="Q229" s="137">
        <v>0</v>
      </c>
      <c r="R229" s="137">
        <f t="shared" si="62"/>
        <v>0</v>
      </c>
      <c r="S229" s="137">
        <v>0</v>
      </c>
      <c r="T229" s="138">
        <f t="shared" si="63"/>
        <v>0</v>
      </c>
      <c r="AR229" s="139" t="s">
        <v>344</v>
      </c>
      <c r="AT229" s="139" t="s">
        <v>339</v>
      </c>
      <c r="AU229" s="139" t="s">
        <v>87</v>
      </c>
      <c r="AY229" s="2" t="s">
        <v>337</v>
      </c>
      <c r="BE229" s="140">
        <f t="shared" si="64"/>
        <v>0</v>
      </c>
      <c r="BF229" s="140">
        <f t="shared" si="65"/>
        <v>0</v>
      </c>
      <c r="BG229" s="140">
        <f t="shared" si="66"/>
        <v>0</v>
      </c>
      <c r="BH229" s="140">
        <f t="shared" si="67"/>
        <v>0</v>
      </c>
      <c r="BI229" s="140">
        <f t="shared" si="68"/>
        <v>0</v>
      </c>
      <c r="BJ229" s="2" t="s">
        <v>87</v>
      </c>
      <c r="BK229" s="140">
        <f t="shared" si="69"/>
        <v>0</v>
      </c>
      <c r="BL229" s="2" t="s">
        <v>344</v>
      </c>
      <c r="BM229" s="139" t="s">
        <v>1701</v>
      </c>
    </row>
    <row r="230" spans="2:65" s="16" customFormat="1" ht="16.5" customHeight="1" x14ac:dyDescent="0.2">
      <c r="B230" s="17"/>
      <c r="C230" s="128">
        <v>78</v>
      </c>
      <c r="D230" s="128" t="s">
        <v>339</v>
      </c>
      <c r="E230" s="129" t="s">
        <v>7717</v>
      </c>
      <c r="F230" s="130" t="s">
        <v>7718</v>
      </c>
      <c r="G230" s="131" t="s">
        <v>7010</v>
      </c>
      <c r="H230" s="132">
        <v>1</v>
      </c>
      <c r="I230" s="133"/>
      <c r="J230" s="134">
        <f t="shared" si="60"/>
        <v>0</v>
      </c>
      <c r="K230" s="130"/>
      <c r="L230" s="17"/>
      <c r="M230" s="135"/>
      <c r="N230" s="136" t="s">
        <v>45</v>
      </c>
      <c r="P230" s="137">
        <f t="shared" si="61"/>
        <v>0</v>
      </c>
      <c r="Q230" s="137">
        <v>0</v>
      </c>
      <c r="R230" s="137">
        <f t="shared" si="62"/>
        <v>0</v>
      </c>
      <c r="S230" s="137">
        <v>0</v>
      </c>
      <c r="T230" s="138">
        <f t="shared" si="63"/>
        <v>0</v>
      </c>
      <c r="AR230" s="139" t="s">
        <v>344</v>
      </c>
      <c r="AT230" s="139" t="s">
        <v>339</v>
      </c>
      <c r="AU230" s="139" t="s">
        <v>87</v>
      </c>
      <c r="AY230" s="2" t="s">
        <v>337</v>
      </c>
      <c r="BE230" s="140">
        <f t="shared" si="64"/>
        <v>0</v>
      </c>
      <c r="BF230" s="140">
        <f t="shared" si="65"/>
        <v>0</v>
      </c>
      <c r="BG230" s="140">
        <f t="shared" si="66"/>
        <v>0</v>
      </c>
      <c r="BH230" s="140">
        <f t="shared" si="67"/>
        <v>0</v>
      </c>
      <c r="BI230" s="140">
        <f t="shared" si="68"/>
        <v>0</v>
      </c>
      <c r="BJ230" s="2" t="s">
        <v>87</v>
      </c>
      <c r="BK230" s="140">
        <f t="shared" si="69"/>
        <v>0</v>
      </c>
      <c r="BL230" s="2" t="s">
        <v>344</v>
      </c>
      <c r="BM230" s="139" t="s">
        <v>1711</v>
      </c>
    </row>
    <row r="231" spans="2:65" s="16" customFormat="1" ht="16.5" customHeight="1" x14ac:dyDescent="0.2">
      <c r="B231" s="17"/>
      <c r="C231" s="128">
        <v>79</v>
      </c>
      <c r="D231" s="128" t="s">
        <v>339</v>
      </c>
      <c r="E231" s="129" t="s">
        <v>7719</v>
      </c>
      <c r="F231" s="130" t="s">
        <v>7014</v>
      </c>
      <c r="G231" s="131" t="s">
        <v>7010</v>
      </c>
      <c r="H231" s="132">
        <v>1</v>
      </c>
      <c r="I231" s="133"/>
      <c r="J231" s="134">
        <f t="shared" si="60"/>
        <v>0</v>
      </c>
      <c r="K231" s="130"/>
      <c r="L231" s="17"/>
      <c r="M231" s="187"/>
      <c r="N231" s="188" t="s">
        <v>45</v>
      </c>
      <c r="O231" s="189"/>
      <c r="P231" s="190">
        <f t="shared" si="61"/>
        <v>0</v>
      </c>
      <c r="Q231" s="190">
        <v>0</v>
      </c>
      <c r="R231" s="190">
        <f t="shared" si="62"/>
        <v>0</v>
      </c>
      <c r="S231" s="190">
        <v>0</v>
      </c>
      <c r="T231" s="191">
        <f t="shared" si="63"/>
        <v>0</v>
      </c>
      <c r="AR231" s="139" t="s">
        <v>344</v>
      </c>
      <c r="AT231" s="139" t="s">
        <v>339</v>
      </c>
      <c r="AU231" s="139" t="s">
        <v>87</v>
      </c>
      <c r="AY231" s="2" t="s">
        <v>337</v>
      </c>
      <c r="BE231" s="140">
        <f t="shared" si="64"/>
        <v>0</v>
      </c>
      <c r="BF231" s="140">
        <f t="shared" si="65"/>
        <v>0</v>
      </c>
      <c r="BG231" s="140">
        <f t="shared" si="66"/>
        <v>0</v>
      </c>
      <c r="BH231" s="140">
        <f t="shared" si="67"/>
        <v>0</v>
      </c>
      <c r="BI231" s="140">
        <f t="shared" si="68"/>
        <v>0</v>
      </c>
      <c r="BJ231" s="2" t="s">
        <v>87</v>
      </c>
      <c r="BK231" s="140">
        <f t="shared" si="69"/>
        <v>0</v>
      </c>
      <c r="BL231" s="2" t="s">
        <v>344</v>
      </c>
      <c r="BM231" s="139" t="s">
        <v>1726</v>
      </c>
    </row>
    <row r="232" spans="2:65" s="16" customFormat="1" ht="6.95" customHeight="1" x14ac:dyDescent="0.2">
      <c r="B232" s="30"/>
      <c r="C232" s="19"/>
      <c r="D232" s="19"/>
      <c r="E232" s="19"/>
      <c r="F232" s="19"/>
      <c r="G232" s="19"/>
      <c r="H232" s="19"/>
      <c r="I232" s="19"/>
      <c r="J232" s="19"/>
      <c r="K232" s="19"/>
      <c r="L232" s="17"/>
    </row>
  </sheetData>
  <sheetProtection algorithmName="SHA-512" hashValue="3PCgjbsKWmEk/cm5mAMIqcIYyjJ30wbIj7+j7f0ykFYYj6gUa1zmCiHL0zprVA3PnjCYq6s9GAMYKyNK5lgvRg==" saltValue="ZOTPrnEG55HFouZC2j6ZLg==" spinCount="100000" sheet="1" objects="1" scenarios="1" formatCells="0" formatColumns="0" formatRows="0" autoFilter="0"/>
  <autoFilter ref="C138:K231" xr:uid="{00000000-0009-0000-0000-000015000000}"/>
  <mergeCells count="16">
    <mergeCell ref="J136:K136"/>
    <mergeCell ref="E22:H22"/>
    <mergeCell ref="L2:V2"/>
    <mergeCell ref="E7:H7"/>
    <mergeCell ref="E9:H9"/>
    <mergeCell ref="E11:H11"/>
    <mergeCell ref="E13:H13"/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23"/>
  <dimension ref="B2:BM319"/>
  <sheetViews>
    <sheetView showGridLines="0" topLeftCell="A276" workbookViewId="0">
      <selection activeCell="P293" sqref="P293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6.3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66406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166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" hidden="1" customHeight="1" x14ac:dyDescent="0.2">
      <c r="B8" s="5"/>
      <c r="D8" s="12" t="s">
        <v>190</v>
      </c>
      <c r="L8" s="5"/>
    </row>
    <row r="9" spans="2:4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</row>
    <row r="10" spans="2:46" s="16" customFormat="1" ht="12" hidden="1" customHeight="1" x14ac:dyDescent="0.2">
      <c r="B10" s="17"/>
      <c r="D10" s="12" t="s">
        <v>196</v>
      </c>
      <c r="L10" s="17"/>
    </row>
    <row r="11" spans="2:46" s="16" customFormat="1" ht="16.5" hidden="1" customHeight="1" x14ac:dyDescent="0.2">
      <c r="B11" s="17"/>
      <c r="E11" s="309" t="s">
        <v>7720</v>
      </c>
      <c r="F11" s="309"/>
      <c r="G11" s="309"/>
      <c r="H11" s="309"/>
      <c r="L11" s="17"/>
    </row>
    <row r="12" spans="2:46" s="16" customFormat="1" hidden="1" x14ac:dyDescent="0.2">
      <c r="B12" s="17"/>
      <c r="L12" s="17"/>
    </row>
    <row r="13" spans="2:4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</row>
    <row r="14" spans="2:46" s="16" customFormat="1" ht="12" hidden="1" customHeight="1" x14ac:dyDescent="0.2">
      <c r="B14" s="17"/>
      <c r="D14" s="12" t="s">
        <v>19</v>
      </c>
      <c r="F14" s="10" t="s">
        <v>371</v>
      </c>
      <c r="I14" s="12" t="s">
        <v>21</v>
      </c>
      <c r="J14" s="38" t="str">
        <f>IF(Rekapitulace_stavby!AN8&lt;&gt;"",Rekapitulace_stavby!AN8,"")</f>
        <v/>
      </c>
      <c r="L14" s="17"/>
    </row>
    <row r="15" spans="2:46" s="16" customFormat="1" ht="10.9" hidden="1" customHeight="1" x14ac:dyDescent="0.2">
      <c r="B15" s="17"/>
      <c r="L15" s="17"/>
    </row>
    <row r="16" spans="2:46" s="16" customFormat="1" ht="12" hidden="1" customHeight="1" x14ac:dyDescent="0.2">
      <c r="B16" s="17"/>
      <c r="D16" s="12" t="s">
        <v>22</v>
      </c>
      <c r="I16" s="12" t="s">
        <v>23</v>
      </c>
      <c r="J16" s="10" t="str">
        <f>IF(Rekapitulace_stavby!AN10="","",Rekapitulace_stavby!AN10)</f>
        <v>00216208</v>
      </c>
      <c r="L16" s="17"/>
    </row>
    <row r="17" spans="2:12" s="16" customFormat="1" ht="18" hidden="1" customHeight="1" x14ac:dyDescent="0.2">
      <c r="B17" s="17"/>
      <c r="E17" s="10" t="str">
        <f>IF(Rekapitulace_stavby!E11="","",Rekapitulace_stavby!E11)</f>
        <v>Univerzita Karlova, Lékařská fakulta v Plzni</v>
      </c>
      <c r="I17" s="12" t="s">
        <v>26</v>
      </c>
      <c r="J17" s="10" t="str">
        <f>IF(Rekapitulace_stavby!AN11="","",Rekapitulace_stavby!AN11)</f>
        <v>CZ00216208</v>
      </c>
      <c r="L17" s="17"/>
    </row>
    <row r="18" spans="2:12" s="16" customFormat="1" ht="6.95" hidden="1" customHeight="1" x14ac:dyDescent="0.2">
      <c r="B18" s="17"/>
      <c r="L18" s="17"/>
    </row>
    <row r="19" spans="2:12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</row>
    <row r="20" spans="2:12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12" s="16" customFormat="1" ht="6.95" hidden="1" customHeight="1" x14ac:dyDescent="0.2">
      <c r="B21" s="17"/>
      <c r="L21" s="17"/>
    </row>
    <row r="22" spans="2:12" s="16" customFormat="1" ht="12" hidden="1" customHeight="1" x14ac:dyDescent="0.2">
      <c r="B22" s="17"/>
      <c r="D22" s="12" t="s">
        <v>29</v>
      </c>
      <c r="I22" s="12" t="s">
        <v>23</v>
      </c>
      <c r="J22" s="10" t="str">
        <f>IF(Rekapitulace_stavby!AN16="","",Rekapitulace_stavby!AN16)</f>
        <v>48025721</v>
      </c>
      <c r="L22" s="17"/>
    </row>
    <row r="23" spans="2:12" s="16" customFormat="1" ht="18" hidden="1" customHeight="1" x14ac:dyDescent="0.2">
      <c r="B23" s="17"/>
      <c r="E23" s="10" t="str">
        <f>IF(Rekapitulace_stavby!E17="","",Rekapitulace_stavby!E17)</f>
        <v>MEPRO s.r.o.</v>
      </c>
      <c r="I23" s="12" t="s">
        <v>26</v>
      </c>
      <c r="J23" s="10" t="str">
        <f>IF(Rekapitulace_stavby!AN17="","",Rekapitulace_stavby!AN17)</f>
        <v>CZ48025721</v>
      </c>
      <c r="L23" s="17"/>
    </row>
    <row r="24" spans="2:12" s="16" customFormat="1" ht="6.95" hidden="1" customHeight="1" x14ac:dyDescent="0.2">
      <c r="B24" s="17"/>
      <c r="L24" s="17"/>
    </row>
    <row r="25" spans="2:12" s="16" customFormat="1" ht="12" hidden="1" customHeight="1" x14ac:dyDescent="0.2">
      <c r="B25" s="17"/>
      <c r="D25" s="12" t="s">
        <v>34</v>
      </c>
      <c r="I25" s="12" t="s">
        <v>23</v>
      </c>
      <c r="J25" s="10" t="str">
        <f>IF(Rekapitulace_stavby!AN19="","",Rekapitulace_stavby!AN19)</f>
        <v>25415751</v>
      </c>
      <c r="L25" s="17"/>
    </row>
    <row r="26" spans="2:12" s="16" customFormat="1" ht="18" hidden="1" customHeight="1" x14ac:dyDescent="0.2">
      <c r="B26" s="17"/>
      <c r="E26" s="10" t="str">
        <f>IF(Rekapitulace_stavby!E20="","",Rekapitulace_stavby!E20)</f>
        <v>Propos Liberec s.r.o.</v>
      </c>
      <c r="I26" s="12" t="s">
        <v>26</v>
      </c>
      <c r="J26" s="10" t="str">
        <f>IF(Rekapitulace_stavby!AN20="","",Rekapitulace_stavby!AN20)</f>
        <v>CZ25415751</v>
      </c>
      <c r="L26" s="17"/>
    </row>
    <row r="27" spans="2:12" s="16" customFormat="1" ht="6.95" hidden="1" customHeight="1" x14ac:dyDescent="0.2">
      <c r="B27" s="17"/>
      <c r="L27" s="17"/>
    </row>
    <row r="28" spans="2:12" s="16" customFormat="1" ht="12" hidden="1" customHeight="1" x14ac:dyDescent="0.2">
      <c r="B28" s="17"/>
      <c r="D28" s="12" t="s">
        <v>38</v>
      </c>
      <c r="L28" s="17"/>
    </row>
    <row r="29" spans="2:12" s="81" customFormat="1" ht="131.25" hidden="1" customHeight="1" x14ac:dyDescent="0.2">
      <c r="B29" s="82"/>
      <c r="E29" s="304" t="s">
        <v>6497</v>
      </c>
      <c r="F29" s="304"/>
      <c r="G29" s="304"/>
      <c r="H29" s="304"/>
      <c r="L29" s="82"/>
    </row>
    <row r="30" spans="2:12" s="16" customFormat="1" ht="6.95" hidden="1" customHeight="1" x14ac:dyDescent="0.2">
      <c r="B30" s="17"/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25.35" hidden="1" customHeight="1" x14ac:dyDescent="0.2">
      <c r="B32" s="17"/>
      <c r="D32" s="84" t="s">
        <v>40</v>
      </c>
      <c r="J32" s="52">
        <f>ROUND(J137,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ROUND((SUM(BE137:BE318)),  2)</f>
        <v>0</v>
      </c>
      <c r="I35" s="86">
        <v>0.21</v>
      </c>
      <c r="J35" s="73">
        <f>ROUND(((SUM(BE137:BE318))*I35),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ROUND((SUM(BF137:BF318)),  2)</f>
        <v>0</v>
      </c>
      <c r="I36" s="86">
        <v>0.12</v>
      </c>
      <c r="J36" s="73">
        <f>ROUND(((SUM(BF137:BF318))*I36),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ROUND((SUM(BG137:BG318)),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ROUND((SUM(BH137:BH318)),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ROUND((SUM(BI137:BI318)),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VZT - Vzduchotechnika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 xml:space="preserve"> 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J137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310</v>
      </c>
      <c r="E99" s="101"/>
      <c r="F99" s="101"/>
      <c r="G99" s="101"/>
      <c r="H99" s="101"/>
      <c r="I99" s="101"/>
      <c r="J99" s="102">
        <f>J138</f>
        <v>0</v>
      </c>
      <c r="L99" s="99"/>
    </row>
    <row r="100" spans="2:47" s="70" customFormat="1" ht="19.899999999999999" customHeight="1" x14ac:dyDescent="0.2">
      <c r="B100" s="103"/>
      <c r="D100" s="104" t="s">
        <v>6755</v>
      </c>
      <c r="E100" s="105"/>
      <c r="F100" s="105"/>
      <c r="G100" s="105"/>
      <c r="H100" s="105"/>
      <c r="I100" s="105"/>
      <c r="J100" s="106">
        <f>J139</f>
        <v>0</v>
      </c>
      <c r="L100" s="103"/>
    </row>
    <row r="101" spans="2:47" s="70" customFormat="1" ht="14.85" customHeight="1" x14ac:dyDescent="0.2">
      <c r="B101" s="103"/>
      <c r="D101" s="104" t="s">
        <v>7721</v>
      </c>
      <c r="E101" s="105"/>
      <c r="F101" s="105"/>
      <c r="G101" s="105"/>
      <c r="H101" s="105"/>
      <c r="I101" s="105"/>
      <c r="J101" s="106">
        <f>J140</f>
        <v>0</v>
      </c>
      <c r="L101" s="103"/>
    </row>
    <row r="102" spans="2:47" s="70" customFormat="1" ht="14.85" customHeight="1" x14ac:dyDescent="0.2">
      <c r="B102" s="103"/>
      <c r="D102" s="104" t="s">
        <v>7722</v>
      </c>
      <c r="E102" s="105"/>
      <c r="F102" s="105"/>
      <c r="G102" s="105"/>
      <c r="H102" s="105"/>
      <c r="I102" s="105"/>
      <c r="J102" s="106">
        <f>J202</f>
        <v>0</v>
      </c>
      <c r="L102" s="103"/>
    </row>
    <row r="103" spans="2:47" s="70" customFormat="1" ht="14.85" customHeight="1" x14ac:dyDescent="0.2">
      <c r="B103" s="103"/>
      <c r="D103" s="104" t="s">
        <v>7723</v>
      </c>
      <c r="E103" s="105"/>
      <c r="F103" s="105"/>
      <c r="G103" s="105"/>
      <c r="H103" s="105"/>
      <c r="I103" s="105"/>
      <c r="J103" s="106">
        <f>J211</f>
        <v>0</v>
      </c>
      <c r="L103" s="103"/>
    </row>
    <row r="104" spans="2:47" s="70" customFormat="1" ht="14.85" customHeight="1" x14ac:dyDescent="0.2">
      <c r="B104" s="103"/>
      <c r="D104" s="104" t="s">
        <v>7724</v>
      </c>
      <c r="E104" s="105"/>
      <c r="F104" s="105"/>
      <c r="G104" s="105"/>
      <c r="H104" s="105"/>
      <c r="I104" s="105"/>
      <c r="J104" s="106">
        <f>J281</f>
        <v>0</v>
      </c>
      <c r="L104" s="103"/>
    </row>
    <row r="105" spans="2:47" s="70" customFormat="1" ht="14.85" customHeight="1" x14ac:dyDescent="0.2">
      <c r="B105" s="103"/>
      <c r="D105" s="104" t="s">
        <v>7725</v>
      </c>
      <c r="E105" s="105"/>
      <c r="F105" s="105"/>
      <c r="G105" s="105"/>
      <c r="H105" s="105"/>
      <c r="I105" s="105"/>
      <c r="J105" s="106">
        <f>J289</f>
        <v>0</v>
      </c>
      <c r="L105" s="103"/>
    </row>
    <row r="106" spans="2:47" s="70" customFormat="1" ht="14.85" customHeight="1" x14ac:dyDescent="0.2">
      <c r="B106" s="103"/>
      <c r="D106" s="104" t="s">
        <v>7726</v>
      </c>
      <c r="E106" s="105"/>
      <c r="F106" s="105"/>
      <c r="G106" s="105"/>
      <c r="H106" s="105"/>
      <c r="I106" s="105"/>
      <c r="J106" s="106">
        <f>J306</f>
        <v>0</v>
      </c>
      <c r="L106" s="103"/>
    </row>
    <row r="107" spans="2:47" s="98" customFormat="1" ht="24.95" customHeight="1" x14ac:dyDescent="0.2">
      <c r="B107" s="99"/>
      <c r="D107" s="100" t="s">
        <v>4965</v>
      </c>
      <c r="E107" s="101"/>
      <c r="F107" s="101"/>
      <c r="G107" s="101"/>
      <c r="H107" s="101"/>
      <c r="I107" s="101"/>
      <c r="J107" s="102">
        <f>J312</f>
        <v>0</v>
      </c>
      <c r="L107" s="99"/>
    </row>
    <row r="108" spans="2:47" s="98" customFormat="1" ht="24.95" customHeight="1" x14ac:dyDescent="0.2">
      <c r="B108" s="99"/>
      <c r="D108" s="100" t="s">
        <v>6756</v>
      </c>
      <c r="E108" s="101"/>
      <c r="F108" s="101"/>
      <c r="G108" s="101"/>
      <c r="H108" s="101"/>
      <c r="I108" s="101"/>
      <c r="J108" s="102">
        <f>J314</f>
        <v>0</v>
      </c>
      <c r="L108" s="99"/>
    </row>
    <row r="109" spans="2:47" s="70" customFormat="1" ht="19.899999999999999" customHeight="1" x14ac:dyDescent="0.2">
      <c r="B109" s="103"/>
      <c r="D109" s="104" t="s">
        <v>6757</v>
      </c>
      <c r="E109" s="105"/>
      <c r="F109" s="105"/>
      <c r="G109" s="105"/>
      <c r="H109" s="105"/>
      <c r="I109" s="105"/>
      <c r="J109" s="106">
        <f>J315</f>
        <v>0</v>
      </c>
      <c r="L109" s="103"/>
    </row>
    <row r="110" spans="2:47" s="70" customFormat="1" ht="19.899999999999999" customHeight="1" x14ac:dyDescent="0.2">
      <c r="B110" s="103"/>
      <c r="D110" s="104" t="s">
        <v>6758</v>
      </c>
      <c r="E110" s="105"/>
      <c r="F110" s="105"/>
      <c r="G110" s="105"/>
      <c r="H110" s="105"/>
      <c r="I110" s="105"/>
      <c r="J110" s="106">
        <f>J317</f>
        <v>0</v>
      </c>
      <c r="L110" s="103"/>
    </row>
    <row r="111" spans="2:47" s="16" customFormat="1" ht="21.75" customHeight="1" x14ac:dyDescent="0.2">
      <c r="B111" s="17"/>
      <c r="L111" s="17"/>
    </row>
    <row r="112" spans="2:47" s="16" customFormat="1" ht="6.95" customHeight="1" x14ac:dyDescent="0.2">
      <c r="B112" s="30"/>
      <c r="C112" s="19"/>
      <c r="D112" s="19"/>
      <c r="E112" s="19"/>
      <c r="F112" s="19"/>
      <c r="G112" s="19"/>
      <c r="H112" s="19"/>
      <c r="I112" s="19"/>
      <c r="J112" s="19"/>
      <c r="K112" s="19"/>
      <c r="L112" s="17"/>
    </row>
    <row r="116" spans="2:12" ht="3" customHeight="1" x14ac:dyDescent="0.2"/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s="16" customFormat="1" ht="16.5" customHeight="1" x14ac:dyDescent="0.2">
      <c r="B127" s="17"/>
      <c r="E127" s="325" t="s">
        <v>193</v>
      </c>
      <c r="F127" s="325"/>
      <c r="G127" s="325"/>
      <c r="H127" s="325"/>
      <c r="L127" s="17"/>
    </row>
    <row r="128" spans="2:12" s="16" customFormat="1" ht="12" customHeight="1" x14ac:dyDescent="0.2">
      <c r="B128" s="17"/>
      <c r="C128" s="12" t="s">
        <v>196</v>
      </c>
      <c r="L128" s="17"/>
    </row>
    <row r="129" spans="2:65" s="16" customFormat="1" ht="16.5" customHeight="1" x14ac:dyDescent="0.2">
      <c r="B129" s="17"/>
      <c r="E129" s="309" t="str">
        <f>E11</f>
        <v>VZT - Vzduchotechnika</v>
      </c>
      <c r="F129" s="309"/>
      <c r="G129" s="309"/>
      <c r="H129" s="309"/>
      <c r="L129" s="17"/>
    </row>
    <row r="130" spans="2:65" s="16" customFormat="1" ht="6.95" customHeight="1" x14ac:dyDescent="0.2">
      <c r="B130" s="17"/>
      <c r="L130" s="17"/>
    </row>
    <row r="131" spans="2:65" s="16" customFormat="1" ht="12" customHeight="1" x14ac:dyDescent="0.2">
      <c r="B131" s="17"/>
      <c r="C131" s="12" t="s">
        <v>19</v>
      </c>
      <c r="F131" s="10" t="s">
        <v>20</v>
      </c>
      <c r="I131" s="12" t="s">
        <v>21</v>
      </c>
      <c r="J131" s="38" t="str">
        <f>IF(J14="","",J14)</f>
        <v/>
      </c>
      <c r="L131" s="17"/>
    </row>
    <row r="132" spans="2:65" s="16" customFormat="1" ht="6.95" customHeight="1" x14ac:dyDescent="0.2">
      <c r="B132" s="17"/>
      <c r="L132" s="17"/>
    </row>
    <row r="133" spans="2:65" s="16" customFormat="1" ht="15.2" customHeight="1" x14ac:dyDescent="0.2">
      <c r="B133" s="17"/>
      <c r="C133" s="12" t="s">
        <v>22</v>
      </c>
      <c r="F133" s="10" t="str">
        <f>E17</f>
        <v>Univerzita Karlova, Lékařská fakulta v Plzni</v>
      </c>
      <c r="I133" s="12" t="s">
        <v>29</v>
      </c>
      <c r="J133" s="15" t="str">
        <f>E23</f>
        <v>MEPRO s.r.o.</v>
      </c>
      <c r="L133" s="17"/>
    </row>
    <row r="134" spans="2:65" s="16" customFormat="1" ht="15.2" customHeight="1" x14ac:dyDescent="0.2">
      <c r="B134" s="17"/>
      <c r="C134" s="12" t="s">
        <v>28</v>
      </c>
      <c r="F134" s="286">
        <f>IF(E20="","",E20)</f>
        <v>0</v>
      </c>
      <c r="I134" s="12" t="s">
        <v>34</v>
      </c>
      <c r="J134" s="304" t="str">
        <f>E26</f>
        <v>Propos Liberec s.r.o.</v>
      </c>
      <c r="K134" s="327"/>
      <c r="L134" s="17"/>
    </row>
    <row r="135" spans="2:65" s="16" customFormat="1" ht="10.35" customHeight="1" x14ac:dyDescent="0.2">
      <c r="B135" s="17"/>
      <c r="L135" s="17"/>
    </row>
    <row r="136" spans="2:65" s="107" customFormat="1" ht="29.25" customHeight="1" x14ac:dyDescent="0.2">
      <c r="B136" s="108"/>
      <c r="C136" s="109" t="s">
        <v>323</v>
      </c>
      <c r="D136" s="110" t="s">
        <v>65</v>
      </c>
      <c r="E136" s="110" t="s">
        <v>61</v>
      </c>
      <c r="F136" s="110" t="s">
        <v>62</v>
      </c>
      <c r="G136" s="110" t="s">
        <v>324</v>
      </c>
      <c r="H136" s="110" t="s">
        <v>325</v>
      </c>
      <c r="I136" s="110" t="s">
        <v>326</v>
      </c>
      <c r="J136" s="110" t="s">
        <v>301</v>
      </c>
      <c r="K136" s="111" t="s">
        <v>327</v>
      </c>
      <c r="L136" s="108"/>
      <c r="M136" s="44"/>
      <c r="N136" s="45" t="s">
        <v>44</v>
      </c>
      <c r="O136" s="45" t="s">
        <v>328</v>
      </c>
      <c r="P136" s="45" t="s">
        <v>329</v>
      </c>
      <c r="Q136" s="45" t="s">
        <v>330</v>
      </c>
      <c r="R136" s="45" t="s">
        <v>331</v>
      </c>
      <c r="S136" s="45" t="s">
        <v>332</v>
      </c>
      <c r="T136" s="46" t="s">
        <v>333</v>
      </c>
    </row>
    <row r="137" spans="2:65" s="16" customFormat="1" ht="22.9" customHeight="1" x14ac:dyDescent="0.25">
      <c r="B137" s="17"/>
      <c r="C137" s="50" t="s">
        <v>334</v>
      </c>
      <c r="J137" s="112">
        <f>BK137</f>
        <v>0</v>
      </c>
      <c r="L137" s="17"/>
      <c r="M137" s="47"/>
      <c r="N137" s="39"/>
      <c r="O137" s="39"/>
      <c r="P137" s="113">
        <f>P138+P312+P314</f>
        <v>0</v>
      </c>
      <c r="Q137" s="39"/>
      <c r="R137" s="113">
        <f>R138+R312+R314</f>
        <v>0</v>
      </c>
      <c r="S137" s="39"/>
      <c r="T137" s="114">
        <f>T138+T312+T314</f>
        <v>0</v>
      </c>
      <c r="AT137" s="2" t="s">
        <v>79</v>
      </c>
      <c r="AU137" s="2" t="s">
        <v>303</v>
      </c>
      <c r="BK137" s="115">
        <f>BK138+BK312+BK314</f>
        <v>0</v>
      </c>
    </row>
    <row r="138" spans="2:65" s="116" customFormat="1" ht="25.9" customHeight="1" x14ac:dyDescent="0.2">
      <c r="B138" s="117"/>
      <c r="D138" s="118" t="s">
        <v>79</v>
      </c>
      <c r="E138" s="119" t="s">
        <v>992</v>
      </c>
      <c r="F138" s="119" t="s">
        <v>993</v>
      </c>
      <c r="J138" s="120">
        <f>BK138</f>
        <v>0</v>
      </c>
      <c r="L138" s="117"/>
      <c r="M138" s="121"/>
      <c r="P138" s="122">
        <f>P139</f>
        <v>0</v>
      </c>
      <c r="R138" s="122">
        <f>R139</f>
        <v>0</v>
      </c>
      <c r="T138" s="123">
        <f>T139</f>
        <v>0</v>
      </c>
      <c r="AR138" s="118" t="s">
        <v>90</v>
      </c>
      <c r="AT138" s="124" t="s">
        <v>79</v>
      </c>
      <c r="AU138" s="124" t="s">
        <v>80</v>
      </c>
      <c r="AY138" s="118" t="s">
        <v>337</v>
      </c>
      <c r="BK138" s="125">
        <f>BK139</f>
        <v>0</v>
      </c>
    </row>
    <row r="139" spans="2:65" s="116" customFormat="1" ht="22.9" customHeight="1" x14ac:dyDescent="0.2">
      <c r="B139" s="117"/>
      <c r="D139" s="118" t="s">
        <v>79</v>
      </c>
      <c r="E139" s="126" t="s">
        <v>6777</v>
      </c>
      <c r="F139" s="126" t="s">
        <v>165</v>
      </c>
      <c r="J139" s="127">
        <f>BK139</f>
        <v>0</v>
      </c>
      <c r="L139" s="117"/>
      <c r="M139" s="121"/>
      <c r="P139" s="122">
        <f>P140+P202+P211+P281+P289+P306</f>
        <v>0</v>
      </c>
      <c r="R139" s="122">
        <f>R140+R202+R211+R281+R289+R306</f>
        <v>0</v>
      </c>
      <c r="T139" s="123">
        <f>T140+T202+T211+T281+T289+T306</f>
        <v>0</v>
      </c>
      <c r="AR139" s="118" t="s">
        <v>90</v>
      </c>
      <c r="AT139" s="124" t="s">
        <v>79</v>
      </c>
      <c r="AU139" s="124" t="s">
        <v>87</v>
      </c>
      <c r="AY139" s="118" t="s">
        <v>337</v>
      </c>
      <c r="BK139" s="125">
        <f>BK140+BK202+BK211+BK281+BK289+BK306</f>
        <v>0</v>
      </c>
    </row>
    <row r="140" spans="2:65" s="116" customFormat="1" ht="20.85" customHeight="1" x14ac:dyDescent="0.2">
      <c r="B140" s="117"/>
      <c r="D140" s="118" t="s">
        <v>79</v>
      </c>
      <c r="E140" s="126" t="s">
        <v>7727</v>
      </c>
      <c r="F140" s="126" t="s">
        <v>7728</v>
      </c>
      <c r="J140" s="127">
        <f>BK140</f>
        <v>0</v>
      </c>
      <c r="L140" s="117"/>
      <c r="M140" s="121"/>
      <c r="P140" s="122">
        <f>SUM(P141:P201)</f>
        <v>0</v>
      </c>
      <c r="R140" s="122">
        <f>SUM(R141:R201)</f>
        <v>0</v>
      </c>
      <c r="T140" s="123">
        <f>SUM(T141:T201)</f>
        <v>0</v>
      </c>
      <c r="AR140" s="118" t="s">
        <v>87</v>
      </c>
      <c r="AT140" s="124" t="s">
        <v>79</v>
      </c>
      <c r="AU140" s="124" t="s">
        <v>90</v>
      </c>
      <c r="AY140" s="118" t="s">
        <v>337</v>
      </c>
      <c r="BK140" s="125">
        <f>SUM(BK141:BK201)</f>
        <v>0</v>
      </c>
    </row>
    <row r="141" spans="2:65" s="16" customFormat="1" ht="37.9" customHeight="1" x14ac:dyDescent="0.2">
      <c r="B141" s="17"/>
      <c r="C141" s="128">
        <v>1</v>
      </c>
      <c r="D141" s="128" t="s">
        <v>339</v>
      </c>
      <c r="E141" s="129" t="s">
        <v>7729</v>
      </c>
      <c r="F141" s="130" t="s">
        <v>7730</v>
      </c>
      <c r="G141" s="131" t="s">
        <v>449</v>
      </c>
      <c r="H141" s="132">
        <v>1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496</v>
      </c>
      <c r="AT141" s="139" t="s">
        <v>339</v>
      </c>
      <c r="AU141" s="139" t="s">
        <v>113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496</v>
      </c>
      <c r="BM141" s="139" t="s">
        <v>7731</v>
      </c>
    </row>
    <row r="142" spans="2:65" s="16" customFormat="1" ht="48.75" x14ac:dyDescent="0.2">
      <c r="B142" s="17"/>
      <c r="D142" s="143" t="s">
        <v>644</v>
      </c>
      <c r="F142" s="179" t="s">
        <v>7732</v>
      </c>
      <c r="L142" s="17"/>
      <c r="M142" s="180"/>
      <c r="T142" s="41"/>
      <c r="AT142" s="2" t="s">
        <v>644</v>
      </c>
      <c r="AU142" s="2" t="s">
        <v>113</v>
      </c>
    </row>
    <row r="143" spans="2:65" s="16" customFormat="1" ht="16.5" customHeight="1" x14ac:dyDescent="0.2">
      <c r="B143" s="17"/>
      <c r="C143" s="128">
        <v>2</v>
      </c>
      <c r="D143" s="128" t="s">
        <v>339</v>
      </c>
      <c r="E143" s="129" t="s">
        <v>7733</v>
      </c>
      <c r="F143" s="130" t="s">
        <v>7734</v>
      </c>
      <c r="G143" s="131" t="s">
        <v>449</v>
      </c>
      <c r="H143" s="132">
        <v>2</v>
      </c>
      <c r="I143" s="133"/>
      <c r="J143" s="134">
        <f>ROUND(I143*H143,2)</f>
        <v>0</v>
      </c>
      <c r="K143" s="130"/>
      <c r="L143" s="17"/>
      <c r="M143" s="135"/>
      <c r="N143" s="136" t="s">
        <v>45</v>
      </c>
      <c r="P143" s="137">
        <f>O143*H143</f>
        <v>0</v>
      </c>
      <c r="Q143" s="137">
        <v>0</v>
      </c>
      <c r="R143" s="137">
        <f>Q143*H143</f>
        <v>0</v>
      </c>
      <c r="S143" s="137">
        <v>0</v>
      </c>
      <c r="T143" s="138">
        <f>S143*H143</f>
        <v>0</v>
      </c>
      <c r="AR143" s="139" t="s">
        <v>496</v>
      </c>
      <c r="AT143" s="139" t="s">
        <v>339</v>
      </c>
      <c r="AU143" s="139" t="s">
        <v>113</v>
      </c>
      <c r="AY143" s="2" t="s">
        <v>337</v>
      </c>
      <c r="BE143" s="140">
        <f>IF(N143="základní",J143,0)</f>
        <v>0</v>
      </c>
      <c r="BF143" s="140">
        <f>IF(N143="snížená",J143,0)</f>
        <v>0</v>
      </c>
      <c r="BG143" s="140">
        <f>IF(N143="zákl. přenesená",J143,0)</f>
        <v>0</v>
      </c>
      <c r="BH143" s="140">
        <f>IF(N143="sníž. přenesená",J143,0)</f>
        <v>0</v>
      </c>
      <c r="BI143" s="140">
        <f>IF(N143="nulová",J143,0)</f>
        <v>0</v>
      </c>
      <c r="BJ143" s="2" t="s">
        <v>87</v>
      </c>
      <c r="BK143" s="140">
        <f>ROUND(I143*H143,2)</f>
        <v>0</v>
      </c>
      <c r="BL143" s="2" t="s">
        <v>496</v>
      </c>
      <c r="BM143" s="139" t="s">
        <v>7735</v>
      </c>
    </row>
    <row r="144" spans="2:65" s="16" customFormat="1" ht="16.5" customHeight="1" x14ac:dyDescent="0.2">
      <c r="B144" s="17"/>
      <c r="C144" s="128">
        <v>3</v>
      </c>
      <c r="D144" s="128" t="s">
        <v>339</v>
      </c>
      <c r="E144" s="129" t="s">
        <v>7736</v>
      </c>
      <c r="F144" s="130" t="s">
        <v>7737</v>
      </c>
      <c r="G144" s="131" t="s">
        <v>449</v>
      </c>
      <c r="H144" s="132">
        <v>1</v>
      </c>
      <c r="I144" s="133"/>
      <c r="J144" s="134">
        <f>ROUND(I144*H144,2)</f>
        <v>0</v>
      </c>
      <c r="K144" s="130"/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</v>
      </c>
      <c r="T144" s="138">
        <f>S144*H144</f>
        <v>0</v>
      </c>
      <c r="AR144" s="139" t="s">
        <v>496</v>
      </c>
      <c r="AT144" s="139" t="s">
        <v>339</v>
      </c>
      <c r="AU144" s="139" t="s">
        <v>113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496</v>
      </c>
      <c r="BM144" s="139" t="s">
        <v>7738</v>
      </c>
    </row>
    <row r="145" spans="2:65" s="16" customFormat="1" ht="37.9" customHeight="1" x14ac:dyDescent="0.2">
      <c r="B145" s="17"/>
      <c r="C145" s="128">
        <v>4</v>
      </c>
      <c r="D145" s="128" t="s">
        <v>339</v>
      </c>
      <c r="E145" s="129" t="s">
        <v>7739</v>
      </c>
      <c r="F145" s="130" t="s">
        <v>7730</v>
      </c>
      <c r="G145" s="131" t="s">
        <v>449</v>
      </c>
      <c r="H145" s="132">
        <v>1</v>
      </c>
      <c r="I145" s="133"/>
      <c r="J145" s="134">
        <f>ROUND(I145*H145,2)</f>
        <v>0</v>
      </c>
      <c r="K145" s="130"/>
      <c r="L145" s="17"/>
      <c r="M145" s="135"/>
      <c r="N145" s="136" t="s">
        <v>45</v>
      </c>
      <c r="P145" s="137">
        <f>O145*H145</f>
        <v>0</v>
      </c>
      <c r="Q145" s="137">
        <v>0</v>
      </c>
      <c r="R145" s="137">
        <f>Q145*H145</f>
        <v>0</v>
      </c>
      <c r="S145" s="137">
        <v>0</v>
      </c>
      <c r="T145" s="138">
        <f>S145*H145</f>
        <v>0</v>
      </c>
      <c r="AR145" s="139" t="s">
        <v>496</v>
      </c>
      <c r="AT145" s="139" t="s">
        <v>339</v>
      </c>
      <c r="AU145" s="139" t="s">
        <v>113</v>
      </c>
      <c r="AY145" s="2" t="s">
        <v>337</v>
      </c>
      <c r="BE145" s="140">
        <f>IF(N145="základní",J145,0)</f>
        <v>0</v>
      </c>
      <c r="BF145" s="140">
        <f>IF(N145="snížená",J145,0)</f>
        <v>0</v>
      </c>
      <c r="BG145" s="140">
        <f>IF(N145="zákl. přenesená",J145,0)</f>
        <v>0</v>
      </c>
      <c r="BH145" s="140">
        <f>IF(N145="sníž. přenesená",J145,0)</f>
        <v>0</v>
      </c>
      <c r="BI145" s="140">
        <f>IF(N145="nulová",J145,0)</f>
        <v>0</v>
      </c>
      <c r="BJ145" s="2" t="s">
        <v>87</v>
      </c>
      <c r="BK145" s="140">
        <f>ROUND(I145*H145,2)</f>
        <v>0</v>
      </c>
      <c r="BL145" s="2" t="s">
        <v>496</v>
      </c>
      <c r="BM145" s="139" t="s">
        <v>7740</v>
      </c>
    </row>
    <row r="146" spans="2:65" s="16" customFormat="1" ht="48.75" x14ac:dyDescent="0.2">
      <c r="B146" s="17"/>
      <c r="D146" s="143" t="s">
        <v>644</v>
      </c>
      <c r="F146" s="179" t="s">
        <v>7741</v>
      </c>
      <c r="L146" s="17"/>
      <c r="M146" s="180"/>
      <c r="T146" s="41"/>
      <c r="AT146" s="2" t="s">
        <v>644</v>
      </c>
      <c r="AU146" s="2" t="s">
        <v>113</v>
      </c>
    </row>
    <row r="147" spans="2:65" s="16" customFormat="1" ht="16.5" customHeight="1" x14ac:dyDescent="0.2">
      <c r="B147" s="17"/>
      <c r="C147" s="128">
        <v>5</v>
      </c>
      <c r="D147" s="128" t="s">
        <v>339</v>
      </c>
      <c r="E147" s="129" t="s">
        <v>7742</v>
      </c>
      <c r="F147" s="130" t="s">
        <v>7734</v>
      </c>
      <c r="G147" s="131" t="s">
        <v>449</v>
      </c>
      <c r="H147" s="132">
        <v>2</v>
      </c>
      <c r="I147" s="133"/>
      <c r="J147" s="134">
        <f>ROUND(I147*H147,2)</f>
        <v>0</v>
      </c>
      <c r="K147" s="130"/>
      <c r="L147" s="17"/>
      <c r="M147" s="135"/>
      <c r="N147" s="136" t="s">
        <v>45</v>
      </c>
      <c r="P147" s="137">
        <f>O147*H147</f>
        <v>0</v>
      </c>
      <c r="Q147" s="137">
        <v>0</v>
      </c>
      <c r="R147" s="137">
        <f>Q147*H147</f>
        <v>0</v>
      </c>
      <c r="S147" s="137">
        <v>0</v>
      </c>
      <c r="T147" s="138">
        <f>S147*H147</f>
        <v>0</v>
      </c>
      <c r="AR147" s="139" t="s">
        <v>496</v>
      </c>
      <c r="AT147" s="139" t="s">
        <v>339</v>
      </c>
      <c r="AU147" s="139" t="s">
        <v>113</v>
      </c>
      <c r="AY147" s="2" t="s">
        <v>337</v>
      </c>
      <c r="BE147" s="140">
        <f>IF(N147="základní",J147,0)</f>
        <v>0</v>
      </c>
      <c r="BF147" s="140">
        <f>IF(N147="snížená",J147,0)</f>
        <v>0</v>
      </c>
      <c r="BG147" s="140">
        <f>IF(N147="zákl. přenesená",J147,0)</f>
        <v>0</v>
      </c>
      <c r="BH147" s="140">
        <f>IF(N147="sníž. přenesená",J147,0)</f>
        <v>0</v>
      </c>
      <c r="BI147" s="140">
        <f>IF(N147="nulová",J147,0)</f>
        <v>0</v>
      </c>
      <c r="BJ147" s="2" t="s">
        <v>87</v>
      </c>
      <c r="BK147" s="140">
        <f>ROUND(I147*H147,2)</f>
        <v>0</v>
      </c>
      <c r="BL147" s="2" t="s">
        <v>496</v>
      </c>
      <c r="BM147" s="139" t="s">
        <v>7743</v>
      </c>
    </row>
    <row r="148" spans="2:65" s="16" customFormat="1" ht="16.5" customHeight="1" x14ac:dyDescent="0.2">
      <c r="B148" s="17"/>
      <c r="C148" s="128">
        <v>6</v>
      </c>
      <c r="D148" s="128" t="s">
        <v>339</v>
      </c>
      <c r="E148" s="129" t="s">
        <v>7744</v>
      </c>
      <c r="F148" s="130" t="s">
        <v>7737</v>
      </c>
      <c r="G148" s="131" t="s">
        <v>449</v>
      </c>
      <c r="H148" s="132">
        <v>1</v>
      </c>
      <c r="I148" s="133"/>
      <c r="J148" s="134">
        <f>ROUND(I148*H148,2)</f>
        <v>0</v>
      </c>
      <c r="K148" s="130"/>
      <c r="L148" s="17"/>
      <c r="M148" s="135"/>
      <c r="N148" s="136" t="s">
        <v>45</v>
      </c>
      <c r="P148" s="137">
        <f>O148*H148</f>
        <v>0</v>
      </c>
      <c r="Q148" s="137">
        <v>0</v>
      </c>
      <c r="R148" s="137">
        <f>Q148*H148</f>
        <v>0</v>
      </c>
      <c r="S148" s="137">
        <v>0</v>
      </c>
      <c r="T148" s="138">
        <f>S148*H148</f>
        <v>0</v>
      </c>
      <c r="AR148" s="139" t="s">
        <v>496</v>
      </c>
      <c r="AT148" s="139" t="s">
        <v>339</v>
      </c>
      <c r="AU148" s="139" t="s">
        <v>113</v>
      </c>
      <c r="AY148" s="2" t="s">
        <v>337</v>
      </c>
      <c r="BE148" s="140">
        <f>IF(N148="základní",J148,0)</f>
        <v>0</v>
      </c>
      <c r="BF148" s="140">
        <f>IF(N148="snížená",J148,0)</f>
        <v>0</v>
      </c>
      <c r="BG148" s="140">
        <f>IF(N148="zákl. přenesená",J148,0)</f>
        <v>0</v>
      </c>
      <c r="BH148" s="140">
        <f>IF(N148="sníž. přenesená",J148,0)</f>
        <v>0</v>
      </c>
      <c r="BI148" s="140">
        <f>IF(N148="nulová",J148,0)</f>
        <v>0</v>
      </c>
      <c r="BJ148" s="2" t="s">
        <v>87</v>
      </c>
      <c r="BK148" s="140">
        <f>ROUND(I148*H148,2)</f>
        <v>0</v>
      </c>
      <c r="BL148" s="2" t="s">
        <v>496</v>
      </c>
      <c r="BM148" s="139" t="s">
        <v>7745</v>
      </c>
    </row>
    <row r="149" spans="2:65" s="16" customFormat="1" ht="37.9" customHeight="1" x14ac:dyDescent="0.2">
      <c r="B149" s="17"/>
      <c r="C149" s="128">
        <v>7</v>
      </c>
      <c r="D149" s="128" t="s">
        <v>339</v>
      </c>
      <c r="E149" s="129" t="s">
        <v>7746</v>
      </c>
      <c r="F149" s="130" t="s">
        <v>7730</v>
      </c>
      <c r="G149" s="131" t="s">
        <v>449</v>
      </c>
      <c r="H149" s="132">
        <v>1</v>
      </c>
      <c r="I149" s="133"/>
      <c r="J149" s="134">
        <f>ROUND(I149*H149,2)</f>
        <v>0</v>
      </c>
      <c r="K149" s="130"/>
      <c r="L149" s="17"/>
      <c r="M149" s="135"/>
      <c r="N149" s="136" t="s">
        <v>45</v>
      </c>
      <c r="P149" s="137">
        <f>O149*H149</f>
        <v>0</v>
      </c>
      <c r="Q149" s="137">
        <v>0</v>
      </c>
      <c r="R149" s="137">
        <f>Q149*H149</f>
        <v>0</v>
      </c>
      <c r="S149" s="137">
        <v>0</v>
      </c>
      <c r="T149" s="138">
        <f>S149*H149</f>
        <v>0</v>
      </c>
      <c r="AR149" s="139" t="s">
        <v>496</v>
      </c>
      <c r="AT149" s="139" t="s">
        <v>339</v>
      </c>
      <c r="AU149" s="139" t="s">
        <v>113</v>
      </c>
      <c r="AY149" s="2" t="s">
        <v>337</v>
      </c>
      <c r="BE149" s="140">
        <f>IF(N149="základní",J149,0)</f>
        <v>0</v>
      </c>
      <c r="BF149" s="140">
        <f>IF(N149="snížená",J149,0)</f>
        <v>0</v>
      </c>
      <c r="BG149" s="140">
        <f>IF(N149="zákl. přenesená",J149,0)</f>
        <v>0</v>
      </c>
      <c r="BH149" s="140">
        <f>IF(N149="sníž. přenesená",J149,0)</f>
        <v>0</v>
      </c>
      <c r="BI149" s="140">
        <f>IF(N149="nulová",J149,0)</f>
        <v>0</v>
      </c>
      <c r="BJ149" s="2" t="s">
        <v>87</v>
      </c>
      <c r="BK149" s="140">
        <f>ROUND(I149*H149,2)</f>
        <v>0</v>
      </c>
      <c r="BL149" s="2" t="s">
        <v>496</v>
      </c>
      <c r="BM149" s="139" t="s">
        <v>7747</v>
      </c>
    </row>
    <row r="150" spans="2:65" s="16" customFormat="1" ht="48.75" x14ac:dyDescent="0.2">
      <c r="B150" s="17"/>
      <c r="D150" s="143" t="s">
        <v>644</v>
      </c>
      <c r="F150" s="179" t="s">
        <v>7741</v>
      </c>
      <c r="L150" s="17"/>
      <c r="M150" s="180"/>
      <c r="T150" s="41"/>
      <c r="AT150" s="2" t="s">
        <v>644</v>
      </c>
      <c r="AU150" s="2" t="s">
        <v>113</v>
      </c>
    </row>
    <row r="151" spans="2:65" s="16" customFormat="1" ht="16.5" customHeight="1" x14ac:dyDescent="0.2">
      <c r="B151" s="17"/>
      <c r="C151" s="128">
        <v>8</v>
      </c>
      <c r="D151" s="128" t="s">
        <v>339</v>
      </c>
      <c r="E151" s="129" t="s">
        <v>7748</v>
      </c>
      <c r="F151" s="130" t="s">
        <v>7734</v>
      </c>
      <c r="G151" s="131" t="s">
        <v>449</v>
      </c>
      <c r="H151" s="132">
        <v>2</v>
      </c>
      <c r="I151" s="133"/>
      <c r="J151" s="134">
        <f>ROUND(I151*H151,2)</f>
        <v>0</v>
      </c>
      <c r="K151" s="130"/>
      <c r="L151" s="17"/>
      <c r="M151" s="135"/>
      <c r="N151" s="136" t="s">
        <v>45</v>
      </c>
      <c r="P151" s="137">
        <f>O151*H151</f>
        <v>0</v>
      </c>
      <c r="Q151" s="137">
        <v>0</v>
      </c>
      <c r="R151" s="137">
        <f>Q151*H151</f>
        <v>0</v>
      </c>
      <c r="S151" s="137">
        <v>0</v>
      </c>
      <c r="T151" s="138">
        <f>S151*H151</f>
        <v>0</v>
      </c>
      <c r="AR151" s="139" t="s">
        <v>496</v>
      </c>
      <c r="AT151" s="139" t="s">
        <v>339</v>
      </c>
      <c r="AU151" s="139" t="s">
        <v>113</v>
      </c>
      <c r="AY151" s="2" t="s">
        <v>337</v>
      </c>
      <c r="BE151" s="140">
        <f>IF(N151="základní",J151,0)</f>
        <v>0</v>
      </c>
      <c r="BF151" s="140">
        <f>IF(N151="snížená",J151,0)</f>
        <v>0</v>
      </c>
      <c r="BG151" s="140">
        <f>IF(N151="zákl. přenesená",J151,0)</f>
        <v>0</v>
      </c>
      <c r="BH151" s="140">
        <f>IF(N151="sníž. přenesená",J151,0)</f>
        <v>0</v>
      </c>
      <c r="BI151" s="140">
        <f>IF(N151="nulová",J151,0)</f>
        <v>0</v>
      </c>
      <c r="BJ151" s="2" t="s">
        <v>87</v>
      </c>
      <c r="BK151" s="140">
        <f>ROUND(I151*H151,2)</f>
        <v>0</v>
      </c>
      <c r="BL151" s="2" t="s">
        <v>496</v>
      </c>
      <c r="BM151" s="139" t="s">
        <v>7749</v>
      </c>
    </row>
    <row r="152" spans="2:65" s="16" customFormat="1" ht="16.5" customHeight="1" x14ac:dyDescent="0.2">
      <c r="B152" s="17"/>
      <c r="C152" s="128">
        <v>9</v>
      </c>
      <c r="D152" s="128" t="s">
        <v>339</v>
      </c>
      <c r="E152" s="129" t="s">
        <v>7750</v>
      </c>
      <c r="F152" s="130" t="s">
        <v>7737</v>
      </c>
      <c r="G152" s="131" t="s">
        <v>449</v>
      </c>
      <c r="H152" s="132">
        <v>1</v>
      </c>
      <c r="I152" s="133"/>
      <c r="J152" s="134">
        <f>ROUND(I152*H152,2)</f>
        <v>0</v>
      </c>
      <c r="K152" s="130"/>
      <c r="L152" s="17"/>
      <c r="M152" s="135"/>
      <c r="N152" s="136" t="s">
        <v>45</v>
      </c>
      <c r="P152" s="137">
        <f>O152*H152</f>
        <v>0</v>
      </c>
      <c r="Q152" s="137">
        <v>0</v>
      </c>
      <c r="R152" s="137">
        <f>Q152*H152</f>
        <v>0</v>
      </c>
      <c r="S152" s="137">
        <v>0</v>
      </c>
      <c r="T152" s="138">
        <f>S152*H152</f>
        <v>0</v>
      </c>
      <c r="AR152" s="139" t="s">
        <v>496</v>
      </c>
      <c r="AT152" s="139" t="s">
        <v>339</v>
      </c>
      <c r="AU152" s="139" t="s">
        <v>113</v>
      </c>
      <c r="AY152" s="2" t="s">
        <v>337</v>
      </c>
      <c r="BE152" s="140">
        <f>IF(N152="základní",J152,0)</f>
        <v>0</v>
      </c>
      <c r="BF152" s="140">
        <f>IF(N152="snížená",J152,0)</f>
        <v>0</v>
      </c>
      <c r="BG152" s="140">
        <f>IF(N152="zákl. přenesená",J152,0)</f>
        <v>0</v>
      </c>
      <c r="BH152" s="140">
        <f>IF(N152="sníž. přenesená",J152,0)</f>
        <v>0</v>
      </c>
      <c r="BI152" s="140">
        <f>IF(N152="nulová",J152,0)</f>
        <v>0</v>
      </c>
      <c r="BJ152" s="2" t="s">
        <v>87</v>
      </c>
      <c r="BK152" s="140">
        <f>ROUND(I152*H152,2)</f>
        <v>0</v>
      </c>
      <c r="BL152" s="2" t="s">
        <v>496</v>
      </c>
      <c r="BM152" s="139" t="s">
        <v>7751</v>
      </c>
    </row>
    <row r="153" spans="2:65" s="16" customFormat="1" ht="37.9" customHeight="1" x14ac:dyDescent="0.2">
      <c r="B153" s="17"/>
      <c r="C153" s="128">
        <v>10</v>
      </c>
      <c r="D153" s="128" t="s">
        <v>339</v>
      </c>
      <c r="E153" s="129" t="s">
        <v>7752</v>
      </c>
      <c r="F153" s="130" t="s">
        <v>7753</v>
      </c>
      <c r="G153" s="131" t="s">
        <v>449</v>
      </c>
      <c r="H153" s="132">
        <v>1</v>
      </c>
      <c r="I153" s="133"/>
      <c r="J153" s="134">
        <f>ROUND(I153*H153,2)</f>
        <v>0</v>
      </c>
      <c r="K153" s="130"/>
      <c r="L153" s="17"/>
      <c r="M153" s="135"/>
      <c r="N153" s="136" t="s">
        <v>45</v>
      </c>
      <c r="P153" s="137">
        <f>O153*H153</f>
        <v>0</v>
      </c>
      <c r="Q153" s="137">
        <v>0</v>
      </c>
      <c r="R153" s="137">
        <f>Q153*H153</f>
        <v>0</v>
      </c>
      <c r="S153" s="137">
        <v>0</v>
      </c>
      <c r="T153" s="138">
        <f>S153*H153</f>
        <v>0</v>
      </c>
      <c r="AR153" s="139" t="s">
        <v>496</v>
      </c>
      <c r="AT153" s="139" t="s">
        <v>339</v>
      </c>
      <c r="AU153" s="139" t="s">
        <v>113</v>
      </c>
      <c r="AY153" s="2" t="s">
        <v>337</v>
      </c>
      <c r="BE153" s="140">
        <f>IF(N153="základní",J153,0)</f>
        <v>0</v>
      </c>
      <c r="BF153" s="140">
        <f>IF(N153="snížená",J153,0)</f>
        <v>0</v>
      </c>
      <c r="BG153" s="140">
        <f>IF(N153="zákl. přenesená",J153,0)</f>
        <v>0</v>
      </c>
      <c r="BH153" s="140">
        <f>IF(N153="sníž. přenesená",J153,0)</f>
        <v>0</v>
      </c>
      <c r="BI153" s="140">
        <f>IF(N153="nulová",J153,0)</f>
        <v>0</v>
      </c>
      <c r="BJ153" s="2" t="s">
        <v>87</v>
      </c>
      <c r="BK153" s="140">
        <f>ROUND(I153*H153,2)</f>
        <v>0</v>
      </c>
      <c r="BL153" s="2" t="s">
        <v>496</v>
      </c>
      <c r="BM153" s="139" t="s">
        <v>7754</v>
      </c>
    </row>
    <row r="154" spans="2:65" s="16" customFormat="1" ht="48.75" x14ac:dyDescent="0.2">
      <c r="B154" s="17"/>
      <c r="D154" s="143" t="s">
        <v>644</v>
      </c>
      <c r="F154" s="179" t="s">
        <v>7755</v>
      </c>
      <c r="L154" s="17"/>
      <c r="M154" s="180"/>
      <c r="T154" s="41"/>
      <c r="AT154" s="2" t="s">
        <v>644</v>
      </c>
      <c r="AU154" s="2" t="s">
        <v>113</v>
      </c>
    </row>
    <row r="155" spans="2:65" s="16" customFormat="1" ht="16.5" customHeight="1" x14ac:dyDescent="0.2">
      <c r="B155" s="17"/>
      <c r="C155" s="128">
        <v>11</v>
      </c>
      <c r="D155" s="128" t="s">
        <v>339</v>
      </c>
      <c r="E155" s="129" t="s">
        <v>7756</v>
      </c>
      <c r="F155" s="130" t="s">
        <v>7734</v>
      </c>
      <c r="G155" s="131" t="s">
        <v>449</v>
      </c>
      <c r="H155" s="132">
        <v>2</v>
      </c>
      <c r="I155" s="133"/>
      <c r="J155" s="134">
        <f>ROUND(I155*H155,2)</f>
        <v>0</v>
      </c>
      <c r="K155" s="130"/>
      <c r="L155" s="17"/>
      <c r="M155" s="135"/>
      <c r="N155" s="136" t="s">
        <v>45</v>
      </c>
      <c r="P155" s="137">
        <f>O155*H155</f>
        <v>0</v>
      </c>
      <c r="Q155" s="137">
        <v>0</v>
      </c>
      <c r="R155" s="137">
        <f>Q155*H155</f>
        <v>0</v>
      </c>
      <c r="S155" s="137">
        <v>0</v>
      </c>
      <c r="T155" s="138">
        <f>S155*H155</f>
        <v>0</v>
      </c>
      <c r="AR155" s="139" t="s">
        <v>496</v>
      </c>
      <c r="AT155" s="139" t="s">
        <v>339</v>
      </c>
      <c r="AU155" s="139" t="s">
        <v>113</v>
      </c>
      <c r="AY155" s="2" t="s">
        <v>337</v>
      </c>
      <c r="BE155" s="140">
        <f>IF(N155="základní",J155,0)</f>
        <v>0</v>
      </c>
      <c r="BF155" s="140">
        <f>IF(N155="snížená",J155,0)</f>
        <v>0</v>
      </c>
      <c r="BG155" s="140">
        <f>IF(N155="zákl. přenesená",J155,0)</f>
        <v>0</v>
      </c>
      <c r="BH155" s="140">
        <f>IF(N155="sníž. přenesená",J155,0)</f>
        <v>0</v>
      </c>
      <c r="BI155" s="140">
        <f>IF(N155="nulová",J155,0)</f>
        <v>0</v>
      </c>
      <c r="BJ155" s="2" t="s">
        <v>87</v>
      </c>
      <c r="BK155" s="140">
        <f>ROUND(I155*H155,2)</f>
        <v>0</v>
      </c>
      <c r="BL155" s="2" t="s">
        <v>496</v>
      </c>
      <c r="BM155" s="139" t="s">
        <v>7757</v>
      </c>
    </row>
    <row r="156" spans="2:65" s="16" customFormat="1" ht="16.5" customHeight="1" x14ac:dyDescent="0.2">
      <c r="B156" s="17"/>
      <c r="C156" s="128">
        <v>12</v>
      </c>
      <c r="D156" s="128" t="s">
        <v>339</v>
      </c>
      <c r="E156" s="129" t="s">
        <v>7758</v>
      </c>
      <c r="F156" s="130" t="s">
        <v>7737</v>
      </c>
      <c r="G156" s="131" t="s">
        <v>449</v>
      </c>
      <c r="H156" s="132">
        <v>1</v>
      </c>
      <c r="I156" s="133"/>
      <c r="J156" s="134">
        <f>ROUND(I156*H156,2)</f>
        <v>0</v>
      </c>
      <c r="K156" s="130"/>
      <c r="L156" s="17"/>
      <c r="M156" s="135"/>
      <c r="N156" s="136" t="s">
        <v>45</v>
      </c>
      <c r="P156" s="137">
        <f>O156*H156</f>
        <v>0</v>
      </c>
      <c r="Q156" s="137">
        <v>0</v>
      </c>
      <c r="R156" s="137">
        <f>Q156*H156</f>
        <v>0</v>
      </c>
      <c r="S156" s="137">
        <v>0</v>
      </c>
      <c r="T156" s="138">
        <f>S156*H156</f>
        <v>0</v>
      </c>
      <c r="AR156" s="139" t="s">
        <v>496</v>
      </c>
      <c r="AT156" s="139" t="s">
        <v>339</v>
      </c>
      <c r="AU156" s="139" t="s">
        <v>113</v>
      </c>
      <c r="AY156" s="2" t="s">
        <v>337</v>
      </c>
      <c r="BE156" s="140">
        <f>IF(N156="základní",J156,0)</f>
        <v>0</v>
      </c>
      <c r="BF156" s="140">
        <f>IF(N156="snížená",J156,0)</f>
        <v>0</v>
      </c>
      <c r="BG156" s="140">
        <f>IF(N156="zákl. přenesená",J156,0)</f>
        <v>0</v>
      </c>
      <c r="BH156" s="140">
        <f>IF(N156="sníž. přenesená",J156,0)</f>
        <v>0</v>
      </c>
      <c r="BI156" s="140">
        <f>IF(N156="nulová",J156,0)</f>
        <v>0</v>
      </c>
      <c r="BJ156" s="2" t="s">
        <v>87</v>
      </c>
      <c r="BK156" s="140">
        <f>ROUND(I156*H156,2)</f>
        <v>0</v>
      </c>
      <c r="BL156" s="2" t="s">
        <v>496</v>
      </c>
      <c r="BM156" s="139" t="s">
        <v>7759</v>
      </c>
    </row>
    <row r="157" spans="2:65" s="16" customFormat="1" ht="16.5" customHeight="1" x14ac:dyDescent="0.2">
      <c r="B157" s="17"/>
      <c r="C157" s="128">
        <v>13</v>
      </c>
      <c r="D157" s="128" t="s">
        <v>339</v>
      </c>
      <c r="E157" s="129" t="s">
        <v>7760</v>
      </c>
      <c r="F157" s="130" t="s">
        <v>7761</v>
      </c>
      <c r="G157" s="131" t="s">
        <v>449</v>
      </c>
      <c r="H157" s="132">
        <v>2</v>
      </c>
      <c r="I157" s="133"/>
      <c r="J157" s="134">
        <f>ROUND(I157*H157,2)</f>
        <v>0</v>
      </c>
      <c r="K157" s="130"/>
      <c r="L157" s="17"/>
      <c r="M157" s="135"/>
      <c r="N157" s="136" t="s">
        <v>45</v>
      </c>
      <c r="P157" s="137">
        <f>O157*H157</f>
        <v>0</v>
      </c>
      <c r="Q157" s="137">
        <v>0</v>
      </c>
      <c r="R157" s="137">
        <f>Q157*H157</f>
        <v>0</v>
      </c>
      <c r="S157" s="137">
        <v>0</v>
      </c>
      <c r="T157" s="138">
        <f>S157*H157</f>
        <v>0</v>
      </c>
      <c r="AR157" s="139" t="s">
        <v>496</v>
      </c>
      <c r="AT157" s="139" t="s">
        <v>339</v>
      </c>
      <c r="AU157" s="139" t="s">
        <v>113</v>
      </c>
      <c r="AY157" s="2" t="s">
        <v>337</v>
      </c>
      <c r="BE157" s="140">
        <f>IF(N157="základní",J157,0)</f>
        <v>0</v>
      </c>
      <c r="BF157" s="140">
        <f>IF(N157="snížená",J157,0)</f>
        <v>0</v>
      </c>
      <c r="BG157" s="140">
        <f>IF(N157="zákl. přenesená",J157,0)</f>
        <v>0</v>
      </c>
      <c r="BH157" s="140">
        <f>IF(N157="sníž. přenesená",J157,0)</f>
        <v>0</v>
      </c>
      <c r="BI157" s="140">
        <f>IF(N157="nulová",J157,0)</f>
        <v>0</v>
      </c>
      <c r="BJ157" s="2" t="s">
        <v>87</v>
      </c>
      <c r="BK157" s="140">
        <f>ROUND(I157*H157,2)</f>
        <v>0</v>
      </c>
      <c r="BL157" s="2" t="s">
        <v>496</v>
      </c>
      <c r="BM157" s="139" t="s">
        <v>7762</v>
      </c>
    </row>
    <row r="158" spans="2:65" s="16" customFormat="1" ht="37.9" customHeight="1" x14ac:dyDescent="0.2">
      <c r="B158" s="17"/>
      <c r="C158" s="128">
        <v>14</v>
      </c>
      <c r="D158" s="128" t="s">
        <v>339</v>
      </c>
      <c r="E158" s="129" t="s">
        <v>7763</v>
      </c>
      <c r="F158" s="130" t="s">
        <v>7730</v>
      </c>
      <c r="G158" s="131" t="s">
        <v>449</v>
      </c>
      <c r="H158" s="132">
        <v>1</v>
      </c>
      <c r="I158" s="133"/>
      <c r="J158" s="134">
        <f>ROUND(I158*H158,2)</f>
        <v>0</v>
      </c>
      <c r="K158" s="130"/>
      <c r="L158" s="17"/>
      <c r="M158" s="135"/>
      <c r="N158" s="136" t="s">
        <v>45</v>
      </c>
      <c r="P158" s="137">
        <f>O158*H158</f>
        <v>0</v>
      </c>
      <c r="Q158" s="137">
        <v>0</v>
      </c>
      <c r="R158" s="137">
        <f>Q158*H158</f>
        <v>0</v>
      </c>
      <c r="S158" s="137">
        <v>0</v>
      </c>
      <c r="T158" s="138">
        <f>S158*H158</f>
        <v>0</v>
      </c>
      <c r="AR158" s="139" t="s">
        <v>496</v>
      </c>
      <c r="AT158" s="139" t="s">
        <v>339</v>
      </c>
      <c r="AU158" s="139" t="s">
        <v>113</v>
      </c>
      <c r="AY158" s="2" t="s">
        <v>337</v>
      </c>
      <c r="BE158" s="140">
        <f>IF(N158="základní",J158,0)</f>
        <v>0</v>
      </c>
      <c r="BF158" s="140">
        <f>IF(N158="snížená",J158,0)</f>
        <v>0</v>
      </c>
      <c r="BG158" s="140">
        <f>IF(N158="zákl. přenesená",J158,0)</f>
        <v>0</v>
      </c>
      <c r="BH158" s="140">
        <f>IF(N158="sníž. přenesená",J158,0)</f>
        <v>0</v>
      </c>
      <c r="BI158" s="140">
        <f>IF(N158="nulová",J158,0)</f>
        <v>0</v>
      </c>
      <c r="BJ158" s="2" t="s">
        <v>87</v>
      </c>
      <c r="BK158" s="140">
        <f>ROUND(I158*H158,2)</f>
        <v>0</v>
      </c>
      <c r="BL158" s="2" t="s">
        <v>496</v>
      </c>
      <c r="BM158" s="139" t="s">
        <v>7764</v>
      </c>
    </row>
    <row r="159" spans="2:65" s="16" customFormat="1" ht="48.75" x14ac:dyDescent="0.2">
      <c r="B159" s="17"/>
      <c r="D159" s="143" t="s">
        <v>644</v>
      </c>
      <c r="F159" s="179" t="s">
        <v>7732</v>
      </c>
      <c r="L159" s="17"/>
      <c r="M159" s="180"/>
      <c r="T159" s="41"/>
      <c r="AT159" s="2" t="s">
        <v>644</v>
      </c>
      <c r="AU159" s="2" t="s">
        <v>113</v>
      </c>
    </row>
    <row r="160" spans="2:65" s="16" customFormat="1" ht="16.5" customHeight="1" x14ac:dyDescent="0.2">
      <c r="B160" s="17"/>
      <c r="C160" s="128">
        <v>15</v>
      </c>
      <c r="D160" s="128" t="s">
        <v>339</v>
      </c>
      <c r="E160" s="129" t="s">
        <v>7765</v>
      </c>
      <c r="F160" s="130" t="s">
        <v>7734</v>
      </c>
      <c r="G160" s="131" t="s">
        <v>449</v>
      </c>
      <c r="H160" s="132">
        <v>2</v>
      </c>
      <c r="I160" s="133"/>
      <c r="J160" s="134">
        <f>ROUND(I160*H160,2)</f>
        <v>0</v>
      </c>
      <c r="K160" s="130"/>
      <c r="L160" s="17"/>
      <c r="M160" s="135"/>
      <c r="N160" s="136" t="s">
        <v>45</v>
      </c>
      <c r="P160" s="137">
        <f>O160*H160</f>
        <v>0</v>
      </c>
      <c r="Q160" s="137">
        <v>0</v>
      </c>
      <c r="R160" s="137">
        <f>Q160*H160</f>
        <v>0</v>
      </c>
      <c r="S160" s="137">
        <v>0</v>
      </c>
      <c r="T160" s="138">
        <f>S160*H160</f>
        <v>0</v>
      </c>
      <c r="AR160" s="139" t="s">
        <v>496</v>
      </c>
      <c r="AT160" s="139" t="s">
        <v>339</v>
      </c>
      <c r="AU160" s="139" t="s">
        <v>113</v>
      </c>
      <c r="AY160" s="2" t="s">
        <v>337</v>
      </c>
      <c r="BE160" s="140">
        <f>IF(N160="základní",J160,0)</f>
        <v>0</v>
      </c>
      <c r="BF160" s="140">
        <f>IF(N160="snížená",J160,0)</f>
        <v>0</v>
      </c>
      <c r="BG160" s="140">
        <f>IF(N160="zákl. přenesená",J160,0)</f>
        <v>0</v>
      </c>
      <c r="BH160" s="140">
        <f>IF(N160="sníž. přenesená",J160,0)</f>
        <v>0</v>
      </c>
      <c r="BI160" s="140">
        <f>IF(N160="nulová",J160,0)</f>
        <v>0</v>
      </c>
      <c r="BJ160" s="2" t="s">
        <v>87</v>
      </c>
      <c r="BK160" s="140">
        <f>ROUND(I160*H160,2)</f>
        <v>0</v>
      </c>
      <c r="BL160" s="2" t="s">
        <v>496</v>
      </c>
      <c r="BM160" s="139" t="s">
        <v>7766</v>
      </c>
    </row>
    <row r="161" spans="2:65" s="16" customFormat="1" ht="16.5" customHeight="1" x14ac:dyDescent="0.2">
      <c r="B161" s="17"/>
      <c r="C161" s="128">
        <v>16</v>
      </c>
      <c r="D161" s="128" t="s">
        <v>339</v>
      </c>
      <c r="E161" s="129" t="s">
        <v>7767</v>
      </c>
      <c r="F161" s="130" t="s">
        <v>7737</v>
      </c>
      <c r="G161" s="131" t="s">
        <v>449</v>
      </c>
      <c r="H161" s="132">
        <v>1</v>
      </c>
      <c r="I161" s="133"/>
      <c r="J161" s="134">
        <f>ROUND(I161*H161,2)</f>
        <v>0</v>
      </c>
      <c r="K161" s="130"/>
      <c r="L161" s="17"/>
      <c r="M161" s="135"/>
      <c r="N161" s="136" t="s">
        <v>45</v>
      </c>
      <c r="P161" s="137">
        <f>O161*H161</f>
        <v>0</v>
      </c>
      <c r="Q161" s="137">
        <v>0</v>
      </c>
      <c r="R161" s="137">
        <f>Q161*H161</f>
        <v>0</v>
      </c>
      <c r="S161" s="137">
        <v>0</v>
      </c>
      <c r="T161" s="138">
        <f>S161*H161</f>
        <v>0</v>
      </c>
      <c r="AR161" s="139" t="s">
        <v>496</v>
      </c>
      <c r="AT161" s="139" t="s">
        <v>339</v>
      </c>
      <c r="AU161" s="139" t="s">
        <v>113</v>
      </c>
      <c r="AY161" s="2" t="s">
        <v>337</v>
      </c>
      <c r="BE161" s="140">
        <f>IF(N161="základní",J161,0)</f>
        <v>0</v>
      </c>
      <c r="BF161" s="140">
        <f>IF(N161="snížená",J161,0)</f>
        <v>0</v>
      </c>
      <c r="BG161" s="140">
        <f>IF(N161="zákl. přenesená",J161,0)</f>
        <v>0</v>
      </c>
      <c r="BH161" s="140">
        <f>IF(N161="sníž. přenesená",J161,0)</f>
        <v>0</v>
      </c>
      <c r="BI161" s="140">
        <f>IF(N161="nulová",J161,0)</f>
        <v>0</v>
      </c>
      <c r="BJ161" s="2" t="s">
        <v>87</v>
      </c>
      <c r="BK161" s="140">
        <f>ROUND(I161*H161,2)</f>
        <v>0</v>
      </c>
      <c r="BL161" s="2" t="s">
        <v>496</v>
      </c>
      <c r="BM161" s="139" t="s">
        <v>7768</v>
      </c>
    </row>
    <row r="162" spans="2:65" s="16" customFormat="1" ht="37.9" customHeight="1" x14ac:dyDescent="0.2">
      <c r="B162" s="17"/>
      <c r="C162" s="128">
        <v>17</v>
      </c>
      <c r="D162" s="128" t="s">
        <v>339</v>
      </c>
      <c r="E162" s="129" t="s">
        <v>7769</v>
      </c>
      <c r="F162" s="130" t="s">
        <v>7730</v>
      </c>
      <c r="G162" s="131" t="s">
        <v>449</v>
      </c>
      <c r="H162" s="132">
        <v>1</v>
      </c>
      <c r="I162" s="133"/>
      <c r="J162" s="134">
        <f>ROUND(I162*H162,2)</f>
        <v>0</v>
      </c>
      <c r="K162" s="130"/>
      <c r="L162" s="17"/>
      <c r="M162" s="135"/>
      <c r="N162" s="136" t="s">
        <v>45</v>
      </c>
      <c r="P162" s="137">
        <f>O162*H162</f>
        <v>0</v>
      </c>
      <c r="Q162" s="137">
        <v>0</v>
      </c>
      <c r="R162" s="137">
        <f>Q162*H162</f>
        <v>0</v>
      </c>
      <c r="S162" s="137">
        <v>0</v>
      </c>
      <c r="T162" s="138">
        <f>S162*H162</f>
        <v>0</v>
      </c>
      <c r="AR162" s="139" t="s">
        <v>496</v>
      </c>
      <c r="AT162" s="139" t="s">
        <v>339</v>
      </c>
      <c r="AU162" s="139" t="s">
        <v>113</v>
      </c>
      <c r="AY162" s="2" t="s">
        <v>337</v>
      </c>
      <c r="BE162" s="140">
        <f>IF(N162="základní",J162,0)</f>
        <v>0</v>
      </c>
      <c r="BF162" s="140">
        <f>IF(N162="snížená",J162,0)</f>
        <v>0</v>
      </c>
      <c r="BG162" s="140">
        <f>IF(N162="zákl. přenesená",J162,0)</f>
        <v>0</v>
      </c>
      <c r="BH162" s="140">
        <f>IF(N162="sníž. přenesená",J162,0)</f>
        <v>0</v>
      </c>
      <c r="BI162" s="140">
        <f>IF(N162="nulová",J162,0)</f>
        <v>0</v>
      </c>
      <c r="BJ162" s="2" t="s">
        <v>87</v>
      </c>
      <c r="BK162" s="140">
        <f>ROUND(I162*H162,2)</f>
        <v>0</v>
      </c>
      <c r="BL162" s="2" t="s">
        <v>496</v>
      </c>
      <c r="BM162" s="139" t="s">
        <v>7770</v>
      </c>
    </row>
    <row r="163" spans="2:65" s="16" customFormat="1" ht="48.75" x14ac:dyDescent="0.2">
      <c r="B163" s="17"/>
      <c r="D163" s="143" t="s">
        <v>644</v>
      </c>
      <c r="F163" s="179" t="s">
        <v>7732</v>
      </c>
      <c r="L163" s="17"/>
      <c r="M163" s="180"/>
      <c r="T163" s="41"/>
      <c r="AT163" s="2" t="s">
        <v>644</v>
      </c>
      <c r="AU163" s="2" t="s">
        <v>113</v>
      </c>
    </row>
    <row r="164" spans="2:65" s="16" customFormat="1" ht="16.5" customHeight="1" x14ac:dyDescent="0.2">
      <c r="B164" s="17"/>
      <c r="C164" s="128">
        <v>18</v>
      </c>
      <c r="D164" s="128" t="s">
        <v>339</v>
      </c>
      <c r="E164" s="129" t="s">
        <v>7771</v>
      </c>
      <c r="F164" s="130" t="s">
        <v>7734</v>
      </c>
      <c r="G164" s="131" t="s">
        <v>449</v>
      </c>
      <c r="H164" s="132">
        <v>2</v>
      </c>
      <c r="I164" s="133"/>
      <c r="J164" s="134">
        <f>ROUND(I164*H164,2)</f>
        <v>0</v>
      </c>
      <c r="K164" s="130"/>
      <c r="L164" s="17"/>
      <c r="M164" s="135"/>
      <c r="N164" s="136" t="s">
        <v>45</v>
      </c>
      <c r="P164" s="137">
        <f>O164*H164</f>
        <v>0</v>
      </c>
      <c r="Q164" s="137">
        <v>0</v>
      </c>
      <c r="R164" s="137">
        <f>Q164*H164</f>
        <v>0</v>
      </c>
      <c r="S164" s="137">
        <v>0</v>
      </c>
      <c r="T164" s="138">
        <f>S164*H164</f>
        <v>0</v>
      </c>
      <c r="AR164" s="139" t="s">
        <v>496</v>
      </c>
      <c r="AT164" s="139" t="s">
        <v>339</v>
      </c>
      <c r="AU164" s="139" t="s">
        <v>113</v>
      </c>
      <c r="AY164" s="2" t="s">
        <v>337</v>
      </c>
      <c r="BE164" s="140">
        <f>IF(N164="základní",J164,0)</f>
        <v>0</v>
      </c>
      <c r="BF164" s="140">
        <f>IF(N164="snížená",J164,0)</f>
        <v>0</v>
      </c>
      <c r="BG164" s="140">
        <f>IF(N164="zákl. přenesená",J164,0)</f>
        <v>0</v>
      </c>
      <c r="BH164" s="140">
        <f>IF(N164="sníž. přenesená",J164,0)</f>
        <v>0</v>
      </c>
      <c r="BI164" s="140">
        <f>IF(N164="nulová",J164,0)</f>
        <v>0</v>
      </c>
      <c r="BJ164" s="2" t="s">
        <v>87</v>
      </c>
      <c r="BK164" s="140">
        <f>ROUND(I164*H164,2)</f>
        <v>0</v>
      </c>
      <c r="BL164" s="2" t="s">
        <v>496</v>
      </c>
      <c r="BM164" s="139" t="s">
        <v>7772</v>
      </c>
    </row>
    <row r="165" spans="2:65" s="16" customFormat="1" ht="16.5" customHeight="1" x14ac:dyDescent="0.2">
      <c r="B165" s="17"/>
      <c r="C165" s="128">
        <v>19</v>
      </c>
      <c r="D165" s="128" t="s">
        <v>339</v>
      </c>
      <c r="E165" s="129" t="s">
        <v>7773</v>
      </c>
      <c r="F165" s="130" t="s">
        <v>7737</v>
      </c>
      <c r="G165" s="131" t="s">
        <v>449</v>
      </c>
      <c r="H165" s="132">
        <v>1</v>
      </c>
      <c r="I165" s="133"/>
      <c r="J165" s="134">
        <f>ROUND(I165*H165,2)</f>
        <v>0</v>
      </c>
      <c r="K165" s="130"/>
      <c r="L165" s="17"/>
      <c r="M165" s="135"/>
      <c r="N165" s="136" t="s">
        <v>45</v>
      </c>
      <c r="P165" s="137">
        <f>O165*H165</f>
        <v>0</v>
      </c>
      <c r="Q165" s="137">
        <v>0</v>
      </c>
      <c r="R165" s="137">
        <f>Q165*H165</f>
        <v>0</v>
      </c>
      <c r="S165" s="137">
        <v>0</v>
      </c>
      <c r="T165" s="138">
        <f>S165*H165</f>
        <v>0</v>
      </c>
      <c r="AR165" s="139" t="s">
        <v>496</v>
      </c>
      <c r="AT165" s="139" t="s">
        <v>339</v>
      </c>
      <c r="AU165" s="139" t="s">
        <v>113</v>
      </c>
      <c r="AY165" s="2" t="s">
        <v>337</v>
      </c>
      <c r="BE165" s="140">
        <f>IF(N165="základní",J165,0)</f>
        <v>0</v>
      </c>
      <c r="BF165" s="140">
        <f>IF(N165="snížená",J165,0)</f>
        <v>0</v>
      </c>
      <c r="BG165" s="140">
        <f>IF(N165="zákl. přenesená",J165,0)</f>
        <v>0</v>
      </c>
      <c r="BH165" s="140">
        <f>IF(N165="sníž. přenesená",J165,0)</f>
        <v>0</v>
      </c>
      <c r="BI165" s="140">
        <f>IF(N165="nulová",J165,0)</f>
        <v>0</v>
      </c>
      <c r="BJ165" s="2" t="s">
        <v>87</v>
      </c>
      <c r="BK165" s="140">
        <f>ROUND(I165*H165,2)</f>
        <v>0</v>
      </c>
      <c r="BL165" s="2" t="s">
        <v>496</v>
      </c>
      <c r="BM165" s="139" t="s">
        <v>7774</v>
      </c>
    </row>
    <row r="166" spans="2:65" s="16" customFormat="1" ht="37.9" customHeight="1" x14ac:dyDescent="0.2">
      <c r="B166" s="17"/>
      <c r="C166" s="128">
        <v>20</v>
      </c>
      <c r="D166" s="128" t="s">
        <v>339</v>
      </c>
      <c r="E166" s="129" t="s">
        <v>7775</v>
      </c>
      <c r="F166" s="130" t="s">
        <v>7730</v>
      </c>
      <c r="G166" s="131" t="s">
        <v>449</v>
      </c>
      <c r="H166" s="132">
        <v>1</v>
      </c>
      <c r="I166" s="133"/>
      <c r="J166" s="134">
        <f>ROUND(I166*H166,2)</f>
        <v>0</v>
      </c>
      <c r="K166" s="130"/>
      <c r="L166" s="17"/>
      <c r="M166" s="135"/>
      <c r="N166" s="136" t="s">
        <v>45</v>
      </c>
      <c r="P166" s="137">
        <f>O166*H166</f>
        <v>0</v>
      </c>
      <c r="Q166" s="137">
        <v>0</v>
      </c>
      <c r="R166" s="137">
        <f>Q166*H166</f>
        <v>0</v>
      </c>
      <c r="S166" s="137">
        <v>0</v>
      </c>
      <c r="T166" s="138">
        <f>S166*H166</f>
        <v>0</v>
      </c>
      <c r="AR166" s="139" t="s">
        <v>496</v>
      </c>
      <c r="AT166" s="139" t="s">
        <v>339</v>
      </c>
      <c r="AU166" s="139" t="s">
        <v>113</v>
      </c>
      <c r="AY166" s="2" t="s">
        <v>337</v>
      </c>
      <c r="BE166" s="140">
        <f>IF(N166="základní",J166,0)</f>
        <v>0</v>
      </c>
      <c r="BF166" s="140">
        <f>IF(N166="snížená",J166,0)</f>
        <v>0</v>
      </c>
      <c r="BG166" s="140">
        <f>IF(N166="zákl. přenesená",J166,0)</f>
        <v>0</v>
      </c>
      <c r="BH166" s="140">
        <f>IF(N166="sníž. přenesená",J166,0)</f>
        <v>0</v>
      </c>
      <c r="BI166" s="140">
        <f>IF(N166="nulová",J166,0)</f>
        <v>0</v>
      </c>
      <c r="BJ166" s="2" t="s">
        <v>87</v>
      </c>
      <c r="BK166" s="140">
        <f>ROUND(I166*H166,2)</f>
        <v>0</v>
      </c>
      <c r="BL166" s="2" t="s">
        <v>496</v>
      </c>
      <c r="BM166" s="139" t="s">
        <v>7776</v>
      </c>
    </row>
    <row r="167" spans="2:65" s="16" customFormat="1" ht="48.75" x14ac:dyDescent="0.2">
      <c r="B167" s="17"/>
      <c r="D167" s="143" t="s">
        <v>644</v>
      </c>
      <c r="F167" s="179" t="s">
        <v>7732</v>
      </c>
      <c r="L167" s="17"/>
      <c r="M167" s="180"/>
      <c r="T167" s="41"/>
      <c r="AT167" s="2" t="s">
        <v>644</v>
      </c>
      <c r="AU167" s="2" t="s">
        <v>113</v>
      </c>
    </row>
    <row r="168" spans="2:65" s="16" customFormat="1" ht="16.5" customHeight="1" x14ac:dyDescent="0.2">
      <c r="B168" s="17"/>
      <c r="C168" s="128">
        <v>21</v>
      </c>
      <c r="D168" s="128" t="s">
        <v>339</v>
      </c>
      <c r="E168" s="129" t="s">
        <v>7777</v>
      </c>
      <c r="F168" s="130" t="s">
        <v>7734</v>
      </c>
      <c r="G168" s="131" t="s">
        <v>449</v>
      </c>
      <c r="H168" s="132">
        <v>2</v>
      </c>
      <c r="I168" s="133"/>
      <c r="J168" s="134">
        <f>ROUND(I168*H168,2)</f>
        <v>0</v>
      </c>
      <c r="K168" s="130"/>
      <c r="L168" s="17"/>
      <c r="M168" s="135"/>
      <c r="N168" s="136" t="s">
        <v>45</v>
      </c>
      <c r="P168" s="137">
        <f>O168*H168</f>
        <v>0</v>
      </c>
      <c r="Q168" s="137">
        <v>0</v>
      </c>
      <c r="R168" s="137">
        <f>Q168*H168</f>
        <v>0</v>
      </c>
      <c r="S168" s="137">
        <v>0</v>
      </c>
      <c r="T168" s="138">
        <f>S168*H168</f>
        <v>0</v>
      </c>
      <c r="AR168" s="139" t="s">
        <v>496</v>
      </c>
      <c r="AT168" s="139" t="s">
        <v>339</v>
      </c>
      <c r="AU168" s="139" t="s">
        <v>113</v>
      </c>
      <c r="AY168" s="2" t="s">
        <v>337</v>
      </c>
      <c r="BE168" s="140">
        <f>IF(N168="základní",J168,0)</f>
        <v>0</v>
      </c>
      <c r="BF168" s="140">
        <f>IF(N168="snížená",J168,0)</f>
        <v>0</v>
      </c>
      <c r="BG168" s="140">
        <f>IF(N168="zákl. přenesená",J168,0)</f>
        <v>0</v>
      </c>
      <c r="BH168" s="140">
        <f>IF(N168="sníž. přenesená",J168,0)</f>
        <v>0</v>
      </c>
      <c r="BI168" s="140">
        <f>IF(N168="nulová",J168,0)</f>
        <v>0</v>
      </c>
      <c r="BJ168" s="2" t="s">
        <v>87</v>
      </c>
      <c r="BK168" s="140">
        <f>ROUND(I168*H168,2)</f>
        <v>0</v>
      </c>
      <c r="BL168" s="2" t="s">
        <v>496</v>
      </c>
      <c r="BM168" s="139" t="s">
        <v>7778</v>
      </c>
    </row>
    <row r="169" spans="2:65" s="16" customFormat="1" ht="16.5" customHeight="1" x14ac:dyDescent="0.2">
      <c r="B169" s="17"/>
      <c r="C169" s="128">
        <v>22</v>
      </c>
      <c r="D169" s="128" t="s">
        <v>339</v>
      </c>
      <c r="E169" s="129" t="s">
        <v>7779</v>
      </c>
      <c r="F169" s="130" t="s">
        <v>7737</v>
      </c>
      <c r="G169" s="131" t="s">
        <v>449</v>
      </c>
      <c r="H169" s="132">
        <v>2</v>
      </c>
      <c r="I169" s="133"/>
      <c r="J169" s="134">
        <f>ROUND(I169*H169,2)</f>
        <v>0</v>
      </c>
      <c r="K169" s="130"/>
      <c r="L169" s="17"/>
      <c r="M169" s="135"/>
      <c r="N169" s="136" t="s">
        <v>45</v>
      </c>
      <c r="P169" s="137">
        <f>O169*H169</f>
        <v>0</v>
      </c>
      <c r="Q169" s="137">
        <v>0</v>
      </c>
      <c r="R169" s="137">
        <f>Q169*H169</f>
        <v>0</v>
      </c>
      <c r="S169" s="137">
        <v>0</v>
      </c>
      <c r="T169" s="138">
        <f>S169*H169</f>
        <v>0</v>
      </c>
      <c r="AR169" s="139" t="s">
        <v>496</v>
      </c>
      <c r="AT169" s="139" t="s">
        <v>339</v>
      </c>
      <c r="AU169" s="139" t="s">
        <v>113</v>
      </c>
      <c r="AY169" s="2" t="s">
        <v>337</v>
      </c>
      <c r="BE169" s="140">
        <f>IF(N169="základní",J169,0)</f>
        <v>0</v>
      </c>
      <c r="BF169" s="140">
        <f>IF(N169="snížená",J169,0)</f>
        <v>0</v>
      </c>
      <c r="BG169" s="140">
        <f>IF(N169="zákl. přenesená",J169,0)</f>
        <v>0</v>
      </c>
      <c r="BH169" s="140">
        <f>IF(N169="sníž. přenesená",J169,0)</f>
        <v>0</v>
      </c>
      <c r="BI169" s="140">
        <f>IF(N169="nulová",J169,0)</f>
        <v>0</v>
      </c>
      <c r="BJ169" s="2" t="s">
        <v>87</v>
      </c>
      <c r="BK169" s="140">
        <f>ROUND(I169*H169,2)</f>
        <v>0</v>
      </c>
      <c r="BL169" s="2" t="s">
        <v>496</v>
      </c>
      <c r="BM169" s="139" t="s">
        <v>7780</v>
      </c>
    </row>
    <row r="170" spans="2:65" s="16" customFormat="1" ht="37.9" customHeight="1" x14ac:dyDescent="0.2">
      <c r="B170" s="17"/>
      <c r="C170" s="128">
        <v>23</v>
      </c>
      <c r="D170" s="128" t="s">
        <v>339</v>
      </c>
      <c r="E170" s="129" t="s">
        <v>7781</v>
      </c>
      <c r="F170" s="130" t="s">
        <v>7730</v>
      </c>
      <c r="G170" s="131" t="s">
        <v>449</v>
      </c>
      <c r="H170" s="132">
        <v>1</v>
      </c>
      <c r="I170" s="133"/>
      <c r="J170" s="134">
        <f>ROUND(I170*H170,2)</f>
        <v>0</v>
      </c>
      <c r="K170" s="130"/>
      <c r="L170" s="17"/>
      <c r="M170" s="135"/>
      <c r="N170" s="136" t="s">
        <v>45</v>
      </c>
      <c r="P170" s="137">
        <f>O170*H170</f>
        <v>0</v>
      </c>
      <c r="Q170" s="137">
        <v>0</v>
      </c>
      <c r="R170" s="137">
        <f>Q170*H170</f>
        <v>0</v>
      </c>
      <c r="S170" s="137">
        <v>0</v>
      </c>
      <c r="T170" s="138">
        <f>S170*H170</f>
        <v>0</v>
      </c>
      <c r="AR170" s="139" t="s">
        <v>496</v>
      </c>
      <c r="AT170" s="139" t="s">
        <v>339</v>
      </c>
      <c r="AU170" s="139" t="s">
        <v>113</v>
      </c>
      <c r="AY170" s="2" t="s">
        <v>337</v>
      </c>
      <c r="BE170" s="140">
        <f>IF(N170="základní",J170,0)</f>
        <v>0</v>
      </c>
      <c r="BF170" s="140">
        <f>IF(N170="snížená",J170,0)</f>
        <v>0</v>
      </c>
      <c r="BG170" s="140">
        <f>IF(N170="zákl. přenesená",J170,0)</f>
        <v>0</v>
      </c>
      <c r="BH170" s="140">
        <f>IF(N170="sníž. přenesená",J170,0)</f>
        <v>0</v>
      </c>
      <c r="BI170" s="140">
        <f>IF(N170="nulová",J170,0)</f>
        <v>0</v>
      </c>
      <c r="BJ170" s="2" t="s">
        <v>87</v>
      </c>
      <c r="BK170" s="140">
        <f>ROUND(I170*H170,2)</f>
        <v>0</v>
      </c>
      <c r="BL170" s="2" t="s">
        <v>496</v>
      </c>
      <c r="BM170" s="139" t="s">
        <v>7782</v>
      </c>
    </row>
    <row r="171" spans="2:65" s="16" customFormat="1" ht="48.75" x14ac:dyDescent="0.2">
      <c r="B171" s="17"/>
      <c r="D171" s="143" t="s">
        <v>644</v>
      </c>
      <c r="F171" s="179" t="s">
        <v>7732</v>
      </c>
      <c r="L171" s="17"/>
      <c r="M171" s="180"/>
      <c r="T171" s="41"/>
      <c r="AT171" s="2" t="s">
        <v>644</v>
      </c>
      <c r="AU171" s="2" t="s">
        <v>113</v>
      </c>
    </row>
    <row r="172" spans="2:65" s="16" customFormat="1" ht="16.5" customHeight="1" x14ac:dyDescent="0.2">
      <c r="B172" s="17"/>
      <c r="C172" s="128">
        <v>24</v>
      </c>
      <c r="D172" s="128" t="s">
        <v>339</v>
      </c>
      <c r="E172" s="129" t="s">
        <v>7783</v>
      </c>
      <c r="F172" s="130" t="s">
        <v>7734</v>
      </c>
      <c r="G172" s="131" t="s">
        <v>449</v>
      </c>
      <c r="H172" s="132">
        <v>2</v>
      </c>
      <c r="I172" s="133"/>
      <c r="J172" s="134">
        <f t="shared" ref="J172:J201" si="0">ROUND(I172*H172,2)</f>
        <v>0</v>
      </c>
      <c r="K172" s="130"/>
      <c r="L172" s="17"/>
      <c r="M172" s="135"/>
      <c r="N172" s="136" t="s">
        <v>45</v>
      </c>
      <c r="P172" s="137">
        <f t="shared" ref="P172:P201" si="1">O172*H172</f>
        <v>0</v>
      </c>
      <c r="Q172" s="137">
        <v>0</v>
      </c>
      <c r="R172" s="137">
        <f t="shared" ref="R172:R201" si="2">Q172*H172</f>
        <v>0</v>
      </c>
      <c r="S172" s="137">
        <v>0</v>
      </c>
      <c r="T172" s="138">
        <f t="shared" ref="T172:T201" si="3">S172*H172</f>
        <v>0</v>
      </c>
      <c r="AR172" s="139" t="s">
        <v>496</v>
      </c>
      <c r="AT172" s="139" t="s">
        <v>339</v>
      </c>
      <c r="AU172" s="139" t="s">
        <v>113</v>
      </c>
      <c r="AY172" s="2" t="s">
        <v>337</v>
      </c>
      <c r="BE172" s="140">
        <f t="shared" ref="BE172:BE201" si="4">IF(N172="základní",J172,0)</f>
        <v>0</v>
      </c>
      <c r="BF172" s="140">
        <f t="shared" ref="BF172:BF201" si="5">IF(N172="snížená",J172,0)</f>
        <v>0</v>
      </c>
      <c r="BG172" s="140">
        <f t="shared" ref="BG172:BG201" si="6">IF(N172="zákl. přenesená",J172,0)</f>
        <v>0</v>
      </c>
      <c r="BH172" s="140">
        <f t="shared" ref="BH172:BH201" si="7">IF(N172="sníž. přenesená",J172,0)</f>
        <v>0</v>
      </c>
      <c r="BI172" s="140">
        <f t="shared" ref="BI172:BI201" si="8">IF(N172="nulová",J172,0)</f>
        <v>0</v>
      </c>
      <c r="BJ172" s="2" t="s">
        <v>87</v>
      </c>
      <c r="BK172" s="140">
        <f t="shared" ref="BK172:BK201" si="9">ROUND(I172*H172,2)</f>
        <v>0</v>
      </c>
      <c r="BL172" s="2" t="s">
        <v>496</v>
      </c>
      <c r="BM172" s="139" t="s">
        <v>7784</v>
      </c>
    </row>
    <row r="173" spans="2:65" s="16" customFormat="1" ht="16.5" customHeight="1" x14ac:dyDescent="0.2">
      <c r="B173" s="17"/>
      <c r="C173" s="128">
        <v>25</v>
      </c>
      <c r="D173" s="128" t="s">
        <v>339</v>
      </c>
      <c r="E173" s="129" t="s">
        <v>7785</v>
      </c>
      <c r="F173" s="130" t="s">
        <v>7737</v>
      </c>
      <c r="G173" s="131" t="s">
        <v>449</v>
      </c>
      <c r="H173" s="132">
        <v>1</v>
      </c>
      <c r="I173" s="133"/>
      <c r="J173" s="134">
        <f t="shared" si="0"/>
        <v>0</v>
      </c>
      <c r="K173" s="130"/>
      <c r="L173" s="17"/>
      <c r="M173" s="135"/>
      <c r="N173" s="136" t="s">
        <v>45</v>
      </c>
      <c r="P173" s="137">
        <f t="shared" si="1"/>
        <v>0</v>
      </c>
      <c r="Q173" s="137">
        <v>0</v>
      </c>
      <c r="R173" s="137">
        <f t="shared" si="2"/>
        <v>0</v>
      </c>
      <c r="S173" s="137">
        <v>0</v>
      </c>
      <c r="T173" s="138">
        <f t="shared" si="3"/>
        <v>0</v>
      </c>
      <c r="AR173" s="139" t="s">
        <v>496</v>
      </c>
      <c r="AT173" s="139" t="s">
        <v>339</v>
      </c>
      <c r="AU173" s="139" t="s">
        <v>113</v>
      </c>
      <c r="AY173" s="2" t="s">
        <v>337</v>
      </c>
      <c r="BE173" s="140">
        <f t="shared" si="4"/>
        <v>0</v>
      </c>
      <c r="BF173" s="140">
        <f t="shared" si="5"/>
        <v>0</v>
      </c>
      <c r="BG173" s="140">
        <f t="shared" si="6"/>
        <v>0</v>
      </c>
      <c r="BH173" s="140">
        <f t="shared" si="7"/>
        <v>0</v>
      </c>
      <c r="BI173" s="140">
        <f t="shared" si="8"/>
        <v>0</v>
      </c>
      <c r="BJ173" s="2" t="s">
        <v>87</v>
      </c>
      <c r="BK173" s="140">
        <f t="shared" si="9"/>
        <v>0</v>
      </c>
      <c r="BL173" s="2" t="s">
        <v>496</v>
      </c>
      <c r="BM173" s="139" t="s">
        <v>7786</v>
      </c>
    </row>
    <row r="174" spans="2:65" s="16" customFormat="1" ht="37.9" customHeight="1" x14ac:dyDescent="0.2">
      <c r="B174" s="17"/>
      <c r="C174" s="128">
        <v>26</v>
      </c>
      <c r="D174" s="128" t="s">
        <v>339</v>
      </c>
      <c r="E174" s="129" t="s">
        <v>7787</v>
      </c>
      <c r="F174" s="130" t="s">
        <v>7788</v>
      </c>
      <c r="G174" s="131" t="s">
        <v>449</v>
      </c>
      <c r="H174" s="132">
        <v>6</v>
      </c>
      <c r="I174" s="133"/>
      <c r="J174" s="134">
        <f t="shared" si="0"/>
        <v>0</v>
      </c>
      <c r="K174" s="130"/>
      <c r="L174" s="17"/>
      <c r="M174" s="135"/>
      <c r="N174" s="136" t="s">
        <v>45</v>
      </c>
      <c r="P174" s="137">
        <f t="shared" si="1"/>
        <v>0</v>
      </c>
      <c r="Q174" s="137">
        <v>0</v>
      </c>
      <c r="R174" s="137">
        <f t="shared" si="2"/>
        <v>0</v>
      </c>
      <c r="S174" s="137">
        <v>0</v>
      </c>
      <c r="T174" s="138">
        <f t="shared" si="3"/>
        <v>0</v>
      </c>
      <c r="AR174" s="139" t="s">
        <v>496</v>
      </c>
      <c r="AT174" s="139" t="s">
        <v>339</v>
      </c>
      <c r="AU174" s="139" t="s">
        <v>113</v>
      </c>
      <c r="AY174" s="2" t="s">
        <v>337</v>
      </c>
      <c r="BE174" s="140">
        <f t="shared" si="4"/>
        <v>0</v>
      </c>
      <c r="BF174" s="140">
        <f t="shared" si="5"/>
        <v>0</v>
      </c>
      <c r="BG174" s="140">
        <f t="shared" si="6"/>
        <v>0</v>
      </c>
      <c r="BH174" s="140">
        <f t="shared" si="7"/>
        <v>0</v>
      </c>
      <c r="BI174" s="140">
        <f t="shared" si="8"/>
        <v>0</v>
      </c>
      <c r="BJ174" s="2" t="s">
        <v>87</v>
      </c>
      <c r="BK174" s="140">
        <f t="shared" si="9"/>
        <v>0</v>
      </c>
      <c r="BL174" s="2" t="s">
        <v>496</v>
      </c>
      <c r="BM174" s="139" t="s">
        <v>7789</v>
      </c>
    </row>
    <row r="175" spans="2:65" s="16" customFormat="1" ht="37.9" customHeight="1" x14ac:dyDescent="0.2">
      <c r="B175" s="17"/>
      <c r="C175" s="128">
        <v>27</v>
      </c>
      <c r="D175" s="128" t="s">
        <v>339</v>
      </c>
      <c r="E175" s="129" t="s">
        <v>7790</v>
      </c>
      <c r="F175" s="130" t="s">
        <v>7791</v>
      </c>
      <c r="G175" s="131" t="s">
        <v>449</v>
      </c>
      <c r="H175" s="132">
        <v>7</v>
      </c>
      <c r="I175" s="133"/>
      <c r="J175" s="134">
        <f t="shared" si="0"/>
        <v>0</v>
      </c>
      <c r="K175" s="130"/>
      <c r="L175" s="17"/>
      <c r="M175" s="135"/>
      <c r="N175" s="136" t="s">
        <v>45</v>
      </c>
      <c r="P175" s="137">
        <f t="shared" si="1"/>
        <v>0</v>
      </c>
      <c r="Q175" s="137">
        <v>0</v>
      </c>
      <c r="R175" s="137">
        <f t="shared" si="2"/>
        <v>0</v>
      </c>
      <c r="S175" s="137">
        <v>0</v>
      </c>
      <c r="T175" s="138">
        <f t="shared" si="3"/>
        <v>0</v>
      </c>
      <c r="AR175" s="139" t="s">
        <v>496</v>
      </c>
      <c r="AT175" s="139" t="s">
        <v>339</v>
      </c>
      <c r="AU175" s="139" t="s">
        <v>113</v>
      </c>
      <c r="AY175" s="2" t="s">
        <v>337</v>
      </c>
      <c r="BE175" s="140">
        <f t="shared" si="4"/>
        <v>0</v>
      </c>
      <c r="BF175" s="140">
        <f t="shared" si="5"/>
        <v>0</v>
      </c>
      <c r="BG175" s="140">
        <f t="shared" si="6"/>
        <v>0</v>
      </c>
      <c r="BH175" s="140">
        <f t="shared" si="7"/>
        <v>0</v>
      </c>
      <c r="BI175" s="140">
        <f t="shared" si="8"/>
        <v>0</v>
      </c>
      <c r="BJ175" s="2" t="s">
        <v>87</v>
      </c>
      <c r="BK175" s="140">
        <f t="shared" si="9"/>
        <v>0</v>
      </c>
      <c r="BL175" s="2" t="s">
        <v>496</v>
      </c>
      <c r="BM175" s="139" t="s">
        <v>7792</v>
      </c>
    </row>
    <row r="176" spans="2:65" s="16" customFormat="1" ht="37.9" customHeight="1" x14ac:dyDescent="0.2">
      <c r="B176" s="17"/>
      <c r="C176" s="128">
        <v>28</v>
      </c>
      <c r="D176" s="128" t="s">
        <v>339</v>
      </c>
      <c r="E176" s="129" t="s">
        <v>7793</v>
      </c>
      <c r="F176" s="130" t="s">
        <v>7788</v>
      </c>
      <c r="G176" s="131" t="s">
        <v>449</v>
      </c>
      <c r="H176" s="132">
        <v>8</v>
      </c>
      <c r="I176" s="133"/>
      <c r="J176" s="134">
        <f t="shared" si="0"/>
        <v>0</v>
      </c>
      <c r="K176" s="130"/>
      <c r="L176" s="17"/>
      <c r="M176" s="135"/>
      <c r="N176" s="136" t="s">
        <v>45</v>
      </c>
      <c r="P176" s="137">
        <f t="shared" si="1"/>
        <v>0</v>
      </c>
      <c r="Q176" s="137">
        <v>0</v>
      </c>
      <c r="R176" s="137">
        <f t="shared" si="2"/>
        <v>0</v>
      </c>
      <c r="S176" s="137">
        <v>0</v>
      </c>
      <c r="T176" s="138">
        <f t="shared" si="3"/>
        <v>0</v>
      </c>
      <c r="AR176" s="139" t="s">
        <v>496</v>
      </c>
      <c r="AT176" s="139" t="s">
        <v>339</v>
      </c>
      <c r="AU176" s="139" t="s">
        <v>113</v>
      </c>
      <c r="AY176" s="2" t="s">
        <v>337</v>
      </c>
      <c r="BE176" s="140">
        <f t="shared" si="4"/>
        <v>0</v>
      </c>
      <c r="BF176" s="140">
        <f t="shared" si="5"/>
        <v>0</v>
      </c>
      <c r="BG176" s="140">
        <f t="shared" si="6"/>
        <v>0</v>
      </c>
      <c r="BH176" s="140">
        <f t="shared" si="7"/>
        <v>0</v>
      </c>
      <c r="BI176" s="140">
        <f t="shared" si="8"/>
        <v>0</v>
      </c>
      <c r="BJ176" s="2" t="s">
        <v>87</v>
      </c>
      <c r="BK176" s="140">
        <f t="shared" si="9"/>
        <v>0</v>
      </c>
      <c r="BL176" s="2" t="s">
        <v>496</v>
      </c>
      <c r="BM176" s="139" t="s">
        <v>7794</v>
      </c>
    </row>
    <row r="177" spans="2:65" s="16" customFormat="1" ht="37.9" customHeight="1" x14ac:dyDescent="0.2">
      <c r="B177" s="17"/>
      <c r="C177" s="128">
        <v>29</v>
      </c>
      <c r="D177" s="128" t="s">
        <v>339</v>
      </c>
      <c r="E177" s="129" t="s">
        <v>7795</v>
      </c>
      <c r="F177" s="130" t="s">
        <v>7791</v>
      </c>
      <c r="G177" s="131" t="s">
        <v>449</v>
      </c>
      <c r="H177" s="132">
        <v>7</v>
      </c>
      <c r="I177" s="133"/>
      <c r="J177" s="134">
        <f t="shared" si="0"/>
        <v>0</v>
      </c>
      <c r="K177" s="130"/>
      <c r="L177" s="17"/>
      <c r="M177" s="135"/>
      <c r="N177" s="136" t="s">
        <v>45</v>
      </c>
      <c r="P177" s="137">
        <f t="shared" si="1"/>
        <v>0</v>
      </c>
      <c r="Q177" s="137">
        <v>0</v>
      </c>
      <c r="R177" s="137">
        <f t="shared" si="2"/>
        <v>0</v>
      </c>
      <c r="S177" s="137">
        <v>0</v>
      </c>
      <c r="T177" s="138">
        <f t="shared" si="3"/>
        <v>0</v>
      </c>
      <c r="AR177" s="139" t="s">
        <v>496</v>
      </c>
      <c r="AT177" s="139" t="s">
        <v>339</v>
      </c>
      <c r="AU177" s="139" t="s">
        <v>113</v>
      </c>
      <c r="AY177" s="2" t="s">
        <v>337</v>
      </c>
      <c r="BE177" s="140">
        <f t="shared" si="4"/>
        <v>0</v>
      </c>
      <c r="BF177" s="140">
        <f t="shared" si="5"/>
        <v>0</v>
      </c>
      <c r="BG177" s="140">
        <f t="shared" si="6"/>
        <v>0</v>
      </c>
      <c r="BH177" s="140">
        <f t="shared" si="7"/>
        <v>0</v>
      </c>
      <c r="BI177" s="140">
        <f t="shared" si="8"/>
        <v>0</v>
      </c>
      <c r="BJ177" s="2" t="s">
        <v>87</v>
      </c>
      <c r="BK177" s="140">
        <f t="shared" si="9"/>
        <v>0</v>
      </c>
      <c r="BL177" s="2" t="s">
        <v>496</v>
      </c>
      <c r="BM177" s="139" t="s">
        <v>7796</v>
      </c>
    </row>
    <row r="178" spans="2:65" s="16" customFormat="1" ht="37.9" customHeight="1" x14ac:dyDescent="0.2">
      <c r="B178" s="17"/>
      <c r="C178" s="128">
        <v>30</v>
      </c>
      <c r="D178" s="128" t="s">
        <v>339</v>
      </c>
      <c r="E178" s="129" t="s">
        <v>7797</v>
      </c>
      <c r="F178" s="130" t="s">
        <v>7788</v>
      </c>
      <c r="G178" s="131" t="s">
        <v>449</v>
      </c>
      <c r="H178" s="132">
        <v>10</v>
      </c>
      <c r="I178" s="133"/>
      <c r="J178" s="134">
        <f t="shared" si="0"/>
        <v>0</v>
      </c>
      <c r="K178" s="130"/>
      <c r="L178" s="17"/>
      <c r="M178" s="135"/>
      <c r="N178" s="136" t="s">
        <v>45</v>
      </c>
      <c r="P178" s="137">
        <f t="shared" si="1"/>
        <v>0</v>
      </c>
      <c r="Q178" s="137">
        <v>0</v>
      </c>
      <c r="R178" s="137">
        <f t="shared" si="2"/>
        <v>0</v>
      </c>
      <c r="S178" s="137">
        <v>0</v>
      </c>
      <c r="T178" s="138">
        <f t="shared" si="3"/>
        <v>0</v>
      </c>
      <c r="AR178" s="139" t="s">
        <v>496</v>
      </c>
      <c r="AT178" s="139" t="s">
        <v>339</v>
      </c>
      <c r="AU178" s="139" t="s">
        <v>113</v>
      </c>
      <c r="AY178" s="2" t="s">
        <v>337</v>
      </c>
      <c r="BE178" s="140">
        <f t="shared" si="4"/>
        <v>0</v>
      </c>
      <c r="BF178" s="140">
        <f t="shared" si="5"/>
        <v>0</v>
      </c>
      <c r="BG178" s="140">
        <f t="shared" si="6"/>
        <v>0</v>
      </c>
      <c r="BH178" s="140">
        <f t="shared" si="7"/>
        <v>0</v>
      </c>
      <c r="BI178" s="140">
        <f t="shared" si="8"/>
        <v>0</v>
      </c>
      <c r="BJ178" s="2" t="s">
        <v>87</v>
      </c>
      <c r="BK178" s="140">
        <f t="shared" si="9"/>
        <v>0</v>
      </c>
      <c r="BL178" s="2" t="s">
        <v>496</v>
      </c>
      <c r="BM178" s="139" t="s">
        <v>7798</v>
      </c>
    </row>
    <row r="179" spans="2:65" s="16" customFormat="1" ht="37.9" customHeight="1" x14ac:dyDescent="0.2">
      <c r="B179" s="17"/>
      <c r="C179" s="128">
        <v>31</v>
      </c>
      <c r="D179" s="128" t="s">
        <v>339</v>
      </c>
      <c r="E179" s="129" t="s">
        <v>7799</v>
      </c>
      <c r="F179" s="130" t="s">
        <v>7791</v>
      </c>
      <c r="G179" s="131" t="s">
        <v>449</v>
      </c>
      <c r="H179" s="132">
        <v>12</v>
      </c>
      <c r="I179" s="133"/>
      <c r="J179" s="134">
        <f t="shared" si="0"/>
        <v>0</v>
      </c>
      <c r="K179" s="130"/>
      <c r="L179" s="17"/>
      <c r="M179" s="135"/>
      <c r="N179" s="136" t="s">
        <v>45</v>
      </c>
      <c r="P179" s="137">
        <f t="shared" si="1"/>
        <v>0</v>
      </c>
      <c r="Q179" s="137">
        <v>0</v>
      </c>
      <c r="R179" s="137">
        <f t="shared" si="2"/>
        <v>0</v>
      </c>
      <c r="S179" s="137">
        <v>0</v>
      </c>
      <c r="T179" s="138">
        <f t="shared" si="3"/>
        <v>0</v>
      </c>
      <c r="AR179" s="139" t="s">
        <v>496</v>
      </c>
      <c r="AT179" s="139" t="s">
        <v>339</v>
      </c>
      <c r="AU179" s="139" t="s">
        <v>113</v>
      </c>
      <c r="AY179" s="2" t="s">
        <v>337</v>
      </c>
      <c r="BE179" s="140">
        <f t="shared" si="4"/>
        <v>0</v>
      </c>
      <c r="BF179" s="140">
        <f t="shared" si="5"/>
        <v>0</v>
      </c>
      <c r="BG179" s="140">
        <f t="shared" si="6"/>
        <v>0</v>
      </c>
      <c r="BH179" s="140">
        <f t="shared" si="7"/>
        <v>0</v>
      </c>
      <c r="BI179" s="140">
        <f t="shared" si="8"/>
        <v>0</v>
      </c>
      <c r="BJ179" s="2" t="s">
        <v>87</v>
      </c>
      <c r="BK179" s="140">
        <f t="shared" si="9"/>
        <v>0</v>
      </c>
      <c r="BL179" s="2" t="s">
        <v>496</v>
      </c>
      <c r="BM179" s="139" t="s">
        <v>7800</v>
      </c>
    </row>
    <row r="180" spans="2:65" s="16" customFormat="1" ht="37.9" customHeight="1" x14ac:dyDescent="0.2">
      <c r="B180" s="17"/>
      <c r="C180" s="128">
        <v>32</v>
      </c>
      <c r="D180" s="128" t="s">
        <v>339</v>
      </c>
      <c r="E180" s="129" t="s">
        <v>7801</v>
      </c>
      <c r="F180" s="130" t="s">
        <v>7788</v>
      </c>
      <c r="G180" s="131" t="s">
        <v>449</v>
      </c>
      <c r="H180" s="132">
        <v>10</v>
      </c>
      <c r="I180" s="133"/>
      <c r="J180" s="134">
        <f t="shared" si="0"/>
        <v>0</v>
      </c>
      <c r="K180" s="130"/>
      <c r="L180" s="17"/>
      <c r="M180" s="135"/>
      <c r="N180" s="136" t="s">
        <v>45</v>
      </c>
      <c r="P180" s="137">
        <f t="shared" si="1"/>
        <v>0</v>
      </c>
      <c r="Q180" s="137">
        <v>0</v>
      </c>
      <c r="R180" s="137">
        <f t="shared" si="2"/>
        <v>0</v>
      </c>
      <c r="S180" s="137">
        <v>0</v>
      </c>
      <c r="T180" s="138">
        <f t="shared" si="3"/>
        <v>0</v>
      </c>
      <c r="AR180" s="139" t="s">
        <v>496</v>
      </c>
      <c r="AT180" s="139" t="s">
        <v>339</v>
      </c>
      <c r="AU180" s="139" t="s">
        <v>113</v>
      </c>
      <c r="AY180" s="2" t="s">
        <v>337</v>
      </c>
      <c r="BE180" s="140">
        <f t="shared" si="4"/>
        <v>0</v>
      </c>
      <c r="BF180" s="140">
        <f t="shared" si="5"/>
        <v>0</v>
      </c>
      <c r="BG180" s="140">
        <f t="shared" si="6"/>
        <v>0</v>
      </c>
      <c r="BH180" s="140">
        <f t="shared" si="7"/>
        <v>0</v>
      </c>
      <c r="BI180" s="140">
        <f t="shared" si="8"/>
        <v>0</v>
      </c>
      <c r="BJ180" s="2" t="s">
        <v>87</v>
      </c>
      <c r="BK180" s="140">
        <f t="shared" si="9"/>
        <v>0</v>
      </c>
      <c r="BL180" s="2" t="s">
        <v>496</v>
      </c>
      <c r="BM180" s="139" t="s">
        <v>7802</v>
      </c>
    </row>
    <row r="181" spans="2:65" s="16" customFormat="1" ht="37.9" customHeight="1" x14ac:dyDescent="0.2">
      <c r="B181" s="17"/>
      <c r="C181" s="128">
        <v>33</v>
      </c>
      <c r="D181" s="128" t="s">
        <v>339</v>
      </c>
      <c r="E181" s="129" t="s">
        <v>7803</v>
      </c>
      <c r="F181" s="130" t="s">
        <v>7791</v>
      </c>
      <c r="G181" s="131" t="s">
        <v>449</v>
      </c>
      <c r="H181" s="132">
        <v>7</v>
      </c>
      <c r="I181" s="133"/>
      <c r="J181" s="134">
        <f t="shared" si="0"/>
        <v>0</v>
      </c>
      <c r="K181" s="130"/>
      <c r="L181" s="17"/>
      <c r="M181" s="135"/>
      <c r="N181" s="136" t="s">
        <v>45</v>
      </c>
      <c r="P181" s="137">
        <f t="shared" si="1"/>
        <v>0</v>
      </c>
      <c r="Q181" s="137">
        <v>0</v>
      </c>
      <c r="R181" s="137">
        <f t="shared" si="2"/>
        <v>0</v>
      </c>
      <c r="S181" s="137">
        <v>0</v>
      </c>
      <c r="T181" s="138">
        <f t="shared" si="3"/>
        <v>0</v>
      </c>
      <c r="AR181" s="139" t="s">
        <v>496</v>
      </c>
      <c r="AT181" s="139" t="s">
        <v>339</v>
      </c>
      <c r="AU181" s="139" t="s">
        <v>113</v>
      </c>
      <c r="AY181" s="2" t="s">
        <v>337</v>
      </c>
      <c r="BE181" s="140">
        <f t="shared" si="4"/>
        <v>0</v>
      </c>
      <c r="BF181" s="140">
        <f t="shared" si="5"/>
        <v>0</v>
      </c>
      <c r="BG181" s="140">
        <f t="shared" si="6"/>
        <v>0</v>
      </c>
      <c r="BH181" s="140">
        <f t="shared" si="7"/>
        <v>0</v>
      </c>
      <c r="BI181" s="140">
        <f t="shared" si="8"/>
        <v>0</v>
      </c>
      <c r="BJ181" s="2" t="s">
        <v>87</v>
      </c>
      <c r="BK181" s="140">
        <f t="shared" si="9"/>
        <v>0</v>
      </c>
      <c r="BL181" s="2" t="s">
        <v>496</v>
      </c>
      <c r="BM181" s="139" t="s">
        <v>7804</v>
      </c>
    </row>
    <row r="182" spans="2:65" s="16" customFormat="1" ht="37.9" customHeight="1" x14ac:dyDescent="0.2">
      <c r="B182" s="17"/>
      <c r="C182" s="128">
        <v>34</v>
      </c>
      <c r="D182" s="128" t="s">
        <v>339</v>
      </c>
      <c r="E182" s="129" t="s">
        <v>7805</v>
      </c>
      <c r="F182" s="130" t="s">
        <v>7788</v>
      </c>
      <c r="G182" s="131" t="s">
        <v>449</v>
      </c>
      <c r="H182" s="132">
        <v>7</v>
      </c>
      <c r="I182" s="133"/>
      <c r="J182" s="134">
        <f t="shared" si="0"/>
        <v>0</v>
      </c>
      <c r="K182" s="130"/>
      <c r="L182" s="17"/>
      <c r="M182" s="135"/>
      <c r="N182" s="136" t="s">
        <v>45</v>
      </c>
      <c r="P182" s="137">
        <f t="shared" si="1"/>
        <v>0</v>
      </c>
      <c r="Q182" s="137">
        <v>0</v>
      </c>
      <c r="R182" s="137">
        <f t="shared" si="2"/>
        <v>0</v>
      </c>
      <c r="S182" s="137">
        <v>0</v>
      </c>
      <c r="T182" s="138">
        <f t="shared" si="3"/>
        <v>0</v>
      </c>
      <c r="AR182" s="139" t="s">
        <v>496</v>
      </c>
      <c r="AT182" s="139" t="s">
        <v>339</v>
      </c>
      <c r="AU182" s="139" t="s">
        <v>113</v>
      </c>
      <c r="AY182" s="2" t="s">
        <v>337</v>
      </c>
      <c r="BE182" s="140">
        <f t="shared" si="4"/>
        <v>0</v>
      </c>
      <c r="BF182" s="140">
        <f t="shared" si="5"/>
        <v>0</v>
      </c>
      <c r="BG182" s="140">
        <f t="shared" si="6"/>
        <v>0</v>
      </c>
      <c r="BH182" s="140">
        <f t="shared" si="7"/>
        <v>0</v>
      </c>
      <c r="BI182" s="140">
        <f t="shared" si="8"/>
        <v>0</v>
      </c>
      <c r="BJ182" s="2" t="s">
        <v>87</v>
      </c>
      <c r="BK182" s="140">
        <f t="shared" si="9"/>
        <v>0</v>
      </c>
      <c r="BL182" s="2" t="s">
        <v>496</v>
      </c>
      <c r="BM182" s="139" t="s">
        <v>7806</v>
      </c>
    </row>
    <row r="183" spans="2:65" s="16" customFormat="1" ht="37.9" customHeight="1" x14ac:dyDescent="0.2">
      <c r="B183" s="17"/>
      <c r="C183" s="128">
        <v>35</v>
      </c>
      <c r="D183" s="128" t="s">
        <v>339</v>
      </c>
      <c r="E183" s="129" t="s">
        <v>7807</v>
      </c>
      <c r="F183" s="130" t="s">
        <v>7791</v>
      </c>
      <c r="G183" s="131" t="s">
        <v>449</v>
      </c>
      <c r="H183" s="132">
        <v>8</v>
      </c>
      <c r="I183" s="133"/>
      <c r="J183" s="134">
        <f t="shared" si="0"/>
        <v>0</v>
      </c>
      <c r="K183" s="130"/>
      <c r="L183" s="17"/>
      <c r="M183" s="135"/>
      <c r="N183" s="136" t="s">
        <v>45</v>
      </c>
      <c r="P183" s="137">
        <f t="shared" si="1"/>
        <v>0</v>
      </c>
      <c r="Q183" s="137">
        <v>0</v>
      </c>
      <c r="R183" s="137">
        <f t="shared" si="2"/>
        <v>0</v>
      </c>
      <c r="S183" s="137">
        <v>0</v>
      </c>
      <c r="T183" s="138">
        <f t="shared" si="3"/>
        <v>0</v>
      </c>
      <c r="AR183" s="139" t="s">
        <v>496</v>
      </c>
      <c r="AT183" s="139" t="s">
        <v>339</v>
      </c>
      <c r="AU183" s="139" t="s">
        <v>113</v>
      </c>
      <c r="AY183" s="2" t="s">
        <v>337</v>
      </c>
      <c r="BE183" s="140">
        <f t="shared" si="4"/>
        <v>0</v>
      </c>
      <c r="BF183" s="140">
        <f t="shared" si="5"/>
        <v>0</v>
      </c>
      <c r="BG183" s="140">
        <f t="shared" si="6"/>
        <v>0</v>
      </c>
      <c r="BH183" s="140">
        <f t="shared" si="7"/>
        <v>0</v>
      </c>
      <c r="BI183" s="140">
        <f t="shared" si="8"/>
        <v>0</v>
      </c>
      <c r="BJ183" s="2" t="s">
        <v>87</v>
      </c>
      <c r="BK183" s="140">
        <f t="shared" si="9"/>
        <v>0</v>
      </c>
      <c r="BL183" s="2" t="s">
        <v>496</v>
      </c>
      <c r="BM183" s="139" t="s">
        <v>7808</v>
      </c>
    </row>
    <row r="184" spans="2:65" s="16" customFormat="1" ht="37.9" customHeight="1" x14ac:dyDescent="0.2">
      <c r="B184" s="17"/>
      <c r="C184" s="128">
        <v>36</v>
      </c>
      <c r="D184" s="128" t="s">
        <v>339</v>
      </c>
      <c r="E184" s="129" t="s">
        <v>7809</v>
      </c>
      <c r="F184" s="130" t="s">
        <v>7791</v>
      </c>
      <c r="G184" s="131" t="s">
        <v>449</v>
      </c>
      <c r="H184" s="132">
        <v>1</v>
      </c>
      <c r="I184" s="133"/>
      <c r="J184" s="134">
        <f t="shared" si="0"/>
        <v>0</v>
      </c>
      <c r="K184" s="130"/>
      <c r="L184" s="17"/>
      <c r="M184" s="135"/>
      <c r="N184" s="136" t="s">
        <v>45</v>
      </c>
      <c r="P184" s="137">
        <f t="shared" si="1"/>
        <v>0</v>
      </c>
      <c r="Q184" s="137">
        <v>0</v>
      </c>
      <c r="R184" s="137">
        <f t="shared" si="2"/>
        <v>0</v>
      </c>
      <c r="S184" s="137">
        <v>0</v>
      </c>
      <c r="T184" s="138">
        <f t="shared" si="3"/>
        <v>0</v>
      </c>
      <c r="AR184" s="139" t="s">
        <v>496</v>
      </c>
      <c r="AT184" s="139" t="s">
        <v>339</v>
      </c>
      <c r="AU184" s="139" t="s">
        <v>113</v>
      </c>
      <c r="AY184" s="2" t="s">
        <v>337</v>
      </c>
      <c r="BE184" s="140">
        <f t="shared" si="4"/>
        <v>0</v>
      </c>
      <c r="BF184" s="140">
        <f t="shared" si="5"/>
        <v>0</v>
      </c>
      <c r="BG184" s="140">
        <f t="shared" si="6"/>
        <v>0</v>
      </c>
      <c r="BH184" s="140">
        <f t="shared" si="7"/>
        <v>0</v>
      </c>
      <c r="BI184" s="140">
        <f t="shared" si="8"/>
        <v>0</v>
      </c>
      <c r="BJ184" s="2" t="s">
        <v>87</v>
      </c>
      <c r="BK184" s="140">
        <f t="shared" si="9"/>
        <v>0</v>
      </c>
      <c r="BL184" s="2" t="s">
        <v>496</v>
      </c>
      <c r="BM184" s="139" t="s">
        <v>7810</v>
      </c>
    </row>
    <row r="185" spans="2:65" s="16" customFormat="1" ht="16.5" customHeight="1" x14ac:dyDescent="0.2">
      <c r="B185" s="17"/>
      <c r="C185" s="128">
        <v>37</v>
      </c>
      <c r="D185" s="128" t="s">
        <v>339</v>
      </c>
      <c r="E185" s="129" t="s">
        <v>7811</v>
      </c>
      <c r="F185" s="130" t="s">
        <v>7812</v>
      </c>
      <c r="G185" s="131" t="s">
        <v>449</v>
      </c>
      <c r="H185" s="132">
        <v>1</v>
      </c>
      <c r="I185" s="133"/>
      <c r="J185" s="134">
        <f t="shared" si="0"/>
        <v>0</v>
      </c>
      <c r="K185" s="130"/>
      <c r="L185" s="17"/>
      <c r="M185" s="135"/>
      <c r="N185" s="136" t="s">
        <v>45</v>
      </c>
      <c r="P185" s="137">
        <f t="shared" si="1"/>
        <v>0</v>
      </c>
      <c r="Q185" s="137">
        <v>0</v>
      </c>
      <c r="R185" s="137">
        <f t="shared" si="2"/>
        <v>0</v>
      </c>
      <c r="S185" s="137">
        <v>0</v>
      </c>
      <c r="T185" s="138">
        <f t="shared" si="3"/>
        <v>0</v>
      </c>
      <c r="AR185" s="139" t="s">
        <v>496</v>
      </c>
      <c r="AT185" s="139" t="s">
        <v>339</v>
      </c>
      <c r="AU185" s="139" t="s">
        <v>113</v>
      </c>
      <c r="AY185" s="2" t="s">
        <v>337</v>
      </c>
      <c r="BE185" s="140">
        <f t="shared" si="4"/>
        <v>0</v>
      </c>
      <c r="BF185" s="140">
        <f t="shared" si="5"/>
        <v>0</v>
      </c>
      <c r="BG185" s="140">
        <f t="shared" si="6"/>
        <v>0</v>
      </c>
      <c r="BH185" s="140">
        <f t="shared" si="7"/>
        <v>0</v>
      </c>
      <c r="BI185" s="140">
        <f t="shared" si="8"/>
        <v>0</v>
      </c>
      <c r="BJ185" s="2" t="s">
        <v>87</v>
      </c>
      <c r="BK185" s="140">
        <f t="shared" si="9"/>
        <v>0</v>
      </c>
      <c r="BL185" s="2" t="s">
        <v>496</v>
      </c>
      <c r="BM185" s="139" t="s">
        <v>7813</v>
      </c>
    </row>
    <row r="186" spans="2:65" s="16" customFormat="1" ht="21.75" customHeight="1" x14ac:dyDescent="0.2">
      <c r="B186" s="17"/>
      <c r="C186" s="128">
        <v>38</v>
      </c>
      <c r="D186" s="128" t="s">
        <v>339</v>
      </c>
      <c r="E186" s="129" t="s">
        <v>7814</v>
      </c>
      <c r="F186" s="130" t="s">
        <v>7815</v>
      </c>
      <c r="G186" s="131" t="s">
        <v>449</v>
      </c>
      <c r="H186" s="132">
        <v>1</v>
      </c>
      <c r="I186" s="133"/>
      <c r="J186" s="134">
        <f t="shared" si="0"/>
        <v>0</v>
      </c>
      <c r="K186" s="130"/>
      <c r="L186" s="17"/>
      <c r="M186" s="135"/>
      <c r="N186" s="136" t="s">
        <v>45</v>
      </c>
      <c r="P186" s="137">
        <f t="shared" si="1"/>
        <v>0</v>
      </c>
      <c r="Q186" s="137">
        <v>0</v>
      </c>
      <c r="R186" s="137">
        <f t="shared" si="2"/>
        <v>0</v>
      </c>
      <c r="S186" s="137">
        <v>0</v>
      </c>
      <c r="T186" s="138">
        <f t="shared" si="3"/>
        <v>0</v>
      </c>
      <c r="AR186" s="139" t="s">
        <v>496</v>
      </c>
      <c r="AT186" s="139" t="s">
        <v>339</v>
      </c>
      <c r="AU186" s="139" t="s">
        <v>113</v>
      </c>
      <c r="AY186" s="2" t="s">
        <v>337</v>
      </c>
      <c r="BE186" s="140">
        <f t="shared" si="4"/>
        <v>0</v>
      </c>
      <c r="BF186" s="140">
        <f t="shared" si="5"/>
        <v>0</v>
      </c>
      <c r="BG186" s="140">
        <f t="shared" si="6"/>
        <v>0</v>
      </c>
      <c r="BH186" s="140">
        <f t="shared" si="7"/>
        <v>0</v>
      </c>
      <c r="BI186" s="140">
        <f t="shared" si="8"/>
        <v>0</v>
      </c>
      <c r="BJ186" s="2" t="s">
        <v>87</v>
      </c>
      <c r="BK186" s="140">
        <f t="shared" si="9"/>
        <v>0</v>
      </c>
      <c r="BL186" s="2" t="s">
        <v>496</v>
      </c>
      <c r="BM186" s="139" t="s">
        <v>7816</v>
      </c>
    </row>
    <row r="187" spans="2:65" s="16" customFormat="1" ht="37.9" customHeight="1" x14ac:dyDescent="0.2">
      <c r="B187" s="17"/>
      <c r="C187" s="128">
        <v>39</v>
      </c>
      <c r="D187" s="128" t="s">
        <v>339</v>
      </c>
      <c r="E187" s="129" t="s">
        <v>7817</v>
      </c>
      <c r="F187" s="130" t="s">
        <v>7791</v>
      </c>
      <c r="G187" s="131" t="s">
        <v>449</v>
      </c>
      <c r="H187" s="132">
        <v>1</v>
      </c>
      <c r="I187" s="133"/>
      <c r="J187" s="134">
        <f t="shared" si="0"/>
        <v>0</v>
      </c>
      <c r="K187" s="130"/>
      <c r="L187" s="17"/>
      <c r="M187" s="135"/>
      <c r="N187" s="136" t="s">
        <v>45</v>
      </c>
      <c r="P187" s="137">
        <f t="shared" si="1"/>
        <v>0</v>
      </c>
      <c r="Q187" s="137">
        <v>0</v>
      </c>
      <c r="R187" s="137">
        <f t="shared" si="2"/>
        <v>0</v>
      </c>
      <c r="S187" s="137">
        <v>0</v>
      </c>
      <c r="T187" s="138">
        <f t="shared" si="3"/>
        <v>0</v>
      </c>
      <c r="AR187" s="139" t="s">
        <v>496</v>
      </c>
      <c r="AT187" s="139" t="s">
        <v>339</v>
      </c>
      <c r="AU187" s="139" t="s">
        <v>113</v>
      </c>
      <c r="AY187" s="2" t="s">
        <v>337</v>
      </c>
      <c r="BE187" s="140">
        <f t="shared" si="4"/>
        <v>0</v>
      </c>
      <c r="BF187" s="140">
        <f t="shared" si="5"/>
        <v>0</v>
      </c>
      <c r="BG187" s="140">
        <f t="shared" si="6"/>
        <v>0</v>
      </c>
      <c r="BH187" s="140">
        <f t="shared" si="7"/>
        <v>0</v>
      </c>
      <c r="BI187" s="140">
        <f t="shared" si="8"/>
        <v>0</v>
      </c>
      <c r="BJ187" s="2" t="s">
        <v>87</v>
      </c>
      <c r="BK187" s="140">
        <f t="shared" si="9"/>
        <v>0</v>
      </c>
      <c r="BL187" s="2" t="s">
        <v>496</v>
      </c>
      <c r="BM187" s="139" t="s">
        <v>7818</v>
      </c>
    </row>
    <row r="188" spans="2:65" s="16" customFormat="1" ht="21.75" customHeight="1" x14ac:dyDescent="0.2">
      <c r="B188" s="17"/>
      <c r="C188" s="128">
        <v>40</v>
      </c>
      <c r="D188" s="128" t="s">
        <v>339</v>
      </c>
      <c r="E188" s="129" t="s">
        <v>7819</v>
      </c>
      <c r="F188" s="130" t="s">
        <v>7815</v>
      </c>
      <c r="G188" s="131" t="s">
        <v>449</v>
      </c>
      <c r="H188" s="132">
        <v>1</v>
      </c>
      <c r="I188" s="133"/>
      <c r="J188" s="134">
        <f t="shared" si="0"/>
        <v>0</v>
      </c>
      <c r="K188" s="130"/>
      <c r="L188" s="17"/>
      <c r="M188" s="135"/>
      <c r="N188" s="136" t="s">
        <v>45</v>
      </c>
      <c r="P188" s="137">
        <f t="shared" si="1"/>
        <v>0</v>
      </c>
      <c r="Q188" s="137">
        <v>0</v>
      </c>
      <c r="R188" s="137">
        <f t="shared" si="2"/>
        <v>0</v>
      </c>
      <c r="S188" s="137">
        <v>0</v>
      </c>
      <c r="T188" s="138">
        <f t="shared" si="3"/>
        <v>0</v>
      </c>
      <c r="AR188" s="139" t="s">
        <v>496</v>
      </c>
      <c r="AT188" s="139" t="s">
        <v>339</v>
      </c>
      <c r="AU188" s="139" t="s">
        <v>113</v>
      </c>
      <c r="AY188" s="2" t="s">
        <v>337</v>
      </c>
      <c r="BE188" s="140">
        <f t="shared" si="4"/>
        <v>0</v>
      </c>
      <c r="BF188" s="140">
        <f t="shared" si="5"/>
        <v>0</v>
      </c>
      <c r="BG188" s="140">
        <f t="shared" si="6"/>
        <v>0</v>
      </c>
      <c r="BH188" s="140">
        <f t="shared" si="7"/>
        <v>0</v>
      </c>
      <c r="BI188" s="140">
        <f t="shared" si="8"/>
        <v>0</v>
      </c>
      <c r="BJ188" s="2" t="s">
        <v>87</v>
      </c>
      <c r="BK188" s="140">
        <f t="shared" si="9"/>
        <v>0</v>
      </c>
      <c r="BL188" s="2" t="s">
        <v>496</v>
      </c>
      <c r="BM188" s="139" t="s">
        <v>7820</v>
      </c>
    </row>
    <row r="189" spans="2:65" s="16" customFormat="1" ht="37.9" customHeight="1" x14ac:dyDescent="0.2">
      <c r="B189" s="17"/>
      <c r="C189" s="128">
        <v>41</v>
      </c>
      <c r="D189" s="128" t="s">
        <v>339</v>
      </c>
      <c r="E189" s="129" t="s">
        <v>7821</v>
      </c>
      <c r="F189" s="130" t="s">
        <v>7791</v>
      </c>
      <c r="G189" s="131" t="s">
        <v>449</v>
      </c>
      <c r="H189" s="132">
        <v>1</v>
      </c>
      <c r="I189" s="133"/>
      <c r="J189" s="134">
        <f t="shared" si="0"/>
        <v>0</v>
      </c>
      <c r="K189" s="130"/>
      <c r="L189" s="17"/>
      <c r="M189" s="135"/>
      <c r="N189" s="136" t="s">
        <v>45</v>
      </c>
      <c r="P189" s="137">
        <f t="shared" si="1"/>
        <v>0</v>
      </c>
      <c r="Q189" s="137">
        <v>0</v>
      </c>
      <c r="R189" s="137">
        <f t="shared" si="2"/>
        <v>0</v>
      </c>
      <c r="S189" s="137">
        <v>0</v>
      </c>
      <c r="T189" s="138">
        <f t="shared" si="3"/>
        <v>0</v>
      </c>
      <c r="AR189" s="139" t="s">
        <v>496</v>
      </c>
      <c r="AT189" s="139" t="s">
        <v>339</v>
      </c>
      <c r="AU189" s="139" t="s">
        <v>113</v>
      </c>
      <c r="AY189" s="2" t="s">
        <v>337</v>
      </c>
      <c r="BE189" s="140">
        <f t="shared" si="4"/>
        <v>0</v>
      </c>
      <c r="BF189" s="140">
        <f t="shared" si="5"/>
        <v>0</v>
      </c>
      <c r="BG189" s="140">
        <f t="shared" si="6"/>
        <v>0</v>
      </c>
      <c r="BH189" s="140">
        <f t="shared" si="7"/>
        <v>0</v>
      </c>
      <c r="BI189" s="140">
        <f t="shared" si="8"/>
        <v>0</v>
      </c>
      <c r="BJ189" s="2" t="s">
        <v>87</v>
      </c>
      <c r="BK189" s="140">
        <f t="shared" si="9"/>
        <v>0</v>
      </c>
      <c r="BL189" s="2" t="s">
        <v>496</v>
      </c>
      <c r="BM189" s="139" t="s">
        <v>7822</v>
      </c>
    </row>
    <row r="190" spans="2:65" s="16" customFormat="1" ht="16.5" customHeight="1" x14ac:dyDescent="0.2">
      <c r="B190" s="17"/>
      <c r="C190" s="128">
        <v>42</v>
      </c>
      <c r="D190" s="128" t="s">
        <v>339</v>
      </c>
      <c r="E190" s="129" t="s">
        <v>7823</v>
      </c>
      <c r="F190" s="130" t="s">
        <v>7812</v>
      </c>
      <c r="G190" s="131" t="s">
        <v>449</v>
      </c>
      <c r="H190" s="132">
        <v>1</v>
      </c>
      <c r="I190" s="133"/>
      <c r="J190" s="134">
        <f t="shared" si="0"/>
        <v>0</v>
      </c>
      <c r="K190" s="130"/>
      <c r="L190" s="17"/>
      <c r="M190" s="135"/>
      <c r="N190" s="136" t="s">
        <v>45</v>
      </c>
      <c r="P190" s="137">
        <f t="shared" si="1"/>
        <v>0</v>
      </c>
      <c r="Q190" s="137">
        <v>0</v>
      </c>
      <c r="R190" s="137">
        <f t="shared" si="2"/>
        <v>0</v>
      </c>
      <c r="S190" s="137">
        <v>0</v>
      </c>
      <c r="T190" s="138">
        <f t="shared" si="3"/>
        <v>0</v>
      </c>
      <c r="AR190" s="139" t="s">
        <v>496</v>
      </c>
      <c r="AT190" s="139" t="s">
        <v>339</v>
      </c>
      <c r="AU190" s="139" t="s">
        <v>113</v>
      </c>
      <c r="AY190" s="2" t="s">
        <v>337</v>
      </c>
      <c r="BE190" s="140">
        <f t="shared" si="4"/>
        <v>0</v>
      </c>
      <c r="BF190" s="140">
        <f t="shared" si="5"/>
        <v>0</v>
      </c>
      <c r="BG190" s="140">
        <f t="shared" si="6"/>
        <v>0</v>
      </c>
      <c r="BH190" s="140">
        <f t="shared" si="7"/>
        <v>0</v>
      </c>
      <c r="BI190" s="140">
        <f t="shared" si="8"/>
        <v>0</v>
      </c>
      <c r="BJ190" s="2" t="s">
        <v>87</v>
      </c>
      <c r="BK190" s="140">
        <f t="shared" si="9"/>
        <v>0</v>
      </c>
      <c r="BL190" s="2" t="s">
        <v>496</v>
      </c>
      <c r="BM190" s="139" t="s">
        <v>7824</v>
      </c>
    </row>
    <row r="191" spans="2:65" s="16" customFormat="1" ht="21.75" customHeight="1" x14ac:dyDescent="0.2">
      <c r="B191" s="17"/>
      <c r="C191" s="128">
        <v>43</v>
      </c>
      <c r="D191" s="128" t="s">
        <v>339</v>
      </c>
      <c r="E191" s="129" t="s">
        <v>7825</v>
      </c>
      <c r="F191" s="130" t="s">
        <v>7815</v>
      </c>
      <c r="G191" s="131" t="s">
        <v>449</v>
      </c>
      <c r="H191" s="132">
        <v>1</v>
      </c>
      <c r="I191" s="133"/>
      <c r="J191" s="134">
        <f t="shared" si="0"/>
        <v>0</v>
      </c>
      <c r="K191" s="130"/>
      <c r="L191" s="17"/>
      <c r="M191" s="135"/>
      <c r="N191" s="136" t="s">
        <v>45</v>
      </c>
      <c r="P191" s="137">
        <f t="shared" si="1"/>
        <v>0</v>
      </c>
      <c r="Q191" s="137">
        <v>0</v>
      </c>
      <c r="R191" s="137">
        <f t="shared" si="2"/>
        <v>0</v>
      </c>
      <c r="S191" s="137">
        <v>0</v>
      </c>
      <c r="T191" s="138">
        <f t="shared" si="3"/>
        <v>0</v>
      </c>
      <c r="AR191" s="139" t="s">
        <v>496</v>
      </c>
      <c r="AT191" s="139" t="s">
        <v>339</v>
      </c>
      <c r="AU191" s="139" t="s">
        <v>113</v>
      </c>
      <c r="AY191" s="2" t="s">
        <v>337</v>
      </c>
      <c r="BE191" s="140">
        <f t="shared" si="4"/>
        <v>0</v>
      </c>
      <c r="BF191" s="140">
        <f t="shared" si="5"/>
        <v>0</v>
      </c>
      <c r="BG191" s="140">
        <f t="shared" si="6"/>
        <v>0</v>
      </c>
      <c r="BH191" s="140">
        <f t="shared" si="7"/>
        <v>0</v>
      </c>
      <c r="BI191" s="140">
        <f t="shared" si="8"/>
        <v>0</v>
      </c>
      <c r="BJ191" s="2" t="s">
        <v>87</v>
      </c>
      <c r="BK191" s="140">
        <f t="shared" si="9"/>
        <v>0</v>
      </c>
      <c r="BL191" s="2" t="s">
        <v>496</v>
      </c>
      <c r="BM191" s="139" t="s">
        <v>7826</v>
      </c>
    </row>
    <row r="192" spans="2:65" s="16" customFormat="1" ht="37.9" customHeight="1" x14ac:dyDescent="0.2">
      <c r="B192" s="17"/>
      <c r="C192" s="128">
        <v>44</v>
      </c>
      <c r="D192" s="128" t="s">
        <v>339</v>
      </c>
      <c r="E192" s="129" t="s">
        <v>7827</v>
      </c>
      <c r="F192" s="130" t="s">
        <v>7791</v>
      </c>
      <c r="G192" s="131" t="s">
        <v>449</v>
      </c>
      <c r="H192" s="132">
        <v>1</v>
      </c>
      <c r="I192" s="133"/>
      <c r="J192" s="134">
        <f t="shared" si="0"/>
        <v>0</v>
      </c>
      <c r="K192" s="130"/>
      <c r="L192" s="17"/>
      <c r="M192" s="135"/>
      <c r="N192" s="136" t="s">
        <v>45</v>
      </c>
      <c r="P192" s="137">
        <f t="shared" si="1"/>
        <v>0</v>
      </c>
      <c r="Q192" s="137">
        <v>0</v>
      </c>
      <c r="R192" s="137">
        <f t="shared" si="2"/>
        <v>0</v>
      </c>
      <c r="S192" s="137">
        <v>0</v>
      </c>
      <c r="T192" s="138">
        <f t="shared" si="3"/>
        <v>0</v>
      </c>
      <c r="AR192" s="139" t="s">
        <v>496</v>
      </c>
      <c r="AT192" s="139" t="s">
        <v>339</v>
      </c>
      <c r="AU192" s="139" t="s">
        <v>113</v>
      </c>
      <c r="AY192" s="2" t="s">
        <v>337</v>
      </c>
      <c r="BE192" s="140">
        <f t="shared" si="4"/>
        <v>0</v>
      </c>
      <c r="BF192" s="140">
        <f t="shared" si="5"/>
        <v>0</v>
      </c>
      <c r="BG192" s="140">
        <f t="shared" si="6"/>
        <v>0</v>
      </c>
      <c r="BH192" s="140">
        <f t="shared" si="7"/>
        <v>0</v>
      </c>
      <c r="BI192" s="140">
        <f t="shared" si="8"/>
        <v>0</v>
      </c>
      <c r="BJ192" s="2" t="s">
        <v>87</v>
      </c>
      <c r="BK192" s="140">
        <f t="shared" si="9"/>
        <v>0</v>
      </c>
      <c r="BL192" s="2" t="s">
        <v>496</v>
      </c>
      <c r="BM192" s="139" t="s">
        <v>7828</v>
      </c>
    </row>
    <row r="193" spans="2:65" s="16" customFormat="1" ht="21.75" customHeight="1" x14ac:dyDescent="0.2">
      <c r="B193" s="17"/>
      <c r="C193" s="128">
        <v>45</v>
      </c>
      <c r="D193" s="128" t="s">
        <v>339</v>
      </c>
      <c r="E193" s="129" t="s">
        <v>7829</v>
      </c>
      <c r="F193" s="130" t="s">
        <v>7815</v>
      </c>
      <c r="G193" s="131" t="s">
        <v>449</v>
      </c>
      <c r="H193" s="132">
        <v>1</v>
      </c>
      <c r="I193" s="133"/>
      <c r="J193" s="134">
        <f t="shared" si="0"/>
        <v>0</v>
      </c>
      <c r="K193" s="130"/>
      <c r="L193" s="17"/>
      <c r="M193" s="135"/>
      <c r="N193" s="136" t="s">
        <v>45</v>
      </c>
      <c r="P193" s="137">
        <f t="shared" si="1"/>
        <v>0</v>
      </c>
      <c r="Q193" s="137">
        <v>0</v>
      </c>
      <c r="R193" s="137">
        <f t="shared" si="2"/>
        <v>0</v>
      </c>
      <c r="S193" s="137">
        <v>0</v>
      </c>
      <c r="T193" s="138">
        <f t="shared" si="3"/>
        <v>0</v>
      </c>
      <c r="AR193" s="139" t="s">
        <v>496</v>
      </c>
      <c r="AT193" s="139" t="s">
        <v>339</v>
      </c>
      <c r="AU193" s="139" t="s">
        <v>113</v>
      </c>
      <c r="AY193" s="2" t="s">
        <v>337</v>
      </c>
      <c r="BE193" s="140">
        <f t="shared" si="4"/>
        <v>0</v>
      </c>
      <c r="BF193" s="140">
        <f t="shared" si="5"/>
        <v>0</v>
      </c>
      <c r="BG193" s="140">
        <f t="shared" si="6"/>
        <v>0</v>
      </c>
      <c r="BH193" s="140">
        <f t="shared" si="7"/>
        <v>0</v>
      </c>
      <c r="BI193" s="140">
        <f t="shared" si="8"/>
        <v>0</v>
      </c>
      <c r="BJ193" s="2" t="s">
        <v>87</v>
      </c>
      <c r="BK193" s="140">
        <f t="shared" si="9"/>
        <v>0</v>
      </c>
      <c r="BL193" s="2" t="s">
        <v>496</v>
      </c>
      <c r="BM193" s="139" t="s">
        <v>7830</v>
      </c>
    </row>
    <row r="194" spans="2:65" s="16" customFormat="1" ht="24.2" customHeight="1" x14ac:dyDescent="0.2">
      <c r="B194" s="17"/>
      <c r="C194" s="128">
        <v>46</v>
      </c>
      <c r="D194" s="128" t="s">
        <v>339</v>
      </c>
      <c r="E194" s="129" t="s">
        <v>7831</v>
      </c>
      <c r="F194" s="130" t="s">
        <v>7832</v>
      </c>
      <c r="G194" s="131" t="s">
        <v>449</v>
      </c>
      <c r="H194" s="132">
        <v>1</v>
      </c>
      <c r="I194" s="133"/>
      <c r="J194" s="134">
        <f t="shared" si="0"/>
        <v>0</v>
      </c>
      <c r="K194" s="130"/>
      <c r="L194" s="17"/>
      <c r="M194" s="135"/>
      <c r="N194" s="136" t="s">
        <v>45</v>
      </c>
      <c r="P194" s="137">
        <f t="shared" si="1"/>
        <v>0</v>
      </c>
      <c r="Q194" s="137">
        <v>0</v>
      </c>
      <c r="R194" s="137">
        <f t="shared" si="2"/>
        <v>0</v>
      </c>
      <c r="S194" s="137">
        <v>0</v>
      </c>
      <c r="T194" s="138">
        <f t="shared" si="3"/>
        <v>0</v>
      </c>
      <c r="AR194" s="139" t="s">
        <v>496</v>
      </c>
      <c r="AT194" s="139" t="s">
        <v>339</v>
      </c>
      <c r="AU194" s="139" t="s">
        <v>113</v>
      </c>
      <c r="AY194" s="2" t="s">
        <v>337</v>
      </c>
      <c r="BE194" s="140">
        <f t="shared" si="4"/>
        <v>0</v>
      </c>
      <c r="BF194" s="140">
        <f t="shared" si="5"/>
        <v>0</v>
      </c>
      <c r="BG194" s="140">
        <f t="shared" si="6"/>
        <v>0</v>
      </c>
      <c r="BH194" s="140">
        <f t="shared" si="7"/>
        <v>0</v>
      </c>
      <c r="BI194" s="140">
        <f t="shared" si="8"/>
        <v>0</v>
      </c>
      <c r="BJ194" s="2" t="s">
        <v>87</v>
      </c>
      <c r="BK194" s="140">
        <f t="shared" si="9"/>
        <v>0</v>
      </c>
      <c r="BL194" s="2" t="s">
        <v>496</v>
      </c>
      <c r="BM194" s="139" t="s">
        <v>7833</v>
      </c>
    </row>
    <row r="195" spans="2:65" s="16" customFormat="1" ht="24.2" customHeight="1" x14ac:dyDescent="0.2">
      <c r="B195" s="17"/>
      <c r="C195" s="128">
        <v>47</v>
      </c>
      <c r="D195" s="128" t="s">
        <v>339</v>
      </c>
      <c r="E195" s="129" t="s">
        <v>7834</v>
      </c>
      <c r="F195" s="130" t="s">
        <v>7832</v>
      </c>
      <c r="G195" s="131" t="s">
        <v>449</v>
      </c>
      <c r="H195" s="132">
        <v>1</v>
      </c>
      <c r="I195" s="133"/>
      <c r="J195" s="134">
        <f t="shared" si="0"/>
        <v>0</v>
      </c>
      <c r="K195" s="130"/>
      <c r="L195" s="17"/>
      <c r="M195" s="135"/>
      <c r="N195" s="136" t="s">
        <v>45</v>
      </c>
      <c r="P195" s="137">
        <f t="shared" si="1"/>
        <v>0</v>
      </c>
      <c r="Q195" s="137">
        <v>0</v>
      </c>
      <c r="R195" s="137">
        <f t="shared" si="2"/>
        <v>0</v>
      </c>
      <c r="S195" s="137">
        <v>0</v>
      </c>
      <c r="T195" s="138">
        <f t="shared" si="3"/>
        <v>0</v>
      </c>
      <c r="AR195" s="139" t="s">
        <v>496</v>
      </c>
      <c r="AT195" s="139" t="s">
        <v>339</v>
      </c>
      <c r="AU195" s="139" t="s">
        <v>113</v>
      </c>
      <c r="AY195" s="2" t="s">
        <v>337</v>
      </c>
      <c r="BE195" s="140">
        <f t="shared" si="4"/>
        <v>0</v>
      </c>
      <c r="BF195" s="140">
        <f t="shared" si="5"/>
        <v>0</v>
      </c>
      <c r="BG195" s="140">
        <f t="shared" si="6"/>
        <v>0</v>
      </c>
      <c r="BH195" s="140">
        <f t="shared" si="7"/>
        <v>0</v>
      </c>
      <c r="BI195" s="140">
        <f t="shared" si="8"/>
        <v>0</v>
      </c>
      <c r="BJ195" s="2" t="s">
        <v>87</v>
      </c>
      <c r="BK195" s="140">
        <f t="shared" si="9"/>
        <v>0</v>
      </c>
      <c r="BL195" s="2" t="s">
        <v>496</v>
      </c>
      <c r="BM195" s="139" t="s">
        <v>7835</v>
      </c>
    </row>
    <row r="196" spans="2:65" s="16" customFormat="1" ht="37.9" customHeight="1" x14ac:dyDescent="0.2">
      <c r="B196" s="17"/>
      <c r="C196" s="128">
        <v>48</v>
      </c>
      <c r="D196" s="128" t="s">
        <v>339</v>
      </c>
      <c r="E196" s="129" t="s">
        <v>7836</v>
      </c>
      <c r="F196" s="130" t="s">
        <v>7837</v>
      </c>
      <c r="G196" s="131" t="s">
        <v>449</v>
      </c>
      <c r="H196" s="132">
        <v>1</v>
      </c>
      <c r="I196" s="133"/>
      <c r="J196" s="134">
        <f t="shared" si="0"/>
        <v>0</v>
      </c>
      <c r="K196" s="130"/>
      <c r="L196" s="17"/>
      <c r="M196" s="135"/>
      <c r="N196" s="136" t="s">
        <v>45</v>
      </c>
      <c r="P196" s="137">
        <f t="shared" si="1"/>
        <v>0</v>
      </c>
      <c r="Q196" s="137">
        <v>0</v>
      </c>
      <c r="R196" s="137">
        <f t="shared" si="2"/>
        <v>0</v>
      </c>
      <c r="S196" s="137">
        <v>0</v>
      </c>
      <c r="T196" s="138">
        <f t="shared" si="3"/>
        <v>0</v>
      </c>
      <c r="AR196" s="139" t="s">
        <v>496</v>
      </c>
      <c r="AT196" s="139" t="s">
        <v>339</v>
      </c>
      <c r="AU196" s="139" t="s">
        <v>113</v>
      </c>
      <c r="AY196" s="2" t="s">
        <v>337</v>
      </c>
      <c r="BE196" s="140">
        <f t="shared" si="4"/>
        <v>0</v>
      </c>
      <c r="BF196" s="140">
        <f t="shared" si="5"/>
        <v>0</v>
      </c>
      <c r="BG196" s="140">
        <f t="shared" si="6"/>
        <v>0</v>
      </c>
      <c r="BH196" s="140">
        <f t="shared" si="7"/>
        <v>0</v>
      </c>
      <c r="BI196" s="140">
        <f t="shared" si="8"/>
        <v>0</v>
      </c>
      <c r="BJ196" s="2" t="s">
        <v>87</v>
      </c>
      <c r="BK196" s="140">
        <f t="shared" si="9"/>
        <v>0</v>
      </c>
      <c r="BL196" s="2" t="s">
        <v>496</v>
      </c>
      <c r="BM196" s="139" t="s">
        <v>7838</v>
      </c>
    </row>
    <row r="197" spans="2:65" s="16" customFormat="1" ht="37.9" customHeight="1" x14ac:dyDescent="0.2">
      <c r="B197" s="17"/>
      <c r="C197" s="128">
        <v>49</v>
      </c>
      <c r="D197" s="128" t="s">
        <v>339</v>
      </c>
      <c r="E197" s="129" t="s">
        <v>7839</v>
      </c>
      <c r="F197" s="130" t="s">
        <v>7840</v>
      </c>
      <c r="G197" s="131" t="s">
        <v>449</v>
      </c>
      <c r="H197" s="132">
        <v>1</v>
      </c>
      <c r="I197" s="133"/>
      <c r="J197" s="134">
        <f t="shared" si="0"/>
        <v>0</v>
      </c>
      <c r="K197" s="130"/>
      <c r="L197" s="17"/>
      <c r="M197" s="135"/>
      <c r="N197" s="136" t="s">
        <v>45</v>
      </c>
      <c r="P197" s="137">
        <f t="shared" si="1"/>
        <v>0</v>
      </c>
      <c r="Q197" s="137">
        <v>0</v>
      </c>
      <c r="R197" s="137">
        <f t="shared" si="2"/>
        <v>0</v>
      </c>
      <c r="S197" s="137">
        <v>0</v>
      </c>
      <c r="T197" s="138">
        <f t="shared" si="3"/>
        <v>0</v>
      </c>
      <c r="AR197" s="139" t="s">
        <v>496</v>
      </c>
      <c r="AT197" s="139" t="s">
        <v>339</v>
      </c>
      <c r="AU197" s="139" t="s">
        <v>113</v>
      </c>
      <c r="AY197" s="2" t="s">
        <v>337</v>
      </c>
      <c r="BE197" s="140">
        <f t="shared" si="4"/>
        <v>0</v>
      </c>
      <c r="BF197" s="140">
        <f t="shared" si="5"/>
        <v>0</v>
      </c>
      <c r="BG197" s="140">
        <f t="shared" si="6"/>
        <v>0</v>
      </c>
      <c r="BH197" s="140">
        <f t="shared" si="7"/>
        <v>0</v>
      </c>
      <c r="BI197" s="140">
        <f t="shared" si="8"/>
        <v>0</v>
      </c>
      <c r="BJ197" s="2" t="s">
        <v>87</v>
      </c>
      <c r="BK197" s="140">
        <f t="shared" si="9"/>
        <v>0</v>
      </c>
      <c r="BL197" s="2" t="s">
        <v>496</v>
      </c>
      <c r="BM197" s="139" t="s">
        <v>7841</v>
      </c>
    </row>
    <row r="198" spans="2:65" s="16" customFormat="1" ht="37.9" customHeight="1" x14ac:dyDescent="0.2">
      <c r="B198" s="17"/>
      <c r="C198" s="128">
        <v>50</v>
      </c>
      <c r="D198" s="128" t="s">
        <v>339</v>
      </c>
      <c r="E198" s="129" t="s">
        <v>7842</v>
      </c>
      <c r="F198" s="130" t="s">
        <v>7843</v>
      </c>
      <c r="G198" s="131" t="s">
        <v>449</v>
      </c>
      <c r="H198" s="132">
        <v>1</v>
      </c>
      <c r="I198" s="133"/>
      <c r="J198" s="134">
        <f t="shared" si="0"/>
        <v>0</v>
      </c>
      <c r="K198" s="130"/>
      <c r="L198" s="17"/>
      <c r="M198" s="135"/>
      <c r="N198" s="136" t="s">
        <v>45</v>
      </c>
      <c r="P198" s="137">
        <f t="shared" si="1"/>
        <v>0</v>
      </c>
      <c r="Q198" s="137">
        <v>0</v>
      </c>
      <c r="R198" s="137">
        <f t="shared" si="2"/>
        <v>0</v>
      </c>
      <c r="S198" s="137">
        <v>0</v>
      </c>
      <c r="T198" s="138">
        <f t="shared" si="3"/>
        <v>0</v>
      </c>
      <c r="AR198" s="139" t="s">
        <v>496</v>
      </c>
      <c r="AT198" s="139" t="s">
        <v>339</v>
      </c>
      <c r="AU198" s="139" t="s">
        <v>113</v>
      </c>
      <c r="AY198" s="2" t="s">
        <v>337</v>
      </c>
      <c r="BE198" s="140">
        <f t="shared" si="4"/>
        <v>0</v>
      </c>
      <c r="BF198" s="140">
        <f t="shared" si="5"/>
        <v>0</v>
      </c>
      <c r="BG198" s="140">
        <f t="shared" si="6"/>
        <v>0</v>
      </c>
      <c r="BH198" s="140">
        <f t="shared" si="7"/>
        <v>0</v>
      </c>
      <c r="BI198" s="140">
        <f t="shared" si="8"/>
        <v>0</v>
      </c>
      <c r="BJ198" s="2" t="s">
        <v>87</v>
      </c>
      <c r="BK198" s="140">
        <f t="shared" si="9"/>
        <v>0</v>
      </c>
      <c r="BL198" s="2" t="s">
        <v>496</v>
      </c>
      <c r="BM198" s="139" t="s">
        <v>7844</v>
      </c>
    </row>
    <row r="199" spans="2:65" s="16" customFormat="1" ht="37.9" customHeight="1" x14ac:dyDescent="0.2">
      <c r="B199" s="17"/>
      <c r="C199" s="128">
        <v>51</v>
      </c>
      <c r="D199" s="128" t="s">
        <v>339</v>
      </c>
      <c r="E199" s="129" t="s">
        <v>7845</v>
      </c>
      <c r="F199" s="130" t="s">
        <v>7846</v>
      </c>
      <c r="G199" s="131" t="s">
        <v>449</v>
      </c>
      <c r="H199" s="132">
        <v>1</v>
      </c>
      <c r="I199" s="133"/>
      <c r="J199" s="134">
        <f t="shared" si="0"/>
        <v>0</v>
      </c>
      <c r="K199" s="130"/>
      <c r="L199" s="17"/>
      <c r="M199" s="135"/>
      <c r="N199" s="136" t="s">
        <v>45</v>
      </c>
      <c r="P199" s="137">
        <f t="shared" si="1"/>
        <v>0</v>
      </c>
      <c r="Q199" s="137">
        <v>0</v>
      </c>
      <c r="R199" s="137">
        <f t="shared" si="2"/>
        <v>0</v>
      </c>
      <c r="S199" s="137">
        <v>0</v>
      </c>
      <c r="T199" s="138">
        <f t="shared" si="3"/>
        <v>0</v>
      </c>
      <c r="AR199" s="139" t="s">
        <v>496</v>
      </c>
      <c r="AT199" s="139" t="s">
        <v>339</v>
      </c>
      <c r="AU199" s="139" t="s">
        <v>113</v>
      </c>
      <c r="AY199" s="2" t="s">
        <v>337</v>
      </c>
      <c r="BE199" s="140">
        <f t="shared" si="4"/>
        <v>0</v>
      </c>
      <c r="BF199" s="140">
        <f t="shared" si="5"/>
        <v>0</v>
      </c>
      <c r="BG199" s="140">
        <f t="shared" si="6"/>
        <v>0</v>
      </c>
      <c r="BH199" s="140">
        <f t="shared" si="7"/>
        <v>0</v>
      </c>
      <c r="BI199" s="140">
        <f t="shared" si="8"/>
        <v>0</v>
      </c>
      <c r="BJ199" s="2" t="s">
        <v>87</v>
      </c>
      <c r="BK199" s="140">
        <f t="shared" si="9"/>
        <v>0</v>
      </c>
      <c r="BL199" s="2" t="s">
        <v>496</v>
      </c>
      <c r="BM199" s="139" t="s">
        <v>7847</v>
      </c>
    </row>
    <row r="200" spans="2:65" s="16" customFormat="1" ht="37.9" customHeight="1" x14ac:dyDescent="0.2">
      <c r="B200" s="17"/>
      <c r="C200" s="128">
        <v>52</v>
      </c>
      <c r="D200" s="128" t="s">
        <v>339</v>
      </c>
      <c r="E200" s="129" t="s">
        <v>7848</v>
      </c>
      <c r="F200" s="130" t="s">
        <v>7846</v>
      </c>
      <c r="G200" s="131" t="s">
        <v>449</v>
      </c>
      <c r="H200" s="132">
        <v>4</v>
      </c>
      <c r="I200" s="133"/>
      <c r="J200" s="134">
        <f t="shared" si="0"/>
        <v>0</v>
      </c>
      <c r="K200" s="130"/>
      <c r="L200" s="17"/>
      <c r="M200" s="135"/>
      <c r="N200" s="136" t="s">
        <v>45</v>
      </c>
      <c r="P200" s="137">
        <f t="shared" si="1"/>
        <v>0</v>
      </c>
      <c r="Q200" s="137">
        <v>0</v>
      </c>
      <c r="R200" s="137">
        <f t="shared" si="2"/>
        <v>0</v>
      </c>
      <c r="S200" s="137">
        <v>0</v>
      </c>
      <c r="T200" s="138">
        <f t="shared" si="3"/>
        <v>0</v>
      </c>
      <c r="AR200" s="139" t="s">
        <v>496</v>
      </c>
      <c r="AT200" s="139" t="s">
        <v>339</v>
      </c>
      <c r="AU200" s="139" t="s">
        <v>113</v>
      </c>
      <c r="AY200" s="2" t="s">
        <v>337</v>
      </c>
      <c r="BE200" s="140">
        <f t="shared" si="4"/>
        <v>0</v>
      </c>
      <c r="BF200" s="140">
        <f t="shared" si="5"/>
        <v>0</v>
      </c>
      <c r="BG200" s="140">
        <f t="shared" si="6"/>
        <v>0</v>
      </c>
      <c r="BH200" s="140">
        <f t="shared" si="7"/>
        <v>0</v>
      </c>
      <c r="BI200" s="140">
        <f t="shared" si="8"/>
        <v>0</v>
      </c>
      <c r="BJ200" s="2" t="s">
        <v>87</v>
      </c>
      <c r="BK200" s="140">
        <f t="shared" si="9"/>
        <v>0</v>
      </c>
      <c r="BL200" s="2" t="s">
        <v>496</v>
      </c>
      <c r="BM200" s="139" t="s">
        <v>7849</v>
      </c>
    </row>
    <row r="201" spans="2:65" s="16" customFormat="1" ht="37.9" customHeight="1" x14ac:dyDescent="0.2">
      <c r="B201" s="17"/>
      <c r="C201" s="128">
        <v>53</v>
      </c>
      <c r="D201" s="128" t="s">
        <v>339</v>
      </c>
      <c r="E201" s="129" t="s">
        <v>7850</v>
      </c>
      <c r="F201" s="130" t="s">
        <v>7846</v>
      </c>
      <c r="G201" s="131" t="s">
        <v>449</v>
      </c>
      <c r="H201" s="132">
        <v>5</v>
      </c>
      <c r="I201" s="133"/>
      <c r="J201" s="134">
        <f t="shared" si="0"/>
        <v>0</v>
      </c>
      <c r="K201" s="130"/>
      <c r="L201" s="17"/>
      <c r="M201" s="135"/>
      <c r="N201" s="136" t="s">
        <v>45</v>
      </c>
      <c r="P201" s="137">
        <f t="shared" si="1"/>
        <v>0</v>
      </c>
      <c r="Q201" s="137">
        <v>0</v>
      </c>
      <c r="R201" s="137">
        <f t="shared" si="2"/>
        <v>0</v>
      </c>
      <c r="S201" s="137">
        <v>0</v>
      </c>
      <c r="T201" s="138">
        <f t="shared" si="3"/>
        <v>0</v>
      </c>
      <c r="AR201" s="139" t="s">
        <v>496</v>
      </c>
      <c r="AT201" s="139" t="s">
        <v>339</v>
      </c>
      <c r="AU201" s="139" t="s">
        <v>113</v>
      </c>
      <c r="AY201" s="2" t="s">
        <v>337</v>
      </c>
      <c r="BE201" s="140">
        <f t="shared" si="4"/>
        <v>0</v>
      </c>
      <c r="BF201" s="140">
        <f t="shared" si="5"/>
        <v>0</v>
      </c>
      <c r="BG201" s="140">
        <f t="shared" si="6"/>
        <v>0</v>
      </c>
      <c r="BH201" s="140">
        <f t="shared" si="7"/>
        <v>0</v>
      </c>
      <c r="BI201" s="140">
        <f t="shared" si="8"/>
        <v>0</v>
      </c>
      <c r="BJ201" s="2" t="s">
        <v>87</v>
      </c>
      <c r="BK201" s="140">
        <f t="shared" si="9"/>
        <v>0</v>
      </c>
      <c r="BL201" s="2" t="s">
        <v>496</v>
      </c>
      <c r="BM201" s="139" t="s">
        <v>7851</v>
      </c>
    </row>
    <row r="202" spans="2:65" s="116" customFormat="1" ht="20.85" customHeight="1" x14ac:dyDescent="0.2">
      <c r="B202" s="117"/>
      <c r="D202" s="118" t="s">
        <v>79</v>
      </c>
      <c r="E202" s="126" t="s">
        <v>7852</v>
      </c>
      <c r="F202" s="126" t="s">
        <v>7853</v>
      </c>
      <c r="J202" s="127">
        <f>BK202</f>
        <v>0</v>
      </c>
      <c r="L202" s="117"/>
      <c r="M202" s="121"/>
      <c r="P202" s="122">
        <f>SUM(P203:P210)</f>
        <v>0</v>
      </c>
      <c r="R202" s="122">
        <f>SUM(R203:R210)</f>
        <v>0</v>
      </c>
      <c r="T202" s="123">
        <f>SUM(T203:T210)</f>
        <v>0</v>
      </c>
      <c r="AR202" s="118" t="s">
        <v>87</v>
      </c>
      <c r="AT202" s="124" t="s">
        <v>79</v>
      </c>
      <c r="AU202" s="124" t="s">
        <v>90</v>
      </c>
      <c r="AY202" s="118" t="s">
        <v>337</v>
      </c>
      <c r="BK202" s="125">
        <f>SUM(BK203:BK210)</f>
        <v>0</v>
      </c>
    </row>
    <row r="203" spans="2:65" s="16" customFormat="1" ht="24.2" customHeight="1" x14ac:dyDescent="0.2">
      <c r="B203" s="17"/>
      <c r="C203" s="128">
        <v>54</v>
      </c>
      <c r="D203" s="128" t="s">
        <v>339</v>
      </c>
      <c r="E203" s="129" t="s">
        <v>7854</v>
      </c>
      <c r="F203" s="130" t="s">
        <v>7855</v>
      </c>
      <c r="G203" s="131" t="s">
        <v>449</v>
      </c>
      <c r="H203" s="132">
        <v>4</v>
      </c>
      <c r="I203" s="133"/>
      <c r="J203" s="134">
        <f t="shared" ref="J203:J210" si="10">ROUND(I203*H203,2)</f>
        <v>0</v>
      </c>
      <c r="K203" s="130"/>
      <c r="L203" s="17"/>
      <c r="M203" s="135"/>
      <c r="N203" s="136" t="s">
        <v>45</v>
      </c>
      <c r="P203" s="137">
        <f t="shared" ref="P203:P210" si="11">O203*H203</f>
        <v>0</v>
      </c>
      <c r="Q203" s="137">
        <v>0</v>
      </c>
      <c r="R203" s="137">
        <f t="shared" ref="R203:R210" si="12">Q203*H203</f>
        <v>0</v>
      </c>
      <c r="S203" s="137">
        <v>0</v>
      </c>
      <c r="T203" s="138">
        <f t="shared" ref="T203:T210" si="13">S203*H203</f>
        <v>0</v>
      </c>
      <c r="AR203" s="139" t="s">
        <v>496</v>
      </c>
      <c r="AT203" s="139" t="s">
        <v>339</v>
      </c>
      <c r="AU203" s="139" t="s">
        <v>113</v>
      </c>
      <c r="AY203" s="2" t="s">
        <v>337</v>
      </c>
      <c r="BE203" s="140">
        <f t="shared" ref="BE203:BE210" si="14">IF(N203="základní",J203,0)</f>
        <v>0</v>
      </c>
      <c r="BF203" s="140">
        <f t="shared" ref="BF203:BF210" si="15">IF(N203="snížená",J203,0)</f>
        <v>0</v>
      </c>
      <c r="BG203" s="140">
        <f t="shared" ref="BG203:BG210" si="16">IF(N203="zákl. přenesená",J203,0)</f>
        <v>0</v>
      </c>
      <c r="BH203" s="140">
        <f t="shared" ref="BH203:BH210" si="17">IF(N203="sníž. přenesená",J203,0)</f>
        <v>0</v>
      </c>
      <c r="BI203" s="140">
        <f t="shared" ref="BI203:BI210" si="18">IF(N203="nulová",J203,0)</f>
        <v>0</v>
      </c>
      <c r="BJ203" s="2" t="s">
        <v>87</v>
      </c>
      <c r="BK203" s="140">
        <f t="shared" ref="BK203:BK210" si="19">ROUND(I203*H203,2)</f>
        <v>0</v>
      </c>
      <c r="BL203" s="2" t="s">
        <v>496</v>
      </c>
      <c r="BM203" s="139" t="s">
        <v>7856</v>
      </c>
    </row>
    <row r="204" spans="2:65" s="16" customFormat="1" ht="24.2" customHeight="1" x14ac:dyDescent="0.2">
      <c r="B204" s="17"/>
      <c r="C204" s="128">
        <v>55</v>
      </c>
      <c r="D204" s="128" t="s">
        <v>339</v>
      </c>
      <c r="E204" s="129" t="s">
        <v>7857</v>
      </c>
      <c r="F204" s="130" t="s">
        <v>7858</v>
      </c>
      <c r="G204" s="131" t="s">
        <v>449</v>
      </c>
      <c r="H204" s="132">
        <v>4</v>
      </c>
      <c r="I204" s="133"/>
      <c r="J204" s="134">
        <f t="shared" si="10"/>
        <v>0</v>
      </c>
      <c r="K204" s="130"/>
      <c r="L204" s="17"/>
      <c r="M204" s="135"/>
      <c r="N204" s="136" t="s">
        <v>45</v>
      </c>
      <c r="P204" s="137">
        <f t="shared" si="11"/>
        <v>0</v>
      </c>
      <c r="Q204" s="137">
        <v>0</v>
      </c>
      <c r="R204" s="137">
        <f t="shared" si="12"/>
        <v>0</v>
      </c>
      <c r="S204" s="137">
        <v>0</v>
      </c>
      <c r="T204" s="138">
        <f t="shared" si="13"/>
        <v>0</v>
      </c>
      <c r="AR204" s="139" t="s">
        <v>496</v>
      </c>
      <c r="AT204" s="139" t="s">
        <v>339</v>
      </c>
      <c r="AU204" s="139" t="s">
        <v>113</v>
      </c>
      <c r="AY204" s="2" t="s">
        <v>337</v>
      </c>
      <c r="BE204" s="140">
        <f t="shared" si="14"/>
        <v>0</v>
      </c>
      <c r="BF204" s="140">
        <f t="shared" si="15"/>
        <v>0</v>
      </c>
      <c r="BG204" s="140">
        <f t="shared" si="16"/>
        <v>0</v>
      </c>
      <c r="BH204" s="140">
        <f t="shared" si="17"/>
        <v>0</v>
      </c>
      <c r="BI204" s="140">
        <f t="shared" si="18"/>
        <v>0</v>
      </c>
      <c r="BJ204" s="2" t="s">
        <v>87</v>
      </c>
      <c r="BK204" s="140">
        <f t="shared" si="19"/>
        <v>0</v>
      </c>
      <c r="BL204" s="2" t="s">
        <v>496</v>
      </c>
      <c r="BM204" s="139" t="s">
        <v>7859</v>
      </c>
    </row>
    <row r="205" spans="2:65" s="16" customFormat="1" ht="24.2" customHeight="1" x14ac:dyDescent="0.2">
      <c r="B205" s="17"/>
      <c r="C205" s="128">
        <v>56</v>
      </c>
      <c r="D205" s="128" t="s">
        <v>339</v>
      </c>
      <c r="E205" s="129" t="s">
        <v>7860</v>
      </c>
      <c r="F205" s="130" t="s">
        <v>7858</v>
      </c>
      <c r="G205" s="131" t="s">
        <v>449</v>
      </c>
      <c r="H205" s="132">
        <v>4</v>
      </c>
      <c r="I205" s="133"/>
      <c r="J205" s="134">
        <f t="shared" si="10"/>
        <v>0</v>
      </c>
      <c r="K205" s="130"/>
      <c r="L205" s="17"/>
      <c r="M205" s="135"/>
      <c r="N205" s="136" t="s">
        <v>45</v>
      </c>
      <c r="P205" s="137">
        <f t="shared" si="11"/>
        <v>0</v>
      </c>
      <c r="Q205" s="137">
        <v>0</v>
      </c>
      <c r="R205" s="137">
        <f t="shared" si="12"/>
        <v>0</v>
      </c>
      <c r="S205" s="137">
        <v>0</v>
      </c>
      <c r="T205" s="138">
        <f t="shared" si="13"/>
        <v>0</v>
      </c>
      <c r="AR205" s="139" t="s">
        <v>496</v>
      </c>
      <c r="AT205" s="139" t="s">
        <v>339</v>
      </c>
      <c r="AU205" s="139" t="s">
        <v>113</v>
      </c>
      <c r="AY205" s="2" t="s">
        <v>337</v>
      </c>
      <c r="BE205" s="140">
        <f t="shared" si="14"/>
        <v>0</v>
      </c>
      <c r="BF205" s="140">
        <f t="shared" si="15"/>
        <v>0</v>
      </c>
      <c r="BG205" s="140">
        <f t="shared" si="16"/>
        <v>0</v>
      </c>
      <c r="BH205" s="140">
        <f t="shared" si="17"/>
        <v>0</v>
      </c>
      <c r="BI205" s="140">
        <f t="shared" si="18"/>
        <v>0</v>
      </c>
      <c r="BJ205" s="2" t="s">
        <v>87</v>
      </c>
      <c r="BK205" s="140">
        <f t="shared" si="19"/>
        <v>0</v>
      </c>
      <c r="BL205" s="2" t="s">
        <v>496</v>
      </c>
      <c r="BM205" s="139" t="s">
        <v>7861</v>
      </c>
    </row>
    <row r="206" spans="2:65" s="16" customFormat="1" ht="24.2" customHeight="1" x14ac:dyDescent="0.2">
      <c r="B206" s="17"/>
      <c r="C206" s="128">
        <v>57</v>
      </c>
      <c r="D206" s="128" t="s">
        <v>339</v>
      </c>
      <c r="E206" s="129" t="s">
        <v>7862</v>
      </c>
      <c r="F206" s="130" t="s">
        <v>7863</v>
      </c>
      <c r="G206" s="131" t="s">
        <v>449</v>
      </c>
      <c r="H206" s="132">
        <v>4</v>
      </c>
      <c r="I206" s="133"/>
      <c r="J206" s="134">
        <f t="shared" si="10"/>
        <v>0</v>
      </c>
      <c r="K206" s="130"/>
      <c r="L206" s="17"/>
      <c r="M206" s="135"/>
      <c r="N206" s="136" t="s">
        <v>45</v>
      </c>
      <c r="P206" s="137">
        <f t="shared" si="11"/>
        <v>0</v>
      </c>
      <c r="Q206" s="137">
        <v>0</v>
      </c>
      <c r="R206" s="137">
        <f t="shared" si="12"/>
        <v>0</v>
      </c>
      <c r="S206" s="137">
        <v>0</v>
      </c>
      <c r="T206" s="138">
        <f t="shared" si="13"/>
        <v>0</v>
      </c>
      <c r="AR206" s="139" t="s">
        <v>496</v>
      </c>
      <c r="AT206" s="139" t="s">
        <v>339</v>
      </c>
      <c r="AU206" s="139" t="s">
        <v>113</v>
      </c>
      <c r="AY206" s="2" t="s">
        <v>337</v>
      </c>
      <c r="BE206" s="140">
        <f t="shared" si="14"/>
        <v>0</v>
      </c>
      <c r="BF206" s="140">
        <f t="shared" si="15"/>
        <v>0</v>
      </c>
      <c r="BG206" s="140">
        <f t="shared" si="16"/>
        <v>0</v>
      </c>
      <c r="BH206" s="140">
        <f t="shared" si="17"/>
        <v>0</v>
      </c>
      <c r="BI206" s="140">
        <f t="shared" si="18"/>
        <v>0</v>
      </c>
      <c r="BJ206" s="2" t="s">
        <v>87</v>
      </c>
      <c r="BK206" s="140">
        <f t="shared" si="19"/>
        <v>0</v>
      </c>
      <c r="BL206" s="2" t="s">
        <v>496</v>
      </c>
      <c r="BM206" s="139" t="s">
        <v>7864</v>
      </c>
    </row>
    <row r="207" spans="2:65" s="16" customFormat="1" ht="24.2" customHeight="1" x14ac:dyDescent="0.2">
      <c r="B207" s="17"/>
      <c r="C207" s="128">
        <v>58</v>
      </c>
      <c r="D207" s="128" t="s">
        <v>339</v>
      </c>
      <c r="E207" s="129" t="s">
        <v>7865</v>
      </c>
      <c r="F207" s="130" t="s">
        <v>7858</v>
      </c>
      <c r="G207" s="131" t="s">
        <v>449</v>
      </c>
      <c r="H207" s="132">
        <v>4</v>
      </c>
      <c r="I207" s="133"/>
      <c r="J207" s="134">
        <f t="shared" si="10"/>
        <v>0</v>
      </c>
      <c r="K207" s="130"/>
      <c r="L207" s="17"/>
      <c r="M207" s="135"/>
      <c r="N207" s="136" t="s">
        <v>45</v>
      </c>
      <c r="P207" s="137">
        <f t="shared" si="11"/>
        <v>0</v>
      </c>
      <c r="Q207" s="137">
        <v>0</v>
      </c>
      <c r="R207" s="137">
        <f t="shared" si="12"/>
        <v>0</v>
      </c>
      <c r="S207" s="137">
        <v>0</v>
      </c>
      <c r="T207" s="138">
        <f t="shared" si="13"/>
        <v>0</v>
      </c>
      <c r="AR207" s="139" t="s">
        <v>496</v>
      </c>
      <c r="AT207" s="139" t="s">
        <v>339</v>
      </c>
      <c r="AU207" s="139" t="s">
        <v>113</v>
      </c>
      <c r="AY207" s="2" t="s">
        <v>337</v>
      </c>
      <c r="BE207" s="140">
        <f t="shared" si="14"/>
        <v>0</v>
      </c>
      <c r="BF207" s="140">
        <f t="shared" si="15"/>
        <v>0</v>
      </c>
      <c r="BG207" s="140">
        <f t="shared" si="16"/>
        <v>0</v>
      </c>
      <c r="BH207" s="140">
        <f t="shared" si="17"/>
        <v>0</v>
      </c>
      <c r="BI207" s="140">
        <f t="shared" si="18"/>
        <v>0</v>
      </c>
      <c r="BJ207" s="2" t="s">
        <v>87</v>
      </c>
      <c r="BK207" s="140">
        <f t="shared" si="19"/>
        <v>0</v>
      </c>
      <c r="BL207" s="2" t="s">
        <v>496</v>
      </c>
      <c r="BM207" s="139" t="s">
        <v>7866</v>
      </c>
    </row>
    <row r="208" spans="2:65" s="16" customFormat="1" ht="24.2" customHeight="1" x14ac:dyDescent="0.2">
      <c r="B208" s="17"/>
      <c r="C208" s="128">
        <v>59</v>
      </c>
      <c r="D208" s="128" t="s">
        <v>339</v>
      </c>
      <c r="E208" s="129" t="s">
        <v>7867</v>
      </c>
      <c r="F208" s="130" t="s">
        <v>7858</v>
      </c>
      <c r="G208" s="131" t="s">
        <v>449</v>
      </c>
      <c r="H208" s="132">
        <v>4</v>
      </c>
      <c r="I208" s="133"/>
      <c r="J208" s="134">
        <f t="shared" si="10"/>
        <v>0</v>
      </c>
      <c r="K208" s="130"/>
      <c r="L208" s="17"/>
      <c r="M208" s="135"/>
      <c r="N208" s="136" t="s">
        <v>45</v>
      </c>
      <c r="P208" s="137">
        <f t="shared" si="11"/>
        <v>0</v>
      </c>
      <c r="Q208" s="137">
        <v>0</v>
      </c>
      <c r="R208" s="137">
        <f t="shared" si="12"/>
        <v>0</v>
      </c>
      <c r="S208" s="137">
        <v>0</v>
      </c>
      <c r="T208" s="138">
        <f t="shared" si="13"/>
        <v>0</v>
      </c>
      <c r="AR208" s="139" t="s">
        <v>496</v>
      </c>
      <c r="AT208" s="139" t="s">
        <v>339</v>
      </c>
      <c r="AU208" s="139" t="s">
        <v>113</v>
      </c>
      <c r="AY208" s="2" t="s">
        <v>337</v>
      </c>
      <c r="BE208" s="140">
        <f t="shared" si="14"/>
        <v>0</v>
      </c>
      <c r="BF208" s="140">
        <f t="shared" si="15"/>
        <v>0</v>
      </c>
      <c r="BG208" s="140">
        <f t="shared" si="16"/>
        <v>0</v>
      </c>
      <c r="BH208" s="140">
        <f t="shared" si="17"/>
        <v>0</v>
      </c>
      <c r="BI208" s="140">
        <f t="shared" si="18"/>
        <v>0</v>
      </c>
      <c r="BJ208" s="2" t="s">
        <v>87</v>
      </c>
      <c r="BK208" s="140">
        <f t="shared" si="19"/>
        <v>0</v>
      </c>
      <c r="BL208" s="2" t="s">
        <v>496</v>
      </c>
      <c r="BM208" s="139" t="s">
        <v>7868</v>
      </c>
    </row>
    <row r="209" spans="2:65" s="16" customFormat="1" ht="24.2" customHeight="1" x14ac:dyDescent="0.2">
      <c r="B209" s="17"/>
      <c r="C209" s="128">
        <v>60</v>
      </c>
      <c r="D209" s="128" t="s">
        <v>339</v>
      </c>
      <c r="E209" s="129" t="s">
        <v>7869</v>
      </c>
      <c r="F209" s="130" t="s">
        <v>7858</v>
      </c>
      <c r="G209" s="131" t="s">
        <v>449</v>
      </c>
      <c r="H209" s="132">
        <v>4</v>
      </c>
      <c r="I209" s="133"/>
      <c r="J209" s="134">
        <f t="shared" si="10"/>
        <v>0</v>
      </c>
      <c r="K209" s="130"/>
      <c r="L209" s="17"/>
      <c r="M209" s="135"/>
      <c r="N209" s="136" t="s">
        <v>45</v>
      </c>
      <c r="P209" s="137">
        <f t="shared" si="11"/>
        <v>0</v>
      </c>
      <c r="Q209" s="137">
        <v>0</v>
      </c>
      <c r="R209" s="137">
        <f t="shared" si="12"/>
        <v>0</v>
      </c>
      <c r="S209" s="137">
        <v>0</v>
      </c>
      <c r="T209" s="138">
        <f t="shared" si="13"/>
        <v>0</v>
      </c>
      <c r="AR209" s="139" t="s">
        <v>496</v>
      </c>
      <c r="AT209" s="139" t="s">
        <v>339</v>
      </c>
      <c r="AU209" s="139" t="s">
        <v>113</v>
      </c>
      <c r="AY209" s="2" t="s">
        <v>337</v>
      </c>
      <c r="BE209" s="140">
        <f t="shared" si="14"/>
        <v>0</v>
      </c>
      <c r="BF209" s="140">
        <f t="shared" si="15"/>
        <v>0</v>
      </c>
      <c r="BG209" s="140">
        <f t="shared" si="16"/>
        <v>0</v>
      </c>
      <c r="BH209" s="140">
        <f t="shared" si="17"/>
        <v>0</v>
      </c>
      <c r="BI209" s="140">
        <f t="shared" si="18"/>
        <v>0</v>
      </c>
      <c r="BJ209" s="2" t="s">
        <v>87</v>
      </c>
      <c r="BK209" s="140">
        <f t="shared" si="19"/>
        <v>0</v>
      </c>
      <c r="BL209" s="2" t="s">
        <v>496</v>
      </c>
      <c r="BM209" s="139" t="s">
        <v>7870</v>
      </c>
    </row>
    <row r="210" spans="2:65" s="16" customFormat="1" ht="24.2" customHeight="1" x14ac:dyDescent="0.2">
      <c r="B210" s="17"/>
      <c r="C210" s="128">
        <v>61</v>
      </c>
      <c r="D210" s="128" t="s">
        <v>339</v>
      </c>
      <c r="E210" s="129" t="s">
        <v>7871</v>
      </c>
      <c r="F210" s="130" t="s">
        <v>7858</v>
      </c>
      <c r="G210" s="131" t="s">
        <v>449</v>
      </c>
      <c r="H210" s="132">
        <v>4</v>
      </c>
      <c r="I210" s="133"/>
      <c r="J210" s="134">
        <f t="shared" si="10"/>
        <v>0</v>
      </c>
      <c r="K210" s="130"/>
      <c r="L210" s="17"/>
      <c r="M210" s="135"/>
      <c r="N210" s="136" t="s">
        <v>45</v>
      </c>
      <c r="P210" s="137">
        <f t="shared" si="11"/>
        <v>0</v>
      </c>
      <c r="Q210" s="137">
        <v>0</v>
      </c>
      <c r="R210" s="137">
        <f t="shared" si="12"/>
        <v>0</v>
      </c>
      <c r="S210" s="137">
        <v>0</v>
      </c>
      <c r="T210" s="138">
        <f t="shared" si="13"/>
        <v>0</v>
      </c>
      <c r="AR210" s="139" t="s">
        <v>496</v>
      </c>
      <c r="AT210" s="139" t="s">
        <v>339</v>
      </c>
      <c r="AU210" s="139" t="s">
        <v>113</v>
      </c>
      <c r="AY210" s="2" t="s">
        <v>337</v>
      </c>
      <c r="BE210" s="140">
        <f t="shared" si="14"/>
        <v>0</v>
      </c>
      <c r="BF210" s="140">
        <f t="shared" si="15"/>
        <v>0</v>
      </c>
      <c r="BG210" s="140">
        <f t="shared" si="16"/>
        <v>0</v>
      </c>
      <c r="BH210" s="140">
        <f t="shared" si="17"/>
        <v>0</v>
      </c>
      <c r="BI210" s="140">
        <f t="shared" si="18"/>
        <v>0</v>
      </c>
      <c r="BJ210" s="2" t="s">
        <v>87</v>
      </c>
      <c r="BK210" s="140">
        <f t="shared" si="19"/>
        <v>0</v>
      </c>
      <c r="BL210" s="2" t="s">
        <v>496</v>
      </c>
      <c r="BM210" s="139" t="s">
        <v>7872</v>
      </c>
    </row>
    <row r="211" spans="2:65" s="116" customFormat="1" ht="20.85" customHeight="1" x14ac:dyDescent="0.2">
      <c r="B211" s="117"/>
      <c r="D211" s="118" t="s">
        <v>79</v>
      </c>
      <c r="E211" s="126" t="s">
        <v>7873</v>
      </c>
      <c r="F211" s="126" t="s">
        <v>7874</v>
      </c>
      <c r="J211" s="127">
        <f>BK211</f>
        <v>0</v>
      </c>
      <c r="L211" s="117"/>
      <c r="M211" s="121"/>
      <c r="P211" s="122">
        <f>SUM(P212:P280)</f>
        <v>0</v>
      </c>
      <c r="R211" s="122">
        <f>SUM(R212:R280)</f>
        <v>0</v>
      </c>
      <c r="T211" s="123">
        <f>SUM(T212:T280)</f>
        <v>0</v>
      </c>
      <c r="AR211" s="118" t="s">
        <v>87</v>
      </c>
      <c r="AT211" s="124" t="s">
        <v>79</v>
      </c>
      <c r="AU211" s="124" t="s">
        <v>90</v>
      </c>
      <c r="AY211" s="118" t="s">
        <v>337</v>
      </c>
      <c r="BK211" s="125">
        <f>SUM(BK212:BK280)</f>
        <v>0</v>
      </c>
    </row>
    <row r="212" spans="2:65" s="16" customFormat="1" ht="16.5" customHeight="1" x14ac:dyDescent="0.2">
      <c r="B212" s="17"/>
      <c r="C212" s="128">
        <v>62</v>
      </c>
      <c r="D212" s="128" t="s">
        <v>339</v>
      </c>
      <c r="E212" s="129" t="s">
        <v>7875</v>
      </c>
      <c r="F212" s="130" t="s">
        <v>7876</v>
      </c>
      <c r="G212" s="131" t="s">
        <v>449</v>
      </c>
      <c r="H212" s="132">
        <v>4</v>
      </c>
      <c r="I212" s="133"/>
      <c r="J212" s="134">
        <f t="shared" ref="J212:J243" si="20">ROUND(I212*H212,2)</f>
        <v>0</v>
      </c>
      <c r="K212" s="130"/>
      <c r="L212" s="17"/>
      <c r="M212" s="135"/>
      <c r="N212" s="136" t="s">
        <v>45</v>
      </c>
      <c r="P212" s="137">
        <f t="shared" ref="P212:P243" si="21">O212*H212</f>
        <v>0</v>
      </c>
      <c r="Q212" s="137">
        <v>0</v>
      </c>
      <c r="R212" s="137">
        <f t="shared" ref="R212:R243" si="22">Q212*H212</f>
        <v>0</v>
      </c>
      <c r="S212" s="137">
        <v>0</v>
      </c>
      <c r="T212" s="138">
        <f t="shared" ref="T212:T243" si="23">S212*H212</f>
        <v>0</v>
      </c>
      <c r="AR212" s="139" t="s">
        <v>496</v>
      </c>
      <c r="AT212" s="139" t="s">
        <v>339</v>
      </c>
      <c r="AU212" s="139" t="s">
        <v>113</v>
      </c>
      <c r="AY212" s="2" t="s">
        <v>337</v>
      </c>
      <c r="BE212" s="140">
        <f t="shared" ref="BE212:BE243" si="24">IF(N212="základní",J212,0)</f>
        <v>0</v>
      </c>
      <c r="BF212" s="140">
        <f t="shared" ref="BF212:BF243" si="25">IF(N212="snížená",J212,0)</f>
        <v>0</v>
      </c>
      <c r="BG212" s="140">
        <f t="shared" ref="BG212:BG243" si="26">IF(N212="zákl. přenesená",J212,0)</f>
        <v>0</v>
      </c>
      <c r="BH212" s="140">
        <f t="shared" ref="BH212:BH243" si="27">IF(N212="sníž. přenesená",J212,0)</f>
        <v>0</v>
      </c>
      <c r="BI212" s="140">
        <f t="shared" ref="BI212:BI243" si="28">IF(N212="nulová",J212,0)</f>
        <v>0</v>
      </c>
      <c r="BJ212" s="2" t="s">
        <v>87</v>
      </c>
      <c r="BK212" s="140">
        <f t="shared" ref="BK212:BK243" si="29">ROUND(I212*H212,2)</f>
        <v>0</v>
      </c>
      <c r="BL212" s="2" t="s">
        <v>496</v>
      </c>
      <c r="BM212" s="139" t="s">
        <v>7877</v>
      </c>
    </row>
    <row r="213" spans="2:65" s="16" customFormat="1" ht="16.5" customHeight="1" x14ac:dyDescent="0.2">
      <c r="B213" s="17"/>
      <c r="C213" s="128">
        <v>63</v>
      </c>
      <c r="D213" s="128" t="s">
        <v>339</v>
      </c>
      <c r="E213" s="129" t="s">
        <v>7878</v>
      </c>
      <c r="F213" s="130" t="s">
        <v>7879</v>
      </c>
      <c r="G213" s="131" t="s">
        <v>449</v>
      </c>
      <c r="H213" s="132">
        <v>4</v>
      </c>
      <c r="I213" s="133"/>
      <c r="J213" s="134">
        <f t="shared" si="20"/>
        <v>0</v>
      </c>
      <c r="K213" s="130"/>
      <c r="L213" s="17"/>
      <c r="M213" s="135"/>
      <c r="N213" s="136" t="s">
        <v>45</v>
      </c>
      <c r="P213" s="137">
        <f t="shared" si="21"/>
        <v>0</v>
      </c>
      <c r="Q213" s="137">
        <v>0</v>
      </c>
      <c r="R213" s="137">
        <f t="shared" si="22"/>
        <v>0</v>
      </c>
      <c r="S213" s="137">
        <v>0</v>
      </c>
      <c r="T213" s="138">
        <f t="shared" si="23"/>
        <v>0</v>
      </c>
      <c r="AR213" s="139" t="s">
        <v>496</v>
      </c>
      <c r="AT213" s="139" t="s">
        <v>339</v>
      </c>
      <c r="AU213" s="139" t="s">
        <v>113</v>
      </c>
      <c r="AY213" s="2" t="s">
        <v>337</v>
      </c>
      <c r="BE213" s="140">
        <f t="shared" si="24"/>
        <v>0</v>
      </c>
      <c r="BF213" s="140">
        <f t="shared" si="25"/>
        <v>0</v>
      </c>
      <c r="BG213" s="140">
        <f t="shared" si="26"/>
        <v>0</v>
      </c>
      <c r="BH213" s="140">
        <f t="shared" si="27"/>
        <v>0</v>
      </c>
      <c r="BI213" s="140">
        <f t="shared" si="28"/>
        <v>0</v>
      </c>
      <c r="BJ213" s="2" t="s">
        <v>87</v>
      </c>
      <c r="BK213" s="140">
        <f t="shared" si="29"/>
        <v>0</v>
      </c>
      <c r="BL213" s="2" t="s">
        <v>496</v>
      </c>
      <c r="BM213" s="139" t="s">
        <v>7880</v>
      </c>
    </row>
    <row r="214" spans="2:65" s="16" customFormat="1" ht="16.5" customHeight="1" x14ac:dyDescent="0.2">
      <c r="B214" s="17"/>
      <c r="C214" s="128">
        <v>64</v>
      </c>
      <c r="D214" s="128" t="s">
        <v>339</v>
      </c>
      <c r="E214" s="129" t="s">
        <v>7881</v>
      </c>
      <c r="F214" s="130" t="s">
        <v>7882</v>
      </c>
      <c r="G214" s="131" t="s">
        <v>449</v>
      </c>
      <c r="H214" s="132">
        <v>2</v>
      </c>
      <c r="I214" s="133"/>
      <c r="J214" s="134">
        <f t="shared" si="20"/>
        <v>0</v>
      </c>
      <c r="K214" s="130"/>
      <c r="L214" s="17"/>
      <c r="M214" s="135"/>
      <c r="N214" s="136" t="s">
        <v>45</v>
      </c>
      <c r="P214" s="137">
        <f t="shared" si="21"/>
        <v>0</v>
      </c>
      <c r="Q214" s="137">
        <v>0</v>
      </c>
      <c r="R214" s="137">
        <f t="shared" si="22"/>
        <v>0</v>
      </c>
      <c r="S214" s="137">
        <v>0</v>
      </c>
      <c r="T214" s="138">
        <f t="shared" si="23"/>
        <v>0</v>
      </c>
      <c r="AR214" s="139" t="s">
        <v>496</v>
      </c>
      <c r="AT214" s="139" t="s">
        <v>339</v>
      </c>
      <c r="AU214" s="139" t="s">
        <v>113</v>
      </c>
      <c r="AY214" s="2" t="s">
        <v>337</v>
      </c>
      <c r="BE214" s="140">
        <f t="shared" si="24"/>
        <v>0</v>
      </c>
      <c r="BF214" s="140">
        <f t="shared" si="25"/>
        <v>0</v>
      </c>
      <c r="BG214" s="140">
        <f t="shared" si="26"/>
        <v>0</v>
      </c>
      <c r="BH214" s="140">
        <f t="shared" si="27"/>
        <v>0</v>
      </c>
      <c r="BI214" s="140">
        <f t="shared" si="28"/>
        <v>0</v>
      </c>
      <c r="BJ214" s="2" t="s">
        <v>87</v>
      </c>
      <c r="BK214" s="140">
        <f t="shared" si="29"/>
        <v>0</v>
      </c>
      <c r="BL214" s="2" t="s">
        <v>496</v>
      </c>
      <c r="BM214" s="139" t="s">
        <v>7883</v>
      </c>
    </row>
    <row r="215" spans="2:65" s="16" customFormat="1" ht="16.5" customHeight="1" x14ac:dyDescent="0.2">
      <c r="B215" s="17"/>
      <c r="C215" s="128">
        <v>65</v>
      </c>
      <c r="D215" s="128" t="s">
        <v>339</v>
      </c>
      <c r="E215" s="129" t="s">
        <v>7884</v>
      </c>
      <c r="F215" s="130" t="s">
        <v>7885</v>
      </c>
      <c r="G215" s="131" t="s">
        <v>449</v>
      </c>
      <c r="H215" s="132">
        <v>2</v>
      </c>
      <c r="I215" s="133"/>
      <c r="J215" s="134">
        <f t="shared" si="20"/>
        <v>0</v>
      </c>
      <c r="K215" s="130"/>
      <c r="L215" s="17"/>
      <c r="M215" s="135"/>
      <c r="N215" s="136" t="s">
        <v>45</v>
      </c>
      <c r="P215" s="137">
        <f t="shared" si="21"/>
        <v>0</v>
      </c>
      <c r="Q215" s="137">
        <v>0</v>
      </c>
      <c r="R215" s="137">
        <f t="shared" si="22"/>
        <v>0</v>
      </c>
      <c r="S215" s="137">
        <v>0</v>
      </c>
      <c r="T215" s="138">
        <f t="shared" si="23"/>
        <v>0</v>
      </c>
      <c r="AR215" s="139" t="s">
        <v>496</v>
      </c>
      <c r="AT215" s="139" t="s">
        <v>339</v>
      </c>
      <c r="AU215" s="139" t="s">
        <v>113</v>
      </c>
      <c r="AY215" s="2" t="s">
        <v>337</v>
      </c>
      <c r="BE215" s="140">
        <f t="shared" si="24"/>
        <v>0</v>
      </c>
      <c r="BF215" s="140">
        <f t="shared" si="25"/>
        <v>0</v>
      </c>
      <c r="BG215" s="140">
        <f t="shared" si="26"/>
        <v>0</v>
      </c>
      <c r="BH215" s="140">
        <f t="shared" si="27"/>
        <v>0</v>
      </c>
      <c r="BI215" s="140">
        <f t="shared" si="28"/>
        <v>0</v>
      </c>
      <c r="BJ215" s="2" t="s">
        <v>87</v>
      </c>
      <c r="BK215" s="140">
        <f t="shared" si="29"/>
        <v>0</v>
      </c>
      <c r="BL215" s="2" t="s">
        <v>496</v>
      </c>
      <c r="BM215" s="139" t="s">
        <v>7886</v>
      </c>
    </row>
    <row r="216" spans="2:65" s="16" customFormat="1" ht="16.5" customHeight="1" x14ac:dyDescent="0.2">
      <c r="B216" s="17"/>
      <c r="C216" s="128">
        <v>66</v>
      </c>
      <c r="D216" s="128" t="s">
        <v>339</v>
      </c>
      <c r="E216" s="129" t="s">
        <v>7887</v>
      </c>
      <c r="F216" s="130" t="s">
        <v>7876</v>
      </c>
      <c r="G216" s="131" t="s">
        <v>449</v>
      </c>
      <c r="H216" s="132">
        <v>4</v>
      </c>
      <c r="I216" s="133"/>
      <c r="J216" s="134">
        <f t="shared" si="20"/>
        <v>0</v>
      </c>
      <c r="K216" s="130"/>
      <c r="L216" s="17"/>
      <c r="M216" s="135"/>
      <c r="N216" s="136" t="s">
        <v>45</v>
      </c>
      <c r="P216" s="137">
        <f t="shared" si="21"/>
        <v>0</v>
      </c>
      <c r="Q216" s="137">
        <v>0</v>
      </c>
      <c r="R216" s="137">
        <f t="shared" si="22"/>
        <v>0</v>
      </c>
      <c r="S216" s="137">
        <v>0</v>
      </c>
      <c r="T216" s="138">
        <f t="shared" si="23"/>
        <v>0</v>
      </c>
      <c r="AR216" s="139" t="s">
        <v>496</v>
      </c>
      <c r="AT216" s="139" t="s">
        <v>339</v>
      </c>
      <c r="AU216" s="139" t="s">
        <v>113</v>
      </c>
      <c r="AY216" s="2" t="s">
        <v>337</v>
      </c>
      <c r="BE216" s="140">
        <f t="shared" si="24"/>
        <v>0</v>
      </c>
      <c r="BF216" s="140">
        <f t="shared" si="25"/>
        <v>0</v>
      </c>
      <c r="BG216" s="140">
        <f t="shared" si="26"/>
        <v>0</v>
      </c>
      <c r="BH216" s="140">
        <f t="shared" si="27"/>
        <v>0</v>
      </c>
      <c r="BI216" s="140">
        <f t="shared" si="28"/>
        <v>0</v>
      </c>
      <c r="BJ216" s="2" t="s">
        <v>87</v>
      </c>
      <c r="BK216" s="140">
        <f t="shared" si="29"/>
        <v>0</v>
      </c>
      <c r="BL216" s="2" t="s">
        <v>496</v>
      </c>
      <c r="BM216" s="139" t="s">
        <v>7888</v>
      </c>
    </row>
    <row r="217" spans="2:65" s="16" customFormat="1" ht="16.5" customHeight="1" x14ac:dyDescent="0.2">
      <c r="B217" s="17"/>
      <c r="C217" s="128">
        <v>67</v>
      </c>
      <c r="D217" s="128" t="s">
        <v>339</v>
      </c>
      <c r="E217" s="129" t="s">
        <v>7889</v>
      </c>
      <c r="F217" s="130" t="s">
        <v>7879</v>
      </c>
      <c r="G217" s="131" t="s">
        <v>449</v>
      </c>
      <c r="H217" s="132">
        <v>4</v>
      </c>
      <c r="I217" s="133"/>
      <c r="J217" s="134">
        <f t="shared" si="20"/>
        <v>0</v>
      </c>
      <c r="K217" s="130"/>
      <c r="L217" s="17"/>
      <c r="M217" s="135"/>
      <c r="N217" s="136" t="s">
        <v>45</v>
      </c>
      <c r="P217" s="137">
        <f t="shared" si="21"/>
        <v>0</v>
      </c>
      <c r="Q217" s="137">
        <v>0</v>
      </c>
      <c r="R217" s="137">
        <f t="shared" si="22"/>
        <v>0</v>
      </c>
      <c r="S217" s="137">
        <v>0</v>
      </c>
      <c r="T217" s="138">
        <f t="shared" si="23"/>
        <v>0</v>
      </c>
      <c r="AR217" s="139" t="s">
        <v>496</v>
      </c>
      <c r="AT217" s="139" t="s">
        <v>339</v>
      </c>
      <c r="AU217" s="139" t="s">
        <v>113</v>
      </c>
      <c r="AY217" s="2" t="s">
        <v>337</v>
      </c>
      <c r="BE217" s="140">
        <f t="shared" si="24"/>
        <v>0</v>
      </c>
      <c r="BF217" s="140">
        <f t="shared" si="25"/>
        <v>0</v>
      </c>
      <c r="BG217" s="140">
        <f t="shared" si="26"/>
        <v>0</v>
      </c>
      <c r="BH217" s="140">
        <f t="shared" si="27"/>
        <v>0</v>
      </c>
      <c r="BI217" s="140">
        <f t="shared" si="28"/>
        <v>0</v>
      </c>
      <c r="BJ217" s="2" t="s">
        <v>87</v>
      </c>
      <c r="BK217" s="140">
        <f t="shared" si="29"/>
        <v>0</v>
      </c>
      <c r="BL217" s="2" t="s">
        <v>496</v>
      </c>
      <c r="BM217" s="139" t="s">
        <v>7890</v>
      </c>
    </row>
    <row r="218" spans="2:65" s="16" customFormat="1" ht="16.5" customHeight="1" x14ac:dyDescent="0.2">
      <c r="B218" s="17"/>
      <c r="C218" s="128">
        <v>68</v>
      </c>
      <c r="D218" s="128" t="s">
        <v>339</v>
      </c>
      <c r="E218" s="129" t="s">
        <v>7891</v>
      </c>
      <c r="F218" s="130" t="s">
        <v>7882</v>
      </c>
      <c r="G218" s="131" t="s">
        <v>449</v>
      </c>
      <c r="H218" s="132">
        <v>2</v>
      </c>
      <c r="I218" s="133"/>
      <c r="J218" s="134">
        <f t="shared" si="20"/>
        <v>0</v>
      </c>
      <c r="K218" s="130"/>
      <c r="L218" s="17"/>
      <c r="M218" s="135"/>
      <c r="N218" s="136" t="s">
        <v>45</v>
      </c>
      <c r="P218" s="137">
        <f t="shared" si="21"/>
        <v>0</v>
      </c>
      <c r="Q218" s="137">
        <v>0</v>
      </c>
      <c r="R218" s="137">
        <f t="shared" si="22"/>
        <v>0</v>
      </c>
      <c r="S218" s="137">
        <v>0</v>
      </c>
      <c r="T218" s="138">
        <f t="shared" si="23"/>
        <v>0</v>
      </c>
      <c r="AR218" s="139" t="s">
        <v>496</v>
      </c>
      <c r="AT218" s="139" t="s">
        <v>339</v>
      </c>
      <c r="AU218" s="139" t="s">
        <v>113</v>
      </c>
      <c r="AY218" s="2" t="s">
        <v>337</v>
      </c>
      <c r="BE218" s="140">
        <f t="shared" si="24"/>
        <v>0</v>
      </c>
      <c r="BF218" s="140">
        <f t="shared" si="25"/>
        <v>0</v>
      </c>
      <c r="BG218" s="140">
        <f t="shared" si="26"/>
        <v>0</v>
      </c>
      <c r="BH218" s="140">
        <f t="shared" si="27"/>
        <v>0</v>
      </c>
      <c r="BI218" s="140">
        <f t="shared" si="28"/>
        <v>0</v>
      </c>
      <c r="BJ218" s="2" t="s">
        <v>87</v>
      </c>
      <c r="BK218" s="140">
        <f t="shared" si="29"/>
        <v>0</v>
      </c>
      <c r="BL218" s="2" t="s">
        <v>496</v>
      </c>
      <c r="BM218" s="139" t="s">
        <v>7892</v>
      </c>
    </row>
    <row r="219" spans="2:65" s="16" customFormat="1" ht="16.5" customHeight="1" x14ac:dyDescent="0.2">
      <c r="B219" s="17"/>
      <c r="C219" s="128">
        <v>69</v>
      </c>
      <c r="D219" s="128" t="s">
        <v>339</v>
      </c>
      <c r="E219" s="129" t="s">
        <v>7893</v>
      </c>
      <c r="F219" s="130" t="s">
        <v>7885</v>
      </c>
      <c r="G219" s="131" t="s">
        <v>449</v>
      </c>
      <c r="H219" s="132">
        <v>2</v>
      </c>
      <c r="I219" s="133"/>
      <c r="J219" s="134">
        <f t="shared" si="20"/>
        <v>0</v>
      </c>
      <c r="K219" s="130"/>
      <c r="L219" s="17"/>
      <c r="M219" s="135"/>
      <c r="N219" s="136" t="s">
        <v>45</v>
      </c>
      <c r="P219" s="137">
        <f t="shared" si="21"/>
        <v>0</v>
      </c>
      <c r="Q219" s="137">
        <v>0</v>
      </c>
      <c r="R219" s="137">
        <f t="shared" si="22"/>
        <v>0</v>
      </c>
      <c r="S219" s="137">
        <v>0</v>
      </c>
      <c r="T219" s="138">
        <f t="shared" si="23"/>
        <v>0</v>
      </c>
      <c r="AR219" s="139" t="s">
        <v>496</v>
      </c>
      <c r="AT219" s="139" t="s">
        <v>339</v>
      </c>
      <c r="AU219" s="139" t="s">
        <v>113</v>
      </c>
      <c r="AY219" s="2" t="s">
        <v>337</v>
      </c>
      <c r="BE219" s="140">
        <f t="shared" si="24"/>
        <v>0</v>
      </c>
      <c r="BF219" s="140">
        <f t="shared" si="25"/>
        <v>0</v>
      </c>
      <c r="BG219" s="140">
        <f t="shared" si="26"/>
        <v>0</v>
      </c>
      <c r="BH219" s="140">
        <f t="shared" si="27"/>
        <v>0</v>
      </c>
      <c r="BI219" s="140">
        <f t="shared" si="28"/>
        <v>0</v>
      </c>
      <c r="BJ219" s="2" t="s">
        <v>87</v>
      </c>
      <c r="BK219" s="140">
        <f t="shared" si="29"/>
        <v>0</v>
      </c>
      <c r="BL219" s="2" t="s">
        <v>496</v>
      </c>
      <c r="BM219" s="139" t="s">
        <v>7894</v>
      </c>
    </row>
    <row r="220" spans="2:65" s="16" customFormat="1" ht="16.5" customHeight="1" x14ac:dyDescent="0.2">
      <c r="B220" s="17"/>
      <c r="C220" s="128">
        <v>70</v>
      </c>
      <c r="D220" s="128" t="s">
        <v>339</v>
      </c>
      <c r="E220" s="129" t="s">
        <v>7895</v>
      </c>
      <c r="F220" s="130" t="s">
        <v>7876</v>
      </c>
      <c r="G220" s="131" t="s">
        <v>449</v>
      </c>
      <c r="H220" s="132">
        <v>4</v>
      </c>
      <c r="I220" s="133"/>
      <c r="J220" s="134">
        <f t="shared" si="20"/>
        <v>0</v>
      </c>
      <c r="K220" s="130"/>
      <c r="L220" s="17"/>
      <c r="M220" s="135"/>
      <c r="N220" s="136" t="s">
        <v>45</v>
      </c>
      <c r="P220" s="137">
        <f t="shared" si="21"/>
        <v>0</v>
      </c>
      <c r="Q220" s="137">
        <v>0</v>
      </c>
      <c r="R220" s="137">
        <f t="shared" si="22"/>
        <v>0</v>
      </c>
      <c r="S220" s="137">
        <v>0</v>
      </c>
      <c r="T220" s="138">
        <f t="shared" si="23"/>
        <v>0</v>
      </c>
      <c r="AR220" s="139" t="s">
        <v>496</v>
      </c>
      <c r="AT220" s="139" t="s">
        <v>339</v>
      </c>
      <c r="AU220" s="139" t="s">
        <v>113</v>
      </c>
      <c r="AY220" s="2" t="s">
        <v>337</v>
      </c>
      <c r="BE220" s="140">
        <f t="shared" si="24"/>
        <v>0</v>
      </c>
      <c r="BF220" s="140">
        <f t="shared" si="25"/>
        <v>0</v>
      </c>
      <c r="BG220" s="140">
        <f t="shared" si="26"/>
        <v>0</v>
      </c>
      <c r="BH220" s="140">
        <f t="shared" si="27"/>
        <v>0</v>
      </c>
      <c r="BI220" s="140">
        <f t="shared" si="28"/>
        <v>0</v>
      </c>
      <c r="BJ220" s="2" t="s">
        <v>87</v>
      </c>
      <c r="BK220" s="140">
        <f t="shared" si="29"/>
        <v>0</v>
      </c>
      <c r="BL220" s="2" t="s">
        <v>496</v>
      </c>
      <c r="BM220" s="139" t="s">
        <v>7896</v>
      </c>
    </row>
    <row r="221" spans="2:65" s="16" customFormat="1" ht="16.5" customHeight="1" x14ac:dyDescent="0.2">
      <c r="B221" s="17"/>
      <c r="C221" s="128">
        <v>71</v>
      </c>
      <c r="D221" s="128" t="s">
        <v>339</v>
      </c>
      <c r="E221" s="129" t="s">
        <v>7897</v>
      </c>
      <c r="F221" s="130" t="s">
        <v>7879</v>
      </c>
      <c r="G221" s="131" t="s">
        <v>449</v>
      </c>
      <c r="H221" s="132">
        <v>4</v>
      </c>
      <c r="I221" s="133"/>
      <c r="J221" s="134">
        <f t="shared" si="20"/>
        <v>0</v>
      </c>
      <c r="K221" s="130"/>
      <c r="L221" s="17"/>
      <c r="M221" s="135"/>
      <c r="N221" s="136" t="s">
        <v>45</v>
      </c>
      <c r="P221" s="137">
        <f t="shared" si="21"/>
        <v>0</v>
      </c>
      <c r="Q221" s="137">
        <v>0</v>
      </c>
      <c r="R221" s="137">
        <f t="shared" si="22"/>
        <v>0</v>
      </c>
      <c r="S221" s="137">
        <v>0</v>
      </c>
      <c r="T221" s="138">
        <f t="shared" si="23"/>
        <v>0</v>
      </c>
      <c r="AR221" s="139" t="s">
        <v>496</v>
      </c>
      <c r="AT221" s="139" t="s">
        <v>339</v>
      </c>
      <c r="AU221" s="139" t="s">
        <v>113</v>
      </c>
      <c r="AY221" s="2" t="s">
        <v>337</v>
      </c>
      <c r="BE221" s="140">
        <f t="shared" si="24"/>
        <v>0</v>
      </c>
      <c r="BF221" s="140">
        <f t="shared" si="25"/>
        <v>0</v>
      </c>
      <c r="BG221" s="140">
        <f t="shared" si="26"/>
        <v>0</v>
      </c>
      <c r="BH221" s="140">
        <f t="shared" si="27"/>
        <v>0</v>
      </c>
      <c r="BI221" s="140">
        <f t="shared" si="28"/>
        <v>0</v>
      </c>
      <c r="BJ221" s="2" t="s">
        <v>87</v>
      </c>
      <c r="BK221" s="140">
        <f t="shared" si="29"/>
        <v>0</v>
      </c>
      <c r="BL221" s="2" t="s">
        <v>496</v>
      </c>
      <c r="BM221" s="139" t="s">
        <v>7898</v>
      </c>
    </row>
    <row r="222" spans="2:65" s="16" customFormat="1" ht="16.5" customHeight="1" x14ac:dyDescent="0.2">
      <c r="B222" s="17"/>
      <c r="C222" s="128">
        <v>72</v>
      </c>
      <c r="D222" s="128" t="s">
        <v>339</v>
      </c>
      <c r="E222" s="129" t="s">
        <v>7899</v>
      </c>
      <c r="F222" s="130" t="s">
        <v>7882</v>
      </c>
      <c r="G222" s="131" t="s">
        <v>449</v>
      </c>
      <c r="H222" s="132">
        <v>2</v>
      </c>
      <c r="I222" s="133"/>
      <c r="J222" s="134">
        <f t="shared" si="20"/>
        <v>0</v>
      </c>
      <c r="K222" s="130"/>
      <c r="L222" s="17"/>
      <c r="M222" s="135"/>
      <c r="N222" s="136" t="s">
        <v>45</v>
      </c>
      <c r="P222" s="137">
        <f t="shared" si="21"/>
        <v>0</v>
      </c>
      <c r="Q222" s="137">
        <v>0</v>
      </c>
      <c r="R222" s="137">
        <f t="shared" si="22"/>
        <v>0</v>
      </c>
      <c r="S222" s="137">
        <v>0</v>
      </c>
      <c r="T222" s="138">
        <f t="shared" si="23"/>
        <v>0</v>
      </c>
      <c r="AR222" s="139" t="s">
        <v>496</v>
      </c>
      <c r="AT222" s="139" t="s">
        <v>339</v>
      </c>
      <c r="AU222" s="139" t="s">
        <v>113</v>
      </c>
      <c r="AY222" s="2" t="s">
        <v>337</v>
      </c>
      <c r="BE222" s="140">
        <f t="shared" si="24"/>
        <v>0</v>
      </c>
      <c r="BF222" s="140">
        <f t="shared" si="25"/>
        <v>0</v>
      </c>
      <c r="BG222" s="140">
        <f t="shared" si="26"/>
        <v>0</v>
      </c>
      <c r="BH222" s="140">
        <f t="shared" si="27"/>
        <v>0</v>
      </c>
      <c r="BI222" s="140">
        <f t="shared" si="28"/>
        <v>0</v>
      </c>
      <c r="BJ222" s="2" t="s">
        <v>87</v>
      </c>
      <c r="BK222" s="140">
        <f t="shared" si="29"/>
        <v>0</v>
      </c>
      <c r="BL222" s="2" t="s">
        <v>496</v>
      </c>
      <c r="BM222" s="139" t="s">
        <v>7900</v>
      </c>
    </row>
    <row r="223" spans="2:65" s="16" customFormat="1" ht="16.5" customHeight="1" x14ac:dyDescent="0.2">
      <c r="B223" s="17"/>
      <c r="C223" s="128">
        <v>73</v>
      </c>
      <c r="D223" s="128" t="s">
        <v>339</v>
      </c>
      <c r="E223" s="129" t="s">
        <v>7901</v>
      </c>
      <c r="F223" s="130" t="s">
        <v>7885</v>
      </c>
      <c r="G223" s="131" t="s">
        <v>449</v>
      </c>
      <c r="H223" s="132">
        <v>2</v>
      </c>
      <c r="I223" s="133"/>
      <c r="J223" s="134">
        <f t="shared" si="20"/>
        <v>0</v>
      </c>
      <c r="K223" s="130"/>
      <c r="L223" s="17"/>
      <c r="M223" s="135"/>
      <c r="N223" s="136" t="s">
        <v>45</v>
      </c>
      <c r="P223" s="137">
        <f t="shared" si="21"/>
        <v>0</v>
      </c>
      <c r="Q223" s="137">
        <v>0</v>
      </c>
      <c r="R223" s="137">
        <f t="shared" si="22"/>
        <v>0</v>
      </c>
      <c r="S223" s="137">
        <v>0</v>
      </c>
      <c r="T223" s="138">
        <f t="shared" si="23"/>
        <v>0</v>
      </c>
      <c r="AR223" s="139" t="s">
        <v>496</v>
      </c>
      <c r="AT223" s="139" t="s">
        <v>339</v>
      </c>
      <c r="AU223" s="139" t="s">
        <v>113</v>
      </c>
      <c r="AY223" s="2" t="s">
        <v>337</v>
      </c>
      <c r="BE223" s="140">
        <f t="shared" si="24"/>
        <v>0</v>
      </c>
      <c r="BF223" s="140">
        <f t="shared" si="25"/>
        <v>0</v>
      </c>
      <c r="BG223" s="140">
        <f t="shared" si="26"/>
        <v>0</v>
      </c>
      <c r="BH223" s="140">
        <f t="shared" si="27"/>
        <v>0</v>
      </c>
      <c r="BI223" s="140">
        <f t="shared" si="28"/>
        <v>0</v>
      </c>
      <c r="BJ223" s="2" t="s">
        <v>87</v>
      </c>
      <c r="BK223" s="140">
        <f t="shared" si="29"/>
        <v>0</v>
      </c>
      <c r="BL223" s="2" t="s">
        <v>496</v>
      </c>
      <c r="BM223" s="139" t="s">
        <v>7902</v>
      </c>
    </row>
    <row r="224" spans="2:65" s="16" customFormat="1" ht="16.5" customHeight="1" x14ac:dyDescent="0.2">
      <c r="B224" s="17"/>
      <c r="C224" s="128">
        <v>74</v>
      </c>
      <c r="D224" s="128" t="s">
        <v>339</v>
      </c>
      <c r="E224" s="129" t="s">
        <v>7903</v>
      </c>
      <c r="F224" s="130" t="s">
        <v>7904</v>
      </c>
      <c r="G224" s="131" t="s">
        <v>449</v>
      </c>
      <c r="H224" s="132">
        <v>1</v>
      </c>
      <c r="I224" s="133"/>
      <c r="J224" s="134">
        <f t="shared" si="20"/>
        <v>0</v>
      </c>
      <c r="K224" s="130"/>
      <c r="L224" s="17"/>
      <c r="M224" s="135"/>
      <c r="N224" s="136" t="s">
        <v>45</v>
      </c>
      <c r="P224" s="137">
        <f t="shared" si="21"/>
        <v>0</v>
      </c>
      <c r="Q224" s="137">
        <v>0</v>
      </c>
      <c r="R224" s="137">
        <f t="shared" si="22"/>
        <v>0</v>
      </c>
      <c r="S224" s="137">
        <v>0</v>
      </c>
      <c r="T224" s="138">
        <f t="shared" si="23"/>
        <v>0</v>
      </c>
      <c r="AR224" s="139" t="s">
        <v>496</v>
      </c>
      <c r="AT224" s="139" t="s">
        <v>339</v>
      </c>
      <c r="AU224" s="139" t="s">
        <v>113</v>
      </c>
      <c r="AY224" s="2" t="s">
        <v>337</v>
      </c>
      <c r="BE224" s="140">
        <f t="shared" si="24"/>
        <v>0</v>
      </c>
      <c r="BF224" s="140">
        <f t="shared" si="25"/>
        <v>0</v>
      </c>
      <c r="BG224" s="140">
        <f t="shared" si="26"/>
        <v>0</v>
      </c>
      <c r="BH224" s="140">
        <f t="shared" si="27"/>
        <v>0</v>
      </c>
      <c r="BI224" s="140">
        <f t="shared" si="28"/>
        <v>0</v>
      </c>
      <c r="BJ224" s="2" t="s">
        <v>87</v>
      </c>
      <c r="BK224" s="140">
        <f t="shared" si="29"/>
        <v>0</v>
      </c>
      <c r="BL224" s="2" t="s">
        <v>496</v>
      </c>
      <c r="BM224" s="139" t="s">
        <v>7905</v>
      </c>
    </row>
    <row r="225" spans="2:65" s="16" customFormat="1" ht="16.5" customHeight="1" x14ac:dyDescent="0.2">
      <c r="B225" s="17"/>
      <c r="C225" s="128">
        <v>75</v>
      </c>
      <c r="D225" s="128" t="s">
        <v>339</v>
      </c>
      <c r="E225" s="129" t="s">
        <v>7906</v>
      </c>
      <c r="F225" s="130" t="s">
        <v>7876</v>
      </c>
      <c r="G225" s="131" t="s">
        <v>449</v>
      </c>
      <c r="H225" s="132">
        <v>2</v>
      </c>
      <c r="I225" s="133"/>
      <c r="J225" s="134">
        <f t="shared" si="20"/>
        <v>0</v>
      </c>
      <c r="K225" s="130"/>
      <c r="L225" s="17"/>
      <c r="M225" s="135"/>
      <c r="N225" s="136" t="s">
        <v>45</v>
      </c>
      <c r="P225" s="137">
        <f t="shared" si="21"/>
        <v>0</v>
      </c>
      <c r="Q225" s="137">
        <v>0</v>
      </c>
      <c r="R225" s="137">
        <f t="shared" si="22"/>
        <v>0</v>
      </c>
      <c r="S225" s="137">
        <v>0</v>
      </c>
      <c r="T225" s="138">
        <f t="shared" si="23"/>
        <v>0</v>
      </c>
      <c r="AR225" s="139" t="s">
        <v>496</v>
      </c>
      <c r="AT225" s="139" t="s">
        <v>339</v>
      </c>
      <c r="AU225" s="139" t="s">
        <v>113</v>
      </c>
      <c r="AY225" s="2" t="s">
        <v>337</v>
      </c>
      <c r="BE225" s="140">
        <f t="shared" si="24"/>
        <v>0</v>
      </c>
      <c r="BF225" s="140">
        <f t="shared" si="25"/>
        <v>0</v>
      </c>
      <c r="BG225" s="140">
        <f t="shared" si="26"/>
        <v>0</v>
      </c>
      <c r="BH225" s="140">
        <f t="shared" si="27"/>
        <v>0</v>
      </c>
      <c r="BI225" s="140">
        <f t="shared" si="28"/>
        <v>0</v>
      </c>
      <c r="BJ225" s="2" t="s">
        <v>87</v>
      </c>
      <c r="BK225" s="140">
        <f t="shared" si="29"/>
        <v>0</v>
      </c>
      <c r="BL225" s="2" t="s">
        <v>496</v>
      </c>
      <c r="BM225" s="139" t="s">
        <v>7907</v>
      </c>
    </row>
    <row r="226" spans="2:65" s="16" customFormat="1" ht="16.5" customHeight="1" x14ac:dyDescent="0.2">
      <c r="B226" s="17"/>
      <c r="C226" s="128">
        <v>76</v>
      </c>
      <c r="D226" s="128" t="s">
        <v>339</v>
      </c>
      <c r="E226" s="129" t="s">
        <v>7908</v>
      </c>
      <c r="F226" s="130" t="s">
        <v>7909</v>
      </c>
      <c r="G226" s="131" t="s">
        <v>449</v>
      </c>
      <c r="H226" s="132">
        <v>3</v>
      </c>
      <c r="I226" s="133"/>
      <c r="J226" s="134">
        <f t="shared" si="20"/>
        <v>0</v>
      </c>
      <c r="K226" s="130"/>
      <c r="L226" s="17"/>
      <c r="M226" s="135"/>
      <c r="N226" s="136" t="s">
        <v>45</v>
      </c>
      <c r="P226" s="137">
        <f t="shared" si="21"/>
        <v>0</v>
      </c>
      <c r="Q226" s="137">
        <v>0</v>
      </c>
      <c r="R226" s="137">
        <f t="shared" si="22"/>
        <v>0</v>
      </c>
      <c r="S226" s="137">
        <v>0</v>
      </c>
      <c r="T226" s="138">
        <f t="shared" si="23"/>
        <v>0</v>
      </c>
      <c r="AR226" s="139" t="s">
        <v>496</v>
      </c>
      <c r="AT226" s="139" t="s">
        <v>339</v>
      </c>
      <c r="AU226" s="139" t="s">
        <v>113</v>
      </c>
      <c r="AY226" s="2" t="s">
        <v>337</v>
      </c>
      <c r="BE226" s="140">
        <f t="shared" si="24"/>
        <v>0</v>
      </c>
      <c r="BF226" s="140">
        <f t="shared" si="25"/>
        <v>0</v>
      </c>
      <c r="BG226" s="140">
        <f t="shared" si="26"/>
        <v>0</v>
      </c>
      <c r="BH226" s="140">
        <f t="shared" si="27"/>
        <v>0</v>
      </c>
      <c r="BI226" s="140">
        <f t="shared" si="28"/>
        <v>0</v>
      </c>
      <c r="BJ226" s="2" t="s">
        <v>87</v>
      </c>
      <c r="BK226" s="140">
        <f t="shared" si="29"/>
        <v>0</v>
      </c>
      <c r="BL226" s="2" t="s">
        <v>496</v>
      </c>
      <c r="BM226" s="139" t="s">
        <v>7910</v>
      </c>
    </row>
    <row r="227" spans="2:65" s="16" customFormat="1" ht="16.5" customHeight="1" x14ac:dyDescent="0.2">
      <c r="B227" s="17"/>
      <c r="C227" s="128">
        <v>77</v>
      </c>
      <c r="D227" s="128" t="s">
        <v>339</v>
      </c>
      <c r="E227" s="129" t="s">
        <v>7911</v>
      </c>
      <c r="F227" s="130" t="s">
        <v>7879</v>
      </c>
      <c r="G227" s="131" t="s">
        <v>449</v>
      </c>
      <c r="H227" s="132">
        <v>2</v>
      </c>
      <c r="I227" s="133"/>
      <c r="J227" s="134">
        <f t="shared" si="20"/>
        <v>0</v>
      </c>
      <c r="K227" s="130"/>
      <c r="L227" s="17"/>
      <c r="M227" s="135"/>
      <c r="N227" s="136" t="s">
        <v>45</v>
      </c>
      <c r="P227" s="137">
        <f t="shared" si="21"/>
        <v>0</v>
      </c>
      <c r="Q227" s="137">
        <v>0</v>
      </c>
      <c r="R227" s="137">
        <f t="shared" si="22"/>
        <v>0</v>
      </c>
      <c r="S227" s="137">
        <v>0</v>
      </c>
      <c r="T227" s="138">
        <f t="shared" si="23"/>
        <v>0</v>
      </c>
      <c r="AR227" s="139" t="s">
        <v>496</v>
      </c>
      <c r="AT227" s="139" t="s">
        <v>339</v>
      </c>
      <c r="AU227" s="139" t="s">
        <v>113</v>
      </c>
      <c r="AY227" s="2" t="s">
        <v>337</v>
      </c>
      <c r="BE227" s="140">
        <f t="shared" si="24"/>
        <v>0</v>
      </c>
      <c r="BF227" s="140">
        <f t="shared" si="25"/>
        <v>0</v>
      </c>
      <c r="BG227" s="140">
        <f t="shared" si="26"/>
        <v>0</v>
      </c>
      <c r="BH227" s="140">
        <f t="shared" si="27"/>
        <v>0</v>
      </c>
      <c r="BI227" s="140">
        <f t="shared" si="28"/>
        <v>0</v>
      </c>
      <c r="BJ227" s="2" t="s">
        <v>87</v>
      </c>
      <c r="BK227" s="140">
        <f t="shared" si="29"/>
        <v>0</v>
      </c>
      <c r="BL227" s="2" t="s">
        <v>496</v>
      </c>
      <c r="BM227" s="139" t="s">
        <v>7912</v>
      </c>
    </row>
    <row r="228" spans="2:65" s="16" customFormat="1" ht="16.5" customHeight="1" x14ac:dyDescent="0.2">
      <c r="B228" s="17"/>
      <c r="C228" s="128">
        <v>78</v>
      </c>
      <c r="D228" s="128" t="s">
        <v>339</v>
      </c>
      <c r="E228" s="129" t="s">
        <v>7913</v>
      </c>
      <c r="F228" s="130" t="s">
        <v>7914</v>
      </c>
      <c r="G228" s="131" t="s">
        <v>449</v>
      </c>
      <c r="H228" s="132">
        <v>3</v>
      </c>
      <c r="I228" s="133"/>
      <c r="J228" s="134">
        <f t="shared" si="20"/>
        <v>0</v>
      </c>
      <c r="K228" s="130"/>
      <c r="L228" s="17"/>
      <c r="M228" s="135"/>
      <c r="N228" s="136" t="s">
        <v>45</v>
      </c>
      <c r="P228" s="137">
        <f t="shared" si="21"/>
        <v>0</v>
      </c>
      <c r="Q228" s="137">
        <v>0</v>
      </c>
      <c r="R228" s="137">
        <f t="shared" si="22"/>
        <v>0</v>
      </c>
      <c r="S228" s="137">
        <v>0</v>
      </c>
      <c r="T228" s="138">
        <f t="shared" si="23"/>
        <v>0</v>
      </c>
      <c r="AR228" s="139" t="s">
        <v>496</v>
      </c>
      <c r="AT228" s="139" t="s">
        <v>339</v>
      </c>
      <c r="AU228" s="139" t="s">
        <v>113</v>
      </c>
      <c r="AY228" s="2" t="s">
        <v>337</v>
      </c>
      <c r="BE228" s="140">
        <f t="shared" si="24"/>
        <v>0</v>
      </c>
      <c r="BF228" s="140">
        <f t="shared" si="25"/>
        <v>0</v>
      </c>
      <c r="BG228" s="140">
        <f t="shared" si="26"/>
        <v>0</v>
      </c>
      <c r="BH228" s="140">
        <f t="shared" si="27"/>
        <v>0</v>
      </c>
      <c r="BI228" s="140">
        <f t="shared" si="28"/>
        <v>0</v>
      </c>
      <c r="BJ228" s="2" t="s">
        <v>87</v>
      </c>
      <c r="BK228" s="140">
        <f t="shared" si="29"/>
        <v>0</v>
      </c>
      <c r="BL228" s="2" t="s">
        <v>496</v>
      </c>
      <c r="BM228" s="139" t="s">
        <v>7915</v>
      </c>
    </row>
    <row r="229" spans="2:65" s="16" customFormat="1" ht="16.5" customHeight="1" x14ac:dyDescent="0.2">
      <c r="B229" s="17"/>
      <c r="C229" s="128">
        <v>79</v>
      </c>
      <c r="D229" s="128" t="s">
        <v>339</v>
      </c>
      <c r="E229" s="129" t="s">
        <v>7916</v>
      </c>
      <c r="F229" s="130" t="s">
        <v>7917</v>
      </c>
      <c r="G229" s="131" t="s">
        <v>449</v>
      </c>
      <c r="H229" s="132">
        <v>2</v>
      </c>
      <c r="I229" s="133"/>
      <c r="J229" s="134">
        <f t="shared" si="20"/>
        <v>0</v>
      </c>
      <c r="K229" s="130"/>
      <c r="L229" s="17"/>
      <c r="M229" s="135"/>
      <c r="N229" s="136" t="s">
        <v>45</v>
      </c>
      <c r="P229" s="137">
        <f t="shared" si="21"/>
        <v>0</v>
      </c>
      <c r="Q229" s="137">
        <v>0</v>
      </c>
      <c r="R229" s="137">
        <f t="shared" si="22"/>
        <v>0</v>
      </c>
      <c r="S229" s="137">
        <v>0</v>
      </c>
      <c r="T229" s="138">
        <f t="shared" si="23"/>
        <v>0</v>
      </c>
      <c r="AR229" s="139" t="s">
        <v>496</v>
      </c>
      <c r="AT229" s="139" t="s">
        <v>339</v>
      </c>
      <c r="AU229" s="139" t="s">
        <v>113</v>
      </c>
      <c r="AY229" s="2" t="s">
        <v>337</v>
      </c>
      <c r="BE229" s="140">
        <f t="shared" si="24"/>
        <v>0</v>
      </c>
      <c r="BF229" s="140">
        <f t="shared" si="25"/>
        <v>0</v>
      </c>
      <c r="BG229" s="140">
        <f t="shared" si="26"/>
        <v>0</v>
      </c>
      <c r="BH229" s="140">
        <f t="shared" si="27"/>
        <v>0</v>
      </c>
      <c r="BI229" s="140">
        <f t="shared" si="28"/>
        <v>0</v>
      </c>
      <c r="BJ229" s="2" t="s">
        <v>87</v>
      </c>
      <c r="BK229" s="140">
        <f t="shared" si="29"/>
        <v>0</v>
      </c>
      <c r="BL229" s="2" t="s">
        <v>496</v>
      </c>
      <c r="BM229" s="139" t="s">
        <v>7918</v>
      </c>
    </row>
    <row r="230" spans="2:65" s="16" customFormat="1" ht="16.5" customHeight="1" x14ac:dyDescent="0.2">
      <c r="B230" s="17"/>
      <c r="C230" s="128">
        <v>80</v>
      </c>
      <c r="D230" s="128" t="s">
        <v>339</v>
      </c>
      <c r="E230" s="129" t="s">
        <v>7919</v>
      </c>
      <c r="F230" s="130" t="s">
        <v>7920</v>
      </c>
      <c r="G230" s="131" t="s">
        <v>449</v>
      </c>
      <c r="H230" s="132">
        <v>2</v>
      </c>
      <c r="I230" s="133"/>
      <c r="J230" s="134">
        <f t="shared" si="20"/>
        <v>0</v>
      </c>
      <c r="K230" s="130"/>
      <c r="L230" s="17"/>
      <c r="M230" s="135"/>
      <c r="N230" s="136" t="s">
        <v>45</v>
      </c>
      <c r="P230" s="137">
        <f t="shared" si="21"/>
        <v>0</v>
      </c>
      <c r="Q230" s="137">
        <v>0</v>
      </c>
      <c r="R230" s="137">
        <f t="shared" si="22"/>
        <v>0</v>
      </c>
      <c r="S230" s="137">
        <v>0</v>
      </c>
      <c r="T230" s="138">
        <f t="shared" si="23"/>
        <v>0</v>
      </c>
      <c r="AR230" s="139" t="s">
        <v>496</v>
      </c>
      <c r="AT230" s="139" t="s">
        <v>339</v>
      </c>
      <c r="AU230" s="139" t="s">
        <v>113</v>
      </c>
      <c r="AY230" s="2" t="s">
        <v>337</v>
      </c>
      <c r="BE230" s="140">
        <f t="shared" si="24"/>
        <v>0</v>
      </c>
      <c r="BF230" s="140">
        <f t="shared" si="25"/>
        <v>0</v>
      </c>
      <c r="BG230" s="140">
        <f t="shared" si="26"/>
        <v>0</v>
      </c>
      <c r="BH230" s="140">
        <f t="shared" si="27"/>
        <v>0</v>
      </c>
      <c r="BI230" s="140">
        <f t="shared" si="28"/>
        <v>0</v>
      </c>
      <c r="BJ230" s="2" t="s">
        <v>87</v>
      </c>
      <c r="BK230" s="140">
        <f t="shared" si="29"/>
        <v>0</v>
      </c>
      <c r="BL230" s="2" t="s">
        <v>496</v>
      </c>
      <c r="BM230" s="139" t="s">
        <v>7921</v>
      </c>
    </row>
    <row r="231" spans="2:65" s="16" customFormat="1" ht="16.5" customHeight="1" x14ac:dyDescent="0.2">
      <c r="B231" s="17"/>
      <c r="C231" s="128">
        <v>81</v>
      </c>
      <c r="D231" s="128" t="s">
        <v>339</v>
      </c>
      <c r="E231" s="129" t="s">
        <v>7922</v>
      </c>
      <c r="F231" s="130" t="s">
        <v>7876</v>
      </c>
      <c r="G231" s="131" t="s">
        <v>449</v>
      </c>
      <c r="H231" s="132">
        <v>4</v>
      </c>
      <c r="I231" s="133"/>
      <c r="J231" s="134">
        <f t="shared" si="20"/>
        <v>0</v>
      </c>
      <c r="K231" s="130"/>
      <c r="L231" s="17"/>
      <c r="M231" s="135"/>
      <c r="N231" s="136" t="s">
        <v>45</v>
      </c>
      <c r="P231" s="137">
        <f t="shared" si="21"/>
        <v>0</v>
      </c>
      <c r="Q231" s="137">
        <v>0</v>
      </c>
      <c r="R231" s="137">
        <f t="shared" si="22"/>
        <v>0</v>
      </c>
      <c r="S231" s="137">
        <v>0</v>
      </c>
      <c r="T231" s="138">
        <f t="shared" si="23"/>
        <v>0</v>
      </c>
      <c r="AR231" s="139" t="s">
        <v>496</v>
      </c>
      <c r="AT231" s="139" t="s">
        <v>339</v>
      </c>
      <c r="AU231" s="139" t="s">
        <v>113</v>
      </c>
      <c r="AY231" s="2" t="s">
        <v>337</v>
      </c>
      <c r="BE231" s="140">
        <f t="shared" si="24"/>
        <v>0</v>
      </c>
      <c r="BF231" s="140">
        <f t="shared" si="25"/>
        <v>0</v>
      </c>
      <c r="BG231" s="140">
        <f t="shared" si="26"/>
        <v>0</v>
      </c>
      <c r="BH231" s="140">
        <f t="shared" si="27"/>
        <v>0</v>
      </c>
      <c r="BI231" s="140">
        <f t="shared" si="28"/>
        <v>0</v>
      </c>
      <c r="BJ231" s="2" t="s">
        <v>87</v>
      </c>
      <c r="BK231" s="140">
        <f t="shared" si="29"/>
        <v>0</v>
      </c>
      <c r="BL231" s="2" t="s">
        <v>496</v>
      </c>
      <c r="BM231" s="139" t="s">
        <v>7923</v>
      </c>
    </row>
    <row r="232" spans="2:65" s="16" customFormat="1" ht="16.5" customHeight="1" x14ac:dyDescent="0.2">
      <c r="B232" s="17"/>
      <c r="C232" s="128">
        <v>82</v>
      </c>
      <c r="D232" s="128" t="s">
        <v>339</v>
      </c>
      <c r="E232" s="129" t="s">
        <v>7924</v>
      </c>
      <c r="F232" s="130" t="s">
        <v>7925</v>
      </c>
      <c r="G232" s="131" t="s">
        <v>449</v>
      </c>
      <c r="H232" s="132">
        <v>1</v>
      </c>
      <c r="I232" s="133"/>
      <c r="J232" s="134">
        <f t="shared" si="20"/>
        <v>0</v>
      </c>
      <c r="K232" s="130"/>
      <c r="L232" s="17"/>
      <c r="M232" s="135"/>
      <c r="N232" s="136" t="s">
        <v>45</v>
      </c>
      <c r="P232" s="137">
        <f t="shared" si="21"/>
        <v>0</v>
      </c>
      <c r="Q232" s="137">
        <v>0</v>
      </c>
      <c r="R232" s="137">
        <f t="shared" si="22"/>
        <v>0</v>
      </c>
      <c r="S232" s="137">
        <v>0</v>
      </c>
      <c r="T232" s="138">
        <f t="shared" si="23"/>
        <v>0</v>
      </c>
      <c r="AR232" s="139" t="s">
        <v>496</v>
      </c>
      <c r="AT232" s="139" t="s">
        <v>339</v>
      </c>
      <c r="AU232" s="139" t="s">
        <v>113</v>
      </c>
      <c r="AY232" s="2" t="s">
        <v>337</v>
      </c>
      <c r="BE232" s="140">
        <f t="shared" si="24"/>
        <v>0</v>
      </c>
      <c r="BF232" s="140">
        <f t="shared" si="25"/>
        <v>0</v>
      </c>
      <c r="BG232" s="140">
        <f t="shared" si="26"/>
        <v>0</v>
      </c>
      <c r="BH232" s="140">
        <f t="shared" si="27"/>
        <v>0</v>
      </c>
      <c r="BI232" s="140">
        <f t="shared" si="28"/>
        <v>0</v>
      </c>
      <c r="BJ232" s="2" t="s">
        <v>87</v>
      </c>
      <c r="BK232" s="140">
        <f t="shared" si="29"/>
        <v>0</v>
      </c>
      <c r="BL232" s="2" t="s">
        <v>496</v>
      </c>
      <c r="BM232" s="139" t="s">
        <v>7926</v>
      </c>
    </row>
    <row r="233" spans="2:65" s="16" customFormat="1" ht="16.5" customHeight="1" x14ac:dyDescent="0.2">
      <c r="B233" s="17"/>
      <c r="C233" s="128">
        <v>83</v>
      </c>
      <c r="D233" s="128" t="s">
        <v>339</v>
      </c>
      <c r="E233" s="129" t="s">
        <v>7927</v>
      </c>
      <c r="F233" s="130" t="s">
        <v>7928</v>
      </c>
      <c r="G233" s="131" t="s">
        <v>449</v>
      </c>
      <c r="H233" s="132">
        <v>2</v>
      </c>
      <c r="I233" s="133"/>
      <c r="J233" s="134">
        <f t="shared" si="20"/>
        <v>0</v>
      </c>
      <c r="K233" s="130"/>
      <c r="L233" s="17"/>
      <c r="M233" s="135"/>
      <c r="N233" s="136" t="s">
        <v>45</v>
      </c>
      <c r="P233" s="137">
        <f t="shared" si="21"/>
        <v>0</v>
      </c>
      <c r="Q233" s="137">
        <v>0</v>
      </c>
      <c r="R233" s="137">
        <f t="shared" si="22"/>
        <v>0</v>
      </c>
      <c r="S233" s="137">
        <v>0</v>
      </c>
      <c r="T233" s="138">
        <f t="shared" si="23"/>
        <v>0</v>
      </c>
      <c r="AR233" s="139" t="s">
        <v>496</v>
      </c>
      <c r="AT233" s="139" t="s">
        <v>339</v>
      </c>
      <c r="AU233" s="139" t="s">
        <v>113</v>
      </c>
      <c r="AY233" s="2" t="s">
        <v>337</v>
      </c>
      <c r="BE233" s="140">
        <f t="shared" si="24"/>
        <v>0</v>
      </c>
      <c r="BF233" s="140">
        <f t="shared" si="25"/>
        <v>0</v>
      </c>
      <c r="BG233" s="140">
        <f t="shared" si="26"/>
        <v>0</v>
      </c>
      <c r="BH233" s="140">
        <f t="shared" si="27"/>
        <v>0</v>
      </c>
      <c r="BI233" s="140">
        <f t="shared" si="28"/>
        <v>0</v>
      </c>
      <c r="BJ233" s="2" t="s">
        <v>87</v>
      </c>
      <c r="BK233" s="140">
        <f t="shared" si="29"/>
        <v>0</v>
      </c>
      <c r="BL233" s="2" t="s">
        <v>496</v>
      </c>
      <c r="BM233" s="139" t="s">
        <v>7929</v>
      </c>
    </row>
    <row r="234" spans="2:65" s="16" customFormat="1" ht="16.5" customHeight="1" x14ac:dyDescent="0.2">
      <c r="B234" s="17"/>
      <c r="C234" s="128">
        <v>84</v>
      </c>
      <c r="D234" s="128" t="s">
        <v>339</v>
      </c>
      <c r="E234" s="129" t="s">
        <v>7930</v>
      </c>
      <c r="F234" s="130" t="s">
        <v>7879</v>
      </c>
      <c r="G234" s="131" t="s">
        <v>449</v>
      </c>
      <c r="H234" s="132">
        <v>1</v>
      </c>
      <c r="I234" s="133"/>
      <c r="J234" s="134">
        <f t="shared" si="20"/>
        <v>0</v>
      </c>
      <c r="K234" s="130"/>
      <c r="L234" s="17"/>
      <c r="M234" s="135"/>
      <c r="N234" s="136" t="s">
        <v>45</v>
      </c>
      <c r="P234" s="137">
        <f t="shared" si="21"/>
        <v>0</v>
      </c>
      <c r="Q234" s="137">
        <v>0</v>
      </c>
      <c r="R234" s="137">
        <f t="shared" si="22"/>
        <v>0</v>
      </c>
      <c r="S234" s="137">
        <v>0</v>
      </c>
      <c r="T234" s="138">
        <f t="shared" si="23"/>
        <v>0</v>
      </c>
      <c r="AR234" s="139" t="s">
        <v>496</v>
      </c>
      <c r="AT234" s="139" t="s">
        <v>339</v>
      </c>
      <c r="AU234" s="139" t="s">
        <v>113</v>
      </c>
      <c r="AY234" s="2" t="s">
        <v>337</v>
      </c>
      <c r="BE234" s="140">
        <f t="shared" si="24"/>
        <v>0</v>
      </c>
      <c r="BF234" s="140">
        <f t="shared" si="25"/>
        <v>0</v>
      </c>
      <c r="BG234" s="140">
        <f t="shared" si="26"/>
        <v>0</v>
      </c>
      <c r="BH234" s="140">
        <f t="shared" si="27"/>
        <v>0</v>
      </c>
      <c r="BI234" s="140">
        <f t="shared" si="28"/>
        <v>0</v>
      </c>
      <c r="BJ234" s="2" t="s">
        <v>87</v>
      </c>
      <c r="BK234" s="140">
        <f t="shared" si="29"/>
        <v>0</v>
      </c>
      <c r="BL234" s="2" t="s">
        <v>496</v>
      </c>
      <c r="BM234" s="139" t="s">
        <v>7931</v>
      </c>
    </row>
    <row r="235" spans="2:65" s="16" customFormat="1" ht="16.5" customHeight="1" x14ac:dyDescent="0.2">
      <c r="B235" s="17"/>
      <c r="C235" s="128">
        <v>85</v>
      </c>
      <c r="D235" s="128" t="s">
        <v>339</v>
      </c>
      <c r="E235" s="129" t="s">
        <v>7932</v>
      </c>
      <c r="F235" s="130" t="s">
        <v>7933</v>
      </c>
      <c r="G235" s="131" t="s">
        <v>449</v>
      </c>
      <c r="H235" s="132">
        <v>2</v>
      </c>
      <c r="I235" s="133"/>
      <c r="J235" s="134">
        <f t="shared" si="20"/>
        <v>0</v>
      </c>
      <c r="K235" s="130"/>
      <c r="L235" s="17"/>
      <c r="M235" s="135"/>
      <c r="N235" s="136" t="s">
        <v>45</v>
      </c>
      <c r="P235" s="137">
        <f t="shared" si="21"/>
        <v>0</v>
      </c>
      <c r="Q235" s="137">
        <v>0</v>
      </c>
      <c r="R235" s="137">
        <f t="shared" si="22"/>
        <v>0</v>
      </c>
      <c r="S235" s="137">
        <v>0</v>
      </c>
      <c r="T235" s="138">
        <f t="shared" si="23"/>
        <v>0</v>
      </c>
      <c r="AR235" s="139" t="s">
        <v>496</v>
      </c>
      <c r="AT235" s="139" t="s">
        <v>339</v>
      </c>
      <c r="AU235" s="139" t="s">
        <v>113</v>
      </c>
      <c r="AY235" s="2" t="s">
        <v>337</v>
      </c>
      <c r="BE235" s="140">
        <f t="shared" si="24"/>
        <v>0</v>
      </c>
      <c r="BF235" s="140">
        <f t="shared" si="25"/>
        <v>0</v>
      </c>
      <c r="BG235" s="140">
        <f t="shared" si="26"/>
        <v>0</v>
      </c>
      <c r="BH235" s="140">
        <f t="shared" si="27"/>
        <v>0</v>
      </c>
      <c r="BI235" s="140">
        <f t="shared" si="28"/>
        <v>0</v>
      </c>
      <c r="BJ235" s="2" t="s">
        <v>87</v>
      </c>
      <c r="BK235" s="140">
        <f t="shared" si="29"/>
        <v>0</v>
      </c>
      <c r="BL235" s="2" t="s">
        <v>496</v>
      </c>
      <c r="BM235" s="139" t="s">
        <v>7934</v>
      </c>
    </row>
    <row r="236" spans="2:65" s="16" customFormat="1" ht="16.5" customHeight="1" x14ac:dyDescent="0.2">
      <c r="B236" s="17"/>
      <c r="C236" s="128">
        <v>86</v>
      </c>
      <c r="D236" s="128" t="s">
        <v>339</v>
      </c>
      <c r="E236" s="129" t="s">
        <v>7935</v>
      </c>
      <c r="F236" s="130" t="s">
        <v>7882</v>
      </c>
      <c r="G236" s="131" t="s">
        <v>449</v>
      </c>
      <c r="H236" s="132">
        <v>2</v>
      </c>
      <c r="I236" s="133"/>
      <c r="J236" s="134">
        <f t="shared" si="20"/>
        <v>0</v>
      </c>
      <c r="K236" s="130"/>
      <c r="L236" s="17"/>
      <c r="M236" s="135"/>
      <c r="N236" s="136" t="s">
        <v>45</v>
      </c>
      <c r="P236" s="137">
        <f t="shared" si="21"/>
        <v>0</v>
      </c>
      <c r="Q236" s="137">
        <v>0</v>
      </c>
      <c r="R236" s="137">
        <f t="shared" si="22"/>
        <v>0</v>
      </c>
      <c r="S236" s="137">
        <v>0</v>
      </c>
      <c r="T236" s="138">
        <f t="shared" si="23"/>
        <v>0</v>
      </c>
      <c r="AR236" s="139" t="s">
        <v>496</v>
      </c>
      <c r="AT236" s="139" t="s">
        <v>339</v>
      </c>
      <c r="AU236" s="139" t="s">
        <v>113</v>
      </c>
      <c r="AY236" s="2" t="s">
        <v>337</v>
      </c>
      <c r="BE236" s="140">
        <f t="shared" si="24"/>
        <v>0</v>
      </c>
      <c r="BF236" s="140">
        <f t="shared" si="25"/>
        <v>0</v>
      </c>
      <c r="BG236" s="140">
        <f t="shared" si="26"/>
        <v>0</v>
      </c>
      <c r="BH236" s="140">
        <f t="shared" si="27"/>
        <v>0</v>
      </c>
      <c r="BI236" s="140">
        <f t="shared" si="28"/>
        <v>0</v>
      </c>
      <c r="BJ236" s="2" t="s">
        <v>87</v>
      </c>
      <c r="BK236" s="140">
        <f t="shared" si="29"/>
        <v>0</v>
      </c>
      <c r="BL236" s="2" t="s">
        <v>496</v>
      </c>
      <c r="BM236" s="139" t="s">
        <v>7936</v>
      </c>
    </row>
    <row r="237" spans="2:65" s="16" customFormat="1" ht="16.5" customHeight="1" x14ac:dyDescent="0.2">
      <c r="B237" s="17"/>
      <c r="C237" s="128">
        <v>87</v>
      </c>
      <c r="D237" s="128" t="s">
        <v>339</v>
      </c>
      <c r="E237" s="129" t="s">
        <v>7937</v>
      </c>
      <c r="F237" s="130" t="s">
        <v>7885</v>
      </c>
      <c r="G237" s="131" t="s">
        <v>449</v>
      </c>
      <c r="H237" s="132">
        <v>2</v>
      </c>
      <c r="I237" s="133"/>
      <c r="J237" s="134">
        <f t="shared" si="20"/>
        <v>0</v>
      </c>
      <c r="K237" s="130"/>
      <c r="L237" s="17"/>
      <c r="M237" s="135"/>
      <c r="N237" s="136" t="s">
        <v>45</v>
      </c>
      <c r="P237" s="137">
        <f t="shared" si="21"/>
        <v>0</v>
      </c>
      <c r="Q237" s="137">
        <v>0</v>
      </c>
      <c r="R237" s="137">
        <f t="shared" si="22"/>
        <v>0</v>
      </c>
      <c r="S237" s="137">
        <v>0</v>
      </c>
      <c r="T237" s="138">
        <f t="shared" si="23"/>
        <v>0</v>
      </c>
      <c r="AR237" s="139" t="s">
        <v>496</v>
      </c>
      <c r="AT237" s="139" t="s">
        <v>339</v>
      </c>
      <c r="AU237" s="139" t="s">
        <v>113</v>
      </c>
      <c r="AY237" s="2" t="s">
        <v>337</v>
      </c>
      <c r="BE237" s="140">
        <f t="shared" si="24"/>
        <v>0</v>
      </c>
      <c r="BF237" s="140">
        <f t="shared" si="25"/>
        <v>0</v>
      </c>
      <c r="BG237" s="140">
        <f t="shared" si="26"/>
        <v>0</v>
      </c>
      <c r="BH237" s="140">
        <f t="shared" si="27"/>
        <v>0</v>
      </c>
      <c r="BI237" s="140">
        <f t="shared" si="28"/>
        <v>0</v>
      </c>
      <c r="BJ237" s="2" t="s">
        <v>87</v>
      </c>
      <c r="BK237" s="140">
        <f t="shared" si="29"/>
        <v>0</v>
      </c>
      <c r="BL237" s="2" t="s">
        <v>496</v>
      </c>
      <c r="BM237" s="139" t="s">
        <v>7938</v>
      </c>
    </row>
    <row r="238" spans="2:65" s="16" customFormat="1" ht="16.5" customHeight="1" x14ac:dyDescent="0.2">
      <c r="B238" s="17"/>
      <c r="C238" s="128">
        <v>88</v>
      </c>
      <c r="D238" s="128" t="s">
        <v>339</v>
      </c>
      <c r="E238" s="129" t="s">
        <v>7939</v>
      </c>
      <c r="F238" s="130" t="s">
        <v>7876</v>
      </c>
      <c r="G238" s="131" t="s">
        <v>449</v>
      </c>
      <c r="H238" s="132">
        <v>4</v>
      </c>
      <c r="I238" s="133"/>
      <c r="J238" s="134">
        <f t="shared" si="20"/>
        <v>0</v>
      </c>
      <c r="K238" s="130"/>
      <c r="L238" s="17"/>
      <c r="M238" s="135"/>
      <c r="N238" s="136" t="s">
        <v>45</v>
      </c>
      <c r="P238" s="137">
        <f t="shared" si="21"/>
        <v>0</v>
      </c>
      <c r="Q238" s="137">
        <v>0</v>
      </c>
      <c r="R238" s="137">
        <f t="shared" si="22"/>
        <v>0</v>
      </c>
      <c r="S238" s="137">
        <v>0</v>
      </c>
      <c r="T238" s="138">
        <f t="shared" si="23"/>
        <v>0</v>
      </c>
      <c r="AR238" s="139" t="s">
        <v>496</v>
      </c>
      <c r="AT238" s="139" t="s">
        <v>339</v>
      </c>
      <c r="AU238" s="139" t="s">
        <v>113</v>
      </c>
      <c r="AY238" s="2" t="s">
        <v>337</v>
      </c>
      <c r="BE238" s="140">
        <f t="shared" si="24"/>
        <v>0</v>
      </c>
      <c r="BF238" s="140">
        <f t="shared" si="25"/>
        <v>0</v>
      </c>
      <c r="BG238" s="140">
        <f t="shared" si="26"/>
        <v>0</v>
      </c>
      <c r="BH238" s="140">
        <f t="shared" si="27"/>
        <v>0</v>
      </c>
      <c r="BI238" s="140">
        <f t="shared" si="28"/>
        <v>0</v>
      </c>
      <c r="BJ238" s="2" t="s">
        <v>87</v>
      </c>
      <c r="BK238" s="140">
        <f t="shared" si="29"/>
        <v>0</v>
      </c>
      <c r="BL238" s="2" t="s">
        <v>496</v>
      </c>
      <c r="BM238" s="139" t="s">
        <v>7940</v>
      </c>
    </row>
    <row r="239" spans="2:65" s="16" customFormat="1" ht="16.5" customHeight="1" x14ac:dyDescent="0.2">
      <c r="B239" s="17"/>
      <c r="C239" s="128">
        <v>89</v>
      </c>
      <c r="D239" s="128" t="s">
        <v>339</v>
      </c>
      <c r="E239" s="129" t="s">
        <v>7941</v>
      </c>
      <c r="F239" s="130" t="s">
        <v>7879</v>
      </c>
      <c r="G239" s="131" t="s">
        <v>449</v>
      </c>
      <c r="H239" s="132">
        <v>4</v>
      </c>
      <c r="I239" s="133"/>
      <c r="J239" s="134">
        <f t="shared" si="20"/>
        <v>0</v>
      </c>
      <c r="K239" s="130"/>
      <c r="L239" s="17"/>
      <c r="M239" s="135"/>
      <c r="N239" s="136" t="s">
        <v>45</v>
      </c>
      <c r="P239" s="137">
        <f t="shared" si="21"/>
        <v>0</v>
      </c>
      <c r="Q239" s="137">
        <v>0</v>
      </c>
      <c r="R239" s="137">
        <f t="shared" si="22"/>
        <v>0</v>
      </c>
      <c r="S239" s="137">
        <v>0</v>
      </c>
      <c r="T239" s="138">
        <f t="shared" si="23"/>
        <v>0</v>
      </c>
      <c r="AR239" s="139" t="s">
        <v>496</v>
      </c>
      <c r="AT239" s="139" t="s">
        <v>339</v>
      </c>
      <c r="AU239" s="139" t="s">
        <v>113</v>
      </c>
      <c r="AY239" s="2" t="s">
        <v>337</v>
      </c>
      <c r="BE239" s="140">
        <f t="shared" si="24"/>
        <v>0</v>
      </c>
      <c r="BF239" s="140">
        <f t="shared" si="25"/>
        <v>0</v>
      </c>
      <c r="BG239" s="140">
        <f t="shared" si="26"/>
        <v>0</v>
      </c>
      <c r="BH239" s="140">
        <f t="shared" si="27"/>
        <v>0</v>
      </c>
      <c r="BI239" s="140">
        <f t="shared" si="28"/>
        <v>0</v>
      </c>
      <c r="BJ239" s="2" t="s">
        <v>87</v>
      </c>
      <c r="BK239" s="140">
        <f t="shared" si="29"/>
        <v>0</v>
      </c>
      <c r="BL239" s="2" t="s">
        <v>496</v>
      </c>
      <c r="BM239" s="139" t="s">
        <v>7942</v>
      </c>
    </row>
    <row r="240" spans="2:65" s="16" customFormat="1" ht="16.5" customHeight="1" x14ac:dyDescent="0.2">
      <c r="B240" s="17"/>
      <c r="C240" s="128">
        <v>90</v>
      </c>
      <c r="D240" s="128" t="s">
        <v>339</v>
      </c>
      <c r="E240" s="129" t="s">
        <v>7943</v>
      </c>
      <c r="F240" s="130" t="s">
        <v>7944</v>
      </c>
      <c r="G240" s="131" t="s">
        <v>449</v>
      </c>
      <c r="H240" s="132">
        <v>2</v>
      </c>
      <c r="I240" s="133"/>
      <c r="J240" s="134">
        <f t="shared" si="20"/>
        <v>0</v>
      </c>
      <c r="K240" s="130"/>
      <c r="L240" s="17"/>
      <c r="M240" s="135"/>
      <c r="N240" s="136" t="s">
        <v>45</v>
      </c>
      <c r="P240" s="137">
        <f t="shared" si="21"/>
        <v>0</v>
      </c>
      <c r="Q240" s="137">
        <v>0</v>
      </c>
      <c r="R240" s="137">
        <f t="shared" si="22"/>
        <v>0</v>
      </c>
      <c r="S240" s="137">
        <v>0</v>
      </c>
      <c r="T240" s="138">
        <f t="shared" si="23"/>
        <v>0</v>
      </c>
      <c r="AR240" s="139" t="s">
        <v>496</v>
      </c>
      <c r="AT240" s="139" t="s">
        <v>339</v>
      </c>
      <c r="AU240" s="139" t="s">
        <v>113</v>
      </c>
      <c r="AY240" s="2" t="s">
        <v>337</v>
      </c>
      <c r="BE240" s="140">
        <f t="shared" si="24"/>
        <v>0</v>
      </c>
      <c r="BF240" s="140">
        <f t="shared" si="25"/>
        <v>0</v>
      </c>
      <c r="BG240" s="140">
        <f t="shared" si="26"/>
        <v>0</v>
      </c>
      <c r="BH240" s="140">
        <f t="shared" si="27"/>
        <v>0</v>
      </c>
      <c r="BI240" s="140">
        <f t="shared" si="28"/>
        <v>0</v>
      </c>
      <c r="BJ240" s="2" t="s">
        <v>87</v>
      </c>
      <c r="BK240" s="140">
        <f t="shared" si="29"/>
        <v>0</v>
      </c>
      <c r="BL240" s="2" t="s">
        <v>496</v>
      </c>
      <c r="BM240" s="139" t="s">
        <v>7945</v>
      </c>
    </row>
    <row r="241" spans="2:65" s="16" customFormat="1" ht="16.5" customHeight="1" x14ac:dyDescent="0.2">
      <c r="B241" s="17"/>
      <c r="C241" s="128">
        <v>91</v>
      </c>
      <c r="D241" s="128" t="s">
        <v>339</v>
      </c>
      <c r="E241" s="129" t="s">
        <v>7946</v>
      </c>
      <c r="F241" s="130" t="s">
        <v>7947</v>
      </c>
      <c r="G241" s="131" t="s">
        <v>449</v>
      </c>
      <c r="H241" s="132">
        <v>2</v>
      </c>
      <c r="I241" s="133"/>
      <c r="J241" s="134">
        <f t="shared" si="20"/>
        <v>0</v>
      </c>
      <c r="K241" s="130"/>
      <c r="L241" s="17"/>
      <c r="M241" s="135"/>
      <c r="N241" s="136" t="s">
        <v>45</v>
      </c>
      <c r="P241" s="137">
        <f t="shared" si="21"/>
        <v>0</v>
      </c>
      <c r="Q241" s="137">
        <v>0</v>
      </c>
      <c r="R241" s="137">
        <f t="shared" si="22"/>
        <v>0</v>
      </c>
      <c r="S241" s="137">
        <v>0</v>
      </c>
      <c r="T241" s="138">
        <f t="shared" si="23"/>
        <v>0</v>
      </c>
      <c r="AR241" s="139" t="s">
        <v>496</v>
      </c>
      <c r="AT241" s="139" t="s">
        <v>339</v>
      </c>
      <c r="AU241" s="139" t="s">
        <v>113</v>
      </c>
      <c r="AY241" s="2" t="s">
        <v>337</v>
      </c>
      <c r="BE241" s="140">
        <f t="shared" si="24"/>
        <v>0</v>
      </c>
      <c r="BF241" s="140">
        <f t="shared" si="25"/>
        <v>0</v>
      </c>
      <c r="BG241" s="140">
        <f t="shared" si="26"/>
        <v>0</v>
      </c>
      <c r="BH241" s="140">
        <f t="shared" si="27"/>
        <v>0</v>
      </c>
      <c r="BI241" s="140">
        <f t="shared" si="28"/>
        <v>0</v>
      </c>
      <c r="BJ241" s="2" t="s">
        <v>87</v>
      </c>
      <c r="BK241" s="140">
        <f t="shared" si="29"/>
        <v>0</v>
      </c>
      <c r="BL241" s="2" t="s">
        <v>496</v>
      </c>
      <c r="BM241" s="139" t="s">
        <v>7948</v>
      </c>
    </row>
    <row r="242" spans="2:65" s="16" customFormat="1" ht="16.5" customHeight="1" x14ac:dyDescent="0.2">
      <c r="B242" s="17"/>
      <c r="C242" s="128">
        <v>92</v>
      </c>
      <c r="D242" s="128" t="s">
        <v>339</v>
      </c>
      <c r="E242" s="129" t="s">
        <v>7949</v>
      </c>
      <c r="F242" s="130" t="s">
        <v>7876</v>
      </c>
      <c r="G242" s="131" t="s">
        <v>449</v>
      </c>
      <c r="H242" s="132">
        <v>4</v>
      </c>
      <c r="I242" s="133"/>
      <c r="J242" s="134">
        <f t="shared" si="20"/>
        <v>0</v>
      </c>
      <c r="K242" s="130"/>
      <c r="L242" s="17"/>
      <c r="M242" s="135"/>
      <c r="N242" s="136" t="s">
        <v>45</v>
      </c>
      <c r="P242" s="137">
        <f t="shared" si="21"/>
        <v>0</v>
      </c>
      <c r="Q242" s="137">
        <v>0</v>
      </c>
      <c r="R242" s="137">
        <f t="shared" si="22"/>
        <v>0</v>
      </c>
      <c r="S242" s="137">
        <v>0</v>
      </c>
      <c r="T242" s="138">
        <f t="shared" si="23"/>
        <v>0</v>
      </c>
      <c r="AR242" s="139" t="s">
        <v>496</v>
      </c>
      <c r="AT242" s="139" t="s">
        <v>339</v>
      </c>
      <c r="AU242" s="139" t="s">
        <v>113</v>
      </c>
      <c r="AY242" s="2" t="s">
        <v>337</v>
      </c>
      <c r="BE242" s="140">
        <f t="shared" si="24"/>
        <v>0</v>
      </c>
      <c r="BF242" s="140">
        <f t="shared" si="25"/>
        <v>0</v>
      </c>
      <c r="BG242" s="140">
        <f t="shared" si="26"/>
        <v>0</v>
      </c>
      <c r="BH242" s="140">
        <f t="shared" si="27"/>
        <v>0</v>
      </c>
      <c r="BI242" s="140">
        <f t="shared" si="28"/>
        <v>0</v>
      </c>
      <c r="BJ242" s="2" t="s">
        <v>87</v>
      </c>
      <c r="BK242" s="140">
        <f t="shared" si="29"/>
        <v>0</v>
      </c>
      <c r="BL242" s="2" t="s">
        <v>496</v>
      </c>
      <c r="BM242" s="139" t="s">
        <v>7950</v>
      </c>
    </row>
    <row r="243" spans="2:65" s="16" customFormat="1" ht="16.5" customHeight="1" x14ac:dyDescent="0.2">
      <c r="B243" s="17"/>
      <c r="C243" s="128">
        <v>93</v>
      </c>
      <c r="D243" s="128" t="s">
        <v>339</v>
      </c>
      <c r="E243" s="129" t="s">
        <v>7951</v>
      </c>
      <c r="F243" s="130" t="s">
        <v>7952</v>
      </c>
      <c r="G243" s="131" t="s">
        <v>449</v>
      </c>
      <c r="H243" s="132">
        <v>1</v>
      </c>
      <c r="I243" s="133"/>
      <c r="J243" s="134">
        <f t="shared" si="20"/>
        <v>0</v>
      </c>
      <c r="K243" s="130"/>
      <c r="L243" s="17"/>
      <c r="M243" s="135"/>
      <c r="N243" s="136" t="s">
        <v>45</v>
      </c>
      <c r="P243" s="137">
        <f t="shared" si="21"/>
        <v>0</v>
      </c>
      <c r="Q243" s="137">
        <v>0</v>
      </c>
      <c r="R243" s="137">
        <f t="shared" si="22"/>
        <v>0</v>
      </c>
      <c r="S243" s="137">
        <v>0</v>
      </c>
      <c r="T243" s="138">
        <f t="shared" si="23"/>
        <v>0</v>
      </c>
      <c r="AR243" s="139" t="s">
        <v>496</v>
      </c>
      <c r="AT243" s="139" t="s">
        <v>339</v>
      </c>
      <c r="AU243" s="139" t="s">
        <v>113</v>
      </c>
      <c r="AY243" s="2" t="s">
        <v>337</v>
      </c>
      <c r="BE243" s="140">
        <f t="shared" si="24"/>
        <v>0</v>
      </c>
      <c r="BF243" s="140">
        <f t="shared" si="25"/>
        <v>0</v>
      </c>
      <c r="BG243" s="140">
        <f t="shared" si="26"/>
        <v>0</v>
      </c>
      <c r="BH243" s="140">
        <f t="shared" si="27"/>
        <v>0</v>
      </c>
      <c r="BI243" s="140">
        <f t="shared" si="28"/>
        <v>0</v>
      </c>
      <c r="BJ243" s="2" t="s">
        <v>87</v>
      </c>
      <c r="BK243" s="140">
        <f t="shared" si="29"/>
        <v>0</v>
      </c>
      <c r="BL243" s="2" t="s">
        <v>496</v>
      </c>
      <c r="BM243" s="139" t="s">
        <v>7953</v>
      </c>
    </row>
    <row r="244" spans="2:65" s="16" customFormat="1" ht="16.5" customHeight="1" x14ac:dyDescent="0.2">
      <c r="B244" s="17"/>
      <c r="C244" s="128">
        <v>94</v>
      </c>
      <c r="D244" s="128" t="s">
        <v>339</v>
      </c>
      <c r="E244" s="129" t="s">
        <v>7954</v>
      </c>
      <c r="F244" s="130" t="s">
        <v>7879</v>
      </c>
      <c r="G244" s="131" t="s">
        <v>449</v>
      </c>
      <c r="H244" s="132">
        <v>4</v>
      </c>
      <c r="I244" s="133"/>
      <c r="J244" s="134">
        <f t="shared" ref="J244:J275" si="30">ROUND(I244*H244,2)</f>
        <v>0</v>
      </c>
      <c r="K244" s="130"/>
      <c r="L244" s="17"/>
      <c r="M244" s="135"/>
      <c r="N244" s="136" t="s">
        <v>45</v>
      </c>
      <c r="P244" s="137">
        <f t="shared" ref="P244:P275" si="31">O244*H244</f>
        <v>0</v>
      </c>
      <c r="Q244" s="137">
        <v>0</v>
      </c>
      <c r="R244" s="137">
        <f t="shared" ref="R244:R275" si="32">Q244*H244</f>
        <v>0</v>
      </c>
      <c r="S244" s="137">
        <v>0</v>
      </c>
      <c r="T244" s="138">
        <f t="shared" ref="T244:T275" si="33">S244*H244</f>
        <v>0</v>
      </c>
      <c r="AR244" s="139" t="s">
        <v>496</v>
      </c>
      <c r="AT244" s="139" t="s">
        <v>339</v>
      </c>
      <c r="AU244" s="139" t="s">
        <v>113</v>
      </c>
      <c r="AY244" s="2" t="s">
        <v>337</v>
      </c>
      <c r="BE244" s="140">
        <f t="shared" ref="BE244:BE280" si="34">IF(N244="základní",J244,0)</f>
        <v>0</v>
      </c>
      <c r="BF244" s="140">
        <f t="shared" ref="BF244:BF280" si="35">IF(N244="snížená",J244,0)</f>
        <v>0</v>
      </c>
      <c r="BG244" s="140">
        <f t="shared" ref="BG244:BG280" si="36">IF(N244="zákl. přenesená",J244,0)</f>
        <v>0</v>
      </c>
      <c r="BH244" s="140">
        <f t="shared" ref="BH244:BH280" si="37">IF(N244="sníž. přenesená",J244,0)</f>
        <v>0</v>
      </c>
      <c r="BI244" s="140">
        <f t="shared" ref="BI244:BI280" si="38">IF(N244="nulová",J244,0)</f>
        <v>0</v>
      </c>
      <c r="BJ244" s="2" t="s">
        <v>87</v>
      </c>
      <c r="BK244" s="140">
        <f t="shared" ref="BK244:BK280" si="39">ROUND(I244*H244,2)</f>
        <v>0</v>
      </c>
      <c r="BL244" s="2" t="s">
        <v>496</v>
      </c>
      <c r="BM244" s="139" t="s">
        <v>7955</v>
      </c>
    </row>
    <row r="245" spans="2:65" s="16" customFormat="1" ht="16.5" customHeight="1" x14ac:dyDescent="0.2">
      <c r="B245" s="17"/>
      <c r="C245" s="128">
        <v>95</v>
      </c>
      <c r="D245" s="128" t="s">
        <v>339</v>
      </c>
      <c r="E245" s="129" t="s">
        <v>7956</v>
      </c>
      <c r="F245" s="130" t="s">
        <v>7957</v>
      </c>
      <c r="G245" s="131" t="s">
        <v>449</v>
      </c>
      <c r="H245" s="132">
        <v>2</v>
      </c>
      <c r="I245" s="133"/>
      <c r="J245" s="134">
        <f t="shared" si="30"/>
        <v>0</v>
      </c>
      <c r="K245" s="130"/>
      <c r="L245" s="17"/>
      <c r="M245" s="135"/>
      <c r="N245" s="136" t="s">
        <v>45</v>
      </c>
      <c r="P245" s="137">
        <f t="shared" si="31"/>
        <v>0</v>
      </c>
      <c r="Q245" s="137">
        <v>0</v>
      </c>
      <c r="R245" s="137">
        <f t="shared" si="32"/>
        <v>0</v>
      </c>
      <c r="S245" s="137">
        <v>0</v>
      </c>
      <c r="T245" s="138">
        <f t="shared" si="33"/>
        <v>0</v>
      </c>
      <c r="AR245" s="139" t="s">
        <v>496</v>
      </c>
      <c r="AT245" s="139" t="s">
        <v>339</v>
      </c>
      <c r="AU245" s="139" t="s">
        <v>113</v>
      </c>
      <c r="AY245" s="2" t="s">
        <v>337</v>
      </c>
      <c r="BE245" s="140">
        <f t="shared" si="34"/>
        <v>0</v>
      </c>
      <c r="BF245" s="140">
        <f t="shared" si="35"/>
        <v>0</v>
      </c>
      <c r="BG245" s="140">
        <f t="shared" si="36"/>
        <v>0</v>
      </c>
      <c r="BH245" s="140">
        <f t="shared" si="37"/>
        <v>0</v>
      </c>
      <c r="BI245" s="140">
        <f t="shared" si="38"/>
        <v>0</v>
      </c>
      <c r="BJ245" s="2" t="s">
        <v>87</v>
      </c>
      <c r="BK245" s="140">
        <f t="shared" si="39"/>
        <v>0</v>
      </c>
      <c r="BL245" s="2" t="s">
        <v>496</v>
      </c>
      <c r="BM245" s="139" t="s">
        <v>7958</v>
      </c>
    </row>
    <row r="246" spans="2:65" s="16" customFormat="1" ht="16.5" customHeight="1" x14ac:dyDescent="0.2">
      <c r="B246" s="17"/>
      <c r="C246" s="128">
        <v>96</v>
      </c>
      <c r="D246" s="128" t="s">
        <v>339</v>
      </c>
      <c r="E246" s="129" t="s">
        <v>7959</v>
      </c>
      <c r="F246" s="130" t="s">
        <v>7882</v>
      </c>
      <c r="G246" s="131" t="s">
        <v>449</v>
      </c>
      <c r="H246" s="132">
        <v>2</v>
      </c>
      <c r="I246" s="133"/>
      <c r="J246" s="134">
        <f t="shared" si="30"/>
        <v>0</v>
      </c>
      <c r="K246" s="130"/>
      <c r="L246" s="17"/>
      <c r="M246" s="135"/>
      <c r="N246" s="136" t="s">
        <v>45</v>
      </c>
      <c r="P246" s="137">
        <f t="shared" si="31"/>
        <v>0</v>
      </c>
      <c r="Q246" s="137">
        <v>0</v>
      </c>
      <c r="R246" s="137">
        <f t="shared" si="32"/>
        <v>0</v>
      </c>
      <c r="S246" s="137">
        <v>0</v>
      </c>
      <c r="T246" s="138">
        <f t="shared" si="33"/>
        <v>0</v>
      </c>
      <c r="AR246" s="139" t="s">
        <v>496</v>
      </c>
      <c r="AT246" s="139" t="s">
        <v>339</v>
      </c>
      <c r="AU246" s="139" t="s">
        <v>113</v>
      </c>
      <c r="AY246" s="2" t="s">
        <v>337</v>
      </c>
      <c r="BE246" s="140">
        <f t="shared" si="34"/>
        <v>0</v>
      </c>
      <c r="BF246" s="140">
        <f t="shared" si="35"/>
        <v>0</v>
      </c>
      <c r="BG246" s="140">
        <f t="shared" si="36"/>
        <v>0</v>
      </c>
      <c r="BH246" s="140">
        <f t="shared" si="37"/>
        <v>0</v>
      </c>
      <c r="BI246" s="140">
        <f t="shared" si="38"/>
        <v>0</v>
      </c>
      <c r="BJ246" s="2" t="s">
        <v>87</v>
      </c>
      <c r="BK246" s="140">
        <f t="shared" si="39"/>
        <v>0</v>
      </c>
      <c r="BL246" s="2" t="s">
        <v>496</v>
      </c>
      <c r="BM246" s="139" t="s">
        <v>7960</v>
      </c>
    </row>
    <row r="247" spans="2:65" s="16" customFormat="1" ht="16.5" customHeight="1" x14ac:dyDescent="0.2">
      <c r="B247" s="17"/>
      <c r="C247" s="128">
        <v>97</v>
      </c>
      <c r="D247" s="128" t="s">
        <v>339</v>
      </c>
      <c r="E247" s="129" t="s">
        <v>7961</v>
      </c>
      <c r="F247" s="130" t="s">
        <v>7885</v>
      </c>
      <c r="G247" s="131" t="s">
        <v>449</v>
      </c>
      <c r="H247" s="132">
        <v>2</v>
      </c>
      <c r="I247" s="133"/>
      <c r="J247" s="134">
        <f t="shared" si="30"/>
        <v>0</v>
      </c>
      <c r="K247" s="130"/>
      <c r="L247" s="17"/>
      <c r="M247" s="135"/>
      <c r="N247" s="136" t="s">
        <v>45</v>
      </c>
      <c r="P247" s="137">
        <f t="shared" si="31"/>
        <v>0</v>
      </c>
      <c r="Q247" s="137">
        <v>0</v>
      </c>
      <c r="R247" s="137">
        <f t="shared" si="32"/>
        <v>0</v>
      </c>
      <c r="S247" s="137">
        <v>0</v>
      </c>
      <c r="T247" s="138">
        <f t="shared" si="33"/>
        <v>0</v>
      </c>
      <c r="AR247" s="139" t="s">
        <v>496</v>
      </c>
      <c r="AT247" s="139" t="s">
        <v>339</v>
      </c>
      <c r="AU247" s="139" t="s">
        <v>113</v>
      </c>
      <c r="AY247" s="2" t="s">
        <v>337</v>
      </c>
      <c r="BE247" s="140">
        <f t="shared" si="34"/>
        <v>0</v>
      </c>
      <c r="BF247" s="140">
        <f t="shared" si="35"/>
        <v>0</v>
      </c>
      <c r="BG247" s="140">
        <f t="shared" si="36"/>
        <v>0</v>
      </c>
      <c r="BH247" s="140">
        <f t="shared" si="37"/>
        <v>0</v>
      </c>
      <c r="BI247" s="140">
        <f t="shared" si="38"/>
        <v>0</v>
      </c>
      <c r="BJ247" s="2" t="s">
        <v>87</v>
      </c>
      <c r="BK247" s="140">
        <f t="shared" si="39"/>
        <v>0</v>
      </c>
      <c r="BL247" s="2" t="s">
        <v>496</v>
      </c>
      <c r="BM247" s="139" t="s">
        <v>7962</v>
      </c>
    </row>
    <row r="248" spans="2:65" s="16" customFormat="1" ht="16.5" customHeight="1" x14ac:dyDescent="0.2">
      <c r="B248" s="17"/>
      <c r="C248" s="128">
        <v>98</v>
      </c>
      <c r="D248" s="128" t="s">
        <v>339</v>
      </c>
      <c r="E248" s="129" t="s">
        <v>7963</v>
      </c>
      <c r="F248" s="130" t="s">
        <v>7904</v>
      </c>
      <c r="G248" s="131" t="s">
        <v>449</v>
      </c>
      <c r="H248" s="132">
        <v>1</v>
      </c>
      <c r="I248" s="133"/>
      <c r="J248" s="134">
        <f t="shared" si="30"/>
        <v>0</v>
      </c>
      <c r="K248" s="130"/>
      <c r="L248" s="17"/>
      <c r="M248" s="135"/>
      <c r="N248" s="136" t="s">
        <v>45</v>
      </c>
      <c r="P248" s="137">
        <f t="shared" si="31"/>
        <v>0</v>
      </c>
      <c r="Q248" s="137">
        <v>0</v>
      </c>
      <c r="R248" s="137">
        <f t="shared" si="32"/>
        <v>0</v>
      </c>
      <c r="S248" s="137">
        <v>0</v>
      </c>
      <c r="T248" s="138">
        <f t="shared" si="33"/>
        <v>0</v>
      </c>
      <c r="AR248" s="139" t="s">
        <v>496</v>
      </c>
      <c r="AT248" s="139" t="s">
        <v>339</v>
      </c>
      <c r="AU248" s="139" t="s">
        <v>113</v>
      </c>
      <c r="AY248" s="2" t="s">
        <v>337</v>
      </c>
      <c r="BE248" s="140">
        <f t="shared" si="34"/>
        <v>0</v>
      </c>
      <c r="BF248" s="140">
        <f t="shared" si="35"/>
        <v>0</v>
      </c>
      <c r="BG248" s="140">
        <f t="shared" si="36"/>
        <v>0</v>
      </c>
      <c r="BH248" s="140">
        <f t="shared" si="37"/>
        <v>0</v>
      </c>
      <c r="BI248" s="140">
        <f t="shared" si="38"/>
        <v>0</v>
      </c>
      <c r="BJ248" s="2" t="s">
        <v>87</v>
      </c>
      <c r="BK248" s="140">
        <f t="shared" si="39"/>
        <v>0</v>
      </c>
      <c r="BL248" s="2" t="s">
        <v>496</v>
      </c>
      <c r="BM248" s="139" t="s">
        <v>7964</v>
      </c>
    </row>
    <row r="249" spans="2:65" s="16" customFormat="1" ht="16.5" customHeight="1" x14ac:dyDescent="0.2">
      <c r="B249" s="17"/>
      <c r="C249" s="128">
        <v>99</v>
      </c>
      <c r="D249" s="128" t="s">
        <v>339</v>
      </c>
      <c r="E249" s="129" t="s">
        <v>7965</v>
      </c>
      <c r="F249" s="130" t="s">
        <v>7876</v>
      </c>
      <c r="G249" s="131" t="s">
        <v>449</v>
      </c>
      <c r="H249" s="132">
        <v>4</v>
      </c>
      <c r="I249" s="133"/>
      <c r="J249" s="134">
        <f t="shared" si="30"/>
        <v>0</v>
      </c>
      <c r="K249" s="130"/>
      <c r="L249" s="17"/>
      <c r="M249" s="135"/>
      <c r="N249" s="136" t="s">
        <v>45</v>
      </c>
      <c r="P249" s="137">
        <f t="shared" si="31"/>
        <v>0</v>
      </c>
      <c r="Q249" s="137">
        <v>0</v>
      </c>
      <c r="R249" s="137">
        <f t="shared" si="32"/>
        <v>0</v>
      </c>
      <c r="S249" s="137">
        <v>0</v>
      </c>
      <c r="T249" s="138">
        <f t="shared" si="33"/>
        <v>0</v>
      </c>
      <c r="AR249" s="139" t="s">
        <v>496</v>
      </c>
      <c r="AT249" s="139" t="s">
        <v>339</v>
      </c>
      <c r="AU249" s="139" t="s">
        <v>113</v>
      </c>
      <c r="AY249" s="2" t="s">
        <v>337</v>
      </c>
      <c r="BE249" s="140">
        <f t="shared" si="34"/>
        <v>0</v>
      </c>
      <c r="BF249" s="140">
        <f t="shared" si="35"/>
        <v>0</v>
      </c>
      <c r="BG249" s="140">
        <f t="shared" si="36"/>
        <v>0</v>
      </c>
      <c r="BH249" s="140">
        <f t="shared" si="37"/>
        <v>0</v>
      </c>
      <c r="BI249" s="140">
        <f t="shared" si="38"/>
        <v>0</v>
      </c>
      <c r="BJ249" s="2" t="s">
        <v>87</v>
      </c>
      <c r="BK249" s="140">
        <f t="shared" si="39"/>
        <v>0</v>
      </c>
      <c r="BL249" s="2" t="s">
        <v>496</v>
      </c>
      <c r="BM249" s="139" t="s">
        <v>7966</v>
      </c>
    </row>
    <row r="250" spans="2:65" s="16" customFormat="1" ht="16.5" customHeight="1" x14ac:dyDescent="0.2">
      <c r="B250" s="17"/>
      <c r="C250" s="128">
        <v>100</v>
      </c>
      <c r="D250" s="128" t="s">
        <v>339</v>
      </c>
      <c r="E250" s="129" t="s">
        <v>7967</v>
      </c>
      <c r="F250" s="130" t="s">
        <v>7957</v>
      </c>
      <c r="G250" s="131" t="s">
        <v>449</v>
      </c>
      <c r="H250" s="132">
        <v>10</v>
      </c>
      <c r="I250" s="133"/>
      <c r="J250" s="134">
        <f t="shared" si="30"/>
        <v>0</v>
      </c>
      <c r="K250" s="130"/>
      <c r="L250" s="17"/>
      <c r="M250" s="135"/>
      <c r="N250" s="136" t="s">
        <v>45</v>
      </c>
      <c r="P250" s="137">
        <f t="shared" si="31"/>
        <v>0</v>
      </c>
      <c r="Q250" s="137">
        <v>0</v>
      </c>
      <c r="R250" s="137">
        <f t="shared" si="32"/>
        <v>0</v>
      </c>
      <c r="S250" s="137">
        <v>0</v>
      </c>
      <c r="T250" s="138">
        <f t="shared" si="33"/>
        <v>0</v>
      </c>
      <c r="AR250" s="139" t="s">
        <v>496</v>
      </c>
      <c r="AT250" s="139" t="s">
        <v>339</v>
      </c>
      <c r="AU250" s="139" t="s">
        <v>113</v>
      </c>
      <c r="AY250" s="2" t="s">
        <v>337</v>
      </c>
      <c r="BE250" s="140">
        <f t="shared" si="34"/>
        <v>0</v>
      </c>
      <c r="BF250" s="140">
        <f t="shared" si="35"/>
        <v>0</v>
      </c>
      <c r="BG250" s="140">
        <f t="shared" si="36"/>
        <v>0</v>
      </c>
      <c r="BH250" s="140">
        <f t="shared" si="37"/>
        <v>0</v>
      </c>
      <c r="BI250" s="140">
        <f t="shared" si="38"/>
        <v>0</v>
      </c>
      <c r="BJ250" s="2" t="s">
        <v>87</v>
      </c>
      <c r="BK250" s="140">
        <f t="shared" si="39"/>
        <v>0</v>
      </c>
      <c r="BL250" s="2" t="s">
        <v>496</v>
      </c>
      <c r="BM250" s="139" t="s">
        <v>7968</v>
      </c>
    </row>
    <row r="251" spans="2:65" s="16" customFormat="1" ht="16.5" customHeight="1" x14ac:dyDescent="0.2">
      <c r="B251" s="17"/>
      <c r="C251" s="128">
        <v>101</v>
      </c>
      <c r="D251" s="128" t="s">
        <v>339</v>
      </c>
      <c r="E251" s="129" t="s">
        <v>7969</v>
      </c>
      <c r="F251" s="130" t="s">
        <v>7882</v>
      </c>
      <c r="G251" s="131" t="s">
        <v>449</v>
      </c>
      <c r="H251" s="132">
        <v>2</v>
      </c>
      <c r="I251" s="133"/>
      <c r="J251" s="134">
        <f t="shared" si="30"/>
        <v>0</v>
      </c>
      <c r="K251" s="130"/>
      <c r="L251" s="17"/>
      <c r="M251" s="135"/>
      <c r="N251" s="136" t="s">
        <v>45</v>
      </c>
      <c r="P251" s="137">
        <f t="shared" si="31"/>
        <v>0</v>
      </c>
      <c r="Q251" s="137">
        <v>0</v>
      </c>
      <c r="R251" s="137">
        <f t="shared" si="32"/>
        <v>0</v>
      </c>
      <c r="S251" s="137">
        <v>0</v>
      </c>
      <c r="T251" s="138">
        <f t="shared" si="33"/>
        <v>0</v>
      </c>
      <c r="AR251" s="139" t="s">
        <v>496</v>
      </c>
      <c r="AT251" s="139" t="s">
        <v>339</v>
      </c>
      <c r="AU251" s="139" t="s">
        <v>113</v>
      </c>
      <c r="AY251" s="2" t="s">
        <v>337</v>
      </c>
      <c r="BE251" s="140">
        <f t="shared" si="34"/>
        <v>0</v>
      </c>
      <c r="BF251" s="140">
        <f t="shared" si="35"/>
        <v>0</v>
      </c>
      <c r="BG251" s="140">
        <f t="shared" si="36"/>
        <v>0</v>
      </c>
      <c r="BH251" s="140">
        <f t="shared" si="37"/>
        <v>0</v>
      </c>
      <c r="BI251" s="140">
        <f t="shared" si="38"/>
        <v>0</v>
      </c>
      <c r="BJ251" s="2" t="s">
        <v>87</v>
      </c>
      <c r="BK251" s="140">
        <f t="shared" si="39"/>
        <v>0</v>
      </c>
      <c r="BL251" s="2" t="s">
        <v>496</v>
      </c>
      <c r="BM251" s="139" t="s">
        <v>7970</v>
      </c>
    </row>
    <row r="252" spans="2:65" s="16" customFormat="1" ht="16.5" customHeight="1" x14ac:dyDescent="0.2">
      <c r="B252" s="17"/>
      <c r="C252" s="128">
        <v>102</v>
      </c>
      <c r="D252" s="128" t="s">
        <v>339</v>
      </c>
      <c r="E252" s="129" t="s">
        <v>7971</v>
      </c>
      <c r="F252" s="130" t="s">
        <v>7885</v>
      </c>
      <c r="G252" s="131" t="s">
        <v>449</v>
      </c>
      <c r="H252" s="132">
        <v>2</v>
      </c>
      <c r="I252" s="133"/>
      <c r="J252" s="134">
        <f t="shared" si="30"/>
        <v>0</v>
      </c>
      <c r="K252" s="130"/>
      <c r="L252" s="17"/>
      <c r="M252" s="135"/>
      <c r="N252" s="136" t="s">
        <v>45</v>
      </c>
      <c r="P252" s="137">
        <f t="shared" si="31"/>
        <v>0</v>
      </c>
      <c r="Q252" s="137">
        <v>0</v>
      </c>
      <c r="R252" s="137">
        <f t="shared" si="32"/>
        <v>0</v>
      </c>
      <c r="S252" s="137">
        <v>0</v>
      </c>
      <c r="T252" s="138">
        <f t="shared" si="33"/>
        <v>0</v>
      </c>
      <c r="AR252" s="139" t="s">
        <v>496</v>
      </c>
      <c r="AT252" s="139" t="s">
        <v>339</v>
      </c>
      <c r="AU252" s="139" t="s">
        <v>113</v>
      </c>
      <c r="AY252" s="2" t="s">
        <v>337</v>
      </c>
      <c r="BE252" s="140">
        <f t="shared" si="34"/>
        <v>0</v>
      </c>
      <c r="BF252" s="140">
        <f t="shared" si="35"/>
        <v>0</v>
      </c>
      <c r="BG252" s="140">
        <f t="shared" si="36"/>
        <v>0</v>
      </c>
      <c r="BH252" s="140">
        <f t="shared" si="37"/>
        <v>0</v>
      </c>
      <c r="BI252" s="140">
        <f t="shared" si="38"/>
        <v>0</v>
      </c>
      <c r="BJ252" s="2" t="s">
        <v>87</v>
      </c>
      <c r="BK252" s="140">
        <f t="shared" si="39"/>
        <v>0</v>
      </c>
      <c r="BL252" s="2" t="s">
        <v>496</v>
      </c>
      <c r="BM252" s="139" t="s">
        <v>7972</v>
      </c>
    </row>
    <row r="253" spans="2:65" s="16" customFormat="1" ht="16.5" customHeight="1" x14ac:dyDescent="0.2">
      <c r="B253" s="17"/>
      <c r="C253" s="128">
        <v>103</v>
      </c>
      <c r="D253" s="128" t="s">
        <v>339</v>
      </c>
      <c r="E253" s="129" t="s">
        <v>7973</v>
      </c>
      <c r="F253" s="130" t="s">
        <v>7974</v>
      </c>
      <c r="G253" s="131" t="s">
        <v>449</v>
      </c>
      <c r="H253" s="132">
        <v>1</v>
      </c>
      <c r="I253" s="133"/>
      <c r="J253" s="134">
        <f t="shared" si="30"/>
        <v>0</v>
      </c>
      <c r="K253" s="130"/>
      <c r="L253" s="17"/>
      <c r="M253" s="135"/>
      <c r="N253" s="136" t="s">
        <v>45</v>
      </c>
      <c r="P253" s="137">
        <f t="shared" si="31"/>
        <v>0</v>
      </c>
      <c r="Q253" s="137">
        <v>0</v>
      </c>
      <c r="R253" s="137">
        <f t="shared" si="32"/>
        <v>0</v>
      </c>
      <c r="S253" s="137">
        <v>0</v>
      </c>
      <c r="T253" s="138">
        <f t="shared" si="33"/>
        <v>0</v>
      </c>
      <c r="AR253" s="139" t="s">
        <v>496</v>
      </c>
      <c r="AT253" s="139" t="s">
        <v>339</v>
      </c>
      <c r="AU253" s="139" t="s">
        <v>113</v>
      </c>
      <c r="AY253" s="2" t="s">
        <v>337</v>
      </c>
      <c r="BE253" s="140">
        <f t="shared" si="34"/>
        <v>0</v>
      </c>
      <c r="BF253" s="140">
        <f t="shared" si="35"/>
        <v>0</v>
      </c>
      <c r="BG253" s="140">
        <f t="shared" si="36"/>
        <v>0</v>
      </c>
      <c r="BH253" s="140">
        <f t="shared" si="37"/>
        <v>0</v>
      </c>
      <c r="BI253" s="140">
        <f t="shared" si="38"/>
        <v>0</v>
      </c>
      <c r="BJ253" s="2" t="s">
        <v>87</v>
      </c>
      <c r="BK253" s="140">
        <f t="shared" si="39"/>
        <v>0</v>
      </c>
      <c r="BL253" s="2" t="s">
        <v>496</v>
      </c>
      <c r="BM253" s="139" t="s">
        <v>7975</v>
      </c>
    </row>
    <row r="254" spans="2:65" s="16" customFormat="1" ht="16.5" customHeight="1" x14ac:dyDescent="0.2">
      <c r="B254" s="17"/>
      <c r="C254" s="128">
        <v>104</v>
      </c>
      <c r="D254" s="128" t="s">
        <v>339</v>
      </c>
      <c r="E254" s="129" t="s">
        <v>7976</v>
      </c>
      <c r="F254" s="130" t="s">
        <v>7977</v>
      </c>
      <c r="G254" s="131" t="s">
        <v>449</v>
      </c>
      <c r="H254" s="132">
        <v>7</v>
      </c>
      <c r="I254" s="133"/>
      <c r="J254" s="134">
        <f t="shared" si="30"/>
        <v>0</v>
      </c>
      <c r="K254" s="130"/>
      <c r="L254" s="17"/>
      <c r="M254" s="135"/>
      <c r="N254" s="136" t="s">
        <v>45</v>
      </c>
      <c r="P254" s="137">
        <f t="shared" si="31"/>
        <v>0</v>
      </c>
      <c r="Q254" s="137">
        <v>0</v>
      </c>
      <c r="R254" s="137">
        <f t="shared" si="32"/>
        <v>0</v>
      </c>
      <c r="S254" s="137">
        <v>0</v>
      </c>
      <c r="T254" s="138">
        <f t="shared" si="33"/>
        <v>0</v>
      </c>
      <c r="AR254" s="139" t="s">
        <v>496</v>
      </c>
      <c r="AT254" s="139" t="s">
        <v>339</v>
      </c>
      <c r="AU254" s="139" t="s">
        <v>113</v>
      </c>
      <c r="AY254" s="2" t="s">
        <v>337</v>
      </c>
      <c r="BE254" s="140">
        <f t="shared" si="34"/>
        <v>0</v>
      </c>
      <c r="BF254" s="140">
        <f t="shared" si="35"/>
        <v>0</v>
      </c>
      <c r="BG254" s="140">
        <f t="shared" si="36"/>
        <v>0</v>
      </c>
      <c r="BH254" s="140">
        <f t="shared" si="37"/>
        <v>0</v>
      </c>
      <c r="BI254" s="140">
        <f t="shared" si="38"/>
        <v>0</v>
      </c>
      <c r="BJ254" s="2" t="s">
        <v>87</v>
      </c>
      <c r="BK254" s="140">
        <f t="shared" si="39"/>
        <v>0</v>
      </c>
      <c r="BL254" s="2" t="s">
        <v>496</v>
      </c>
      <c r="BM254" s="139" t="s">
        <v>7978</v>
      </c>
    </row>
    <row r="255" spans="2:65" s="16" customFormat="1" ht="16.5" customHeight="1" x14ac:dyDescent="0.2">
      <c r="B255" s="17"/>
      <c r="C255" s="128">
        <v>105</v>
      </c>
      <c r="D255" s="128" t="s">
        <v>339</v>
      </c>
      <c r="E255" s="129" t="s">
        <v>7979</v>
      </c>
      <c r="F255" s="130" t="s">
        <v>7980</v>
      </c>
      <c r="G255" s="131" t="s">
        <v>449</v>
      </c>
      <c r="H255" s="132">
        <v>1</v>
      </c>
      <c r="I255" s="133"/>
      <c r="J255" s="134">
        <f t="shared" si="30"/>
        <v>0</v>
      </c>
      <c r="K255" s="130"/>
      <c r="L255" s="17"/>
      <c r="M255" s="135"/>
      <c r="N255" s="136" t="s">
        <v>45</v>
      </c>
      <c r="P255" s="137">
        <f t="shared" si="31"/>
        <v>0</v>
      </c>
      <c r="Q255" s="137">
        <v>0</v>
      </c>
      <c r="R255" s="137">
        <f t="shared" si="32"/>
        <v>0</v>
      </c>
      <c r="S255" s="137">
        <v>0</v>
      </c>
      <c r="T255" s="138">
        <f t="shared" si="33"/>
        <v>0</v>
      </c>
      <c r="AR255" s="139" t="s">
        <v>496</v>
      </c>
      <c r="AT255" s="139" t="s">
        <v>339</v>
      </c>
      <c r="AU255" s="139" t="s">
        <v>113</v>
      </c>
      <c r="AY255" s="2" t="s">
        <v>337</v>
      </c>
      <c r="BE255" s="140">
        <f t="shared" si="34"/>
        <v>0</v>
      </c>
      <c r="BF255" s="140">
        <f t="shared" si="35"/>
        <v>0</v>
      </c>
      <c r="BG255" s="140">
        <f t="shared" si="36"/>
        <v>0</v>
      </c>
      <c r="BH255" s="140">
        <f t="shared" si="37"/>
        <v>0</v>
      </c>
      <c r="BI255" s="140">
        <f t="shared" si="38"/>
        <v>0</v>
      </c>
      <c r="BJ255" s="2" t="s">
        <v>87</v>
      </c>
      <c r="BK255" s="140">
        <f t="shared" si="39"/>
        <v>0</v>
      </c>
      <c r="BL255" s="2" t="s">
        <v>496</v>
      </c>
      <c r="BM255" s="139" t="s">
        <v>7981</v>
      </c>
    </row>
    <row r="256" spans="2:65" s="16" customFormat="1" ht="16.5" customHeight="1" x14ac:dyDescent="0.2">
      <c r="B256" s="17"/>
      <c r="C256" s="128">
        <v>106</v>
      </c>
      <c r="D256" s="128" t="s">
        <v>339</v>
      </c>
      <c r="E256" s="129" t="s">
        <v>7982</v>
      </c>
      <c r="F256" s="130" t="s">
        <v>7983</v>
      </c>
      <c r="G256" s="131" t="s">
        <v>449</v>
      </c>
      <c r="H256" s="132">
        <v>1</v>
      </c>
      <c r="I256" s="133"/>
      <c r="J256" s="134">
        <f t="shared" si="30"/>
        <v>0</v>
      </c>
      <c r="K256" s="130"/>
      <c r="L256" s="17"/>
      <c r="M256" s="135"/>
      <c r="N256" s="136" t="s">
        <v>45</v>
      </c>
      <c r="P256" s="137">
        <f t="shared" si="31"/>
        <v>0</v>
      </c>
      <c r="Q256" s="137">
        <v>0</v>
      </c>
      <c r="R256" s="137">
        <f t="shared" si="32"/>
        <v>0</v>
      </c>
      <c r="S256" s="137">
        <v>0</v>
      </c>
      <c r="T256" s="138">
        <f t="shared" si="33"/>
        <v>0</v>
      </c>
      <c r="AR256" s="139" t="s">
        <v>496</v>
      </c>
      <c r="AT256" s="139" t="s">
        <v>339</v>
      </c>
      <c r="AU256" s="139" t="s">
        <v>113</v>
      </c>
      <c r="AY256" s="2" t="s">
        <v>337</v>
      </c>
      <c r="BE256" s="140">
        <f t="shared" si="34"/>
        <v>0</v>
      </c>
      <c r="BF256" s="140">
        <f t="shared" si="35"/>
        <v>0</v>
      </c>
      <c r="BG256" s="140">
        <f t="shared" si="36"/>
        <v>0</v>
      </c>
      <c r="BH256" s="140">
        <f t="shared" si="37"/>
        <v>0</v>
      </c>
      <c r="BI256" s="140">
        <f t="shared" si="38"/>
        <v>0</v>
      </c>
      <c r="BJ256" s="2" t="s">
        <v>87</v>
      </c>
      <c r="BK256" s="140">
        <f t="shared" si="39"/>
        <v>0</v>
      </c>
      <c r="BL256" s="2" t="s">
        <v>496</v>
      </c>
      <c r="BM256" s="139" t="s">
        <v>7984</v>
      </c>
    </row>
    <row r="257" spans="2:65" s="16" customFormat="1" ht="16.5" customHeight="1" x14ac:dyDescent="0.2">
      <c r="B257" s="17"/>
      <c r="C257" s="128">
        <v>107</v>
      </c>
      <c r="D257" s="128" t="s">
        <v>339</v>
      </c>
      <c r="E257" s="129" t="s">
        <v>7985</v>
      </c>
      <c r="F257" s="130" t="s">
        <v>7986</v>
      </c>
      <c r="G257" s="131" t="s">
        <v>449</v>
      </c>
      <c r="H257" s="132">
        <v>2</v>
      </c>
      <c r="I257" s="133"/>
      <c r="J257" s="134">
        <f t="shared" si="30"/>
        <v>0</v>
      </c>
      <c r="K257" s="130"/>
      <c r="L257" s="17"/>
      <c r="M257" s="135"/>
      <c r="N257" s="136" t="s">
        <v>45</v>
      </c>
      <c r="P257" s="137">
        <f t="shared" si="31"/>
        <v>0</v>
      </c>
      <c r="Q257" s="137">
        <v>0</v>
      </c>
      <c r="R257" s="137">
        <f t="shared" si="32"/>
        <v>0</v>
      </c>
      <c r="S257" s="137">
        <v>0</v>
      </c>
      <c r="T257" s="138">
        <f t="shared" si="33"/>
        <v>0</v>
      </c>
      <c r="AR257" s="139" t="s">
        <v>496</v>
      </c>
      <c r="AT257" s="139" t="s">
        <v>339</v>
      </c>
      <c r="AU257" s="139" t="s">
        <v>113</v>
      </c>
      <c r="AY257" s="2" t="s">
        <v>337</v>
      </c>
      <c r="BE257" s="140">
        <f t="shared" si="34"/>
        <v>0</v>
      </c>
      <c r="BF257" s="140">
        <f t="shared" si="35"/>
        <v>0</v>
      </c>
      <c r="BG257" s="140">
        <f t="shared" si="36"/>
        <v>0</v>
      </c>
      <c r="BH257" s="140">
        <f t="shared" si="37"/>
        <v>0</v>
      </c>
      <c r="BI257" s="140">
        <f t="shared" si="38"/>
        <v>0</v>
      </c>
      <c r="BJ257" s="2" t="s">
        <v>87</v>
      </c>
      <c r="BK257" s="140">
        <f t="shared" si="39"/>
        <v>0</v>
      </c>
      <c r="BL257" s="2" t="s">
        <v>496</v>
      </c>
      <c r="BM257" s="139" t="s">
        <v>7987</v>
      </c>
    </row>
    <row r="258" spans="2:65" s="16" customFormat="1" ht="16.5" customHeight="1" x14ac:dyDescent="0.2">
      <c r="B258" s="17"/>
      <c r="C258" s="128">
        <v>108</v>
      </c>
      <c r="D258" s="128" t="s">
        <v>339</v>
      </c>
      <c r="E258" s="129" t="s">
        <v>7988</v>
      </c>
      <c r="F258" s="130" t="s">
        <v>7989</v>
      </c>
      <c r="G258" s="131" t="s">
        <v>449</v>
      </c>
      <c r="H258" s="132">
        <v>2</v>
      </c>
      <c r="I258" s="133"/>
      <c r="J258" s="134">
        <f t="shared" si="30"/>
        <v>0</v>
      </c>
      <c r="K258" s="130"/>
      <c r="L258" s="17"/>
      <c r="M258" s="135"/>
      <c r="N258" s="136" t="s">
        <v>45</v>
      </c>
      <c r="P258" s="137">
        <f t="shared" si="31"/>
        <v>0</v>
      </c>
      <c r="Q258" s="137">
        <v>0</v>
      </c>
      <c r="R258" s="137">
        <f t="shared" si="32"/>
        <v>0</v>
      </c>
      <c r="S258" s="137">
        <v>0</v>
      </c>
      <c r="T258" s="138">
        <f t="shared" si="33"/>
        <v>0</v>
      </c>
      <c r="AR258" s="139" t="s">
        <v>496</v>
      </c>
      <c r="AT258" s="139" t="s">
        <v>339</v>
      </c>
      <c r="AU258" s="139" t="s">
        <v>113</v>
      </c>
      <c r="AY258" s="2" t="s">
        <v>337</v>
      </c>
      <c r="BE258" s="140">
        <f t="shared" si="34"/>
        <v>0</v>
      </c>
      <c r="BF258" s="140">
        <f t="shared" si="35"/>
        <v>0</v>
      </c>
      <c r="BG258" s="140">
        <f t="shared" si="36"/>
        <v>0</v>
      </c>
      <c r="BH258" s="140">
        <f t="shared" si="37"/>
        <v>0</v>
      </c>
      <c r="BI258" s="140">
        <f t="shared" si="38"/>
        <v>0</v>
      </c>
      <c r="BJ258" s="2" t="s">
        <v>87</v>
      </c>
      <c r="BK258" s="140">
        <f t="shared" si="39"/>
        <v>0</v>
      </c>
      <c r="BL258" s="2" t="s">
        <v>496</v>
      </c>
      <c r="BM258" s="139" t="s">
        <v>7990</v>
      </c>
    </row>
    <row r="259" spans="2:65" s="16" customFormat="1" ht="16.5" customHeight="1" x14ac:dyDescent="0.2">
      <c r="B259" s="17"/>
      <c r="C259" s="128">
        <v>109</v>
      </c>
      <c r="D259" s="128" t="s">
        <v>339</v>
      </c>
      <c r="E259" s="129" t="s">
        <v>7991</v>
      </c>
      <c r="F259" s="130" t="s">
        <v>7992</v>
      </c>
      <c r="G259" s="131" t="s">
        <v>449</v>
      </c>
      <c r="H259" s="132">
        <v>1</v>
      </c>
      <c r="I259" s="133"/>
      <c r="J259" s="134">
        <f t="shared" si="30"/>
        <v>0</v>
      </c>
      <c r="K259" s="130"/>
      <c r="L259" s="17"/>
      <c r="M259" s="135"/>
      <c r="N259" s="136" t="s">
        <v>45</v>
      </c>
      <c r="P259" s="137">
        <f t="shared" si="31"/>
        <v>0</v>
      </c>
      <c r="Q259" s="137">
        <v>0</v>
      </c>
      <c r="R259" s="137">
        <f t="shared" si="32"/>
        <v>0</v>
      </c>
      <c r="S259" s="137">
        <v>0</v>
      </c>
      <c r="T259" s="138">
        <f t="shared" si="33"/>
        <v>0</v>
      </c>
      <c r="AR259" s="139" t="s">
        <v>496</v>
      </c>
      <c r="AT259" s="139" t="s">
        <v>339</v>
      </c>
      <c r="AU259" s="139" t="s">
        <v>113</v>
      </c>
      <c r="AY259" s="2" t="s">
        <v>337</v>
      </c>
      <c r="BE259" s="140">
        <f t="shared" si="34"/>
        <v>0</v>
      </c>
      <c r="BF259" s="140">
        <f t="shared" si="35"/>
        <v>0</v>
      </c>
      <c r="BG259" s="140">
        <f t="shared" si="36"/>
        <v>0</v>
      </c>
      <c r="BH259" s="140">
        <f t="shared" si="37"/>
        <v>0</v>
      </c>
      <c r="BI259" s="140">
        <f t="shared" si="38"/>
        <v>0</v>
      </c>
      <c r="BJ259" s="2" t="s">
        <v>87</v>
      </c>
      <c r="BK259" s="140">
        <f t="shared" si="39"/>
        <v>0</v>
      </c>
      <c r="BL259" s="2" t="s">
        <v>496</v>
      </c>
      <c r="BM259" s="139" t="s">
        <v>7993</v>
      </c>
    </row>
    <row r="260" spans="2:65" s="16" customFormat="1" ht="16.5" customHeight="1" x14ac:dyDescent="0.2">
      <c r="B260" s="17"/>
      <c r="C260" s="128">
        <v>110</v>
      </c>
      <c r="D260" s="128" t="s">
        <v>339</v>
      </c>
      <c r="E260" s="129" t="s">
        <v>7994</v>
      </c>
      <c r="F260" s="130" t="s">
        <v>7992</v>
      </c>
      <c r="G260" s="131" t="s">
        <v>449</v>
      </c>
      <c r="H260" s="132">
        <v>1</v>
      </c>
      <c r="I260" s="133"/>
      <c r="J260" s="134">
        <f t="shared" si="30"/>
        <v>0</v>
      </c>
      <c r="K260" s="130"/>
      <c r="L260" s="17"/>
      <c r="M260" s="135"/>
      <c r="N260" s="136" t="s">
        <v>45</v>
      </c>
      <c r="P260" s="137">
        <f t="shared" si="31"/>
        <v>0</v>
      </c>
      <c r="Q260" s="137">
        <v>0</v>
      </c>
      <c r="R260" s="137">
        <f t="shared" si="32"/>
        <v>0</v>
      </c>
      <c r="S260" s="137">
        <v>0</v>
      </c>
      <c r="T260" s="138">
        <f t="shared" si="33"/>
        <v>0</v>
      </c>
      <c r="AR260" s="139" t="s">
        <v>496</v>
      </c>
      <c r="AT260" s="139" t="s">
        <v>339</v>
      </c>
      <c r="AU260" s="139" t="s">
        <v>113</v>
      </c>
      <c r="AY260" s="2" t="s">
        <v>337</v>
      </c>
      <c r="BE260" s="140">
        <f t="shared" si="34"/>
        <v>0</v>
      </c>
      <c r="BF260" s="140">
        <f t="shared" si="35"/>
        <v>0</v>
      </c>
      <c r="BG260" s="140">
        <f t="shared" si="36"/>
        <v>0</v>
      </c>
      <c r="BH260" s="140">
        <f t="shared" si="37"/>
        <v>0</v>
      </c>
      <c r="BI260" s="140">
        <f t="shared" si="38"/>
        <v>0</v>
      </c>
      <c r="BJ260" s="2" t="s">
        <v>87</v>
      </c>
      <c r="BK260" s="140">
        <f t="shared" si="39"/>
        <v>0</v>
      </c>
      <c r="BL260" s="2" t="s">
        <v>496</v>
      </c>
      <c r="BM260" s="139" t="s">
        <v>7995</v>
      </c>
    </row>
    <row r="261" spans="2:65" s="16" customFormat="1" ht="16.5" customHeight="1" x14ac:dyDescent="0.2">
      <c r="B261" s="17"/>
      <c r="C261" s="128">
        <v>111</v>
      </c>
      <c r="D261" s="128" t="s">
        <v>339</v>
      </c>
      <c r="E261" s="129" t="s">
        <v>7996</v>
      </c>
      <c r="F261" s="130" t="s">
        <v>7977</v>
      </c>
      <c r="G261" s="131" t="s">
        <v>449</v>
      </c>
      <c r="H261" s="132">
        <v>1</v>
      </c>
      <c r="I261" s="133"/>
      <c r="J261" s="134">
        <f t="shared" si="30"/>
        <v>0</v>
      </c>
      <c r="K261" s="130"/>
      <c r="L261" s="17"/>
      <c r="M261" s="135"/>
      <c r="N261" s="136" t="s">
        <v>45</v>
      </c>
      <c r="P261" s="137">
        <f t="shared" si="31"/>
        <v>0</v>
      </c>
      <c r="Q261" s="137">
        <v>0</v>
      </c>
      <c r="R261" s="137">
        <f t="shared" si="32"/>
        <v>0</v>
      </c>
      <c r="S261" s="137">
        <v>0</v>
      </c>
      <c r="T261" s="138">
        <f t="shared" si="33"/>
        <v>0</v>
      </c>
      <c r="AR261" s="139" t="s">
        <v>496</v>
      </c>
      <c r="AT261" s="139" t="s">
        <v>339</v>
      </c>
      <c r="AU261" s="139" t="s">
        <v>113</v>
      </c>
      <c r="AY261" s="2" t="s">
        <v>337</v>
      </c>
      <c r="BE261" s="140">
        <f t="shared" si="34"/>
        <v>0</v>
      </c>
      <c r="BF261" s="140">
        <f t="shared" si="35"/>
        <v>0</v>
      </c>
      <c r="BG261" s="140">
        <f t="shared" si="36"/>
        <v>0</v>
      </c>
      <c r="BH261" s="140">
        <f t="shared" si="37"/>
        <v>0</v>
      </c>
      <c r="BI261" s="140">
        <f t="shared" si="38"/>
        <v>0</v>
      </c>
      <c r="BJ261" s="2" t="s">
        <v>87</v>
      </c>
      <c r="BK261" s="140">
        <f t="shared" si="39"/>
        <v>0</v>
      </c>
      <c r="BL261" s="2" t="s">
        <v>496</v>
      </c>
      <c r="BM261" s="139" t="s">
        <v>7997</v>
      </c>
    </row>
    <row r="262" spans="2:65" s="16" customFormat="1" ht="24.2" customHeight="1" x14ac:dyDescent="0.2">
      <c r="B262" s="17"/>
      <c r="C262" s="128">
        <v>112</v>
      </c>
      <c r="D262" s="128" t="s">
        <v>339</v>
      </c>
      <c r="E262" s="129" t="s">
        <v>7998</v>
      </c>
      <c r="F262" s="130" t="s">
        <v>7999</v>
      </c>
      <c r="G262" s="131" t="s">
        <v>449</v>
      </c>
      <c r="H262" s="132">
        <v>1</v>
      </c>
      <c r="I262" s="133"/>
      <c r="J262" s="134">
        <f t="shared" si="30"/>
        <v>0</v>
      </c>
      <c r="K262" s="130"/>
      <c r="L262" s="17"/>
      <c r="M262" s="135"/>
      <c r="N262" s="136" t="s">
        <v>45</v>
      </c>
      <c r="P262" s="137">
        <f t="shared" si="31"/>
        <v>0</v>
      </c>
      <c r="Q262" s="137">
        <v>0</v>
      </c>
      <c r="R262" s="137">
        <f t="shared" si="32"/>
        <v>0</v>
      </c>
      <c r="S262" s="137">
        <v>0</v>
      </c>
      <c r="T262" s="138">
        <f t="shared" si="33"/>
        <v>0</v>
      </c>
      <c r="AR262" s="139" t="s">
        <v>496</v>
      </c>
      <c r="AT262" s="139" t="s">
        <v>339</v>
      </c>
      <c r="AU262" s="139" t="s">
        <v>113</v>
      </c>
      <c r="AY262" s="2" t="s">
        <v>337</v>
      </c>
      <c r="BE262" s="140">
        <f t="shared" si="34"/>
        <v>0</v>
      </c>
      <c r="BF262" s="140">
        <f t="shared" si="35"/>
        <v>0</v>
      </c>
      <c r="BG262" s="140">
        <f t="shared" si="36"/>
        <v>0</v>
      </c>
      <c r="BH262" s="140">
        <f t="shared" si="37"/>
        <v>0</v>
      </c>
      <c r="BI262" s="140">
        <f t="shared" si="38"/>
        <v>0</v>
      </c>
      <c r="BJ262" s="2" t="s">
        <v>87</v>
      </c>
      <c r="BK262" s="140">
        <f t="shared" si="39"/>
        <v>0</v>
      </c>
      <c r="BL262" s="2" t="s">
        <v>496</v>
      </c>
      <c r="BM262" s="139" t="s">
        <v>8000</v>
      </c>
    </row>
    <row r="263" spans="2:65" s="16" customFormat="1" ht="24.2" customHeight="1" x14ac:dyDescent="0.2">
      <c r="B263" s="17"/>
      <c r="C263" s="128">
        <v>113</v>
      </c>
      <c r="D263" s="128" t="s">
        <v>339</v>
      </c>
      <c r="E263" s="129" t="s">
        <v>8001</v>
      </c>
      <c r="F263" s="130" t="s">
        <v>7999</v>
      </c>
      <c r="G263" s="131" t="s">
        <v>449</v>
      </c>
      <c r="H263" s="132">
        <v>1</v>
      </c>
      <c r="I263" s="133"/>
      <c r="J263" s="134">
        <f t="shared" si="30"/>
        <v>0</v>
      </c>
      <c r="K263" s="130"/>
      <c r="L263" s="17"/>
      <c r="M263" s="135"/>
      <c r="N263" s="136" t="s">
        <v>45</v>
      </c>
      <c r="P263" s="137">
        <f t="shared" si="31"/>
        <v>0</v>
      </c>
      <c r="Q263" s="137">
        <v>0</v>
      </c>
      <c r="R263" s="137">
        <f t="shared" si="32"/>
        <v>0</v>
      </c>
      <c r="S263" s="137">
        <v>0</v>
      </c>
      <c r="T263" s="138">
        <f t="shared" si="33"/>
        <v>0</v>
      </c>
      <c r="AR263" s="139" t="s">
        <v>496</v>
      </c>
      <c r="AT263" s="139" t="s">
        <v>339</v>
      </c>
      <c r="AU263" s="139" t="s">
        <v>113</v>
      </c>
      <c r="AY263" s="2" t="s">
        <v>337</v>
      </c>
      <c r="BE263" s="140">
        <f t="shared" si="34"/>
        <v>0</v>
      </c>
      <c r="BF263" s="140">
        <f t="shared" si="35"/>
        <v>0</v>
      </c>
      <c r="BG263" s="140">
        <f t="shared" si="36"/>
        <v>0</v>
      </c>
      <c r="BH263" s="140">
        <f t="shared" si="37"/>
        <v>0</v>
      </c>
      <c r="BI263" s="140">
        <f t="shared" si="38"/>
        <v>0</v>
      </c>
      <c r="BJ263" s="2" t="s">
        <v>87</v>
      </c>
      <c r="BK263" s="140">
        <f t="shared" si="39"/>
        <v>0</v>
      </c>
      <c r="BL263" s="2" t="s">
        <v>496</v>
      </c>
      <c r="BM263" s="139" t="s">
        <v>8002</v>
      </c>
    </row>
    <row r="264" spans="2:65" s="16" customFormat="1" ht="24.2" customHeight="1" x14ac:dyDescent="0.2">
      <c r="B264" s="17"/>
      <c r="C264" s="128">
        <v>114</v>
      </c>
      <c r="D264" s="128" t="s">
        <v>339</v>
      </c>
      <c r="E264" s="129" t="s">
        <v>8003</v>
      </c>
      <c r="F264" s="130" t="s">
        <v>7999</v>
      </c>
      <c r="G264" s="131" t="s">
        <v>449</v>
      </c>
      <c r="H264" s="132">
        <v>1</v>
      </c>
      <c r="I264" s="133"/>
      <c r="J264" s="134">
        <f t="shared" si="30"/>
        <v>0</v>
      </c>
      <c r="K264" s="130"/>
      <c r="L264" s="17"/>
      <c r="M264" s="135"/>
      <c r="N264" s="136" t="s">
        <v>45</v>
      </c>
      <c r="P264" s="137">
        <f t="shared" si="31"/>
        <v>0</v>
      </c>
      <c r="Q264" s="137">
        <v>0</v>
      </c>
      <c r="R264" s="137">
        <f t="shared" si="32"/>
        <v>0</v>
      </c>
      <c r="S264" s="137">
        <v>0</v>
      </c>
      <c r="T264" s="138">
        <f t="shared" si="33"/>
        <v>0</v>
      </c>
      <c r="AR264" s="139" t="s">
        <v>496</v>
      </c>
      <c r="AT264" s="139" t="s">
        <v>339</v>
      </c>
      <c r="AU264" s="139" t="s">
        <v>113</v>
      </c>
      <c r="AY264" s="2" t="s">
        <v>337</v>
      </c>
      <c r="BE264" s="140">
        <f t="shared" si="34"/>
        <v>0</v>
      </c>
      <c r="BF264" s="140">
        <f t="shared" si="35"/>
        <v>0</v>
      </c>
      <c r="BG264" s="140">
        <f t="shared" si="36"/>
        <v>0</v>
      </c>
      <c r="BH264" s="140">
        <f t="shared" si="37"/>
        <v>0</v>
      </c>
      <c r="BI264" s="140">
        <f t="shared" si="38"/>
        <v>0</v>
      </c>
      <c r="BJ264" s="2" t="s">
        <v>87</v>
      </c>
      <c r="BK264" s="140">
        <f t="shared" si="39"/>
        <v>0</v>
      </c>
      <c r="BL264" s="2" t="s">
        <v>496</v>
      </c>
      <c r="BM264" s="139" t="s">
        <v>8004</v>
      </c>
    </row>
    <row r="265" spans="2:65" s="16" customFormat="1" ht="24.2" customHeight="1" x14ac:dyDescent="0.2">
      <c r="B265" s="17"/>
      <c r="C265" s="128">
        <v>115</v>
      </c>
      <c r="D265" s="128" t="s">
        <v>339</v>
      </c>
      <c r="E265" s="129" t="s">
        <v>8005</v>
      </c>
      <c r="F265" s="130" t="s">
        <v>7999</v>
      </c>
      <c r="G265" s="131" t="s">
        <v>449</v>
      </c>
      <c r="H265" s="132">
        <v>1</v>
      </c>
      <c r="I265" s="133"/>
      <c r="J265" s="134">
        <f t="shared" si="30"/>
        <v>0</v>
      </c>
      <c r="K265" s="130"/>
      <c r="L265" s="17"/>
      <c r="M265" s="135"/>
      <c r="N265" s="136" t="s">
        <v>45</v>
      </c>
      <c r="P265" s="137">
        <f t="shared" si="31"/>
        <v>0</v>
      </c>
      <c r="Q265" s="137">
        <v>0</v>
      </c>
      <c r="R265" s="137">
        <f t="shared" si="32"/>
        <v>0</v>
      </c>
      <c r="S265" s="137">
        <v>0</v>
      </c>
      <c r="T265" s="138">
        <f t="shared" si="33"/>
        <v>0</v>
      </c>
      <c r="AR265" s="139" t="s">
        <v>496</v>
      </c>
      <c r="AT265" s="139" t="s">
        <v>339</v>
      </c>
      <c r="AU265" s="139" t="s">
        <v>113</v>
      </c>
      <c r="AY265" s="2" t="s">
        <v>337</v>
      </c>
      <c r="BE265" s="140">
        <f t="shared" si="34"/>
        <v>0</v>
      </c>
      <c r="BF265" s="140">
        <f t="shared" si="35"/>
        <v>0</v>
      </c>
      <c r="BG265" s="140">
        <f t="shared" si="36"/>
        <v>0</v>
      </c>
      <c r="BH265" s="140">
        <f t="shared" si="37"/>
        <v>0</v>
      </c>
      <c r="BI265" s="140">
        <f t="shared" si="38"/>
        <v>0</v>
      </c>
      <c r="BJ265" s="2" t="s">
        <v>87</v>
      </c>
      <c r="BK265" s="140">
        <f t="shared" si="39"/>
        <v>0</v>
      </c>
      <c r="BL265" s="2" t="s">
        <v>496</v>
      </c>
      <c r="BM265" s="139" t="s">
        <v>8006</v>
      </c>
    </row>
    <row r="266" spans="2:65" s="16" customFormat="1" ht="24.2" customHeight="1" x14ac:dyDescent="0.2">
      <c r="B266" s="17"/>
      <c r="C266" s="128">
        <v>116</v>
      </c>
      <c r="D266" s="128" t="s">
        <v>339</v>
      </c>
      <c r="E266" s="129" t="s">
        <v>8007</v>
      </c>
      <c r="F266" s="130" t="s">
        <v>7999</v>
      </c>
      <c r="G266" s="131" t="s">
        <v>449</v>
      </c>
      <c r="H266" s="132">
        <v>1</v>
      </c>
      <c r="I266" s="133"/>
      <c r="J266" s="134">
        <f t="shared" si="30"/>
        <v>0</v>
      </c>
      <c r="K266" s="130"/>
      <c r="L266" s="17"/>
      <c r="M266" s="135"/>
      <c r="N266" s="136" t="s">
        <v>45</v>
      </c>
      <c r="P266" s="137">
        <f t="shared" si="31"/>
        <v>0</v>
      </c>
      <c r="Q266" s="137">
        <v>0</v>
      </c>
      <c r="R266" s="137">
        <f t="shared" si="32"/>
        <v>0</v>
      </c>
      <c r="S266" s="137">
        <v>0</v>
      </c>
      <c r="T266" s="138">
        <f t="shared" si="33"/>
        <v>0</v>
      </c>
      <c r="AR266" s="139" t="s">
        <v>496</v>
      </c>
      <c r="AT266" s="139" t="s">
        <v>339</v>
      </c>
      <c r="AU266" s="139" t="s">
        <v>113</v>
      </c>
      <c r="AY266" s="2" t="s">
        <v>337</v>
      </c>
      <c r="BE266" s="140">
        <f t="shared" si="34"/>
        <v>0</v>
      </c>
      <c r="BF266" s="140">
        <f t="shared" si="35"/>
        <v>0</v>
      </c>
      <c r="BG266" s="140">
        <f t="shared" si="36"/>
        <v>0</v>
      </c>
      <c r="BH266" s="140">
        <f t="shared" si="37"/>
        <v>0</v>
      </c>
      <c r="BI266" s="140">
        <f t="shared" si="38"/>
        <v>0</v>
      </c>
      <c r="BJ266" s="2" t="s">
        <v>87</v>
      </c>
      <c r="BK266" s="140">
        <f t="shared" si="39"/>
        <v>0</v>
      </c>
      <c r="BL266" s="2" t="s">
        <v>496</v>
      </c>
      <c r="BM266" s="139" t="s">
        <v>8008</v>
      </c>
    </row>
    <row r="267" spans="2:65" s="16" customFormat="1" ht="24.2" customHeight="1" x14ac:dyDescent="0.2">
      <c r="B267" s="17"/>
      <c r="C267" s="128">
        <v>117</v>
      </c>
      <c r="D267" s="128" t="s">
        <v>339</v>
      </c>
      <c r="E267" s="129" t="s">
        <v>8009</v>
      </c>
      <c r="F267" s="130" t="s">
        <v>7999</v>
      </c>
      <c r="G267" s="131" t="s">
        <v>449</v>
      </c>
      <c r="H267" s="132">
        <v>1</v>
      </c>
      <c r="I267" s="133"/>
      <c r="J267" s="134">
        <f t="shared" si="30"/>
        <v>0</v>
      </c>
      <c r="K267" s="130"/>
      <c r="L267" s="17"/>
      <c r="M267" s="135"/>
      <c r="N267" s="136" t="s">
        <v>45</v>
      </c>
      <c r="P267" s="137">
        <f t="shared" si="31"/>
        <v>0</v>
      </c>
      <c r="Q267" s="137">
        <v>0</v>
      </c>
      <c r="R267" s="137">
        <f t="shared" si="32"/>
        <v>0</v>
      </c>
      <c r="S267" s="137">
        <v>0</v>
      </c>
      <c r="T267" s="138">
        <f t="shared" si="33"/>
        <v>0</v>
      </c>
      <c r="AR267" s="139" t="s">
        <v>496</v>
      </c>
      <c r="AT267" s="139" t="s">
        <v>339</v>
      </c>
      <c r="AU267" s="139" t="s">
        <v>113</v>
      </c>
      <c r="AY267" s="2" t="s">
        <v>337</v>
      </c>
      <c r="BE267" s="140">
        <f t="shared" si="34"/>
        <v>0</v>
      </c>
      <c r="BF267" s="140">
        <f t="shared" si="35"/>
        <v>0</v>
      </c>
      <c r="BG267" s="140">
        <f t="shared" si="36"/>
        <v>0</v>
      </c>
      <c r="BH267" s="140">
        <f t="shared" si="37"/>
        <v>0</v>
      </c>
      <c r="BI267" s="140">
        <f t="shared" si="38"/>
        <v>0</v>
      </c>
      <c r="BJ267" s="2" t="s">
        <v>87</v>
      </c>
      <c r="BK267" s="140">
        <f t="shared" si="39"/>
        <v>0</v>
      </c>
      <c r="BL267" s="2" t="s">
        <v>496</v>
      </c>
      <c r="BM267" s="139" t="s">
        <v>8010</v>
      </c>
    </row>
    <row r="268" spans="2:65" s="16" customFormat="1" ht="16.5" customHeight="1" x14ac:dyDescent="0.2">
      <c r="B268" s="17"/>
      <c r="C268" s="128">
        <v>118</v>
      </c>
      <c r="D268" s="128" t="s">
        <v>339</v>
      </c>
      <c r="E268" s="129" t="s">
        <v>8011</v>
      </c>
      <c r="F268" s="130" t="s">
        <v>8012</v>
      </c>
      <c r="G268" s="131" t="s">
        <v>449</v>
      </c>
      <c r="H268" s="132">
        <v>1</v>
      </c>
      <c r="I268" s="133"/>
      <c r="J268" s="134">
        <f t="shared" si="30"/>
        <v>0</v>
      </c>
      <c r="K268" s="130"/>
      <c r="L268" s="17"/>
      <c r="M268" s="135"/>
      <c r="N268" s="136" t="s">
        <v>45</v>
      </c>
      <c r="P268" s="137">
        <f t="shared" si="31"/>
        <v>0</v>
      </c>
      <c r="Q268" s="137">
        <v>0</v>
      </c>
      <c r="R268" s="137">
        <f t="shared" si="32"/>
        <v>0</v>
      </c>
      <c r="S268" s="137">
        <v>0</v>
      </c>
      <c r="T268" s="138">
        <f t="shared" si="33"/>
        <v>0</v>
      </c>
      <c r="AR268" s="139" t="s">
        <v>496</v>
      </c>
      <c r="AT268" s="139" t="s">
        <v>339</v>
      </c>
      <c r="AU268" s="139" t="s">
        <v>113</v>
      </c>
      <c r="AY268" s="2" t="s">
        <v>337</v>
      </c>
      <c r="BE268" s="140">
        <f t="shared" si="34"/>
        <v>0</v>
      </c>
      <c r="BF268" s="140">
        <f t="shared" si="35"/>
        <v>0</v>
      </c>
      <c r="BG268" s="140">
        <f t="shared" si="36"/>
        <v>0</v>
      </c>
      <c r="BH268" s="140">
        <f t="shared" si="37"/>
        <v>0</v>
      </c>
      <c r="BI268" s="140">
        <f t="shared" si="38"/>
        <v>0</v>
      </c>
      <c r="BJ268" s="2" t="s">
        <v>87</v>
      </c>
      <c r="BK268" s="140">
        <f t="shared" si="39"/>
        <v>0</v>
      </c>
      <c r="BL268" s="2" t="s">
        <v>496</v>
      </c>
      <c r="BM268" s="139" t="s">
        <v>8013</v>
      </c>
    </row>
    <row r="269" spans="2:65" s="16" customFormat="1" ht="24.2" customHeight="1" x14ac:dyDescent="0.2">
      <c r="B269" s="17"/>
      <c r="C269" s="128">
        <v>119</v>
      </c>
      <c r="D269" s="128" t="s">
        <v>339</v>
      </c>
      <c r="E269" s="129" t="s">
        <v>8014</v>
      </c>
      <c r="F269" s="130" t="s">
        <v>8015</v>
      </c>
      <c r="G269" s="131" t="s">
        <v>449</v>
      </c>
      <c r="H269" s="132">
        <v>1</v>
      </c>
      <c r="I269" s="133"/>
      <c r="J269" s="134">
        <f t="shared" si="30"/>
        <v>0</v>
      </c>
      <c r="K269" s="130"/>
      <c r="L269" s="17"/>
      <c r="M269" s="135"/>
      <c r="N269" s="136" t="s">
        <v>45</v>
      </c>
      <c r="P269" s="137">
        <f t="shared" si="31"/>
        <v>0</v>
      </c>
      <c r="Q269" s="137">
        <v>0</v>
      </c>
      <c r="R269" s="137">
        <f t="shared" si="32"/>
        <v>0</v>
      </c>
      <c r="S269" s="137">
        <v>0</v>
      </c>
      <c r="T269" s="138">
        <f t="shared" si="33"/>
        <v>0</v>
      </c>
      <c r="AR269" s="139" t="s">
        <v>496</v>
      </c>
      <c r="AT269" s="139" t="s">
        <v>339</v>
      </c>
      <c r="AU269" s="139" t="s">
        <v>113</v>
      </c>
      <c r="AY269" s="2" t="s">
        <v>337</v>
      </c>
      <c r="BE269" s="140">
        <f t="shared" si="34"/>
        <v>0</v>
      </c>
      <c r="BF269" s="140">
        <f t="shared" si="35"/>
        <v>0</v>
      </c>
      <c r="BG269" s="140">
        <f t="shared" si="36"/>
        <v>0</v>
      </c>
      <c r="BH269" s="140">
        <f t="shared" si="37"/>
        <v>0</v>
      </c>
      <c r="BI269" s="140">
        <f t="shared" si="38"/>
        <v>0</v>
      </c>
      <c r="BJ269" s="2" t="s">
        <v>87</v>
      </c>
      <c r="BK269" s="140">
        <f t="shared" si="39"/>
        <v>0</v>
      </c>
      <c r="BL269" s="2" t="s">
        <v>496</v>
      </c>
      <c r="BM269" s="139" t="s">
        <v>8016</v>
      </c>
    </row>
    <row r="270" spans="2:65" s="16" customFormat="1" ht="24.2" customHeight="1" x14ac:dyDescent="0.2">
      <c r="B270" s="17"/>
      <c r="C270" s="128">
        <v>120</v>
      </c>
      <c r="D270" s="128" t="s">
        <v>339</v>
      </c>
      <c r="E270" s="129" t="s">
        <v>8017</v>
      </c>
      <c r="F270" s="130" t="s">
        <v>8015</v>
      </c>
      <c r="G270" s="131" t="s">
        <v>449</v>
      </c>
      <c r="H270" s="132">
        <v>1</v>
      </c>
      <c r="I270" s="133"/>
      <c r="J270" s="134">
        <f t="shared" si="30"/>
        <v>0</v>
      </c>
      <c r="K270" s="130"/>
      <c r="L270" s="17"/>
      <c r="M270" s="135"/>
      <c r="N270" s="136" t="s">
        <v>45</v>
      </c>
      <c r="P270" s="137">
        <f t="shared" si="31"/>
        <v>0</v>
      </c>
      <c r="Q270" s="137">
        <v>0</v>
      </c>
      <c r="R270" s="137">
        <f t="shared" si="32"/>
        <v>0</v>
      </c>
      <c r="S270" s="137">
        <v>0</v>
      </c>
      <c r="T270" s="138">
        <f t="shared" si="33"/>
        <v>0</v>
      </c>
      <c r="AR270" s="139" t="s">
        <v>496</v>
      </c>
      <c r="AT270" s="139" t="s">
        <v>339</v>
      </c>
      <c r="AU270" s="139" t="s">
        <v>113</v>
      </c>
      <c r="AY270" s="2" t="s">
        <v>337</v>
      </c>
      <c r="BE270" s="140">
        <f t="shared" si="34"/>
        <v>0</v>
      </c>
      <c r="BF270" s="140">
        <f t="shared" si="35"/>
        <v>0</v>
      </c>
      <c r="BG270" s="140">
        <f t="shared" si="36"/>
        <v>0</v>
      </c>
      <c r="BH270" s="140">
        <f t="shared" si="37"/>
        <v>0</v>
      </c>
      <c r="BI270" s="140">
        <f t="shared" si="38"/>
        <v>0</v>
      </c>
      <c r="BJ270" s="2" t="s">
        <v>87</v>
      </c>
      <c r="BK270" s="140">
        <f t="shared" si="39"/>
        <v>0</v>
      </c>
      <c r="BL270" s="2" t="s">
        <v>496</v>
      </c>
      <c r="BM270" s="139" t="s">
        <v>8018</v>
      </c>
    </row>
    <row r="271" spans="2:65" s="16" customFormat="1" ht="24.2" customHeight="1" x14ac:dyDescent="0.2">
      <c r="B271" s="17"/>
      <c r="C271" s="128">
        <v>121</v>
      </c>
      <c r="D271" s="128" t="s">
        <v>339</v>
      </c>
      <c r="E271" s="129" t="s">
        <v>8019</v>
      </c>
      <c r="F271" s="130" t="s">
        <v>8020</v>
      </c>
      <c r="G271" s="131" t="s">
        <v>449</v>
      </c>
      <c r="H271" s="132">
        <v>1</v>
      </c>
      <c r="I271" s="133"/>
      <c r="J271" s="134">
        <f t="shared" si="30"/>
        <v>0</v>
      </c>
      <c r="K271" s="130"/>
      <c r="L271" s="17"/>
      <c r="M271" s="135"/>
      <c r="N271" s="136" t="s">
        <v>45</v>
      </c>
      <c r="P271" s="137">
        <f t="shared" si="31"/>
        <v>0</v>
      </c>
      <c r="Q271" s="137">
        <v>0</v>
      </c>
      <c r="R271" s="137">
        <f t="shared" si="32"/>
        <v>0</v>
      </c>
      <c r="S271" s="137">
        <v>0</v>
      </c>
      <c r="T271" s="138">
        <f t="shared" si="33"/>
        <v>0</v>
      </c>
      <c r="AR271" s="139" t="s">
        <v>496</v>
      </c>
      <c r="AT271" s="139" t="s">
        <v>339</v>
      </c>
      <c r="AU271" s="139" t="s">
        <v>113</v>
      </c>
      <c r="AY271" s="2" t="s">
        <v>337</v>
      </c>
      <c r="BE271" s="140">
        <f t="shared" si="34"/>
        <v>0</v>
      </c>
      <c r="BF271" s="140">
        <f t="shared" si="35"/>
        <v>0</v>
      </c>
      <c r="BG271" s="140">
        <f t="shared" si="36"/>
        <v>0</v>
      </c>
      <c r="BH271" s="140">
        <f t="shared" si="37"/>
        <v>0</v>
      </c>
      <c r="BI271" s="140">
        <f t="shared" si="38"/>
        <v>0</v>
      </c>
      <c r="BJ271" s="2" t="s">
        <v>87</v>
      </c>
      <c r="BK271" s="140">
        <f t="shared" si="39"/>
        <v>0</v>
      </c>
      <c r="BL271" s="2" t="s">
        <v>496</v>
      </c>
      <c r="BM271" s="139" t="s">
        <v>8021</v>
      </c>
    </row>
    <row r="272" spans="2:65" s="16" customFormat="1" ht="24.2" customHeight="1" x14ac:dyDescent="0.2">
      <c r="B272" s="17"/>
      <c r="C272" s="128">
        <v>122</v>
      </c>
      <c r="D272" s="128" t="s">
        <v>339</v>
      </c>
      <c r="E272" s="129" t="s">
        <v>8022</v>
      </c>
      <c r="F272" s="130" t="s">
        <v>8020</v>
      </c>
      <c r="G272" s="131" t="s">
        <v>449</v>
      </c>
      <c r="H272" s="132">
        <v>1</v>
      </c>
      <c r="I272" s="133"/>
      <c r="J272" s="134">
        <f t="shared" si="30"/>
        <v>0</v>
      </c>
      <c r="K272" s="130"/>
      <c r="L272" s="17"/>
      <c r="M272" s="135"/>
      <c r="N272" s="136" t="s">
        <v>45</v>
      </c>
      <c r="P272" s="137">
        <f t="shared" si="31"/>
        <v>0</v>
      </c>
      <c r="Q272" s="137">
        <v>0</v>
      </c>
      <c r="R272" s="137">
        <f t="shared" si="32"/>
        <v>0</v>
      </c>
      <c r="S272" s="137">
        <v>0</v>
      </c>
      <c r="T272" s="138">
        <f t="shared" si="33"/>
        <v>0</v>
      </c>
      <c r="AR272" s="139" t="s">
        <v>496</v>
      </c>
      <c r="AT272" s="139" t="s">
        <v>339</v>
      </c>
      <c r="AU272" s="139" t="s">
        <v>113</v>
      </c>
      <c r="AY272" s="2" t="s">
        <v>337</v>
      </c>
      <c r="BE272" s="140">
        <f t="shared" si="34"/>
        <v>0</v>
      </c>
      <c r="BF272" s="140">
        <f t="shared" si="35"/>
        <v>0</v>
      </c>
      <c r="BG272" s="140">
        <f t="shared" si="36"/>
        <v>0</v>
      </c>
      <c r="BH272" s="140">
        <f t="shared" si="37"/>
        <v>0</v>
      </c>
      <c r="BI272" s="140">
        <f t="shared" si="38"/>
        <v>0</v>
      </c>
      <c r="BJ272" s="2" t="s">
        <v>87</v>
      </c>
      <c r="BK272" s="140">
        <f t="shared" si="39"/>
        <v>0</v>
      </c>
      <c r="BL272" s="2" t="s">
        <v>496</v>
      </c>
      <c r="BM272" s="139" t="s">
        <v>8023</v>
      </c>
    </row>
    <row r="273" spans="2:65" s="16" customFormat="1" ht="24.2" customHeight="1" x14ac:dyDescent="0.2">
      <c r="B273" s="17"/>
      <c r="C273" s="128">
        <v>123</v>
      </c>
      <c r="D273" s="128" t="s">
        <v>339</v>
      </c>
      <c r="E273" s="129" t="s">
        <v>8024</v>
      </c>
      <c r="F273" s="130" t="s">
        <v>8020</v>
      </c>
      <c r="G273" s="131" t="s">
        <v>449</v>
      </c>
      <c r="H273" s="132">
        <v>1</v>
      </c>
      <c r="I273" s="133"/>
      <c r="J273" s="134">
        <f t="shared" si="30"/>
        <v>0</v>
      </c>
      <c r="K273" s="130"/>
      <c r="L273" s="17"/>
      <c r="M273" s="135"/>
      <c r="N273" s="136" t="s">
        <v>45</v>
      </c>
      <c r="P273" s="137">
        <f t="shared" si="31"/>
        <v>0</v>
      </c>
      <c r="Q273" s="137">
        <v>0</v>
      </c>
      <c r="R273" s="137">
        <f t="shared" si="32"/>
        <v>0</v>
      </c>
      <c r="S273" s="137">
        <v>0</v>
      </c>
      <c r="T273" s="138">
        <f t="shared" si="33"/>
        <v>0</v>
      </c>
      <c r="AR273" s="139" t="s">
        <v>496</v>
      </c>
      <c r="AT273" s="139" t="s">
        <v>339</v>
      </c>
      <c r="AU273" s="139" t="s">
        <v>113</v>
      </c>
      <c r="AY273" s="2" t="s">
        <v>337</v>
      </c>
      <c r="BE273" s="140">
        <f t="shared" si="34"/>
        <v>0</v>
      </c>
      <c r="BF273" s="140">
        <f t="shared" si="35"/>
        <v>0</v>
      </c>
      <c r="BG273" s="140">
        <f t="shared" si="36"/>
        <v>0</v>
      </c>
      <c r="BH273" s="140">
        <f t="shared" si="37"/>
        <v>0</v>
      </c>
      <c r="BI273" s="140">
        <f t="shared" si="38"/>
        <v>0</v>
      </c>
      <c r="BJ273" s="2" t="s">
        <v>87</v>
      </c>
      <c r="BK273" s="140">
        <f t="shared" si="39"/>
        <v>0</v>
      </c>
      <c r="BL273" s="2" t="s">
        <v>496</v>
      </c>
      <c r="BM273" s="139" t="s">
        <v>8025</v>
      </c>
    </row>
    <row r="274" spans="2:65" s="16" customFormat="1" ht="24.2" customHeight="1" x14ac:dyDescent="0.2">
      <c r="B274" s="17"/>
      <c r="C274" s="128">
        <v>124</v>
      </c>
      <c r="D274" s="128" t="s">
        <v>339</v>
      </c>
      <c r="E274" s="129" t="s">
        <v>8026</v>
      </c>
      <c r="F274" s="130" t="s">
        <v>8020</v>
      </c>
      <c r="G274" s="131" t="s">
        <v>449</v>
      </c>
      <c r="H274" s="132">
        <v>1</v>
      </c>
      <c r="I274" s="133"/>
      <c r="J274" s="134">
        <f t="shared" si="30"/>
        <v>0</v>
      </c>
      <c r="K274" s="130"/>
      <c r="L274" s="17"/>
      <c r="M274" s="135"/>
      <c r="N274" s="136" t="s">
        <v>45</v>
      </c>
      <c r="P274" s="137">
        <f t="shared" si="31"/>
        <v>0</v>
      </c>
      <c r="Q274" s="137">
        <v>0</v>
      </c>
      <c r="R274" s="137">
        <f t="shared" si="32"/>
        <v>0</v>
      </c>
      <c r="S274" s="137">
        <v>0</v>
      </c>
      <c r="T274" s="138">
        <f t="shared" si="33"/>
        <v>0</v>
      </c>
      <c r="AR274" s="139" t="s">
        <v>496</v>
      </c>
      <c r="AT274" s="139" t="s">
        <v>339</v>
      </c>
      <c r="AU274" s="139" t="s">
        <v>113</v>
      </c>
      <c r="AY274" s="2" t="s">
        <v>337</v>
      </c>
      <c r="BE274" s="140">
        <f t="shared" si="34"/>
        <v>0</v>
      </c>
      <c r="BF274" s="140">
        <f t="shared" si="35"/>
        <v>0</v>
      </c>
      <c r="BG274" s="140">
        <f t="shared" si="36"/>
        <v>0</v>
      </c>
      <c r="BH274" s="140">
        <f t="shared" si="37"/>
        <v>0</v>
      </c>
      <c r="BI274" s="140">
        <f t="shared" si="38"/>
        <v>0</v>
      </c>
      <c r="BJ274" s="2" t="s">
        <v>87</v>
      </c>
      <c r="BK274" s="140">
        <f t="shared" si="39"/>
        <v>0</v>
      </c>
      <c r="BL274" s="2" t="s">
        <v>496</v>
      </c>
      <c r="BM274" s="139" t="s">
        <v>8027</v>
      </c>
    </row>
    <row r="275" spans="2:65" s="16" customFormat="1" ht="16.5" customHeight="1" x14ac:dyDescent="0.2">
      <c r="B275" s="17"/>
      <c r="C275" s="128">
        <v>125</v>
      </c>
      <c r="D275" s="128" t="s">
        <v>339</v>
      </c>
      <c r="E275" s="129" t="s">
        <v>8028</v>
      </c>
      <c r="F275" s="130" t="s">
        <v>8029</v>
      </c>
      <c r="G275" s="131" t="s">
        <v>449</v>
      </c>
      <c r="H275" s="132">
        <v>1</v>
      </c>
      <c r="I275" s="133"/>
      <c r="J275" s="134">
        <f t="shared" si="30"/>
        <v>0</v>
      </c>
      <c r="K275" s="130"/>
      <c r="L275" s="17"/>
      <c r="M275" s="135"/>
      <c r="N275" s="136" t="s">
        <v>45</v>
      </c>
      <c r="P275" s="137">
        <f t="shared" si="31"/>
        <v>0</v>
      </c>
      <c r="Q275" s="137">
        <v>0</v>
      </c>
      <c r="R275" s="137">
        <f t="shared" si="32"/>
        <v>0</v>
      </c>
      <c r="S275" s="137">
        <v>0</v>
      </c>
      <c r="T275" s="138">
        <f t="shared" si="33"/>
        <v>0</v>
      </c>
      <c r="AR275" s="139" t="s">
        <v>496</v>
      </c>
      <c r="AT275" s="139" t="s">
        <v>339</v>
      </c>
      <c r="AU275" s="139" t="s">
        <v>113</v>
      </c>
      <c r="AY275" s="2" t="s">
        <v>337</v>
      </c>
      <c r="BE275" s="140">
        <f t="shared" si="34"/>
        <v>0</v>
      </c>
      <c r="BF275" s="140">
        <f t="shared" si="35"/>
        <v>0</v>
      </c>
      <c r="BG275" s="140">
        <f t="shared" si="36"/>
        <v>0</v>
      </c>
      <c r="BH275" s="140">
        <f t="shared" si="37"/>
        <v>0</v>
      </c>
      <c r="BI275" s="140">
        <f t="shared" si="38"/>
        <v>0</v>
      </c>
      <c r="BJ275" s="2" t="s">
        <v>87</v>
      </c>
      <c r="BK275" s="140">
        <f t="shared" si="39"/>
        <v>0</v>
      </c>
      <c r="BL275" s="2" t="s">
        <v>496</v>
      </c>
      <c r="BM275" s="139" t="s">
        <v>8030</v>
      </c>
    </row>
    <row r="276" spans="2:65" s="16" customFormat="1" ht="24.2" customHeight="1" x14ac:dyDescent="0.2">
      <c r="B276" s="17"/>
      <c r="C276" s="128">
        <v>126</v>
      </c>
      <c r="D276" s="128" t="s">
        <v>339</v>
      </c>
      <c r="E276" s="129" t="s">
        <v>8031</v>
      </c>
      <c r="F276" s="130" t="s">
        <v>8032</v>
      </c>
      <c r="G276" s="131" t="s">
        <v>449</v>
      </c>
      <c r="H276" s="132">
        <v>1</v>
      </c>
      <c r="I276" s="133"/>
      <c r="J276" s="134">
        <f t="shared" ref="J276:J280" si="40">ROUND(I276*H276,2)</f>
        <v>0</v>
      </c>
      <c r="K276" s="130"/>
      <c r="L276" s="17"/>
      <c r="M276" s="135"/>
      <c r="N276" s="136" t="s">
        <v>45</v>
      </c>
      <c r="P276" s="137">
        <f t="shared" ref="P276:P280" si="41">O276*H276</f>
        <v>0</v>
      </c>
      <c r="Q276" s="137">
        <v>0</v>
      </c>
      <c r="R276" s="137">
        <f t="shared" ref="R276:R280" si="42">Q276*H276</f>
        <v>0</v>
      </c>
      <c r="S276" s="137">
        <v>0</v>
      </c>
      <c r="T276" s="138">
        <f t="shared" ref="T276:T280" si="43">S276*H276</f>
        <v>0</v>
      </c>
      <c r="AR276" s="139" t="s">
        <v>496</v>
      </c>
      <c r="AT276" s="139" t="s">
        <v>339</v>
      </c>
      <c r="AU276" s="139" t="s">
        <v>113</v>
      </c>
      <c r="AY276" s="2" t="s">
        <v>337</v>
      </c>
      <c r="BE276" s="140">
        <f t="shared" si="34"/>
        <v>0</v>
      </c>
      <c r="BF276" s="140">
        <f t="shared" si="35"/>
        <v>0</v>
      </c>
      <c r="BG276" s="140">
        <f t="shared" si="36"/>
        <v>0</v>
      </c>
      <c r="BH276" s="140">
        <f t="shared" si="37"/>
        <v>0</v>
      </c>
      <c r="BI276" s="140">
        <f t="shared" si="38"/>
        <v>0</v>
      </c>
      <c r="BJ276" s="2" t="s">
        <v>87</v>
      </c>
      <c r="BK276" s="140">
        <f t="shared" si="39"/>
        <v>0</v>
      </c>
      <c r="BL276" s="2" t="s">
        <v>496</v>
      </c>
      <c r="BM276" s="139" t="s">
        <v>8033</v>
      </c>
    </row>
    <row r="277" spans="2:65" s="16" customFormat="1" ht="24.2" customHeight="1" x14ac:dyDescent="0.2">
      <c r="B277" s="17"/>
      <c r="C277" s="128">
        <v>127</v>
      </c>
      <c r="D277" s="128" t="s">
        <v>339</v>
      </c>
      <c r="E277" s="129" t="s">
        <v>8034</v>
      </c>
      <c r="F277" s="130" t="s">
        <v>8032</v>
      </c>
      <c r="G277" s="131" t="s">
        <v>449</v>
      </c>
      <c r="H277" s="132">
        <v>1</v>
      </c>
      <c r="I277" s="133"/>
      <c r="J277" s="134">
        <f t="shared" si="40"/>
        <v>0</v>
      </c>
      <c r="K277" s="130"/>
      <c r="L277" s="17"/>
      <c r="M277" s="135"/>
      <c r="N277" s="136" t="s">
        <v>45</v>
      </c>
      <c r="P277" s="137">
        <f t="shared" si="41"/>
        <v>0</v>
      </c>
      <c r="Q277" s="137">
        <v>0</v>
      </c>
      <c r="R277" s="137">
        <f t="shared" si="42"/>
        <v>0</v>
      </c>
      <c r="S277" s="137">
        <v>0</v>
      </c>
      <c r="T277" s="138">
        <f t="shared" si="43"/>
        <v>0</v>
      </c>
      <c r="AR277" s="139" t="s">
        <v>496</v>
      </c>
      <c r="AT277" s="139" t="s">
        <v>339</v>
      </c>
      <c r="AU277" s="139" t="s">
        <v>113</v>
      </c>
      <c r="AY277" s="2" t="s">
        <v>337</v>
      </c>
      <c r="BE277" s="140">
        <f t="shared" si="34"/>
        <v>0</v>
      </c>
      <c r="BF277" s="140">
        <f t="shared" si="35"/>
        <v>0</v>
      </c>
      <c r="BG277" s="140">
        <f t="shared" si="36"/>
        <v>0</v>
      </c>
      <c r="BH277" s="140">
        <f t="shared" si="37"/>
        <v>0</v>
      </c>
      <c r="BI277" s="140">
        <f t="shared" si="38"/>
        <v>0</v>
      </c>
      <c r="BJ277" s="2" t="s">
        <v>87</v>
      </c>
      <c r="BK277" s="140">
        <f t="shared" si="39"/>
        <v>0</v>
      </c>
      <c r="BL277" s="2" t="s">
        <v>496</v>
      </c>
      <c r="BM277" s="139" t="s">
        <v>8035</v>
      </c>
    </row>
    <row r="278" spans="2:65" s="16" customFormat="1" ht="24.2" customHeight="1" x14ac:dyDescent="0.2">
      <c r="B278" s="17"/>
      <c r="C278" s="128">
        <v>128</v>
      </c>
      <c r="D278" s="128" t="s">
        <v>339</v>
      </c>
      <c r="E278" s="129" t="s">
        <v>8036</v>
      </c>
      <c r="F278" s="130" t="s">
        <v>8037</v>
      </c>
      <c r="G278" s="131" t="s">
        <v>449</v>
      </c>
      <c r="H278" s="132">
        <v>1</v>
      </c>
      <c r="I278" s="133"/>
      <c r="J278" s="134">
        <f t="shared" si="40"/>
        <v>0</v>
      </c>
      <c r="K278" s="130"/>
      <c r="L278" s="17"/>
      <c r="M278" s="135"/>
      <c r="N278" s="136" t="s">
        <v>45</v>
      </c>
      <c r="P278" s="137">
        <f t="shared" si="41"/>
        <v>0</v>
      </c>
      <c r="Q278" s="137">
        <v>0</v>
      </c>
      <c r="R278" s="137">
        <f t="shared" si="42"/>
        <v>0</v>
      </c>
      <c r="S278" s="137">
        <v>0</v>
      </c>
      <c r="T278" s="138">
        <f t="shared" si="43"/>
        <v>0</v>
      </c>
      <c r="AR278" s="139" t="s">
        <v>496</v>
      </c>
      <c r="AT278" s="139" t="s">
        <v>339</v>
      </c>
      <c r="AU278" s="139" t="s">
        <v>113</v>
      </c>
      <c r="AY278" s="2" t="s">
        <v>337</v>
      </c>
      <c r="BE278" s="140">
        <f t="shared" si="34"/>
        <v>0</v>
      </c>
      <c r="BF278" s="140">
        <f t="shared" si="35"/>
        <v>0</v>
      </c>
      <c r="BG278" s="140">
        <f t="shared" si="36"/>
        <v>0</v>
      </c>
      <c r="BH278" s="140">
        <f t="shared" si="37"/>
        <v>0</v>
      </c>
      <c r="BI278" s="140">
        <f t="shared" si="38"/>
        <v>0</v>
      </c>
      <c r="BJ278" s="2" t="s">
        <v>87</v>
      </c>
      <c r="BK278" s="140">
        <f t="shared" si="39"/>
        <v>0</v>
      </c>
      <c r="BL278" s="2" t="s">
        <v>496</v>
      </c>
      <c r="BM278" s="139" t="s">
        <v>8038</v>
      </c>
    </row>
    <row r="279" spans="2:65" s="16" customFormat="1" ht="24.2" customHeight="1" x14ac:dyDescent="0.2">
      <c r="B279" s="17"/>
      <c r="C279" s="128">
        <v>129</v>
      </c>
      <c r="D279" s="128" t="s">
        <v>339</v>
      </c>
      <c r="E279" s="129" t="s">
        <v>8039</v>
      </c>
      <c r="F279" s="130" t="s">
        <v>8037</v>
      </c>
      <c r="G279" s="131" t="s">
        <v>449</v>
      </c>
      <c r="H279" s="132">
        <v>1</v>
      </c>
      <c r="I279" s="133"/>
      <c r="J279" s="134">
        <f t="shared" si="40"/>
        <v>0</v>
      </c>
      <c r="K279" s="130"/>
      <c r="L279" s="17"/>
      <c r="M279" s="135"/>
      <c r="N279" s="136" t="s">
        <v>45</v>
      </c>
      <c r="P279" s="137">
        <f t="shared" si="41"/>
        <v>0</v>
      </c>
      <c r="Q279" s="137">
        <v>0</v>
      </c>
      <c r="R279" s="137">
        <f t="shared" si="42"/>
        <v>0</v>
      </c>
      <c r="S279" s="137">
        <v>0</v>
      </c>
      <c r="T279" s="138">
        <f t="shared" si="43"/>
        <v>0</v>
      </c>
      <c r="AR279" s="139" t="s">
        <v>496</v>
      </c>
      <c r="AT279" s="139" t="s">
        <v>339</v>
      </c>
      <c r="AU279" s="139" t="s">
        <v>113</v>
      </c>
      <c r="AY279" s="2" t="s">
        <v>337</v>
      </c>
      <c r="BE279" s="140">
        <f t="shared" si="34"/>
        <v>0</v>
      </c>
      <c r="BF279" s="140">
        <f t="shared" si="35"/>
        <v>0</v>
      </c>
      <c r="BG279" s="140">
        <f t="shared" si="36"/>
        <v>0</v>
      </c>
      <c r="BH279" s="140">
        <f t="shared" si="37"/>
        <v>0</v>
      </c>
      <c r="BI279" s="140">
        <f t="shared" si="38"/>
        <v>0</v>
      </c>
      <c r="BJ279" s="2" t="s">
        <v>87</v>
      </c>
      <c r="BK279" s="140">
        <f t="shared" si="39"/>
        <v>0</v>
      </c>
      <c r="BL279" s="2" t="s">
        <v>496</v>
      </c>
      <c r="BM279" s="139" t="s">
        <v>8040</v>
      </c>
    </row>
    <row r="280" spans="2:65" s="16" customFormat="1" ht="16.5" customHeight="1" x14ac:dyDescent="0.2">
      <c r="B280" s="17"/>
      <c r="C280" s="128">
        <v>130</v>
      </c>
      <c r="D280" s="128" t="s">
        <v>339</v>
      </c>
      <c r="E280" s="129" t="s">
        <v>8041</v>
      </c>
      <c r="F280" s="130" t="s">
        <v>8042</v>
      </c>
      <c r="G280" s="131" t="s">
        <v>449</v>
      </c>
      <c r="H280" s="132">
        <v>1</v>
      </c>
      <c r="I280" s="133"/>
      <c r="J280" s="134">
        <f t="shared" si="40"/>
        <v>0</v>
      </c>
      <c r="K280" s="130"/>
      <c r="L280" s="17"/>
      <c r="M280" s="135"/>
      <c r="N280" s="136" t="s">
        <v>45</v>
      </c>
      <c r="P280" s="137">
        <f t="shared" si="41"/>
        <v>0</v>
      </c>
      <c r="Q280" s="137">
        <v>0</v>
      </c>
      <c r="R280" s="137">
        <f t="shared" si="42"/>
        <v>0</v>
      </c>
      <c r="S280" s="137">
        <v>0</v>
      </c>
      <c r="T280" s="138">
        <f t="shared" si="43"/>
        <v>0</v>
      </c>
      <c r="AR280" s="139" t="s">
        <v>496</v>
      </c>
      <c r="AT280" s="139" t="s">
        <v>339</v>
      </c>
      <c r="AU280" s="139" t="s">
        <v>113</v>
      </c>
      <c r="AY280" s="2" t="s">
        <v>337</v>
      </c>
      <c r="BE280" s="140">
        <f t="shared" si="34"/>
        <v>0</v>
      </c>
      <c r="BF280" s="140">
        <f t="shared" si="35"/>
        <v>0</v>
      </c>
      <c r="BG280" s="140">
        <f t="shared" si="36"/>
        <v>0</v>
      </c>
      <c r="BH280" s="140">
        <f t="shared" si="37"/>
        <v>0</v>
      </c>
      <c r="BI280" s="140">
        <f t="shared" si="38"/>
        <v>0</v>
      </c>
      <c r="BJ280" s="2" t="s">
        <v>87</v>
      </c>
      <c r="BK280" s="140">
        <f t="shared" si="39"/>
        <v>0</v>
      </c>
      <c r="BL280" s="2" t="s">
        <v>496</v>
      </c>
      <c r="BM280" s="139" t="s">
        <v>8043</v>
      </c>
    </row>
    <row r="281" spans="2:65" s="116" customFormat="1" ht="20.85" customHeight="1" x14ac:dyDescent="0.2">
      <c r="B281" s="117"/>
      <c r="D281" s="118" t="s">
        <v>79</v>
      </c>
      <c r="E281" s="126" t="s">
        <v>8044</v>
      </c>
      <c r="F281" s="126" t="s">
        <v>8045</v>
      </c>
      <c r="J281" s="127">
        <f>BK281</f>
        <v>0</v>
      </c>
      <c r="L281" s="117"/>
      <c r="M281" s="121"/>
      <c r="P281" s="122">
        <f>SUM(P282:P288)</f>
        <v>0</v>
      </c>
      <c r="R281" s="122">
        <f>SUM(R282:R288)</f>
        <v>0</v>
      </c>
      <c r="T281" s="123">
        <f>SUM(T282:T288)</f>
        <v>0</v>
      </c>
      <c r="AR281" s="118" t="s">
        <v>87</v>
      </c>
      <c r="AT281" s="124" t="s">
        <v>79</v>
      </c>
      <c r="AU281" s="124" t="s">
        <v>90</v>
      </c>
      <c r="AY281" s="118" t="s">
        <v>337</v>
      </c>
      <c r="BK281" s="125">
        <f>SUM(BK282:BK288)</f>
        <v>0</v>
      </c>
    </row>
    <row r="282" spans="2:65" s="16" customFormat="1" ht="24.2" customHeight="1" x14ac:dyDescent="0.2">
      <c r="B282" s="17"/>
      <c r="C282" s="128">
        <v>131</v>
      </c>
      <c r="D282" s="128" t="s">
        <v>339</v>
      </c>
      <c r="E282" s="129" t="s">
        <v>8046</v>
      </c>
      <c r="F282" s="130" t="s">
        <v>8047</v>
      </c>
      <c r="G282" s="131" t="s">
        <v>449</v>
      </c>
      <c r="H282" s="132">
        <v>171</v>
      </c>
      <c r="I282" s="133"/>
      <c r="J282" s="134">
        <f t="shared" ref="J282:J288" si="44">ROUND(I282*H282,2)</f>
        <v>0</v>
      </c>
      <c r="K282" s="130"/>
      <c r="L282" s="17"/>
      <c r="M282" s="135"/>
      <c r="N282" s="136" t="s">
        <v>45</v>
      </c>
      <c r="P282" s="137">
        <f t="shared" ref="P282:P288" si="45">O282*H282</f>
        <v>0</v>
      </c>
      <c r="Q282" s="137">
        <v>0</v>
      </c>
      <c r="R282" s="137">
        <f t="shared" ref="R282:R288" si="46">Q282*H282</f>
        <v>0</v>
      </c>
      <c r="S282" s="137">
        <v>0</v>
      </c>
      <c r="T282" s="138">
        <f t="shared" ref="T282:T288" si="47">S282*H282</f>
        <v>0</v>
      </c>
      <c r="AR282" s="139" t="s">
        <v>496</v>
      </c>
      <c r="AT282" s="139" t="s">
        <v>339</v>
      </c>
      <c r="AU282" s="139" t="s">
        <v>113</v>
      </c>
      <c r="AY282" s="2" t="s">
        <v>337</v>
      </c>
      <c r="BE282" s="140">
        <f t="shared" ref="BE282:BE288" si="48">IF(N282="základní",J282,0)</f>
        <v>0</v>
      </c>
      <c r="BF282" s="140">
        <f t="shared" ref="BF282:BF288" si="49">IF(N282="snížená",J282,0)</f>
        <v>0</v>
      </c>
      <c r="BG282" s="140">
        <f t="shared" ref="BG282:BG288" si="50">IF(N282="zákl. přenesená",J282,0)</f>
        <v>0</v>
      </c>
      <c r="BH282" s="140">
        <f t="shared" ref="BH282:BH288" si="51">IF(N282="sníž. přenesená",J282,0)</f>
        <v>0</v>
      </c>
      <c r="BI282" s="140">
        <f t="shared" ref="BI282:BI288" si="52">IF(N282="nulová",J282,0)</f>
        <v>0</v>
      </c>
      <c r="BJ282" s="2" t="s">
        <v>87</v>
      </c>
      <c r="BK282" s="140">
        <f t="shared" ref="BK282:BK288" si="53">ROUND(I282*H282,2)</f>
        <v>0</v>
      </c>
      <c r="BL282" s="2" t="s">
        <v>496</v>
      </c>
      <c r="BM282" s="139" t="s">
        <v>8048</v>
      </c>
    </row>
    <row r="283" spans="2:65" s="16" customFormat="1" ht="16.5" customHeight="1" x14ac:dyDescent="0.2">
      <c r="B283" s="17"/>
      <c r="C283" s="128">
        <v>132</v>
      </c>
      <c r="D283" s="128" t="s">
        <v>339</v>
      </c>
      <c r="E283" s="129" t="s">
        <v>8049</v>
      </c>
      <c r="F283" s="130" t="s">
        <v>8050</v>
      </c>
      <c r="G283" s="131" t="s">
        <v>342</v>
      </c>
      <c r="H283" s="132">
        <v>0.1</v>
      </c>
      <c r="I283" s="133"/>
      <c r="J283" s="134">
        <f t="shared" si="44"/>
        <v>0</v>
      </c>
      <c r="K283" s="130"/>
      <c r="L283" s="17"/>
      <c r="M283" s="135"/>
      <c r="N283" s="136" t="s">
        <v>45</v>
      </c>
      <c r="P283" s="137">
        <f t="shared" si="45"/>
        <v>0</v>
      </c>
      <c r="Q283" s="137">
        <v>0</v>
      </c>
      <c r="R283" s="137">
        <f t="shared" si="46"/>
        <v>0</v>
      </c>
      <c r="S283" s="137">
        <v>0</v>
      </c>
      <c r="T283" s="138">
        <f t="shared" si="47"/>
        <v>0</v>
      </c>
      <c r="AR283" s="139" t="s">
        <v>496</v>
      </c>
      <c r="AT283" s="139" t="s">
        <v>339</v>
      </c>
      <c r="AU283" s="139" t="s">
        <v>113</v>
      </c>
      <c r="AY283" s="2" t="s">
        <v>337</v>
      </c>
      <c r="BE283" s="140">
        <f t="shared" si="48"/>
        <v>0</v>
      </c>
      <c r="BF283" s="140">
        <f t="shared" si="49"/>
        <v>0</v>
      </c>
      <c r="BG283" s="140">
        <f t="shared" si="50"/>
        <v>0</v>
      </c>
      <c r="BH283" s="140">
        <f t="shared" si="51"/>
        <v>0</v>
      </c>
      <c r="BI283" s="140">
        <f t="shared" si="52"/>
        <v>0</v>
      </c>
      <c r="BJ283" s="2" t="s">
        <v>87</v>
      </c>
      <c r="BK283" s="140">
        <f t="shared" si="53"/>
        <v>0</v>
      </c>
      <c r="BL283" s="2" t="s">
        <v>496</v>
      </c>
      <c r="BM283" s="139" t="s">
        <v>8051</v>
      </c>
    </row>
    <row r="284" spans="2:65" s="16" customFormat="1" ht="16.5" customHeight="1" x14ac:dyDescent="0.2">
      <c r="B284" s="17"/>
      <c r="C284" s="128">
        <v>133</v>
      </c>
      <c r="D284" s="128" t="s">
        <v>339</v>
      </c>
      <c r="E284" s="129" t="s">
        <v>8052</v>
      </c>
      <c r="F284" s="130" t="s">
        <v>8053</v>
      </c>
      <c r="G284" s="131" t="s">
        <v>449</v>
      </c>
      <c r="H284" s="132">
        <v>16</v>
      </c>
      <c r="I284" s="133"/>
      <c r="J284" s="134">
        <f t="shared" si="44"/>
        <v>0</v>
      </c>
      <c r="K284" s="130"/>
      <c r="L284" s="17"/>
      <c r="M284" s="135"/>
      <c r="N284" s="136" t="s">
        <v>45</v>
      </c>
      <c r="P284" s="137">
        <f t="shared" si="45"/>
        <v>0</v>
      </c>
      <c r="Q284" s="137">
        <v>0</v>
      </c>
      <c r="R284" s="137">
        <f t="shared" si="46"/>
        <v>0</v>
      </c>
      <c r="S284" s="137">
        <v>0</v>
      </c>
      <c r="T284" s="138">
        <f t="shared" si="47"/>
        <v>0</v>
      </c>
      <c r="AR284" s="139" t="s">
        <v>496</v>
      </c>
      <c r="AT284" s="139" t="s">
        <v>339</v>
      </c>
      <c r="AU284" s="139" t="s">
        <v>113</v>
      </c>
      <c r="AY284" s="2" t="s">
        <v>337</v>
      </c>
      <c r="BE284" s="140">
        <f t="shared" si="48"/>
        <v>0</v>
      </c>
      <c r="BF284" s="140">
        <f t="shared" si="49"/>
        <v>0</v>
      </c>
      <c r="BG284" s="140">
        <f t="shared" si="50"/>
        <v>0</v>
      </c>
      <c r="BH284" s="140">
        <f t="shared" si="51"/>
        <v>0</v>
      </c>
      <c r="BI284" s="140">
        <f t="shared" si="52"/>
        <v>0</v>
      </c>
      <c r="BJ284" s="2" t="s">
        <v>87</v>
      </c>
      <c r="BK284" s="140">
        <f t="shared" si="53"/>
        <v>0</v>
      </c>
      <c r="BL284" s="2" t="s">
        <v>496</v>
      </c>
      <c r="BM284" s="139" t="s">
        <v>8054</v>
      </c>
    </row>
    <row r="285" spans="2:65" s="16" customFormat="1" ht="16.5" customHeight="1" x14ac:dyDescent="0.2">
      <c r="B285" s="17"/>
      <c r="C285" s="128">
        <v>134</v>
      </c>
      <c r="D285" s="128" t="s">
        <v>339</v>
      </c>
      <c r="E285" s="129" t="s">
        <v>8055</v>
      </c>
      <c r="F285" s="130" t="s">
        <v>8056</v>
      </c>
      <c r="G285" s="131" t="s">
        <v>449</v>
      </c>
      <c r="H285" s="132">
        <v>19</v>
      </c>
      <c r="I285" s="133"/>
      <c r="J285" s="134">
        <f t="shared" si="44"/>
        <v>0</v>
      </c>
      <c r="K285" s="130"/>
      <c r="L285" s="17"/>
      <c r="M285" s="135"/>
      <c r="N285" s="136" t="s">
        <v>45</v>
      </c>
      <c r="P285" s="137">
        <f t="shared" si="45"/>
        <v>0</v>
      </c>
      <c r="Q285" s="137">
        <v>0</v>
      </c>
      <c r="R285" s="137">
        <f t="shared" si="46"/>
        <v>0</v>
      </c>
      <c r="S285" s="137">
        <v>0</v>
      </c>
      <c r="T285" s="138">
        <f t="shared" si="47"/>
        <v>0</v>
      </c>
      <c r="AR285" s="139" t="s">
        <v>496</v>
      </c>
      <c r="AT285" s="139" t="s">
        <v>339</v>
      </c>
      <c r="AU285" s="139" t="s">
        <v>113</v>
      </c>
      <c r="AY285" s="2" t="s">
        <v>337</v>
      </c>
      <c r="BE285" s="140">
        <f t="shared" si="48"/>
        <v>0</v>
      </c>
      <c r="BF285" s="140">
        <f t="shared" si="49"/>
        <v>0</v>
      </c>
      <c r="BG285" s="140">
        <f t="shared" si="50"/>
        <v>0</v>
      </c>
      <c r="BH285" s="140">
        <f t="shared" si="51"/>
        <v>0</v>
      </c>
      <c r="BI285" s="140">
        <f t="shared" si="52"/>
        <v>0</v>
      </c>
      <c r="BJ285" s="2" t="s">
        <v>87</v>
      </c>
      <c r="BK285" s="140">
        <f t="shared" si="53"/>
        <v>0</v>
      </c>
      <c r="BL285" s="2" t="s">
        <v>496</v>
      </c>
      <c r="BM285" s="139" t="s">
        <v>8057</v>
      </c>
    </row>
    <row r="286" spans="2:65" s="16" customFormat="1" ht="16.5" customHeight="1" x14ac:dyDescent="0.2">
      <c r="B286" s="17"/>
      <c r="C286" s="128">
        <v>135</v>
      </c>
      <c r="D286" s="128" t="s">
        <v>339</v>
      </c>
      <c r="E286" s="129" t="s">
        <v>8058</v>
      </c>
      <c r="F286" s="130" t="s">
        <v>8059</v>
      </c>
      <c r="G286" s="131" t="s">
        <v>449</v>
      </c>
      <c r="H286" s="132">
        <v>3</v>
      </c>
      <c r="I286" s="133"/>
      <c r="J286" s="134">
        <f t="shared" si="44"/>
        <v>0</v>
      </c>
      <c r="K286" s="130"/>
      <c r="L286" s="17"/>
      <c r="M286" s="135"/>
      <c r="N286" s="136" t="s">
        <v>45</v>
      </c>
      <c r="P286" s="137">
        <f t="shared" si="45"/>
        <v>0</v>
      </c>
      <c r="Q286" s="137">
        <v>0</v>
      </c>
      <c r="R286" s="137">
        <f t="shared" si="46"/>
        <v>0</v>
      </c>
      <c r="S286" s="137">
        <v>0</v>
      </c>
      <c r="T286" s="138">
        <f t="shared" si="47"/>
        <v>0</v>
      </c>
      <c r="AR286" s="139" t="s">
        <v>496</v>
      </c>
      <c r="AT286" s="139" t="s">
        <v>339</v>
      </c>
      <c r="AU286" s="139" t="s">
        <v>113</v>
      </c>
      <c r="AY286" s="2" t="s">
        <v>337</v>
      </c>
      <c r="BE286" s="140">
        <f t="shared" si="48"/>
        <v>0</v>
      </c>
      <c r="BF286" s="140">
        <f t="shared" si="49"/>
        <v>0</v>
      </c>
      <c r="BG286" s="140">
        <f t="shared" si="50"/>
        <v>0</v>
      </c>
      <c r="BH286" s="140">
        <f t="shared" si="51"/>
        <v>0</v>
      </c>
      <c r="BI286" s="140">
        <f t="shared" si="52"/>
        <v>0</v>
      </c>
      <c r="BJ286" s="2" t="s">
        <v>87</v>
      </c>
      <c r="BK286" s="140">
        <f t="shared" si="53"/>
        <v>0</v>
      </c>
      <c r="BL286" s="2" t="s">
        <v>496</v>
      </c>
      <c r="BM286" s="139" t="s">
        <v>8060</v>
      </c>
    </row>
    <row r="287" spans="2:65" s="16" customFormat="1" ht="16.5" customHeight="1" x14ac:dyDescent="0.2">
      <c r="B287" s="17"/>
      <c r="C287" s="128">
        <v>136</v>
      </c>
      <c r="D287" s="128" t="s">
        <v>339</v>
      </c>
      <c r="E287" s="129" t="s">
        <v>8061</v>
      </c>
      <c r="F287" s="130" t="s">
        <v>8062</v>
      </c>
      <c r="G287" s="131" t="s">
        <v>449</v>
      </c>
      <c r="H287" s="132">
        <v>3</v>
      </c>
      <c r="I287" s="133"/>
      <c r="J287" s="134">
        <f t="shared" si="44"/>
        <v>0</v>
      </c>
      <c r="K287" s="130"/>
      <c r="L287" s="17"/>
      <c r="M287" s="135"/>
      <c r="N287" s="136" t="s">
        <v>45</v>
      </c>
      <c r="P287" s="137">
        <f t="shared" si="45"/>
        <v>0</v>
      </c>
      <c r="Q287" s="137">
        <v>0</v>
      </c>
      <c r="R287" s="137">
        <f t="shared" si="46"/>
        <v>0</v>
      </c>
      <c r="S287" s="137">
        <v>0</v>
      </c>
      <c r="T287" s="138">
        <f t="shared" si="47"/>
        <v>0</v>
      </c>
      <c r="AR287" s="139" t="s">
        <v>496</v>
      </c>
      <c r="AT287" s="139" t="s">
        <v>339</v>
      </c>
      <c r="AU287" s="139" t="s">
        <v>113</v>
      </c>
      <c r="AY287" s="2" t="s">
        <v>337</v>
      </c>
      <c r="BE287" s="140">
        <f t="shared" si="48"/>
        <v>0</v>
      </c>
      <c r="BF287" s="140">
        <f t="shared" si="49"/>
        <v>0</v>
      </c>
      <c r="BG287" s="140">
        <f t="shared" si="50"/>
        <v>0</v>
      </c>
      <c r="BH287" s="140">
        <f t="shared" si="51"/>
        <v>0</v>
      </c>
      <c r="BI287" s="140">
        <f t="shared" si="52"/>
        <v>0</v>
      </c>
      <c r="BJ287" s="2" t="s">
        <v>87</v>
      </c>
      <c r="BK287" s="140">
        <f t="shared" si="53"/>
        <v>0</v>
      </c>
      <c r="BL287" s="2" t="s">
        <v>496</v>
      </c>
      <c r="BM287" s="139" t="s">
        <v>8063</v>
      </c>
    </row>
    <row r="288" spans="2:65" s="16" customFormat="1" ht="16.5" customHeight="1" x14ac:dyDescent="0.2">
      <c r="B288" s="17"/>
      <c r="C288" s="128">
        <v>137</v>
      </c>
      <c r="D288" s="128" t="s">
        <v>339</v>
      </c>
      <c r="E288" s="129" t="s">
        <v>8064</v>
      </c>
      <c r="F288" s="130" t="s">
        <v>8065</v>
      </c>
      <c r="G288" s="131" t="s">
        <v>449</v>
      </c>
      <c r="H288" s="132">
        <v>78</v>
      </c>
      <c r="I288" s="133"/>
      <c r="J288" s="134">
        <f t="shared" si="44"/>
        <v>0</v>
      </c>
      <c r="K288" s="130"/>
      <c r="L288" s="17"/>
      <c r="M288" s="135"/>
      <c r="N288" s="136" t="s">
        <v>45</v>
      </c>
      <c r="P288" s="137">
        <f t="shared" si="45"/>
        <v>0</v>
      </c>
      <c r="Q288" s="137">
        <v>0</v>
      </c>
      <c r="R288" s="137">
        <f t="shared" si="46"/>
        <v>0</v>
      </c>
      <c r="S288" s="137">
        <v>0</v>
      </c>
      <c r="T288" s="138">
        <f t="shared" si="47"/>
        <v>0</v>
      </c>
      <c r="AR288" s="139" t="s">
        <v>496</v>
      </c>
      <c r="AT288" s="139" t="s">
        <v>339</v>
      </c>
      <c r="AU288" s="139" t="s">
        <v>113</v>
      </c>
      <c r="AY288" s="2" t="s">
        <v>337</v>
      </c>
      <c r="BE288" s="140">
        <f t="shared" si="48"/>
        <v>0</v>
      </c>
      <c r="BF288" s="140">
        <f t="shared" si="49"/>
        <v>0</v>
      </c>
      <c r="BG288" s="140">
        <f t="shared" si="50"/>
        <v>0</v>
      </c>
      <c r="BH288" s="140">
        <f t="shared" si="51"/>
        <v>0</v>
      </c>
      <c r="BI288" s="140">
        <f t="shared" si="52"/>
        <v>0</v>
      </c>
      <c r="BJ288" s="2" t="s">
        <v>87</v>
      </c>
      <c r="BK288" s="140">
        <f t="shared" si="53"/>
        <v>0</v>
      </c>
      <c r="BL288" s="2" t="s">
        <v>496</v>
      </c>
      <c r="BM288" s="139" t="s">
        <v>8066</v>
      </c>
    </row>
    <row r="289" spans="2:65" s="116" customFormat="1" ht="20.85" customHeight="1" x14ac:dyDescent="0.2">
      <c r="B289" s="117"/>
      <c r="D289" s="118" t="s">
        <v>79</v>
      </c>
      <c r="E289" s="126" t="s">
        <v>8067</v>
      </c>
      <c r="F289" s="126" t="s">
        <v>8068</v>
      </c>
      <c r="J289" s="127">
        <f>BK289</f>
        <v>0</v>
      </c>
      <c r="L289" s="117"/>
      <c r="M289" s="121"/>
      <c r="P289" s="122">
        <f>SUM(P290:P305)</f>
        <v>0</v>
      </c>
      <c r="R289" s="122">
        <f>SUM(R290:R305)</f>
        <v>0</v>
      </c>
      <c r="T289" s="123">
        <f>SUM(T290:T305)</f>
        <v>0</v>
      </c>
      <c r="AR289" s="118" t="s">
        <v>87</v>
      </c>
      <c r="AT289" s="124" t="s">
        <v>79</v>
      </c>
      <c r="AU289" s="124" t="s">
        <v>90</v>
      </c>
      <c r="AY289" s="118" t="s">
        <v>337</v>
      </c>
      <c r="BK289" s="125">
        <f>SUM(BK290:BK305)</f>
        <v>0</v>
      </c>
    </row>
    <row r="290" spans="2:65" s="16" customFormat="1" ht="16.5" customHeight="1" x14ac:dyDescent="0.2">
      <c r="B290" s="17"/>
      <c r="C290" s="128">
        <v>138</v>
      </c>
      <c r="D290" s="128" t="s">
        <v>339</v>
      </c>
      <c r="E290" s="129" t="s">
        <v>8069</v>
      </c>
      <c r="F290" s="130" t="s">
        <v>8070</v>
      </c>
      <c r="G290" s="131" t="s">
        <v>8071</v>
      </c>
      <c r="H290" s="132">
        <v>5</v>
      </c>
      <c r="I290" s="133"/>
      <c r="J290" s="134">
        <f t="shared" ref="J290:J305" si="54">ROUND(I290*H290,2)</f>
        <v>0</v>
      </c>
      <c r="K290" s="130"/>
      <c r="L290" s="17"/>
      <c r="M290" s="135"/>
      <c r="N290" s="136" t="s">
        <v>45</v>
      </c>
      <c r="P290" s="137">
        <f t="shared" ref="P290:P305" si="55">O290*H290</f>
        <v>0</v>
      </c>
      <c r="Q290" s="137">
        <v>0</v>
      </c>
      <c r="R290" s="137">
        <f t="shared" ref="R290:R305" si="56">Q290*H290</f>
        <v>0</v>
      </c>
      <c r="S290" s="137">
        <v>0</v>
      </c>
      <c r="T290" s="138">
        <f t="shared" ref="T290:T305" si="57">S290*H290</f>
        <v>0</v>
      </c>
      <c r="AR290" s="139" t="s">
        <v>496</v>
      </c>
      <c r="AT290" s="139" t="s">
        <v>339</v>
      </c>
      <c r="AU290" s="139" t="s">
        <v>113</v>
      </c>
      <c r="AY290" s="2" t="s">
        <v>337</v>
      </c>
      <c r="BE290" s="140">
        <f t="shared" ref="BE290:BE305" si="58">IF(N290="základní",J290,0)</f>
        <v>0</v>
      </c>
      <c r="BF290" s="140">
        <f t="shared" ref="BF290:BF305" si="59">IF(N290="snížená",J290,0)</f>
        <v>0</v>
      </c>
      <c r="BG290" s="140">
        <f t="shared" ref="BG290:BG305" si="60">IF(N290="zákl. přenesená",J290,0)</f>
        <v>0</v>
      </c>
      <c r="BH290" s="140">
        <f t="shared" ref="BH290:BH305" si="61">IF(N290="sníž. přenesená",J290,0)</f>
        <v>0</v>
      </c>
      <c r="BI290" s="140">
        <f t="shared" ref="BI290:BI305" si="62">IF(N290="nulová",J290,0)</f>
        <v>0</v>
      </c>
      <c r="BJ290" s="2" t="s">
        <v>87</v>
      </c>
      <c r="BK290" s="140">
        <f t="shared" ref="BK290:BK305" si="63">ROUND(I290*H290,2)</f>
        <v>0</v>
      </c>
      <c r="BL290" s="2" t="s">
        <v>496</v>
      </c>
      <c r="BM290" s="139" t="s">
        <v>8072</v>
      </c>
    </row>
    <row r="291" spans="2:65" s="16" customFormat="1" ht="16.5" customHeight="1" x14ac:dyDescent="0.2">
      <c r="B291" s="17"/>
      <c r="C291" s="128">
        <v>139</v>
      </c>
      <c r="D291" s="128" t="s">
        <v>339</v>
      </c>
      <c r="E291" s="129" t="s">
        <v>8073</v>
      </c>
      <c r="F291" s="130" t="s">
        <v>8074</v>
      </c>
      <c r="G291" s="131" t="s">
        <v>8071</v>
      </c>
      <c r="H291" s="132">
        <v>2</v>
      </c>
      <c r="I291" s="133"/>
      <c r="J291" s="134">
        <f t="shared" si="54"/>
        <v>0</v>
      </c>
      <c r="K291" s="130"/>
      <c r="L291" s="17"/>
      <c r="M291" s="135"/>
      <c r="N291" s="136" t="s">
        <v>45</v>
      </c>
      <c r="P291" s="137">
        <f t="shared" si="55"/>
        <v>0</v>
      </c>
      <c r="Q291" s="137">
        <v>0</v>
      </c>
      <c r="R291" s="137">
        <f t="shared" si="56"/>
        <v>0</v>
      </c>
      <c r="S291" s="137">
        <v>0</v>
      </c>
      <c r="T291" s="138">
        <f t="shared" si="57"/>
        <v>0</v>
      </c>
      <c r="AR291" s="139" t="s">
        <v>496</v>
      </c>
      <c r="AT291" s="139" t="s">
        <v>339</v>
      </c>
      <c r="AU291" s="139" t="s">
        <v>113</v>
      </c>
      <c r="AY291" s="2" t="s">
        <v>337</v>
      </c>
      <c r="BE291" s="140">
        <f t="shared" si="58"/>
        <v>0</v>
      </c>
      <c r="BF291" s="140">
        <f t="shared" si="59"/>
        <v>0</v>
      </c>
      <c r="BG291" s="140">
        <f t="shared" si="60"/>
        <v>0</v>
      </c>
      <c r="BH291" s="140">
        <f t="shared" si="61"/>
        <v>0</v>
      </c>
      <c r="BI291" s="140">
        <f t="shared" si="62"/>
        <v>0</v>
      </c>
      <c r="BJ291" s="2" t="s">
        <v>87</v>
      </c>
      <c r="BK291" s="140">
        <f t="shared" si="63"/>
        <v>0</v>
      </c>
      <c r="BL291" s="2" t="s">
        <v>496</v>
      </c>
      <c r="BM291" s="139" t="s">
        <v>8075</v>
      </c>
    </row>
    <row r="292" spans="2:65" s="16" customFormat="1" ht="16.5" customHeight="1" x14ac:dyDescent="0.2">
      <c r="B292" s="17"/>
      <c r="C292" s="128">
        <v>140</v>
      </c>
      <c r="D292" s="128" t="s">
        <v>339</v>
      </c>
      <c r="E292" s="129" t="s">
        <v>8076</v>
      </c>
      <c r="F292" s="130" t="s">
        <v>8077</v>
      </c>
      <c r="G292" s="131" t="s">
        <v>8071</v>
      </c>
      <c r="H292" s="132">
        <v>2</v>
      </c>
      <c r="I292" s="133"/>
      <c r="J292" s="134">
        <f t="shared" si="54"/>
        <v>0</v>
      </c>
      <c r="K292" s="130"/>
      <c r="L292" s="17"/>
      <c r="M292" s="135"/>
      <c r="N292" s="136" t="s">
        <v>45</v>
      </c>
      <c r="P292" s="137">
        <f t="shared" si="55"/>
        <v>0</v>
      </c>
      <c r="Q292" s="137">
        <v>0</v>
      </c>
      <c r="R292" s="137">
        <f t="shared" si="56"/>
        <v>0</v>
      </c>
      <c r="S292" s="137">
        <v>0</v>
      </c>
      <c r="T292" s="138">
        <f t="shared" si="57"/>
        <v>0</v>
      </c>
      <c r="AR292" s="139" t="s">
        <v>496</v>
      </c>
      <c r="AT292" s="139" t="s">
        <v>339</v>
      </c>
      <c r="AU292" s="139" t="s">
        <v>113</v>
      </c>
      <c r="AY292" s="2" t="s">
        <v>337</v>
      </c>
      <c r="BE292" s="140">
        <f t="shared" si="58"/>
        <v>0</v>
      </c>
      <c r="BF292" s="140">
        <f t="shared" si="59"/>
        <v>0</v>
      </c>
      <c r="BG292" s="140">
        <f t="shared" si="60"/>
        <v>0</v>
      </c>
      <c r="BH292" s="140">
        <f t="shared" si="61"/>
        <v>0</v>
      </c>
      <c r="BI292" s="140">
        <f t="shared" si="62"/>
        <v>0</v>
      </c>
      <c r="BJ292" s="2" t="s">
        <v>87</v>
      </c>
      <c r="BK292" s="140">
        <f t="shared" si="63"/>
        <v>0</v>
      </c>
      <c r="BL292" s="2" t="s">
        <v>496</v>
      </c>
      <c r="BM292" s="139" t="s">
        <v>8078</v>
      </c>
    </row>
    <row r="293" spans="2:65" s="16" customFormat="1" ht="16.5" customHeight="1" x14ac:dyDescent="0.2">
      <c r="B293" s="17"/>
      <c r="C293" s="128">
        <v>141</v>
      </c>
      <c r="D293" s="128" t="s">
        <v>339</v>
      </c>
      <c r="E293" s="129" t="s">
        <v>8079</v>
      </c>
      <c r="F293" s="130" t="s">
        <v>8080</v>
      </c>
      <c r="G293" s="131" t="s">
        <v>8071</v>
      </c>
      <c r="H293" s="132">
        <v>203</v>
      </c>
      <c r="I293" s="133"/>
      <c r="J293" s="134">
        <f t="shared" si="54"/>
        <v>0</v>
      </c>
      <c r="K293" s="130"/>
      <c r="L293" s="17"/>
      <c r="M293" s="135"/>
      <c r="N293" s="136" t="s">
        <v>45</v>
      </c>
      <c r="P293" s="137">
        <f t="shared" si="55"/>
        <v>0</v>
      </c>
      <c r="Q293" s="137">
        <v>0</v>
      </c>
      <c r="R293" s="137">
        <f t="shared" si="56"/>
        <v>0</v>
      </c>
      <c r="S293" s="137">
        <v>0</v>
      </c>
      <c r="T293" s="138">
        <f t="shared" si="57"/>
        <v>0</v>
      </c>
      <c r="AR293" s="139" t="s">
        <v>496</v>
      </c>
      <c r="AT293" s="139" t="s">
        <v>339</v>
      </c>
      <c r="AU293" s="139" t="s">
        <v>113</v>
      </c>
      <c r="AY293" s="2" t="s">
        <v>337</v>
      </c>
      <c r="BE293" s="140">
        <f t="shared" si="58"/>
        <v>0</v>
      </c>
      <c r="BF293" s="140">
        <f t="shared" si="59"/>
        <v>0</v>
      </c>
      <c r="BG293" s="140">
        <f t="shared" si="60"/>
        <v>0</v>
      </c>
      <c r="BH293" s="140">
        <f t="shared" si="61"/>
        <v>0</v>
      </c>
      <c r="BI293" s="140">
        <f t="shared" si="62"/>
        <v>0</v>
      </c>
      <c r="BJ293" s="2" t="s">
        <v>87</v>
      </c>
      <c r="BK293" s="140">
        <f t="shared" si="63"/>
        <v>0</v>
      </c>
      <c r="BL293" s="2" t="s">
        <v>496</v>
      </c>
      <c r="BM293" s="139" t="s">
        <v>8081</v>
      </c>
    </row>
    <row r="294" spans="2:65" s="16" customFormat="1" ht="16.5" customHeight="1" x14ac:dyDescent="0.2">
      <c r="B294" s="17"/>
      <c r="C294" s="128">
        <v>142</v>
      </c>
      <c r="D294" s="128" t="s">
        <v>339</v>
      </c>
      <c r="E294" s="129" t="s">
        <v>8082</v>
      </c>
      <c r="F294" s="130" t="s">
        <v>8083</v>
      </c>
      <c r="G294" s="131" t="s">
        <v>8071</v>
      </c>
      <c r="H294" s="132">
        <v>294</v>
      </c>
      <c r="I294" s="133"/>
      <c r="J294" s="134">
        <f t="shared" si="54"/>
        <v>0</v>
      </c>
      <c r="K294" s="130"/>
      <c r="L294" s="17"/>
      <c r="M294" s="135"/>
      <c r="N294" s="136" t="s">
        <v>45</v>
      </c>
      <c r="P294" s="137">
        <f t="shared" si="55"/>
        <v>0</v>
      </c>
      <c r="Q294" s="137">
        <v>0</v>
      </c>
      <c r="R294" s="137">
        <f t="shared" si="56"/>
        <v>0</v>
      </c>
      <c r="S294" s="137">
        <v>0</v>
      </c>
      <c r="T294" s="138">
        <f t="shared" si="57"/>
        <v>0</v>
      </c>
      <c r="AR294" s="139" t="s">
        <v>496</v>
      </c>
      <c r="AT294" s="139" t="s">
        <v>339</v>
      </c>
      <c r="AU294" s="139" t="s">
        <v>113</v>
      </c>
      <c r="AY294" s="2" t="s">
        <v>337</v>
      </c>
      <c r="BE294" s="140">
        <f t="shared" si="58"/>
        <v>0</v>
      </c>
      <c r="BF294" s="140">
        <f t="shared" si="59"/>
        <v>0</v>
      </c>
      <c r="BG294" s="140">
        <f t="shared" si="60"/>
        <v>0</v>
      </c>
      <c r="BH294" s="140">
        <f t="shared" si="61"/>
        <v>0</v>
      </c>
      <c r="BI294" s="140">
        <f t="shared" si="62"/>
        <v>0</v>
      </c>
      <c r="BJ294" s="2" t="s">
        <v>87</v>
      </c>
      <c r="BK294" s="140">
        <f t="shared" si="63"/>
        <v>0</v>
      </c>
      <c r="BL294" s="2" t="s">
        <v>496</v>
      </c>
      <c r="BM294" s="139" t="s">
        <v>8084</v>
      </c>
    </row>
    <row r="295" spans="2:65" s="16" customFormat="1" ht="16.5" customHeight="1" x14ac:dyDescent="0.2">
      <c r="B295" s="17"/>
      <c r="C295" s="128">
        <v>143</v>
      </c>
      <c r="D295" s="128" t="s">
        <v>339</v>
      </c>
      <c r="E295" s="129" t="s">
        <v>8085</v>
      </c>
      <c r="F295" s="130" t="s">
        <v>8086</v>
      </c>
      <c r="G295" s="131" t="s">
        <v>8071</v>
      </c>
      <c r="H295" s="132">
        <v>166</v>
      </c>
      <c r="I295" s="133"/>
      <c r="J295" s="134">
        <f t="shared" si="54"/>
        <v>0</v>
      </c>
      <c r="K295" s="130"/>
      <c r="L295" s="17"/>
      <c r="M295" s="135"/>
      <c r="N295" s="136" t="s">
        <v>45</v>
      </c>
      <c r="P295" s="137">
        <f t="shared" si="55"/>
        <v>0</v>
      </c>
      <c r="Q295" s="137">
        <v>0</v>
      </c>
      <c r="R295" s="137">
        <f t="shared" si="56"/>
        <v>0</v>
      </c>
      <c r="S295" s="137">
        <v>0</v>
      </c>
      <c r="T295" s="138">
        <f t="shared" si="57"/>
        <v>0</v>
      </c>
      <c r="AR295" s="139" t="s">
        <v>496</v>
      </c>
      <c r="AT295" s="139" t="s">
        <v>339</v>
      </c>
      <c r="AU295" s="139" t="s">
        <v>113</v>
      </c>
      <c r="AY295" s="2" t="s">
        <v>337</v>
      </c>
      <c r="BE295" s="140">
        <f t="shared" si="58"/>
        <v>0</v>
      </c>
      <c r="BF295" s="140">
        <f t="shared" si="59"/>
        <v>0</v>
      </c>
      <c r="BG295" s="140">
        <f t="shared" si="60"/>
        <v>0</v>
      </c>
      <c r="BH295" s="140">
        <f t="shared" si="61"/>
        <v>0</v>
      </c>
      <c r="BI295" s="140">
        <f t="shared" si="62"/>
        <v>0</v>
      </c>
      <c r="BJ295" s="2" t="s">
        <v>87</v>
      </c>
      <c r="BK295" s="140">
        <f t="shared" si="63"/>
        <v>0</v>
      </c>
      <c r="BL295" s="2" t="s">
        <v>496</v>
      </c>
      <c r="BM295" s="139" t="s">
        <v>8087</v>
      </c>
    </row>
    <row r="296" spans="2:65" s="16" customFormat="1" ht="16.5" customHeight="1" x14ac:dyDescent="0.2">
      <c r="B296" s="17"/>
      <c r="C296" s="128">
        <v>144</v>
      </c>
      <c r="D296" s="128" t="s">
        <v>339</v>
      </c>
      <c r="E296" s="129" t="s">
        <v>8088</v>
      </c>
      <c r="F296" s="130" t="s">
        <v>8089</v>
      </c>
      <c r="G296" s="131" t="s">
        <v>8071</v>
      </c>
      <c r="H296" s="132">
        <v>52</v>
      </c>
      <c r="I296" s="133"/>
      <c r="J296" s="134">
        <f t="shared" si="54"/>
        <v>0</v>
      </c>
      <c r="K296" s="130"/>
      <c r="L296" s="17"/>
      <c r="M296" s="135"/>
      <c r="N296" s="136" t="s">
        <v>45</v>
      </c>
      <c r="P296" s="137">
        <f t="shared" si="55"/>
        <v>0</v>
      </c>
      <c r="Q296" s="137">
        <v>0</v>
      </c>
      <c r="R296" s="137">
        <f t="shared" si="56"/>
        <v>0</v>
      </c>
      <c r="S296" s="137">
        <v>0</v>
      </c>
      <c r="T296" s="138">
        <f t="shared" si="57"/>
        <v>0</v>
      </c>
      <c r="AR296" s="139" t="s">
        <v>496</v>
      </c>
      <c r="AT296" s="139" t="s">
        <v>339</v>
      </c>
      <c r="AU296" s="139" t="s">
        <v>113</v>
      </c>
      <c r="AY296" s="2" t="s">
        <v>337</v>
      </c>
      <c r="BE296" s="140">
        <f t="shared" si="58"/>
        <v>0</v>
      </c>
      <c r="BF296" s="140">
        <f t="shared" si="59"/>
        <v>0</v>
      </c>
      <c r="BG296" s="140">
        <f t="shared" si="60"/>
        <v>0</v>
      </c>
      <c r="BH296" s="140">
        <f t="shared" si="61"/>
        <v>0</v>
      </c>
      <c r="BI296" s="140">
        <f t="shared" si="62"/>
        <v>0</v>
      </c>
      <c r="BJ296" s="2" t="s">
        <v>87</v>
      </c>
      <c r="BK296" s="140">
        <f t="shared" si="63"/>
        <v>0</v>
      </c>
      <c r="BL296" s="2" t="s">
        <v>496</v>
      </c>
      <c r="BM296" s="139" t="s">
        <v>8090</v>
      </c>
    </row>
    <row r="297" spans="2:65" s="16" customFormat="1" ht="16.5" customHeight="1" x14ac:dyDescent="0.2">
      <c r="B297" s="17"/>
      <c r="C297" s="128">
        <v>145</v>
      </c>
      <c r="D297" s="128" t="s">
        <v>339</v>
      </c>
      <c r="E297" s="129" t="s">
        <v>8091</v>
      </c>
      <c r="F297" s="130" t="s">
        <v>8092</v>
      </c>
      <c r="G297" s="131" t="s">
        <v>8071</v>
      </c>
      <c r="H297" s="132">
        <v>247</v>
      </c>
      <c r="I297" s="133"/>
      <c r="J297" s="134">
        <f t="shared" si="54"/>
        <v>0</v>
      </c>
      <c r="K297" s="130"/>
      <c r="L297" s="17"/>
      <c r="M297" s="135"/>
      <c r="N297" s="136" t="s">
        <v>45</v>
      </c>
      <c r="P297" s="137">
        <f t="shared" si="55"/>
        <v>0</v>
      </c>
      <c r="Q297" s="137">
        <v>0</v>
      </c>
      <c r="R297" s="137">
        <f t="shared" si="56"/>
        <v>0</v>
      </c>
      <c r="S297" s="137">
        <v>0</v>
      </c>
      <c r="T297" s="138">
        <f t="shared" si="57"/>
        <v>0</v>
      </c>
      <c r="AR297" s="139" t="s">
        <v>496</v>
      </c>
      <c r="AT297" s="139" t="s">
        <v>339</v>
      </c>
      <c r="AU297" s="139" t="s">
        <v>113</v>
      </c>
      <c r="AY297" s="2" t="s">
        <v>337</v>
      </c>
      <c r="BE297" s="140">
        <f t="shared" si="58"/>
        <v>0</v>
      </c>
      <c r="BF297" s="140">
        <f t="shared" si="59"/>
        <v>0</v>
      </c>
      <c r="BG297" s="140">
        <f t="shared" si="60"/>
        <v>0</v>
      </c>
      <c r="BH297" s="140">
        <f t="shared" si="61"/>
        <v>0</v>
      </c>
      <c r="BI297" s="140">
        <f t="shared" si="62"/>
        <v>0</v>
      </c>
      <c r="BJ297" s="2" t="s">
        <v>87</v>
      </c>
      <c r="BK297" s="140">
        <f t="shared" si="63"/>
        <v>0</v>
      </c>
      <c r="BL297" s="2" t="s">
        <v>496</v>
      </c>
      <c r="BM297" s="139" t="s">
        <v>8093</v>
      </c>
    </row>
    <row r="298" spans="2:65" s="16" customFormat="1" ht="16.5" customHeight="1" x14ac:dyDescent="0.2">
      <c r="B298" s="17"/>
      <c r="C298" s="128">
        <v>146</v>
      </c>
      <c r="D298" s="128" t="s">
        <v>339</v>
      </c>
      <c r="E298" s="129" t="s">
        <v>8094</v>
      </c>
      <c r="F298" s="130" t="s">
        <v>8095</v>
      </c>
      <c r="G298" s="131" t="s">
        <v>8071</v>
      </c>
      <c r="H298" s="132">
        <v>123</v>
      </c>
      <c r="I298" s="133"/>
      <c r="J298" s="134">
        <f t="shared" si="54"/>
        <v>0</v>
      </c>
      <c r="K298" s="130"/>
      <c r="L298" s="17"/>
      <c r="M298" s="135"/>
      <c r="N298" s="136" t="s">
        <v>45</v>
      </c>
      <c r="P298" s="137">
        <f t="shared" si="55"/>
        <v>0</v>
      </c>
      <c r="Q298" s="137">
        <v>0</v>
      </c>
      <c r="R298" s="137">
        <f t="shared" si="56"/>
        <v>0</v>
      </c>
      <c r="S298" s="137">
        <v>0</v>
      </c>
      <c r="T298" s="138">
        <f t="shared" si="57"/>
        <v>0</v>
      </c>
      <c r="AR298" s="139" t="s">
        <v>496</v>
      </c>
      <c r="AT298" s="139" t="s">
        <v>339</v>
      </c>
      <c r="AU298" s="139" t="s">
        <v>113</v>
      </c>
      <c r="AY298" s="2" t="s">
        <v>337</v>
      </c>
      <c r="BE298" s="140">
        <f t="shared" si="58"/>
        <v>0</v>
      </c>
      <c r="BF298" s="140">
        <f t="shared" si="59"/>
        <v>0</v>
      </c>
      <c r="BG298" s="140">
        <f t="shared" si="60"/>
        <v>0</v>
      </c>
      <c r="BH298" s="140">
        <f t="shared" si="61"/>
        <v>0</v>
      </c>
      <c r="BI298" s="140">
        <f t="shared" si="62"/>
        <v>0</v>
      </c>
      <c r="BJ298" s="2" t="s">
        <v>87</v>
      </c>
      <c r="BK298" s="140">
        <f t="shared" si="63"/>
        <v>0</v>
      </c>
      <c r="BL298" s="2" t="s">
        <v>496</v>
      </c>
      <c r="BM298" s="139" t="s">
        <v>8096</v>
      </c>
    </row>
    <row r="299" spans="2:65" s="16" customFormat="1" ht="16.5" customHeight="1" x14ac:dyDescent="0.2">
      <c r="B299" s="17"/>
      <c r="C299" s="128">
        <v>147</v>
      </c>
      <c r="D299" s="128" t="s">
        <v>339</v>
      </c>
      <c r="E299" s="129" t="s">
        <v>8097</v>
      </c>
      <c r="F299" s="130" t="s">
        <v>8098</v>
      </c>
      <c r="G299" s="131" t="s">
        <v>8071</v>
      </c>
      <c r="H299" s="132">
        <v>12</v>
      </c>
      <c r="I299" s="133"/>
      <c r="J299" s="134">
        <f t="shared" si="54"/>
        <v>0</v>
      </c>
      <c r="K299" s="130"/>
      <c r="L299" s="17"/>
      <c r="M299" s="135"/>
      <c r="N299" s="136" t="s">
        <v>45</v>
      </c>
      <c r="P299" s="137">
        <f t="shared" si="55"/>
        <v>0</v>
      </c>
      <c r="Q299" s="137">
        <v>0</v>
      </c>
      <c r="R299" s="137">
        <f t="shared" si="56"/>
        <v>0</v>
      </c>
      <c r="S299" s="137">
        <v>0</v>
      </c>
      <c r="T299" s="138">
        <f t="shared" si="57"/>
        <v>0</v>
      </c>
      <c r="AR299" s="139" t="s">
        <v>496</v>
      </c>
      <c r="AT299" s="139" t="s">
        <v>339</v>
      </c>
      <c r="AU299" s="139" t="s">
        <v>113</v>
      </c>
      <c r="AY299" s="2" t="s">
        <v>337</v>
      </c>
      <c r="BE299" s="140">
        <f t="shared" si="58"/>
        <v>0</v>
      </c>
      <c r="BF299" s="140">
        <f t="shared" si="59"/>
        <v>0</v>
      </c>
      <c r="BG299" s="140">
        <f t="shared" si="60"/>
        <v>0</v>
      </c>
      <c r="BH299" s="140">
        <f t="shared" si="61"/>
        <v>0</v>
      </c>
      <c r="BI299" s="140">
        <f t="shared" si="62"/>
        <v>0</v>
      </c>
      <c r="BJ299" s="2" t="s">
        <v>87</v>
      </c>
      <c r="BK299" s="140">
        <f t="shared" si="63"/>
        <v>0</v>
      </c>
      <c r="BL299" s="2" t="s">
        <v>496</v>
      </c>
      <c r="BM299" s="139" t="s">
        <v>8099</v>
      </c>
    </row>
    <row r="300" spans="2:65" s="16" customFormat="1" ht="16.5" customHeight="1" x14ac:dyDescent="0.2">
      <c r="B300" s="17"/>
      <c r="C300" s="128">
        <v>148</v>
      </c>
      <c r="D300" s="128" t="s">
        <v>339</v>
      </c>
      <c r="E300" s="129" t="s">
        <v>8100</v>
      </c>
      <c r="F300" s="130" t="s">
        <v>8101</v>
      </c>
      <c r="G300" s="131" t="s">
        <v>8071</v>
      </c>
      <c r="H300" s="132">
        <v>3</v>
      </c>
      <c r="I300" s="133"/>
      <c r="J300" s="134">
        <f t="shared" si="54"/>
        <v>0</v>
      </c>
      <c r="K300" s="130"/>
      <c r="L300" s="17"/>
      <c r="M300" s="135"/>
      <c r="N300" s="136" t="s">
        <v>45</v>
      </c>
      <c r="P300" s="137">
        <f t="shared" si="55"/>
        <v>0</v>
      </c>
      <c r="Q300" s="137">
        <v>0</v>
      </c>
      <c r="R300" s="137">
        <f t="shared" si="56"/>
        <v>0</v>
      </c>
      <c r="S300" s="137">
        <v>0</v>
      </c>
      <c r="T300" s="138">
        <f t="shared" si="57"/>
        <v>0</v>
      </c>
      <c r="AR300" s="139" t="s">
        <v>496</v>
      </c>
      <c r="AT300" s="139" t="s">
        <v>339</v>
      </c>
      <c r="AU300" s="139" t="s">
        <v>113</v>
      </c>
      <c r="AY300" s="2" t="s">
        <v>337</v>
      </c>
      <c r="BE300" s="140">
        <f t="shared" si="58"/>
        <v>0</v>
      </c>
      <c r="BF300" s="140">
        <f t="shared" si="59"/>
        <v>0</v>
      </c>
      <c r="BG300" s="140">
        <f t="shared" si="60"/>
        <v>0</v>
      </c>
      <c r="BH300" s="140">
        <f t="shared" si="61"/>
        <v>0</v>
      </c>
      <c r="BI300" s="140">
        <f t="shared" si="62"/>
        <v>0</v>
      </c>
      <c r="BJ300" s="2" t="s">
        <v>87</v>
      </c>
      <c r="BK300" s="140">
        <f t="shared" si="63"/>
        <v>0</v>
      </c>
      <c r="BL300" s="2" t="s">
        <v>496</v>
      </c>
      <c r="BM300" s="139" t="s">
        <v>8102</v>
      </c>
    </row>
    <row r="301" spans="2:65" s="16" customFormat="1" ht="16.5" customHeight="1" x14ac:dyDescent="0.2">
      <c r="B301" s="17"/>
      <c r="C301" s="128">
        <v>149</v>
      </c>
      <c r="D301" s="128" t="s">
        <v>339</v>
      </c>
      <c r="E301" s="129" t="s">
        <v>8103</v>
      </c>
      <c r="F301" s="130" t="s">
        <v>8104</v>
      </c>
      <c r="G301" s="131" t="s">
        <v>8071</v>
      </c>
      <c r="H301" s="132">
        <v>36</v>
      </c>
      <c r="I301" s="133"/>
      <c r="J301" s="134">
        <f t="shared" si="54"/>
        <v>0</v>
      </c>
      <c r="K301" s="130"/>
      <c r="L301" s="17"/>
      <c r="M301" s="135"/>
      <c r="N301" s="136" t="s">
        <v>45</v>
      </c>
      <c r="P301" s="137">
        <f t="shared" si="55"/>
        <v>0</v>
      </c>
      <c r="Q301" s="137">
        <v>0</v>
      </c>
      <c r="R301" s="137">
        <f t="shared" si="56"/>
        <v>0</v>
      </c>
      <c r="S301" s="137">
        <v>0</v>
      </c>
      <c r="T301" s="138">
        <f t="shared" si="57"/>
        <v>0</v>
      </c>
      <c r="AR301" s="139" t="s">
        <v>496</v>
      </c>
      <c r="AT301" s="139" t="s">
        <v>339</v>
      </c>
      <c r="AU301" s="139" t="s">
        <v>113</v>
      </c>
      <c r="AY301" s="2" t="s">
        <v>337</v>
      </c>
      <c r="BE301" s="140">
        <f t="shared" si="58"/>
        <v>0</v>
      </c>
      <c r="BF301" s="140">
        <f t="shared" si="59"/>
        <v>0</v>
      </c>
      <c r="BG301" s="140">
        <f t="shared" si="60"/>
        <v>0</v>
      </c>
      <c r="BH301" s="140">
        <f t="shared" si="61"/>
        <v>0</v>
      </c>
      <c r="BI301" s="140">
        <f t="shared" si="62"/>
        <v>0</v>
      </c>
      <c r="BJ301" s="2" t="s">
        <v>87</v>
      </c>
      <c r="BK301" s="140">
        <f t="shared" si="63"/>
        <v>0</v>
      </c>
      <c r="BL301" s="2" t="s">
        <v>496</v>
      </c>
      <c r="BM301" s="139" t="s">
        <v>8105</v>
      </c>
    </row>
    <row r="302" spans="2:65" s="16" customFormat="1" ht="16.5" customHeight="1" x14ac:dyDescent="0.2">
      <c r="B302" s="17"/>
      <c r="C302" s="128">
        <v>150</v>
      </c>
      <c r="D302" s="128" t="s">
        <v>339</v>
      </c>
      <c r="E302" s="129" t="s">
        <v>8106</v>
      </c>
      <c r="F302" s="130" t="s">
        <v>8107</v>
      </c>
      <c r="G302" s="131" t="s">
        <v>8071</v>
      </c>
      <c r="H302" s="132">
        <v>29</v>
      </c>
      <c r="I302" s="133"/>
      <c r="J302" s="134">
        <f t="shared" si="54"/>
        <v>0</v>
      </c>
      <c r="K302" s="130"/>
      <c r="L302" s="17"/>
      <c r="M302" s="135"/>
      <c r="N302" s="136" t="s">
        <v>45</v>
      </c>
      <c r="P302" s="137">
        <f t="shared" si="55"/>
        <v>0</v>
      </c>
      <c r="Q302" s="137">
        <v>0</v>
      </c>
      <c r="R302" s="137">
        <f t="shared" si="56"/>
        <v>0</v>
      </c>
      <c r="S302" s="137">
        <v>0</v>
      </c>
      <c r="T302" s="138">
        <f t="shared" si="57"/>
        <v>0</v>
      </c>
      <c r="AR302" s="139" t="s">
        <v>496</v>
      </c>
      <c r="AT302" s="139" t="s">
        <v>339</v>
      </c>
      <c r="AU302" s="139" t="s">
        <v>113</v>
      </c>
      <c r="AY302" s="2" t="s">
        <v>337</v>
      </c>
      <c r="BE302" s="140">
        <f t="shared" si="58"/>
        <v>0</v>
      </c>
      <c r="BF302" s="140">
        <f t="shared" si="59"/>
        <v>0</v>
      </c>
      <c r="BG302" s="140">
        <f t="shared" si="60"/>
        <v>0</v>
      </c>
      <c r="BH302" s="140">
        <f t="shared" si="61"/>
        <v>0</v>
      </c>
      <c r="BI302" s="140">
        <f t="shared" si="62"/>
        <v>0</v>
      </c>
      <c r="BJ302" s="2" t="s">
        <v>87</v>
      </c>
      <c r="BK302" s="140">
        <f t="shared" si="63"/>
        <v>0</v>
      </c>
      <c r="BL302" s="2" t="s">
        <v>496</v>
      </c>
      <c r="BM302" s="139" t="s">
        <v>8108</v>
      </c>
    </row>
    <row r="303" spans="2:65" s="16" customFormat="1" ht="16.5" customHeight="1" x14ac:dyDescent="0.2">
      <c r="B303" s="17"/>
      <c r="C303" s="128">
        <v>151</v>
      </c>
      <c r="D303" s="128" t="s">
        <v>339</v>
      </c>
      <c r="E303" s="129" t="s">
        <v>8109</v>
      </c>
      <c r="F303" s="130" t="s">
        <v>8110</v>
      </c>
      <c r="G303" s="131" t="s">
        <v>8071</v>
      </c>
      <c r="H303" s="132">
        <v>3</v>
      </c>
      <c r="I303" s="133"/>
      <c r="J303" s="134">
        <f t="shared" si="54"/>
        <v>0</v>
      </c>
      <c r="K303" s="130"/>
      <c r="L303" s="17"/>
      <c r="M303" s="135"/>
      <c r="N303" s="136" t="s">
        <v>45</v>
      </c>
      <c r="P303" s="137">
        <f t="shared" si="55"/>
        <v>0</v>
      </c>
      <c r="Q303" s="137">
        <v>0</v>
      </c>
      <c r="R303" s="137">
        <f t="shared" si="56"/>
        <v>0</v>
      </c>
      <c r="S303" s="137">
        <v>0</v>
      </c>
      <c r="T303" s="138">
        <f t="shared" si="57"/>
        <v>0</v>
      </c>
      <c r="AR303" s="139" t="s">
        <v>496</v>
      </c>
      <c r="AT303" s="139" t="s">
        <v>339</v>
      </c>
      <c r="AU303" s="139" t="s">
        <v>113</v>
      </c>
      <c r="AY303" s="2" t="s">
        <v>337</v>
      </c>
      <c r="BE303" s="140">
        <f t="shared" si="58"/>
        <v>0</v>
      </c>
      <c r="BF303" s="140">
        <f t="shared" si="59"/>
        <v>0</v>
      </c>
      <c r="BG303" s="140">
        <f t="shared" si="60"/>
        <v>0</v>
      </c>
      <c r="BH303" s="140">
        <f t="shared" si="61"/>
        <v>0</v>
      </c>
      <c r="BI303" s="140">
        <f t="shared" si="62"/>
        <v>0</v>
      </c>
      <c r="BJ303" s="2" t="s">
        <v>87</v>
      </c>
      <c r="BK303" s="140">
        <f t="shared" si="63"/>
        <v>0</v>
      </c>
      <c r="BL303" s="2" t="s">
        <v>496</v>
      </c>
      <c r="BM303" s="139" t="s">
        <v>8111</v>
      </c>
    </row>
    <row r="304" spans="2:65" s="16" customFormat="1" ht="16.5" customHeight="1" x14ac:dyDescent="0.2">
      <c r="B304" s="17"/>
      <c r="C304" s="128">
        <v>152</v>
      </c>
      <c r="D304" s="128" t="s">
        <v>339</v>
      </c>
      <c r="E304" s="129" t="s">
        <v>8112</v>
      </c>
      <c r="F304" s="130" t="s">
        <v>8113</v>
      </c>
      <c r="G304" s="131" t="s">
        <v>8071</v>
      </c>
      <c r="H304" s="132">
        <v>29</v>
      </c>
      <c r="I304" s="133"/>
      <c r="J304" s="134">
        <f t="shared" si="54"/>
        <v>0</v>
      </c>
      <c r="K304" s="130"/>
      <c r="L304" s="17"/>
      <c r="M304" s="135"/>
      <c r="N304" s="136" t="s">
        <v>45</v>
      </c>
      <c r="P304" s="137">
        <f t="shared" si="55"/>
        <v>0</v>
      </c>
      <c r="Q304" s="137">
        <v>0</v>
      </c>
      <c r="R304" s="137">
        <f t="shared" si="56"/>
        <v>0</v>
      </c>
      <c r="S304" s="137">
        <v>0</v>
      </c>
      <c r="T304" s="138">
        <f t="shared" si="57"/>
        <v>0</v>
      </c>
      <c r="AR304" s="139" t="s">
        <v>496</v>
      </c>
      <c r="AT304" s="139" t="s">
        <v>339</v>
      </c>
      <c r="AU304" s="139" t="s">
        <v>113</v>
      </c>
      <c r="AY304" s="2" t="s">
        <v>337</v>
      </c>
      <c r="BE304" s="140">
        <f t="shared" si="58"/>
        <v>0</v>
      </c>
      <c r="BF304" s="140">
        <f t="shared" si="59"/>
        <v>0</v>
      </c>
      <c r="BG304" s="140">
        <f t="shared" si="60"/>
        <v>0</v>
      </c>
      <c r="BH304" s="140">
        <f t="shared" si="61"/>
        <v>0</v>
      </c>
      <c r="BI304" s="140">
        <f t="shared" si="62"/>
        <v>0</v>
      </c>
      <c r="BJ304" s="2" t="s">
        <v>87</v>
      </c>
      <c r="BK304" s="140">
        <f t="shared" si="63"/>
        <v>0</v>
      </c>
      <c r="BL304" s="2" t="s">
        <v>496</v>
      </c>
      <c r="BM304" s="139" t="s">
        <v>8114</v>
      </c>
    </row>
    <row r="305" spans="2:65" s="16" customFormat="1" ht="16.5" customHeight="1" x14ac:dyDescent="0.2">
      <c r="B305" s="17"/>
      <c r="C305" s="128">
        <v>153</v>
      </c>
      <c r="D305" s="128" t="s">
        <v>339</v>
      </c>
      <c r="E305" s="129" t="s">
        <v>8115</v>
      </c>
      <c r="F305" s="130" t="s">
        <v>8116</v>
      </c>
      <c r="G305" s="131" t="s">
        <v>8071</v>
      </c>
      <c r="H305" s="132">
        <v>35</v>
      </c>
      <c r="I305" s="133"/>
      <c r="J305" s="134">
        <f t="shared" si="54"/>
        <v>0</v>
      </c>
      <c r="K305" s="130"/>
      <c r="L305" s="17"/>
      <c r="M305" s="135"/>
      <c r="N305" s="136" t="s">
        <v>45</v>
      </c>
      <c r="P305" s="137">
        <f t="shared" si="55"/>
        <v>0</v>
      </c>
      <c r="Q305" s="137">
        <v>0</v>
      </c>
      <c r="R305" s="137">
        <f t="shared" si="56"/>
        <v>0</v>
      </c>
      <c r="S305" s="137">
        <v>0</v>
      </c>
      <c r="T305" s="138">
        <f t="shared" si="57"/>
        <v>0</v>
      </c>
      <c r="AR305" s="139" t="s">
        <v>496</v>
      </c>
      <c r="AT305" s="139" t="s">
        <v>339</v>
      </c>
      <c r="AU305" s="139" t="s">
        <v>113</v>
      </c>
      <c r="AY305" s="2" t="s">
        <v>337</v>
      </c>
      <c r="BE305" s="140">
        <f t="shared" si="58"/>
        <v>0</v>
      </c>
      <c r="BF305" s="140">
        <f t="shared" si="59"/>
        <v>0</v>
      </c>
      <c r="BG305" s="140">
        <f t="shared" si="60"/>
        <v>0</v>
      </c>
      <c r="BH305" s="140">
        <f t="shared" si="61"/>
        <v>0</v>
      </c>
      <c r="BI305" s="140">
        <f t="shared" si="62"/>
        <v>0</v>
      </c>
      <c r="BJ305" s="2" t="s">
        <v>87</v>
      </c>
      <c r="BK305" s="140">
        <f t="shared" si="63"/>
        <v>0</v>
      </c>
      <c r="BL305" s="2" t="s">
        <v>496</v>
      </c>
      <c r="BM305" s="139" t="s">
        <v>8117</v>
      </c>
    </row>
    <row r="306" spans="2:65" s="116" customFormat="1" ht="20.85" customHeight="1" x14ac:dyDescent="0.2">
      <c r="B306" s="117"/>
      <c r="D306" s="118" t="s">
        <v>79</v>
      </c>
      <c r="E306" s="126" t="s">
        <v>8118</v>
      </c>
      <c r="F306" s="126" t="s">
        <v>8119</v>
      </c>
      <c r="J306" s="127">
        <f>BK306</f>
        <v>0</v>
      </c>
      <c r="L306" s="117"/>
      <c r="M306" s="121"/>
      <c r="P306" s="122">
        <f>SUM(P307:P311)</f>
        <v>0</v>
      </c>
      <c r="R306" s="122">
        <f>SUM(R307:R311)</f>
        <v>0</v>
      </c>
      <c r="T306" s="123">
        <f>SUM(T307:T311)</f>
        <v>0</v>
      </c>
      <c r="AR306" s="118" t="s">
        <v>87</v>
      </c>
      <c r="AT306" s="124" t="s">
        <v>79</v>
      </c>
      <c r="AU306" s="124" t="s">
        <v>90</v>
      </c>
      <c r="AY306" s="118" t="s">
        <v>337</v>
      </c>
      <c r="BK306" s="125">
        <f>SUM(BK307:BK311)</f>
        <v>0</v>
      </c>
    </row>
    <row r="307" spans="2:65" s="16" customFormat="1" ht="24.2" customHeight="1" x14ac:dyDescent="0.2">
      <c r="B307" s="17"/>
      <c r="C307" s="128">
        <v>154</v>
      </c>
      <c r="D307" s="128" t="s">
        <v>339</v>
      </c>
      <c r="E307" s="129" t="s">
        <v>8120</v>
      </c>
      <c r="F307" s="130" t="s">
        <v>8121</v>
      </c>
      <c r="G307" s="131" t="s">
        <v>425</v>
      </c>
      <c r="H307" s="132">
        <v>78</v>
      </c>
      <c r="I307" s="133"/>
      <c r="J307" s="134">
        <f>ROUND(I307*H307,2)</f>
        <v>0</v>
      </c>
      <c r="K307" s="130"/>
      <c r="L307" s="17"/>
      <c r="M307" s="135"/>
      <c r="N307" s="136" t="s">
        <v>45</v>
      </c>
      <c r="P307" s="137">
        <f>O307*H307</f>
        <v>0</v>
      </c>
      <c r="Q307" s="137">
        <v>0</v>
      </c>
      <c r="R307" s="137">
        <f>Q307*H307</f>
        <v>0</v>
      </c>
      <c r="S307" s="137">
        <v>0</v>
      </c>
      <c r="T307" s="138">
        <f>S307*H307</f>
        <v>0</v>
      </c>
      <c r="AR307" s="139" t="s">
        <v>496</v>
      </c>
      <c r="AT307" s="139" t="s">
        <v>339</v>
      </c>
      <c r="AU307" s="139" t="s">
        <v>113</v>
      </c>
      <c r="AY307" s="2" t="s">
        <v>337</v>
      </c>
      <c r="BE307" s="140">
        <f>IF(N307="základní",J307,0)</f>
        <v>0</v>
      </c>
      <c r="BF307" s="140">
        <f>IF(N307="snížená",J307,0)</f>
        <v>0</v>
      </c>
      <c r="BG307" s="140">
        <f>IF(N307="zákl. přenesená",J307,0)</f>
        <v>0</v>
      </c>
      <c r="BH307" s="140">
        <f>IF(N307="sníž. přenesená",J307,0)</f>
        <v>0</v>
      </c>
      <c r="BI307" s="140">
        <f>IF(N307="nulová",J307,0)</f>
        <v>0</v>
      </c>
      <c r="BJ307" s="2" t="s">
        <v>87</v>
      </c>
      <c r="BK307" s="140">
        <f>ROUND(I307*H307,2)</f>
        <v>0</v>
      </c>
      <c r="BL307" s="2" t="s">
        <v>496</v>
      </c>
      <c r="BM307" s="139" t="s">
        <v>8122</v>
      </c>
    </row>
    <row r="308" spans="2:65" s="16" customFormat="1" ht="24.2" customHeight="1" x14ac:dyDescent="0.2">
      <c r="B308" s="17"/>
      <c r="C308" s="128">
        <v>155</v>
      </c>
      <c r="D308" s="128" t="s">
        <v>339</v>
      </c>
      <c r="E308" s="129" t="s">
        <v>8123</v>
      </c>
      <c r="F308" s="130" t="s">
        <v>8124</v>
      </c>
      <c r="G308" s="131" t="s">
        <v>425</v>
      </c>
      <c r="H308" s="132">
        <v>21</v>
      </c>
      <c r="I308" s="133"/>
      <c r="J308" s="134">
        <f>ROUND(I308*H308,2)</f>
        <v>0</v>
      </c>
      <c r="K308" s="130"/>
      <c r="L308" s="17"/>
      <c r="M308" s="135"/>
      <c r="N308" s="136" t="s">
        <v>45</v>
      </c>
      <c r="P308" s="137">
        <f>O308*H308</f>
        <v>0</v>
      </c>
      <c r="Q308" s="137">
        <v>0</v>
      </c>
      <c r="R308" s="137">
        <f>Q308*H308</f>
        <v>0</v>
      </c>
      <c r="S308" s="137">
        <v>0</v>
      </c>
      <c r="T308" s="138">
        <f>S308*H308</f>
        <v>0</v>
      </c>
      <c r="AR308" s="139" t="s">
        <v>496</v>
      </c>
      <c r="AT308" s="139" t="s">
        <v>339</v>
      </c>
      <c r="AU308" s="139" t="s">
        <v>113</v>
      </c>
      <c r="AY308" s="2" t="s">
        <v>337</v>
      </c>
      <c r="BE308" s="140">
        <f>IF(N308="základní",J308,0)</f>
        <v>0</v>
      </c>
      <c r="BF308" s="140">
        <f>IF(N308="snížená",J308,0)</f>
        <v>0</v>
      </c>
      <c r="BG308" s="140">
        <f>IF(N308="zákl. přenesená",J308,0)</f>
        <v>0</v>
      </c>
      <c r="BH308" s="140">
        <f>IF(N308="sníž. přenesená",J308,0)</f>
        <v>0</v>
      </c>
      <c r="BI308" s="140">
        <f>IF(N308="nulová",J308,0)</f>
        <v>0</v>
      </c>
      <c r="BJ308" s="2" t="s">
        <v>87</v>
      </c>
      <c r="BK308" s="140">
        <f>ROUND(I308*H308,2)</f>
        <v>0</v>
      </c>
      <c r="BL308" s="2" t="s">
        <v>496</v>
      </c>
      <c r="BM308" s="139" t="s">
        <v>8125</v>
      </c>
    </row>
    <row r="309" spans="2:65" s="16" customFormat="1" ht="16.5" customHeight="1" x14ac:dyDescent="0.2">
      <c r="B309" s="17"/>
      <c r="C309" s="128">
        <v>156</v>
      </c>
      <c r="D309" s="128" t="s">
        <v>339</v>
      </c>
      <c r="E309" s="129" t="s">
        <v>8126</v>
      </c>
      <c r="F309" s="130" t="s">
        <v>8127</v>
      </c>
      <c r="G309" s="131" t="s">
        <v>425</v>
      </c>
      <c r="H309" s="132">
        <v>48</v>
      </c>
      <c r="I309" s="133"/>
      <c r="J309" s="134">
        <f>ROUND(I309*H309,2)</f>
        <v>0</v>
      </c>
      <c r="K309" s="130"/>
      <c r="L309" s="17"/>
      <c r="M309" s="135"/>
      <c r="N309" s="136" t="s">
        <v>45</v>
      </c>
      <c r="P309" s="137">
        <f>O309*H309</f>
        <v>0</v>
      </c>
      <c r="Q309" s="137">
        <v>0</v>
      </c>
      <c r="R309" s="137">
        <f>Q309*H309</f>
        <v>0</v>
      </c>
      <c r="S309" s="137">
        <v>0</v>
      </c>
      <c r="T309" s="138">
        <f>S309*H309</f>
        <v>0</v>
      </c>
      <c r="AR309" s="139" t="s">
        <v>496</v>
      </c>
      <c r="AT309" s="139" t="s">
        <v>339</v>
      </c>
      <c r="AU309" s="139" t="s">
        <v>113</v>
      </c>
      <c r="AY309" s="2" t="s">
        <v>337</v>
      </c>
      <c r="BE309" s="140">
        <f>IF(N309="základní",J309,0)</f>
        <v>0</v>
      </c>
      <c r="BF309" s="140">
        <f>IF(N309="snížená",J309,0)</f>
        <v>0</v>
      </c>
      <c r="BG309" s="140">
        <f>IF(N309="zákl. přenesená",J309,0)</f>
        <v>0</v>
      </c>
      <c r="BH309" s="140">
        <f>IF(N309="sníž. přenesená",J309,0)</f>
        <v>0</v>
      </c>
      <c r="BI309" s="140">
        <f>IF(N309="nulová",J309,0)</f>
        <v>0</v>
      </c>
      <c r="BJ309" s="2" t="s">
        <v>87</v>
      </c>
      <c r="BK309" s="140">
        <f>ROUND(I309*H309,2)</f>
        <v>0</v>
      </c>
      <c r="BL309" s="2" t="s">
        <v>496</v>
      </c>
      <c r="BM309" s="139" t="s">
        <v>8128</v>
      </c>
    </row>
    <row r="310" spans="2:65" s="16" customFormat="1" ht="16.5" customHeight="1" x14ac:dyDescent="0.2">
      <c r="B310" s="17"/>
      <c r="C310" s="128">
        <v>157</v>
      </c>
      <c r="D310" s="128" t="s">
        <v>339</v>
      </c>
      <c r="E310" s="129" t="s">
        <v>8129</v>
      </c>
      <c r="F310" s="130" t="s">
        <v>8130</v>
      </c>
      <c r="G310" s="131" t="s">
        <v>425</v>
      </c>
      <c r="H310" s="132">
        <v>78</v>
      </c>
      <c r="I310" s="133"/>
      <c r="J310" s="134">
        <f>ROUND(I310*H310,2)</f>
        <v>0</v>
      </c>
      <c r="K310" s="130"/>
      <c r="L310" s="17"/>
      <c r="M310" s="135"/>
      <c r="N310" s="136" t="s">
        <v>45</v>
      </c>
      <c r="P310" s="137">
        <f>O310*H310</f>
        <v>0</v>
      </c>
      <c r="Q310" s="137">
        <v>0</v>
      </c>
      <c r="R310" s="137">
        <f>Q310*H310</f>
        <v>0</v>
      </c>
      <c r="S310" s="137">
        <v>0</v>
      </c>
      <c r="T310" s="138">
        <f>S310*H310</f>
        <v>0</v>
      </c>
      <c r="AR310" s="139" t="s">
        <v>496</v>
      </c>
      <c r="AT310" s="139" t="s">
        <v>339</v>
      </c>
      <c r="AU310" s="139" t="s">
        <v>113</v>
      </c>
      <c r="AY310" s="2" t="s">
        <v>337</v>
      </c>
      <c r="BE310" s="140">
        <f>IF(N310="základní",J310,0)</f>
        <v>0</v>
      </c>
      <c r="BF310" s="140">
        <f>IF(N310="snížená",J310,0)</f>
        <v>0</v>
      </c>
      <c r="BG310" s="140">
        <f>IF(N310="zákl. přenesená",J310,0)</f>
        <v>0</v>
      </c>
      <c r="BH310" s="140">
        <f>IF(N310="sníž. přenesená",J310,0)</f>
        <v>0</v>
      </c>
      <c r="BI310" s="140">
        <f>IF(N310="nulová",J310,0)</f>
        <v>0</v>
      </c>
      <c r="BJ310" s="2" t="s">
        <v>87</v>
      </c>
      <c r="BK310" s="140">
        <f>ROUND(I310*H310,2)</f>
        <v>0</v>
      </c>
      <c r="BL310" s="2" t="s">
        <v>496</v>
      </c>
      <c r="BM310" s="139" t="s">
        <v>8131</v>
      </c>
    </row>
    <row r="311" spans="2:65" s="16" customFormat="1" ht="16.5" customHeight="1" x14ac:dyDescent="0.2">
      <c r="B311" s="17"/>
      <c r="C311" s="128">
        <v>158</v>
      </c>
      <c r="D311" s="128" t="s">
        <v>339</v>
      </c>
      <c r="E311" s="129" t="s">
        <v>6823</v>
      </c>
      <c r="F311" s="130" t="s">
        <v>8132</v>
      </c>
      <c r="G311" s="131" t="s">
        <v>6048</v>
      </c>
      <c r="H311" s="192"/>
      <c r="I311" s="133"/>
      <c r="J311" s="134">
        <f>ROUND(I311*H311,2)</f>
        <v>0</v>
      </c>
      <c r="K311" s="130" t="s">
        <v>343</v>
      </c>
      <c r="L311" s="17"/>
      <c r="M311" s="135"/>
      <c r="N311" s="136" t="s">
        <v>45</v>
      </c>
      <c r="P311" s="137">
        <f>O311*H311</f>
        <v>0</v>
      </c>
      <c r="Q311" s="137">
        <v>0</v>
      </c>
      <c r="R311" s="137">
        <f>Q311*H311</f>
        <v>0</v>
      </c>
      <c r="S311" s="137">
        <v>0</v>
      </c>
      <c r="T311" s="138">
        <f>S311*H311</f>
        <v>0</v>
      </c>
      <c r="AR311" s="139" t="s">
        <v>496</v>
      </c>
      <c r="AT311" s="139" t="s">
        <v>339</v>
      </c>
      <c r="AU311" s="139" t="s">
        <v>113</v>
      </c>
      <c r="AY311" s="2" t="s">
        <v>337</v>
      </c>
      <c r="BE311" s="140">
        <f>IF(N311="základní",J311,0)</f>
        <v>0</v>
      </c>
      <c r="BF311" s="140">
        <f>IF(N311="snížená",J311,0)</f>
        <v>0</v>
      </c>
      <c r="BG311" s="140">
        <f>IF(N311="zákl. přenesená",J311,0)</f>
        <v>0</v>
      </c>
      <c r="BH311" s="140">
        <f>IF(N311="sníž. přenesená",J311,0)</f>
        <v>0</v>
      </c>
      <c r="BI311" s="140">
        <f>IF(N311="nulová",J311,0)</f>
        <v>0</v>
      </c>
      <c r="BJ311" s="2" t="s">
        <v>87</v>
      </c>
      <c r="BK311" s="140">
        <f>ROUND(I311*H311,2)</f>
        <v>0</v>
      </c>
      <c r="BL311" s="2" t="s">
        <v>496</v>
      </c>
      <c r="BM311" s="139" t="s">
        <v>8133</v>
      </c>
    </row>
    <row r="312" spans="2:65" s="116" customFormat="1" ht="25.9" customHeight="1" x14ac:dyDescent="0.2">
      <c r="B312" s="117"/>
      <c r="D312" s="118" t="s">
        <v>79</v>
      </c>
      <c r="E312" s="119" t="s">
        <v>5123</v>
      </c>
      <c r="F312" s="119" t="s">
        <v>5124</v>
      </c>
      <c r="J312" s="120">
        <f>BK312</f>
        <v>0</v>
      </c>
      <c r="L312" s="117"/>
      <c r="M312" s="121"/>
      <c r="P312" s="122">
        <f>P313</f>
        <v>0</v>
      </c>
      <c r="R312" s="122">
        <f>R313</f>
        <v>0</v>
      </c>
      <c r="T312" s="123">
        <f>T313</f>
        <v>0</v>
      </c>
      <c r="AR312" s="118" t="s">
        <v>344</v>
      </c>
      <c r="AT312" s="124" t="s">
        <v>79</v>
      </c>
      <c r="AU312" s="124" t="s">
        <v>80</v>
      </c>
      <c r="AY312" s="118" t="s">
        <v>337</v>
      </c>
      <c r="BK312" s="125">
        <f>BK313</f>
        <v>0</v>
      </c>
    </row>
    <row r="313" spans="2:65" s="16" customFormat="1" ht="16.5" customHeight="1" x14ac:dyDescent="0.2">
      <c r="B313" s="17"/>
      <c r="C313" s="128">
        <v>159</v>
      </c>
      <c r="D313" s="128" t="s">
        <v>339</v>
      </c>
      <c r="E313" s="129" t="s">
        <v>6318</v>
      </c>
      <c r="F313" s="130" t="s">
        <v>8134</v>
      </c>
      <c r="G313" s="131" t="s">
        <v>3042</v>
      </c>
      <c r="H313" s="132">
        <v>120</v>
      </c>
      <c r="I313" s="133"/>
      <c r="J313" s="134">
        <f>ROUND(I313*H313,2)</f>
        <v>0</v>
      </c>
      <c r="K313" s="130" t="s">
        <v>343</v>
      </c>
      <c r="L313" s="17"/>
      <c r="M313" s="135"/>
      <c r="N313" s="136" t="s">
        <v>45</v>
      </c>
      <c r="P313" s="137">
        <f>O313*H313</f>
        <v>0</v>
      </c>
      <c r="Q313" s="137">
        <v>0</v>
      </c>
      <c r="R313" s="137">
        <f>Q313*H313</f>
        <v>0</v>
      </c>
      <c r="S313" s="137">
        <v>0</v>
      </c>
      <c r="T313" s="138">
        <f>S313*H313</f>
        <v>0</v>
      </c>
      <c r="AR313" s="139" t="s">
        <v>5127</v>
      </c>
      <c r="AT313" s="139" t="s">
        <v>339</v>
      </c>
      <c r="AU313" s="139" t="s">
        <v>87</v>
      </c>
      <c r="AY313" s="2" t="s">
        <v>337</v>
      </c>
      <c r="BE313" s="140">
        <f>IF(N313="základní",J313,0)</f>
        <v>0</v>
      </c>
      <c r="BF313" s="140">
        <f>IF(N313="snížená",J313,0)</f>
        <v>0</v>
      </c>
      <c r="BG313" s="140">
        <f>IF(N313="zákl. přenesená",J313,0)</f>
        <v>0</v>
      </c>
      <c r="BH313" s="140">
        <f>IF(N313="sníž. přenesená",J313,0)</f>
        <v>0</v>
      </c>
      <c r="BI313" s="140">
        <f>IF(N313="nulová",J313,0)</f>
        <v>0</v>
      </c>
      <c r="BJ313" s="2" t="s">
        <v>87</v>
      </c>
      <c r="BK313" s="140">
        <f>ROUND(I313*H313,2)</f>
        <v>0</v>
      </c>
      <c r="BL313" s="2" t="s">
        <v>5127</v>
      </c>
      <c r="BM313" s="139" t="s">
        <v>8135</v>
      </c>
    </row>
    <row r="314" spans="2:65" s="116" customFormat="1" ht="25.9" customHeight="1" x14ac:dyDescent="0.2">
      <c r="B314" s="117"/>
      <c r="D314" s="118" t="s">
        <v>79</v>
      </c>
      <c r="E314" s="119" t="s">
        <v>174</v>
      </c>
      <c r="F314" s="119" t="s">
        <v>175</v>
      </c>
      <c r="J314" s="120">
        <f>BK314</f>
        <v>0</v>
      </c>
      <c r="L314" s="117"/>
      <c r="M314" s="121"/>
      <c r="P314" s="122">
        <f>P315+P317</f>
        <v>0</v>
      </c>
      <c r="R314" s="122">
        <f>R315+R317</f>
        <v>0</v>
      </c>
      <c r="T314" s="123">
        <f>T315+T317</f>
        <v>0</v>
      </c>
      <c r="AR314" s="118" t="s">
        <v>422</v>
      </c>
      <c r="AT314" s="124" t="s">
        <v>79</v>
      </c>
      <c r="AU314" s="124" t="s">
        <v>80</v>
      </c>
      <c r="AY314" s="118" t="s">
        <v>337</v>
      </c>
      <c r="BK314" s="125">
        <f>BK315+BK317</f>
        <v>0</v>
      </c>
    </row>
    <row r="315" spans="2:65" s="116" customFormat="1" ht="22.9" customHeight="1" x14ac:dyDescent="0.2">
      <c r="B315" s="117"/>
      <c r="D315" s="118" t="s">
        <v>79</v>
      </c>
      <c r="E315" s="126" t="s">
        <v>6826</v>
      </c>
      <c r="F315" s="126" t="s">
        <v>6827</v>
      </c>
      <c r="J315" s="127">
        <f>BK315</f>
        <v>0</v>
      </c>
      <c r="L315" s="117"/>
      <c r="M315" s="121"/>
      <c r="P315" s="122">
        <f>P316</f>
        <v>0</v>
      </c>
      <c r="R315" s="122">
        <f>R316</f>
        <v>0</v>
      </c>
      <c r="T315" s="123">
        <f>T316</f>
        <v>0</v>
      </c>
      <c r="AR315" s="118" t="s">
        <v>422</v>
      </c>
      <c r="AT315" s="124" t="s">
        <v>79</v>
      </c>
      <c r="AU315" s="124" t="s">
        <v>87</v>
      </c>
      <c r="AY315" s="118" t="s">
        <v>337</v>
      </c>
      <c r="BK315" s="125">
        <f>BK316</f>
        <v>0</v>
      </c>
    </row>
    <row r="316" spans="2:65" s="16" customFormat="1" ht="16.5" customHeight="1" x14ac:dyDescent="0.2">
      <c r="B316" s="17"/>
      <c r="C316" s="128">
        <v>160</v>
      </c>
      <c r="D316" s="128" t="s">
        <v>339</v>
      </c>
      <c r="E316" s="129" t="s">
        <v>6828</v>
      </c>
      <c r="F316" s="130" t="s">
        <v>8136</v>
      </c>
      <c r="G316" s="131" t="s">
        <v>6145</v>
      </c>
      <c r="H316" s="132">
        <v>1</v>
      </c>
      <c r="I316" s="133"/>
      <c r="J316" s="134">
        <f>ROUND(I316*H316,2)</f>
        <v>0</v>
      </c>
      <c r="K316" s="130"/>
      <c r="L316" s="17"/>
      <c r="M316" s="135"/>
      <c r="N316" s="136" t="s">
        <v>45</v>
      </c>
      <c r="P316" s="137">
        <f>O316*H316</f>
        <v>0</v>
      </c>
      <c r="Q316" s="137">
        <v>0</v>
      </c>
      <c r="R316" s="137">
        <f>Q316*H316</f>
        <v>0</v>
      </c>
      <c r="S316" s="137">
        <v>0</v>
      </c>
      <c r="T316" s="138">
        <f>S316*H316</f>
        <v>0</v>
      </c>
      <c r="AR316" s="139" t="s">
        <v>8137</v>
      </c>
      <c r="AT316" s="139" t="s">
        <v>339</v>
      </c>
      <c r="AU316" s="139" t="s">
        <v>90</v>
      </c>
      <c r="AY316" s="2" t="s">
        <v>337</v>
      </c>
      <c r="BE316" s="140">
        <f>IF(N316="základní",J316,0)</f>
        <v>0</v>
      </c>
      <c r="BF316" s="140">
        <f>IF(N316="snížená",J316,0)</f>
        <v>0</v>
      </c>
      <c r="BG316" s="140">
        <f>IF(N316="zákl. přenesená",J316,0)</f>
        <v>0</v>
      </c>
      <c r="BH316" s="140">
        <f>IF(N316="sníž. přenesená",J316,0)</f>
        <v>0</v>
      </c>
      <c r="BI316" s="140">
        <f>IF(N316="nulová",J316,0)</f>
        <v>0</v>
      </c>
      <c r="BJ316" s="2" t="s">
        <v>87</v>
      </c>
      <c r="BK316" s="140">
        <f>ROUND(I316*H316,2)</f>
        <v>0</v>
      </c>
      <c r="BL316" s="2" t="s">
        <v>8137</v>
      </c>
      <c r="BM316" s="139" t="s">
        <v>8138</v>
      </c>
    </row>
    <row r="317" spans="2:65" s="116" customFormat="1" ht="22.9" customHeight="1" x14ac:dyDescent="0.2">
      <c r="B317" s="117"/>
      <c r="D317" s="118" t="s">
        <v>79</v>
      </c>
      <c r="E317" s="126" t="s">
        <v>6321</v>
      </c>
      <c r="F317" s="126" t="s">
        <v>6322</v>
      </c>
      <c r="J317" s="127">
        <f>BK317</f>
        <v>0</v>
      </c>
      <c r="L317" s="117"/>
      <c r="M317" s="121"/>
      <c r="P317" s="122">
        <f>P318</f>
        <v>0</v>
      </c>
      <c r="R317" s="122">
        <f>R318</f>
        <v>0</v>
      </c>
      <c r="T317" s="123">
        <f>T318</f>
        <v>0</v>
      </c>
      <c r="AR317" s="118" t="s">
        <v>422</v>
      </c>
      <c r="AT317" s="124" t="s">
        <v>79</v>
      </c>
      <c r="AU317" s="124" t="s">
        <v>87</v>
      </c>
      <c r="AY317" s="118" t="s">
        <v>337</v>
      </c>
      <c r="BK317" s="125">
        <f>BK318</f>
        <v>0</v>
      </c>
    </row>
    <row r="318" spans="2:65" s="16" customFormat="1" ht="16.5" customHeight="1" x14ac:dyDescent="0.2">
      <c r="B318" s="17"/>
      <c r="C318" s="128">
        <v>161</v>
      </c>
      <c r="D318" s="128" t="s">
        <v>339</v>
      </c>
      <c r="E318" s="129" t="s">
        <v>6323</v>
      </c>
      <c r="F318" s="130" t="s">
        <v>8139</v>
      </c>
      <c r="G318" s="131" t="s">
        <v>6145</v>
      </c>
      <c r="H318" s="132">
        <v>1</v>
      </c>
      <c r="I318" s="133"/>
      <c r="J318" s="134">
        <f>ROUND(I318*H318,2)</f>
        <v>0</v>
      </c>
      <c r="K318" s="130"/>
      <c r="L318" s="17"/>
      <c r="M318" s="187"/>
      <c r="N318" s="188" t="s">
        <v>45</v>
      </c>
      <c r="O318" s="189"/>
      <c r="P318" s="190">
        <f>O318*H318</f>
        <v>0</v>
      </c>
      <c r="Q318" s="190">
        <v>0</v>
      </c>
      <c r="R318" s="190">
        <f>Q318*H318</f>
        <v>0</v>
      </c>
      <c r="S318" s="190">
        <v>0</v>
      </c>
      <c r="T318" s="191">
        <f>S318*H318</f>
        <v>0</v>
      </c>
      <c r="AR318" s="139" t="s">
        <v>8137</v>
      </c>
      <c r="AT318" s="139" t="s">
        <v>339</v>
      </c>
      <c r="AU318" s="139" t="s">
        <v>90</v>
      </c>
      <c r="AY318" s="2" t="s">
        <v>337</v>
      </c>
      <c r="BE318" s="140">
        <f>IF(N318="základní",J318,0)</f>
        <v>0</v>
      </c>
      <c r="BF318" s="140">
        <f>IF(N318="snížená",J318,0)</f>
        <v>0</v>
      </c>
      <c r="BG318" s="140">
        <f>IF(N318="zákl. přenesená",J318,0)</f>
        <v>0</v>
      </c>
      <c r="BH318" s="140">
        <f>IF(N318="sníž. přenesená",J318,0)</f>
        <v>0</v>
      </c>
      <c r="BI318" s="140">
        <f>IF(N318="nulová",J318,0)</f>
        <v>0</v>
      </c>
      <c r="BJ318" s="2" t="s">
        <v>87</v>
      </c>
      <c r="BK318" s="140">
        <f>ROUND(I318*H318,2)</f>
        <v>0</v>
      </c>
      <c r="BL318" s="2" t="s">
        <v>8137</v>
      </c>
      <c r="BM318" s="139" t="s">
        <v>8140</v>
      </c>
    </row>
    <row r="319" spans="2:65" s="16" customFormat="1" ht="6.95" customHeight="1" x14ac:dyDescent="0.2">
      <c r="B319" s="30"/>
      <c r="C319" s="19"/>
      <c r="D319" s="19"/>
      <c r="E319" s="19"/>
      <c r="F319" s="19"/>
      <c r="G319" s="19"/>
      <c r="H319" s="19"/>
      <c r="I319" s="19"/>
      <c r="J319" s="19"/>
      <c r="K319" s="19"/>
      <c r="L319" s="17"/>
    </row>
  </sheetData>
  <sheetProtection algorithmName="SHA-512" hashValue="KCX7bZadC8Tw+K6tlYH/G7SysyprcFCQ0/Xw1jEkSY6oSkiKCPWjoece9lo1n1yBjc/+H139IFsCg0LQoNtMRQ==" saltValue="mIqvT755V950iSpOkX5YNg==" spinCount="100000" sheet="1" objects="1" scenarios="1" formatCells="0" formatColumns="0" formatRows="0" autoFilter="0"/>
  <autoFilter ref="C136:K318" xr:uid="{00000000-0009-0000-0000-000016000000}"/>
  <mergeCells count="13">
    <mergeCell ref="J134:K134"/>
    <mergeCell ref="E129:H129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5:H125"/>
    <mergeCell ref="E127:H127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24"/>
  <dimension ref="B2:BM510"/>
  <sheetViews>
    <sheetView showGridLines="0" workbookViewId="0">
      <selection activeCell="A2" sqref="A2:XFD79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5.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169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s="16" customFormat="1" ht="12" hidden="1" customHeight="1" x14ac:dyDescent="0.2">
      <c r="B8" s="17"/>
      <c r="D8" s="12" t="s">
        <v>190</v>
      </c>
      <c r="L8" s="17"/>
    </row>
    <row r="9" spans="2:46" s="16" customFormat="1" ht="16.5" hidden="1" customHeight="1" x14ac:dyDescent="0.2">
      <c r="B9" s="17"/>
      <c r="E9" s="309" t="s">
        <v>8141</v>
      </c>
      <c r="F9" s="309"/>
      <c r="G9" s="309"/>
      <c r="H9" s="309"/>
      <c r="L9" s="17"/>
    </row>
    <row r="10" spans="2:46" s="16" customFormat="1" hidden="1" x14ac:dyDescent="0.2">
      <c r="B10" s="17"/>
      <c r="L10" s="17"/>
    </row>
    <row r="11" spans="2:46" s="16" customFormat="1" ht="12" hidden="1" customHeight="1" x14ac:dyDescent="0.2">
      <c r="B11" s="17"/>
      <c r="D11" s="12" t="s">
        <v>17</v>
      </c>
      <c r="F11" s="10"/>
      <c r="I11" s="12" t="s">
        <v>18</v>
      </c>
      <c r="J11" s="10"/>
      <c r="L11" s="17"/>
    </row>
    <row r="12" spans="2:46" s="16" customFormat="1" ht="12" hidden="1" customHeight="1" x14ac:dyDescent="0.2">
      <c r="B12" s="17"/>
      <c r="D12" s="12" t="s">
        <v>19</v>
      </c>
      <c r="F12" s="10" t="s">
        <v>8142</v>
      </c>
      <c r="I12" s="12" t="s">
        <v>21</v>
      </c>
      <c r="J12" s="38" t="str">
        <f>IF(Rekapitulace_stavby!AN8&lt;&gt;"",Rekapitulace_stavby!AN8,"")</f>
        <v/>
      </c>
      <c r="L12" s="17"/>
    </row>
    <row r="13" spans="2:46" s="16" customFormat="1" ht="10.9" hidden="1" customHeight="1" x14ac:dyDescent="0.2">
      <c r="B13" s="17"/>
      <c r="L13" s="17"/>
    </row>
    <row r="14" spans="2:46" s="16" customFormat="1" ht="12" hidden="1" customHeight="1" x14ac:dyDescent="0.2">
      <c r="B14" s="17"/>
      <c r="D14" s="12" t="s">
        <v>22</v>
      </c>
      <c r="I14" s="12" t="s">
        <v>23</v>
      </c>
      <c r="J14" s="10" t="str">
        <f>IF(Rekapitulace_stavby!AN10="","",Rekapitulace_stavby!AN10)</f>
        <v>00216208</v>
      </c>
      <c r="L14" s="17"/>
    </row>
    <row r="15" spans="2:46" s="16" customFormat="1" ht="18" hidden="1" customHeight="1" x14ac:dyDescent="0.2">
      <c r="B15" s="17"/>
      <c r="E15" s="10" t="str">
        <f>IF(Rekapitulace_stavby!E11="","",Rekapitulace_stavby!E11)</f>
        <v>Univerzita Karlova, Lékařská fakulta v Plzni</v>
      </c>
      <c r="I15" s="12" t="s">
        <v>26</v>
      </c>
      <c r="J15" s="10" t="str">
        <f>IF(Rekapitulace_stavby!AN11="","",Rekapitulace_stavby!AN11)</f>
        <v>CZ00216208</v>
      </c>
      <c r="L15" s="17"/>
    </row>
    <row r="16" spans="2:46" s="16" customFormat="1" ht="6.95" hidden="1" customHeight="1" x14ac:dyDescent="0.2">
      <c r="B16" s="17"/>
      <c r="L16" s="17"/>
    </row>
    <row r="17" spans="2:12" s="16" customFormat="1" ht="12" hidden="1" customHeight="1" x14ac:dyDescent="0.2">
      <c r="B17" s="17"/>
      <c r="D17" s="12" t="s">
        <v>28</v>
      </c>
      <c r="I17" s="12" t="s">
        <v>23</v>
      </c>
      <c r="J17" s="13">
        <f>Rekapitulace_stavby!AN13</f>
        <v>0</v>
      </c>
      <c r="L17" s="17"/>
    </row>
    <row r="18" spans="2:12" s="16" customFormat="1" ht="18" hidden="1" customHeight="1" x14ac:dyDescent="0.2">
      <c r="B18" s="17"/>
      <c r="E18" s="326">
        <f>Rekapitulace_stavby!E14</f>
        <v>0</v>
      </c>
      <c r="F18" s="326"/>
      <c r="G18" s="326"/>
      <c r="H18" s="326"/>
      <c r="I18" s="12" t="s">
        <v>26</v>
      </c>
      <c r="J18" s="13">
        <f>Rekapitulace_stavby!AN14</f>
        <v>0</v>
      </c>
      <c r="L18" s="17"/>
    </row>
    <row r="19" spans="2:12" s="16" customFormat="1" ht="6.95" hidden="1" customHeight="1" x14ac:dyDescent="0.2">
      <c r="B19" s="17"/>
      <c r="L19" s="17"/>
    </row>
    <row r="20" spans="2:12" s="16" customFormat="1" ht="12" hidden="1" customHeight="1" x14ac:dyDescent="0.2">
      <c r="B20" s="17"/>
      <c r="D20" s="12" t="s">
        <v>29</v>
      </c>
      <c r="I20" s="12" t="s">
        <v>23</v>
      </c>
      <c r="J20" s="10" t="s">
        <v>30</v>
      </c>
      <c r="L20" s="17"/>
    </row>
    <row r="21" spans="2:12" s="16" customFormat="1" ht="18" hidden="1" customHeight="1" x14ac:dyDescent="0.2">
      <c r="B21" s="17"/>
      <c r="E21" s="10" t="s">
        <v>31</v>
      </c>
      <c r="I21" s="12" t="s">
        <v>26</v>
      </c>
      <c r="J21" s="10" t="s">
        <v>32</v>
      </c>
      <c r="L21" s="17"/>
    </row>
    <row r="22" spans="2:12" s="16" customFormat="1" ht="6.95" hidden="1" customHeight="1" x14ac:dyDescent="0.2">
      <c r="B22" s="17"/>
      <c r="L22" s="17"/>
    </row>
    <row r="23" spans="2:12" s="16" customFormat="1" ht="12" hidden="1" customHeight="1" x14ac:dyDescent="0.2">
      <c r="B23" s="17"/>
      <c r="D23" s="12" t="s">
        <v>34</v>
      </c>
      <c r="I23" s="12" t="s">
        <v>23</v>
      </c>
      <c r="J23" s="10"/>
      <c r="L23" s="17"/>
    </row>
    <row r="24" spans="2:12" s="16" customFormat="1" ht="18" hidden="1" customHeight="1" x14ac:dyDescent="0.2">
      <c r="B24" s="17"/>
      <c r="E24" s="10" t="s">
        <v>8143</v>
      </c>
      <c r="I24" s="12" t="s">
        <v>26</v>
      </c>
      <c r="J24" s="10"/>
      <c r="L24" s="17"/>
    </row>
    <row r="25" spans="2:12" s="16" customFormat="1" ht="6.95" hidden="1" customHeight="1" x14ac:dyDescent="0.2">
      <c r="B25" s="17"/>
      <c r="L25" s="17"/>
    </row>
    <row r="26" spans="2:12" s="16" customFormat="1" ht="12" hidden="1" customHeight="1" x14ac:dyDescent="0.2">
      <c r="B26" s="17"/>
      <c r="D26" s="12" t="s">
        <v>38</v>
      </c>
      <c r="L26" s="17"/>
    </row>
    <row r="27" spans="2:12" s="81" customFormat="1" ht="16.5" hidden="1" customHeight="1" x14ac:dyDescent="0.2">
      <c r="B27" s="82"/>
      <c r="E27" s="304"/>
      <c r="F27" s="304"/>
      <c r="G27" s="304"/>
      <c r="H27" s="304"/>
      <c r="L27" s="82"/>
    </row>
    <row r="28" spans="2:12" s="16" customFormat="1" ht="6.95" hidden="1" customHeight="1" x14ac:dyDescent="0.2">
      <c r="B28" s="17"/>
      <c r="L28" s="17"/>
    </row>
    <row r="29" spans="2:12" s="16" customFormat="1" ht="6.95" hidden="1" customHeight="1" x14ac:dyDescent="0.2">
      <c r="B29" s="17"/>
      <c r="D29" s="39"/>
      <c r="E29" s="39"/>
      <c r="F29" s="39"/>
      <c r="G29" s="39"/>
      <c r="H29" s="39"/>
      <c r="I29" s="39"/>
      <c r="J29" s="39"/>
      <c r="K29" s="39"/>
      <c r="L29" s="17"/>
    </row>
    <row r="30" spans="2:12" s="16" customFormat="1" ht="25.35" hidden="1" customHeight="1" x14ac:dyDescent="0.2">
      <c r="B30" s="17"/>
      <c r="D30" s="84" t="s">
        <v>40</v>
      </c>
      <c r="J30" s="52">
        <f>ROUND(J138, 2)</f>
        <v>0</v>
      </c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14.45" hidden="1" customHeight="1" x14ac:dyDescent="0.2">
      <c r="B32" s="17"/>
      <c r="F32" s="20" t="s">
        <v>42</v>
      </c>
      <c r="I32" s="20" t="s">
        <v>41</v>
      </c>
      <c r="J32" s="20" t="s">
        <v>43</v>
      </c>
      <c r="L32" s="17"/>
    </row>
    <row r="33" spans="2:12" s="16" customFormat="1" ht="14.45" hidden="1" customHeight="1" x14ac:dyDescent="0.2">
      <c r="B33" s="17"/>
      <c r="D33" s="85" t="s">
        <v>44</v>
      </c>
      <c r="E33" s="12" t="s">
        <v>45</v>
      </c>
      <c r="F33" s="73">
        <f>ROUND((SUM(BE138:BE509)),  2)</f>
        <v>0</v>
      </c>
      <c r="I33" s="86">
        <v>0.21</v>
      </c>
      <c r="J33" s="73">
        <f>ROUND(((SUM(BE138:BE509))*I33),  2)</f>
        <v>0</v>
      </c>
      <c r="L33" s="17"/>
    </row>
    <row r="34" spans="2:12" s="16" customFormat="1" ht="14.45" hidden="1" customHeight="1" x14ac:dyDescent="0.2">
      <c r="B34" s="17"/>
      <c r="E34" s="12" t="s">
        <v>46</v>
      </c>
      <c r="F34" s="73">
        <f>ROUND((SUM(BF138:BF509)),  2)</f>
        <v>0</v>
      </c>
      <c r="I34" s="86">
        <v>0.12</v>
      </c>
      <c r="J34" s="73">
        <f>ROUND(((SUM(BF138:BF509))*I34),  2)</f>
        <v>0</v>
      </c>
      <c r="L34" s="17"/>
    </row>
    <row r="35" spans="2:12" s="16" customFormat="1" ht="14.45" hidden="1" customHeight="1" x14ac:dyDescent="0.2">
      <c r="B35" s="17"/>
      <c r="E35" s="12" t="s">
        <v>47</v>
      </c>
      <c r="F35" s="73">
        <f>ROUND((SUM(BG138:BG509)),  2)</f>
        <v>0</v>
      </c>
      <c r="I35" s="86">
        <v>0.21</v>
      </c>
      <c r="J35" s="73">
        <f>0</f>
        <v>0</v>
      </c>
      <c r="L35" s="17"/>
    </row>
    <row r="36" spans="2:12" s="16" customFormat="1" ht="14.45" hidden="1" customHeight="1" x14ac:dyDescent="0.2">
      <c r="B36" s="17"/>
      <c r="E36" s="12" t="s">
        <v>48</v>
      </c>
      <c r="F36" s="73">
        <f>ROUND((SUM(BH138:BH509)),  2)</f>
        <v>0</v>
      </c>
      <c r="I36" s="86">
        <v>0.12</v>
      </c>
      <c r="J36" s="73">
        <f>0</f>
        <v>0</v>
      </c>
      <c r="L36" s="17"/>
    </row>
    <row r="37" spans="2:12" s="16" customFormat="1" ht="14.45" hidden="1" customHeight="1" x14ac:dyDescent="0.2">
      <c r="B37" s="17"/>
      <c r="E37" s="12" t="s">
        <v>49</v>
      </c>
      <c r="F37" s="73">
        <f>ROUND((SUM(BI138:BI509)),  2)</f>
        <v>0</v>
      </c>
      <c r="I37" s="86">
        <v>0</v>
      </c>
      <c r="J37" s="73">
        <f>0</f>
        <v>0</v>
      </c>
      <c r="L37" s="17"/>
    </row>
    <row r="38" spans="2:12" s="16" customFormat="1" ht="6.95" hidden="1" customHeight="1" x14ac:dyDescent="0.2">
      <c r="B38" s="17"/>
      <c r="L38" s="17"/>
    </row>
    <row r="39" spans="2:12" s="16" customFormat="1" ht="25.35" hidden="1" customHeight="1" x14ac:dyDescent="0.2">
      <c r="B39" s="17"/>
      <c r="C39" s="87"/>
      <c r="D39" s="88" t="s">
        <v>50</v>
      </c>
      <c r="E39" s="42"/>
      <c r="F39" s="42"/>
      <c r="G39" s="89" t="s">
        <v>51</v>
      </c>
      <c r="H39" s="90" t="s">
        <v>52</v>
      </c>
      <c r="I39" s="42"/>
      <c r="J39" s="91">
        <f>SUM(J30:J37)</f>
        <v>0</v>
      </c>
      <c r="K39" s="92"/>
      <c r="L39" s="17"/>
    </row>
    <row r="40" spans="2:12" s="16" customFormat="1" ht="14.45" hidden="1" customHeight="1" x14ac:dyDescent="0.2">
      <c r="B40" s="17"/>
      <c r="L40" s="17"/>
    </row>
    <row r="41" spans="2:12" ht="14.45" hidden="1" customHeight="1" x14ac:dyDescent="0.2">
      <c r="B41" s="5"/>
      <c r="L41" s="5"/>
    </row>
    <row r="42" spans="2:12" ht="14.45" hidden="1" customHeight="1" x14ac:dyDescent="0.2">
      <c r="B42" s="5"/>
      <c r="L42" s="5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47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47" s="16" customFormat="1" ht="24.95" customHeight="1" x14ac:dyDescent="0.2">
      <c r="B82" s="17"/>
      <c r="C82" s="6" t="s">
        <v>299</v>
      </c>
      <c r="L82" s="17"/>
    </row>
    <row r="83" spans="2:47" s="16" customFormat="1" ht="6.95" customHeight="1" x14ac:dyDescent="0.2">
      <c r="B83" s="17"/>
      <c r="L83" s="17"/>
    </row>
    <row r="84" spans="2:47" s="16" customFormat="1" ht="12" customHeight="1" x14ac:dyDescent="0.2">
      <c r="B84" s="17"/>
      <c r="C84" s="12" t="s">
        <v>15</v>
      </c>
      <c r="L84" s="17"/>
    </row>
    <row r="85" spans="2:47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47" s="16" customFormat="1" ht="12" customHeight="1" x14ac:dyDescent="0.2">
      <c r="B86" s="17"/>
      <c r="C86" s="12" t="s">
        <v>190</v>
      </c>
      <c r="L86" s="17"/>
    </row>
    <row r="87" spans="2:47" s="16" customFormat="1" ht="16.5" customHeight="1" x14ac:dyDescent="0.2">
      <c r="B87" s="17"/>
      <c r="E87" s="309" t="str">
        <f>E9</f>
        <v>SO 02 - Komunikace</v>
      </c>
      <c r="F87" s="309"/>
      <c r="G87" s="309"/>
      <c r="H87" s="309"/>
      <c r="L87" s="17"/>
    </row>
    <row r="88" spans="2:47" s="16" customFormat="1" ht="6.95" customHeight="1" x14ac:dyDescent="0.2">
      <c r="B88" s="17"/>
      <c r="L88" s="17"/>
    </row>
    <row r="89" spans="2:47" s="16" customFormat="1" ht="12" customHeight="1" x14ac:dyDescent="0.2">
      <c r="B89" s="17"/>
      <c r="C89" s="12" t="s">
        <v>19</v>
      </c>
      <c r="F89" s="10" t="str">
        <f>F12</f>
        <v>Alej Svobody</v>
      </c>
      <c r="I89" s="12" t="s">
        <v>21</v>
      </c>
      <c r="J89" s="38" t="str">
        <f>IF(J12="","",J12)</f>
        <v/>
      </c>
      <c r="L89" s="17"/>
    </row>
    <row r="90" spans="2:47" s="16" customFormat="1" ht="6.95" customHeight="1" x14ac:dyDescent="0.2">
      <c r="B90" s="17"/>
      <c r="L90" s="17"/>
    </row>
    <row r="91" spans="2:47" s="16" customFormat="1" ht="15.2" customHeight="1" x14ac:dyDescent="0.2">
      <c r="B91" s="17"/>
      <c r="C91" s="12" t="s">
        <v>22</v>
      </c>
      <c r="F91" s="10" t="str">
        <f>E15</f>
        <v>Univerzita Karlova, Lékařská fakulta v Plzni</v>
      </c>
      <c r="I91" s="12" t="s">
        <v>29</v>
      </c>
      <c r="J91" s="15" t="str">
        <f>E21</f>
        <v>MEPRO s.r.o.</v>
      </c>
      <c r="L91" s="17"/>
    </row>
    <row r="92" spans="2:47" s="16" customFormat="1" ht="15.2" customHeight="1" x14ac:dyDescent="0.2">
      <c r="B92" s="17"/>
      <c r="C92" s="12" t="s">
        <v>28</v>
      </c>
      <c r="F92" s="10">
        <f>IF(E18="","",E18)</f>
        <v>0</v>
      </c>
      <c r="I92" s="12" t="s">
        <v>34</v>
      </c>
      <c r="J92" s="15" t="str">
        <f>E24</f>
        <v>František Beránek</v>
      </c>
      <c r="L92" s="17"/>
    </row>
    <row r="93" spans="2:47" s="16" customFormat="1" ht="10.35" customHeight="1" x14ac:dyDescent="0.2">
      <c r="B93" s="17"/>
      <c r="L93" s="17"/>
    </row>
    <row r="94" spans="2:47" s="16" customFormat="1" ht="29.25" customHeight="1" x14ac:dyDescent="0.2">
      <c r="B94" s="17"/>
      <c r="C94" s="95" t="s">
        <v>300</v>
      </c>
      <c r="D94" s="87"/>
      <c r="E94" s="87"/>
      <c r="F94" s="87"/>
      <c r="G94" s="87"/>
      <c r="H94" s="87"/>
      <c r="I94" s="87"/>
      <c r="J94" s="96" t="s">
        <v>301</v>
      </c>
      <c r="K94" s="87"/>
      <c r="L94" s="17"/>
    </row>
    <row r="95" spans="2:47" s="16" customFormat="1" ht="10.35" customHeight="1" x14ac:dyDescent="0.2">
      <c r="B95" s="17"/>
      <c r="L95" s="17"/>
    </row>
    <row r="96" spans="2:47" s="16" customFormat="1" ht="22.9" customHeight="1" x14ac:dyDescent="0.2">
      <c r="B96" s="17"/>
      <c r="C96" s="97" t="s">
        <v>302</v>
      </c>
      <c r="J96" s="52">
        <f>J138</f>
        <v>0</v>
      </c>
      <c r="L96" s="17"/>
      <c r="AU96" s="2" t="s">
        <v>303</v>
      </c>
    </row>
    <row r="97" spans="2:12" s="98" customFormat="1" ht="24.95" customHeight="1" x14ac:dyDescent="0.2">
      <c r="B97" s="99"/>
      <c r="D97" s="100" t="s">
        <v>304</v>
      </c>
      <c r="E97" s="101"/>
      <c r="F97" s="101"/>
      <c r="G97" s="101"/>
      <c r="H97" s="101"/>
      <c r="I97" s="101"/>
      <c r="J97" s="102">
        <f>J139</f>
        <v>0</v>
      </c>
      <c r="L97" s="99"/>
    </row>
    <row r="98" spans="2:12" s="70" customFormat="1" ht="19.899999999999999" customHeight="1" x14ac:dyDescent="0.2">
      <c r="B98" s="103"/>
      <c r="D98" s="104" t="s">
        <v>3037</v>
      </c>
      <c r="E98" s="105"/>
      <c r="F98" s="105"/>
      <c r="G98" s="105"/>
      <c r="H98" s="105"/>
      <c r="I98" s="105"/>
      <c r="J98" s="106">
        <f>J140</f>
        <v>0</v>
      </c>
      <c r="L98" s="103"/>
    </row>
    <row r="99" spans="2:12" s="70" customFormat="1" ht="19.899999999999999" customHeight="1" x14ac:dyDescent="0.2">
      <c r="B99" s="103"/>
      <c r="D99" s="104" t="s">
        <v>305</v>
      </c>
      <c r="E99" s="105"/>
      <c r="F99" s="105"/>
      <c r="G99" s="105"/>
      <c r="H99" s="105"/>
      <c r="I99" s="105"/>
      <c r="J99" s="106">
        <f>J255</f>
        <v>0</v>
      </c>
      <c r="L99" s="103"/>
    </row>
    <row r="100" spans="2:12" s="70" customFormat="1" ht="19.899999999999999" customHeight="1" x14ac:dyDescent="0.2">
      <c r="B100" s="103"/>
      <c r="D100" s="104" t="s">
        <v>306</v>
      </c>
      <c r="E100" s="105"/>
      <c r="F100" s="105"/>
      <c r="G100" s="105"/>
      <c r="H100" s="105"/>
      <c r="I100" s="105"/>
      <c r="J100" s="106">
        <f>J288</f>
        <v>0</v>
      </c>
      <c r="L100" s="103"/>
    </row>
    <row r="101" spans="2:12" s="70" customFormat="1" ht="19.899999999999999" customHeight="1" x14ac:dyDescent="0.2">
      <c r="B101" s="103"/>
      <c r="D101" s="104" t="s">
        <v>3038</v>
      </c>
      <c r="E101" s="105"/>
      <c r="F101" s="105"/>
      <c r="G101" s="105"/>
      <c r="H101" s="105"/>
      <c r="I101" s="105"/>
      <c r="J101" s="106">
        <f>J301</f>
        <v>0</v>
      </c>
      <c r="L101" s="103"/>
    </row>
    <row r="102" spans="2:12" s="70" customFormat="1" ht="19.899999999999999" customHeight="1" x14ac:dyDescent="0.2">
      <c r="B102" s="103"/>
      <c r="D102" s="104" t="s">
        <v>307</v>
      </c>
      <c r="E102" s="105"/>
      <c r="F102" s="105"/>
      <c r="G102" s="105"/>
      <c r="H102" s="105"/>
      <c r="I102" s="105"/>
      <c r="J102" s="106">
        <f>J366</f>
        <v>0</v>
      </c>
      <c r="L102" s="103"/>
    </row>
    <row r="103" spans="2:12" s="70" customFormat="1" ht="19.899999999999999" customHeight="1" x14ac:dyDescent="0.2">
      <c r="B103" s="103"/>
      <c r="D103" s="104" t="s">
        <v>6338</v>
      </c>
      <c r="E103" s="105"/>
      <c r="F103" s="105"/>
      <c r="G103" s="105"/>
      <c r="H103" s="105"/>
      <c r="I103" s="105"/>
      <c r="J103" s="106">
        <f>J370</f>
        <v>0</v>
      </c>
      <c r="L103" s="103"/>
    </row>
    <row r="104" spans="2:12" s="70" customFormat="1" ht="19.899999999999999" customHeight="1" x14ac:dyDescent="0.2">
      <c r="B104" s="103"/>
      <c r="D104" s="104" t="s">
        <v>308</v>
      </c>
      <c r="E104" s="105"/>
      <c r="F104" s="105"/>
      <c r="G104" s="105"/>
      <c r="H104" s="105"/>
      <c r="I104" s="105"/>
      <c r="J104" s="106">
        <f>J383</f>
        <v>0</v>
      </c>
      <c r="L104" s="103"/>
    </row>
    <row r="105" spans="2:12" s="70" customFormat="1" ht="19.899999999999999" customHeight="1" x14ac:dyDescent="0.2">
      <c r="B105" s="103"/>
      <c r="D105" s="104" t="s">
        <v>5190</v>
      </c>
      <c r="E105" s="105"/>
      <c r="F105" s="105"/>
      <c r="G105" s="105"/>
      <c r="H105" s="105"/>
      <c r="I105" s="105"/>
      <c r="J105" s="106">
        <f>J459</f>
        <v>0</v>
      </c>
      <c r="L105" s="103"/>
    </row>
    <row r="106" spans="2:12" s="70" customFormat="1" ht="19.899999999999999" customHeight="1" x14ac:dyDescent="0.2">
      <c r="B106" s="103"/>
      <c r="D106" s="104" t="s">
        <v>309</v>
      </c>
      <c r="E106" s="105"/>
      <c r="F106" s="105"/>
      <c r="G106" s="105"/>
      <c r="H106" s="105"/>
      <c r="I106" s="105"/>
      <c r="J106" s="106">
        <f>J477</f>
        <v>0</v>
      </c>
      <c r="L106" s="103"/>
    </row>
    <row r="107" spans="2:12" s="98" customFormat="1" ht="24.95" customHeight="1" x14ac:dyDescent="0.2">
      <c r="B107" s="99"/>
      <c r="D107" s="100" t="s">
        <v>310</v>
      </c>
      <c r="E107" s="101"/>
      <c r="F107" s="101"/>
      <c r="G107" s="101"/>
      <c r="H107" s="101"/>
      <c r="I107" s="101"/>
      <c r="J107" s="102">
        <f>J481</f>
        <v>0</v>
      </c>
      <c r="L107" s="99"/>
    </row>
    <row r="108" spans="2:12" s="70" customFormat="1" ht="19.899999999999999" customHeight="1" x14ac:dyDescent="0.2">
      <c r="B108" s="103"/>
      <c r="D108" s="104" t="s">
        <v>311</v>
      </c>
      <c r="E108" s="105"/>
      <c r="F108" s="105"/>
      <c r="G108" s="105"/>
      <c r="H108" s="105"/>
      <c r="I108" s="105"/>
      <c r="J108" s="106">
        <f>J482</f>
        <v>0</v>
      </c>
      <c r="L108" s="103"/>
    </row>
    <row r="109" spans="2:12" s="70" customFormat="1" ht="19.899999999999999" customHeight="1" x14ac:dyDescent="0.2">
      <c r="B109" s="103"/>
      <c r="D109" s="104" t="s">
        <v>2443</v>
      </c>
      <c r="E109" s="105"/>
      <c r="F109" s="105"/>
      <c r="G109" s="105"/>
      <c r="H109" s="105"/>
      <c r="I109" s="105"/>
      <c r="J109" s="106">
        <f>J496</f>
        <v>0</v>
      </c>
      <c r="L109" s="103"/>
    </row>
    <row r="110" spans="2:12" s="98" customFormat="1" ht="24.95" customHeight="1" x14ac:dyDescent="0.2">
      <c r="B110" s="99"/>
      <c r="D110" s="100" t="s">
        <v>8144</v>
      </c>
      <c r="E110" s="101"/>
      <c r="F110" s="101"/>
      <c r="G110" s="101"/>
      <c r="H110" s="101"/>
      <c r="I110" s="101"/>
      <c r="J110" s="102">
        <f>J504</f>
        <v>0</v>
      </c>
      <c r="L110" s="99"/>
    </row>
    <row r="111" spans="2:12" s="70" customFormat="1" ht="19.899999999999999" customHeight="1" x14ac:dyDescent="0.2">
      <c r="B111" s="103"/>
      <c r="D111" s="104" t="s">
        <v>8145</v>
      </c>
      <c r="E111" s="105"/>
      <c r="F111" s="105"/>
      <c r="G111" s="105"/>
      <c r="H111" s="105"/>
      <c r="I111" s="105"/>
      <c r="J111" s="106">
        <f>J505</f>
        <v>0</v>
      </c>
      <c r="L111" s="103"/>
    </row>
    <row r="112" spans="2:12" s="16" customFormat="1" ht="21.75" customHeight="1" x14ac:dyDescent="0.2">
      <c r="B112" s="17"/>
      <c r="L112" s="17"/>
    </row>
    <row r="113" spans="2:12" s="16" customFormat="1" ht="6.95" customHeight="1" x14ac:dyDescent="0.2">
      <c r="B113" s="30"/>
      <c r="C113" s="19"/>
      <c r="D113" s="19"/>
      <c r="E113" s="19"/>
      <c r="F113" s="19"/>
      <c r="G113" s="19"/>
      <c r="H113" s="19"/>
      <c r="I113" s="19"/>
      <c r="J113" s="19"/>
      <c r="K113" s="19"/>
      <c r="L113" s="17"/>
    </row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ht="3" customHeight="1" x14ac:dyDescent="0.2"/>
    <row r="122" spans="2:12" ht="3" customHeight="1" x14ac:dyDescent="0.2"/>
    <row r="123" spans="2:12" ht="3" customHeight="1" x14ac:dyDescent="0.2"/>
    <row r="124" spans="2:12" s="16" customFormat="1" ht="6.95" customHeight="1" x14ac:dyDescent="0.2">
      <c r="B124" s="31"/>
      <c r="C124" s="28"/>
      <c r="D124" s="28"/>
      <c r="E124" s="28"/>
      <c r="F124" s="28"/>
      <c r="G124" s="28"/>
      <c r="H124" s="28"/>
      <c r="I124" s="28"/>
      <c r="J124" s="28"/>
      <c r="K124" s="28"/>
      <c r="L124" s="17"/>
    </row>
    <row r="125" spans="2:12" s="16" customFormat="1" ht="24.95" customHeight="1" x14ac:dyDescent="0.2">
      <c r="B125" s="17"/>
      <c r="C125" s="6" t="s">
        <v>322</v>
      </c>
      <c r="L125" s="17"/>
    </row>
    <row r="126" spans="2:12" s="16" customFormat="1" ht="6.95" customHeight="1" x14ac:dyDescent="0.2">
      <c r="B126" s="17"/>
      <c r="L126" s="17"/>
    </row>
    <row r="127" spans="2:12" s="16" customFormat="1" ht="12" customHeight="1" x14ac:dyDescent="0.2">
      <c r="B127" s="17"/>
      <c r="C127" s="12" t="s">
        <v>15</v>
      </c>
      <c r="L127" s="17"/>
    </row>
    <row r="128" spans="2:12" s="16" customFormat="1" ht="16.5" customHeight="1" x14ac:dyDescent="0.2">
      <c r="B128" s="17"/>
      <c r="E128" s="325" t="str">
        <f>E7</f>
        <v>Rekonstrukce části Šafránkova pavilonu studentské koleje a nástavba jednoho patra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190</v>
      </c>
      <c r="L129" s="17"/>
    </row>
    <row r="130" spans="2:65" s="16" customFormat="1" ht="16.5" customHeight="1" x14ac:dyDescent="0.2">
      <c r="B130" s="17"/>
      <c r="E130" s="309" t="str">
        <f>E9</f>
        <v>SO 02 - Komunikace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">
        <v>20</v>
      </c>
      <c r="I132" s="12" t="s">
        <v>21</v>
      </c>
      <c r="J132" s="38" t="str">
        <f>IF(J12="","",J12)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E15</f>
        <v>Univerzita Karlova, Lékařská fakulta v Plzni</v>
      </c>
      <c r="I134" s="12" t="s">
        <v>29</v>
      </c>
      <c r="J134" s="15" t="str">
        <f>E21</f>
        <v>MEPRO s.r.o.</v>
      </c>
      <c r="L134" s="17"/>
    </row>
    <row r="135" spans="2:65" s="16" customFormat="1" ht="15.2" customHeight="1" x14ac:dyDescent="0.2">
      <c r="B135" s="17"/>
      <c r="C135" s="12" t="s">
        <v>28</v>
      </c>
      <c r="F135" s="286">
        <f>IF(E18="","",E18)</f>
        <v>0</v>
      </c>
      <c r="I135" s="12" t="s">
        <v>34</v>
      </c>
      <c r="J135" s="15" t="str">
        <f>E24</f>
        <v>František Beránek</v>
      </c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P139+P481+P504</f>
        <v>0</v>
      </c>
      <c r="Q138" s="39"/>
      <c r="R138" s="113">
        <f>R139+R481+R504</f>
        <v>727.41075192999983</v>
      </c>
      <c r="S138" s="39"/>
      <c r="T138" s="114">
        <f>T139+T481+T504</f>
        <v>317.5367</v>
      </c>
      <c r="AT138" s="2" t="s">
        <v>79</v>
      </c>
      <c r="AU138" s="2" t="s">
        <v>303</v>
      </c>
      <c r="BK138" s="115">
        <f>BK139+BK481+BK504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P140+P255+P288+P301+P366+P370+P383+P459+P477</f>
        <v>0</v>
      </c>
      <c r="R139" s="122">
        <f>R140+R255+R288+R301+R366+R370+R383+R459+R477</f>
        <v>725.77308992999986</v>
      </c>
      <c r="T139" s="123">
        <f>T140+T255+T288+T301+T366+T370+T383+T459+T477</f>
        <v>317.5367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BK140+BK255+BK288+BK301+BK366+BK370+BK383+BK459+BK477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87</v>
      </c>
      <c r="F140" s="126" t="s">
        <v>3039</v>
      </c>
      <c r="J140" s="127">
        <f>BK140</f>
        <v>0</v>
      </c>
      <c r="L140" s="117"/>
      <c r="M140" s="121"/>
      <c r="P140" s="122">
        <f>SUM(P141:P254)</f>
        <v>0</v>
      </c>
      <c r="R140" s="122">
        <f>SUM(R141:R254)</f>
        <v>45.646138000000008</v>
      </c>
      <c r="T140" s="123">
        <f>SUM(T141:T254)</f>
        <v>293.72249999999997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SUM(BK141:BK254)</f>
        <v>0</v>
      </c>
    </row>
    <row r="141" spans="2:65" s="16" customFormat="1" ht="24.2" customHeight="1" x14ac:dyDescent="0.2">
      <c r="B141" s="17"/>
      <c r="C141" s="128">
        <v>1</v>
      </c>
      <c r="D141" s="128" t="s">
        <v>339</v>
      </c>
      <c r="E141" s="129" t="s">
        <v>8146</v>
      </c>
      <c r="F141" s="130" t="s">
        <v>8147</v>
      </c>
      <c r="G141" s="131" t="s">
        <v>425</v>
      </c>
      <c r="H141" s="132">
        <v>144.19999999999999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8148</v>
      </c>
    </row>
    <row r="142" spans="2:65" s="148" customFormat="1" x14ac:dyDescent="0.2">
      <c r="B142" s="149"/>
      <c r="D142" s="143" t="s">
        <v>346</v>
      </c>
      <c r="E142" s="150"/>
      <c r="F142" s="151" t="s">
        <v>8149</v>
      </c>
      <c r="H142" s="152">
        <v>144.19999999999999</v>
      </c>
      <c r="L142" s="149"/>
      <c r="M142" s="153"/>
      <c r="T142" s="154"/>
      <c r="AT142" s="150" t="s">
        <v>346</v>
      </c>
      <c r="AU142" s="150" t="s">
        <v>90</v>
      </c>
      <c r="AV142" s="148" t="s">
        <v>90</v>
      </c>
      <c r="AW142" s="148" t="s">
        <v>33</v>
      </c>
      <c r="AX142" s="148" t="s">
        <v>87</v>
      </c>
      <c r="AY142" s="150" t="s">
        <v>337</v>
      </c>
    </row>
    <row r="143" spans="2:65" s="16" customFormat="1" ht="16.5" customHeight="1" x14ac:dyDescent="0.2">
      <c r="B143" s="17"/>
      <c r="C143" s="128">
        <v>2</v>
      </c>
      <c r="D143" s="128" t="s">
        <v>339</v>
      </c>
      <c r="E143" s="129" t="s">
        <v>8150</v>
      </c>
      <c r="F143" s="130" t="s">
        <v>8151</v>
      </c>
      <c r="G143" s="131" t="s">
        <v>425</v>
      </c>
      <c r="H143" s="132">
        <v>544.5</v>
      </c>
      <c r="I143" s="133"/>
      <c r="J143" s="134">
        <f>ROUND(I143*H143,2)</f>
        <v>0</v>
      </c>
      <c r="K143" s="130" t="s">
        <v>343</v>
      </c>
      <c r="L143" s="17"/>
      <c r="M143" s="135"/>
      <c r="N143" s="136" t="s">
        <v>45</v>
      </c>
      <c r="P143" s="137">
        <f>O143*H143</f>
        <v>0</v>
      </c>
      <c r="Q143" s="137">
        <v>0</v>
      </c>
      <c r="R143" s="137">
        <f>Q143*H143</f>
        <v>0</v>
      </c>
      <c r="S143" s="137">
        <v>0</v>
      </c>
      <c r="T143" s="138">
        <f>S143*H143</f>
        <v>0</v>
      </c>
      <c r="AR143" s="139" t="s">
        <v>344</v>
      </c>
      <c r="AT143" s="139" t="s">
        <v>339</v>
      </c>
      <c r="AU143" s="139" t="s">
        <v>90</v>
      </c>
      <c r="AY143" s="2" t="s">
        <v>337</v>
      </c>
      <c r="BE143" s="140">
        <f>IF(N143="základní",J143,0)</f>
        <v>0</v>
      </c>
      <c r="BF143" s="140">
        <f>IF(N143="snížená",J143,0)</f>
        <v>0</v>
      </c>
      <c r="BG143" s="140">
        <f>IF(N143="zákl. přenesená",J143,0)</f>
        <v>0</v>
      </c>
      <c r="BH143" s="140">
        <f>IF(N143="sníž. přenesená",J143,0)</f>
        <v>0</v>
      </c>
      <c r="BI143" s="140">
        <f>IF(N143="nulová",J143,0)</f>
        <v>0</v>
      </c>
      <c r="BJ143" s="2" t="s">
        <v>87</v>
      </c>
      <c r="BK143" s="140">
        <f>ROUND(I143*H143,2)</f>
        <v>0</v>
      </c>
      <c r="BL143" s="2" t="s">
        <v>344</v>
      </c>
      <c r="BM143" s="139" t="s">
        <v>8152</v>
      </c>
    </row>
    <row r="144" spans="2:65" s="141" customFormat="1" x14ac:dyDescent="0.2">
      <c r="B144" s="142"/>
      <c r="D144" s="143" t="s">
        <v>346</v>
      </c>
      <c r="E144" s="144"/>
      <c r="F144" s="145" t="s">
        <v>8153</v>
      </c>
      <c r="H144" s="144"/>
      <c r="L144" s="142"/>
      <c r="M144" s="146"/>
      <c r="T144" s="147"/>
      <c r="AT144" s="144" t="s">
        <v>346</v>
      </c>
      <c r="AU144" s="144" t="s">
        <v>90</v>
      </c>
      <c r="AV144" s="141" t="s">
        <v>87</v>
      </c>
      <c r="AW144" s="141" t="s">
        <v>33</v>
      </c>
      <c r="AX144" s="141" t="s">
        <v>80</v>
      </c>
      <c r="AY144" s="144" t="s">
        <v>337</v>
      </c>
    </row>
    <row r="145" spans="2:65" s="148" customFormat="1" x14ac:dyDescent="0.2">
      <c r="B145" s="149"/>
      <c r="D145" s="143" t="s">
        <v>346</v>
      </c>
      <c r="E145" s="150"/>
      <c r="F145" s="151" t="s">
        <v>8154</v>
      </c>
      <c r="H145" s="152">
        <v>544.5</v>
      </c>
      <c r="L145" s="149"/>
      <c r="M145" s="153"/>
      <c r="T145" s="154"/>
      <c r="AT145" s="150" t="s">
        <v>346</v>
      </c>
      <c r="AU145" s="150" t="s">
        <v>90</v>
      </c>
      <c r="AV145" s="148" t="s">
        <v>90</v>
      </c>
      <c r="AW145" s="148" t="s">
        <v>33</v>
      </c>
      <c r="AX145" s="148" t="s">
        <v>87</v>
      </c>
      <c r="AY145" s="150" t="s">
        <v>337</v>
      </c>
    </row>
    <row r="146" spans="2:65" s="16" customFormat="1" ht="16.5" customHeight="1" x14ac:dyDescent="0.2">
      <c r="B146" s="17"/>
      <c r="C146" s="128">
        <v>3</v>
      </c>
      <c r="D146" s="128" t="s">
        <v>339</v>
      </c>
      <c r="E146" s="129" t="s">
        <v>8155</v>
      </c>
      <c r="F146" s="130" t="s">
        <v>8156</v>
      </c>
      <c r="G146" s="131" t="s">
        <v>449</v>
      </c>
      <c r="H146" s="132">
        <v>2</v>
      </c>
      <c r="I146" s="133"/>
      <c r="J146" s="134">
        <f t="shared" ref="J146:J153" si="0">ROUND(I146*H146,2)</f>
        <v>0</v>
      </c>
      <c r="K146" s="130" t="s">
        <v>343</v>
      </c>
      <c r="L146" s="17"/>
      <c r="M146" s="135"/>
      <c r="N146" s="136" t="s">
        <v>45</v>
      </c>
      <c r="P146" s="137">
        <f t="shared" ref="P146:P153" si="1">O146*H146</f>
        <v>0</v>
      </c>
      <c r="Q146" s="137">
        <v>0</v>
      </c>
      <c r="R146" s="137">
        <f t="shared" ref="R146:R153" si="2">Q146*H146</f>
        <v>0</v>
      </c>
      <c r="S146" s="137">
        <v>0</v>
      </c>
      <c r="T146" s="138">
        <f t="shared" ref="T146:T153" si="3">S146*H146</f>
        <v>0</v>
      </c>
      <c r="AR146" s="139" t="s">
        <v>344</v>
      </c>
      <c r="AT146" s="139" t="s">
        <v>339</v>
      </c>
      <c r="AU146" s="139" t="s">
        <v>90</v>
      </c>
      <c r="AY146" s="2" t="s">
        <v>337</v>
      </c>
      <c r="BE146" s="140">
        <f t="shared" ref="BE146:BE153" si="4">IF(N146="základní",J146,0)</f>
        <v>0</v>
      </c>
      <c r="BF146" s="140">
        <f t="shared" ref="BF146:BF153" si="5">IF(N146="snížená",J146,0)</f>
        <v>0</v>
      </c>
      <c r="BG146" s="140">
        <f t="shared" ref="BG146:BG153" si="6">IF(N146="zákl. přenesená",J146,0)</f>
        <v>0</v>
      </c>
      <c r="BH146" s="140">
        <f t="shared" ref="BH146:BH153" si="7">IF(N146="sníž. přenesená",J146,0)</f>
        <v>0</v>
      </c>
      <c r="BI146" s="140">
        <f t="shared" ref="BI146:BI153" si="8">IF(N146="nulová",J146,0)</f>
        <v>0</v>
      </c>
      <c r="BJ146" s="2" t="s">
        <v>87</v>
      </c>
      <c r="BK146" s="140">
        <f t="shared" ref="BK146:BK153" si="9">ROUND(I146*H146,2)</f>
        <v>0</v>
      </c>
      <c r="BL146" s="2" t="s">
        <v>344</v>
      </c>
      <c r="BM146" s="139" t="s">
        <v>8157</v>
      </c>
    </row>
    <row r="147" spans="2:65" s="16" customFormat="1" ht="16.5" customHeight="1" x14ac:dyDescent="0.2">
      <c r="B147" s="17"/>
      <c r="C147" s="128">
        <v>4</v>
      </c>
      <c r="D147" s="128" t="s">
        <v>339</v>
      </c>
      <c r="E147" s="129" t="s">
        <v>8158</v>
      </c>
      <c r="F147" s="130" t="s">
        <v>8159</v>
      </c>
      <c r="G147" s="131" t="s">
        <v>449</v>
      </c>
      <c r="H147" s="132">
        <v>4</v>
      </c>
      <c r="I147" s="133"/>
      <c r="J147" s="134">
        <f t="shared" si="0"/>
        <v>0</v>
      </c>
      <c r="K147" s="130" t="s">
        <v>343</v>
      </c>
      <c r="L147" s="17"/>
      <c r="M147" s="135"/>
      <c r="N147" s="136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AR147" s="139" t="s">
        <v>344</v>
      </c>
      <c r="AT147" s="139" t="s">
        <v>339</v>
      </c>
      <c r="AU147" s="139" t="s">
        <v>90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344</v>
      </c>
      <c r="BM147" s="139" t="s">
        <v>8160</v>
      </c>
    </row>
    <row r="148" spans="2:65" s="16" customFormat="1" ht="16.5" customHeight="1" x14ac:dyDescent="0.2">
      <c r="B148" s="17"/>
      <c r="C148" s="128">
        <v>5</v>
      </c>
      <c r="D148" s="128" t="s">
        <v>339</v>
      </c>
      <c r="E148" s="129" t="s">
        <v>8161</v>
      </c>
      <c r="F148" s="130" t="s">
        <v>8162</v>
      </c>
      <c r="G148" s="131" t="s">
        <v>449</v>
      </c>
      <c r="H148" s="132">
        <v>2</v>
      </c>
      <c r="I148" s="133"/>
      <c r="J148" s="134">
        <f t="shared" si="0"/>
        <v>0</v>
      </c>
      <c r="K148" s="130" t="s">
        <v>343</v>
      </c>
      <c r="L148" s="17"/>
      <c r="M148" s="135"/>
      <c r="N148" s="136" t="s">
        <v>45</v>
      </c>
      <c r="P148" s="137">
        <f t="shared" si="1"/>
        <v>0</v>
      </c>
      <c r="Q148" s="137">
        <v>0</v>
      </c>
      <c r="R148" s="137">
        <f t="shared" si="2"/>
        <v>0</v>
      </c>
      <c r="S148" s="137">
        <v>0</v>
      </c>
      <c r="T148" s="138">
        <f t="shared" si="3"/>
        <v>0</v>
      </c>
      <c r="AR148" s="139" t="s">
        <v>344</v>
      </c>
      <c r="AT148" s="139" t="s">
        <v>339</v>
      </c>
      <c r="AU148" s="139" t="s">
        <v>90</v>
      </c>
      <c r="AY148" s="2" t="s">
        <v>337</v>
      </c>
      <c r="BE148" s="140">
        <f t="shared" si="4"/>
        <v>0</v>
      </c>
      <c r="BF148" s="140">
        <f t="shared" si="5"/>
        <v>0</v>
      </c>
      <c r="BG148" s="140">
        <f t="shared" si="6"/>
        <v>0</v>
      </c>
      <c r="BH148" s="140">
        <f t="shared" si="7"/>
        <v>0</v>
      </c>
      <c r="BI148" s="140">
        <f t="shared" si="8"/>
        <v>0</v>
      </c>
      <c r="BJ148" s="2" t="s">
        <v>87</v>
      </c>
      <c r="BK148" s="140">
        <f t="shared" si="9"/>
        <v>0</v>
      </c>
      <c r="BL148" s="2" t="s">
        <v>344</v>
      </c>
      <c r="BM148" s="139" t="s">
        <v>8163</v>
      </c>
    </row>
    <row r="149" spans="2:65" s="16" customFormat="1" ht="16.5" customHeight="1" x14ac:dyDescent="0.2">
      <c r="B149" s="17"/>
      <c r="C149" s="128">
        <v>6</v>
      </c>
      <c r="D149" s="128" t="s">
        <v>339</v>
      </c>
      <c r="E149" s="129" t="s">
        <v>8164</v>
      </c>
      <c r="F149" s="130" t="s">
        <v>8165</v>
      </c>
      <c r="G149" s="131" t="s">
        <v>449</v>
      </c>
      <c r="H149" s="132">
        <v>4</v>
      </c>
      <c r="I149" s="133"/>
      <c r="J149" s="134">
        <f t="shared" si="0"/>
        <v>0</v>
      </c>
      <c r="K149" s="130" t="s">
        <v>343</v>
      </c>
      <c r="L149" s="17"/>
      <c r="M149" s="135"/>
      <c r="N149" s="136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344</v>
      </c>
      <c r="AT149" s="139" t="s">
        <v>339</v>
      </c>
      <c r="AU149" s="139" t="s">
        <v>90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344</v>
      </c>
      <c r="BM149" s="139" t="s">
        <v>8166</v>
      </c>
    </row>
    <row r="150" spans="2:65" s="16" customFormat="1" ht="16.5" customHeight="1" x14ac:dyDescent="0.2">
      <c r="B150" s="17"/>
      <c r="C150" s="128">
        <v>7</v>
      </c>
      <c r="D150" s="128" t="s">
        <v>339</v>
      </c>
      <c r="E150" s="129" t="s">
        <v>8167</v>
      </c>
      <c r="F150" s="130" t="s">
        <v>8168</v>
      </c>
      <c r="G150" s="131" t="s">
        <v>425</v>
      </c>
      <c r="H150" s="132">
        <v>144.19999999999999</v>
      </c>
      <c r="I150" s="133"/>
      <c r="J150" s="134">
        <f t="shared" si="0"/>
        <v>0</v>
      </c>
      <c r="K150" s="130" t="s">
        <v>343</v>
      </c>
      <c r="L150" s="17"/>
      <c r="M150" s="135"/>
      <c r="N150" s="136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344</v>
      </c>
      <c r="AT150" s="139" t="s">
        <v>339</v>
      </c>
      <c r="AU150" s="139" t="s">
        <v>90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344</v>
      </c>
      <c r="BM150" s="139" t="s">
        <v>8169</v>
      </c>
    </row>
    <row r="151" spans="2:65" s="16" customFormat="1" ht="16.5" customHeight="1" x14ac:dyDescent="0.2">
      <c r="B151" s="17"/>
      <c r="C151" s="128">
        <v>8</v>
      </c>
      <c r="D151" s="128" t="s">
        <v>339</v>
      </c>
      <c r="E151" s="129" t="s">
        <v>8170</v>
      </c>
      <c r="F151" s="130" t="s">
        <v>8171</v>
      </c>
      <c r="G151" s="131" t="s">
        <v>449</v>
      </c>
      <c r="H151" s="132">
        <v>2</v>
      </c>
      <c r="I151" s="133"/>
      <c r="J151" s="134">
        <f t="shared" si="0"/>
        <v>0</v>
      </c>
      <c r="K151" s="130" t="s">
        <v>343</v>
      </c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344</v>
      </c>
      <c r="AT151" s="139" t="s">
        <v>339</v>
      </c>
      <c r="AU151" s="139" t="s">
        <v>90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344</v>
      </c>
      <c r="BM151" s="139" t="s">
        <v>8172</v>
      </c>
    </row>
    <row r="152" spans="2:65" s="16" customFormat="1" ht="16.5" customHeight="1" x14ac:dyDescent="0.2">
      <c r="B152" s="17"/>
      <c r="C152" s="128">
        <v>9</v>
      </c>
      <c r="D152" s="128" t="s">
        <v>339</v>
      </c>
      <c r="E152" s="129" t="s">
        <v>8173</v>
      </c>
      <c r="F152" s="130" t="s">
        <v>8174</v>
      </c>
      <c r="G152" s="131" t="s">
        <v>449</v>
      </c>
      <c r="H152" s="132">
        <v>4</v>
      </c>
      <c r="I152" s="133"/>
      <c r="J152" s="134">
        <f t="shared" si="0"/>
        <v>0</v>
      </c>
      <c r="K152" s="130" t="s">
        <v>343</v>
      </c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344</v>
      </c>
      <c r="AT152" s="139" t="s">
        <v>339</v>
      </c>
      <c r="AU152" s="139" t="s">
        <v>90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344</v>
      </c>
      <c r="BM152" s="139" t="s">
        <v>8175</v>
      </c>
    </row>
    <row r="153" spans="2:65" s="16" customFormat="1" ht="16.5" customHeight="1" x14ac:dyDescent="0.2">
      <c r="B153" s="17"/>
      <c r="C153" s="128">
        <v>10</v>
      </c>
      <c r="D153" s="128" t="s">
        <v>339</v>
      </c>
      <c r="E153" s="129" t="s">
        <v>8176</v>
      </c>
      <c r="F153" s="130" t="s">
        <v>8177</v>
      </c>
      <c r="G153" s="131" t="s">
        <v>425</v>
      </c>
      <c r="H153" s="132">
        <v>12</v>
      </c>
      <c r="I153" s="133"/>
      <c r="J153" s="134">
        <f t="shared" si="0"/>
        <v>0</v>
      </c>
      <c r="K153" s="130" t="s">
        <v>343</v>
      </c>
      <c r="L153" s="17"/>
      <c r="M153" s="135"/>
      <c r="N153" s="136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0.32</v>
      </c>
      <c r="T153" s="138">
        <f t="shared" si="3"/>
        <v>3.84</v>
      </c>
      <c r="AR153" s="139" t="s">
        <v>344</v>
      </c>
      <c r="AT153" s="139" t="s">
        <v>339</v>
      </c>
      <c r="AU153" s="139" t="s">
        <v>90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344</v>
      </c>
      <c r="BM153" s="139" t="s">
        <v>8178</v>
      </c>
    </row>
    <row r="154" spans="2:65" s="141" customFormat="1" x14ac:dyDescent="0.2">
      <c r="B154" s="142"/>
      <c r="D154" s="143" t="s">
        <v>346</v>
      </c>
      <c r="E154" s="144"/>
      <c r="F154" s="145" t="s">
        <v>8179</v>
      </c>
      <c r="H154" s="144"/>
      <c r="L154" s="142"/>
      <c r="M154" s="146"/>
      <c r="T154" s="147"/>
      <c r="AT154" s="144" t="s">
        <v>346</v>
      </c>
      <c r="AU154" s="144" t="s">
        <v>90</v>
      </c>
      <c r="AV154" s="141" t="s">
        <v>87</v>
      </c>
      <c r="AW154" s="141" t="s">
        <v>33</v>
      </c>
      <c r="AX154" s="141" t="s">
        <v>80</v>
      </c>
      <c r="AY154" s="144" t="s">
        <v>337</v>
      </c>
    </row>
    <row r="155" spans="2:65" s="148" customFormat="1" x14ac:dyDescent="0.2">
      <c r="B155" s="149"/>
      <c r="D155" s="143" t="s">
        <v>346</v>
      </c>
      <c r="E155" s="150"/>
      <c r="F155" s="151" t="s">
        <v>8180</v>
      </c>
      <c r="H155" s="152">
        <v>2.5</v>
      </c>
      <c r="L155" s="149"/>
      <c r="M155" s="153"/>
      <c r="T155" s="154"/>
      <c r="AT155" s="150" t="s">
        <v>346</v>
      </c>
      <c r="AU155" s="150" t="s">
        <v>90</v>
      </c>
      <c r="AV155" s="148" t="s">
        <v>90</v>
      </c>
      <c r="AW155" s="148" t="s">
        <v>33</v>
      </c>
      <c r="AX155" s="148" t="s">
        <v>80</v>
      </c>
      <c r="AY155" s="150" t="s">
        <v>337</v>
      </c>
    </row>
    <row r="156" spans="2:65" s="141" customFormat="1" x14ac:dyDescent="0.2">
      <c r="B156" s="142"/>
      <c r="D156" s="143" t="s">
        <v>346</v>
      </c>
      <c r="E156" s="144"/>
      <c r="F156" s="145" t="s">
        <v>8181</v>
      </c>
      <c r="H156" s="144"/>
      <c r="L156" s="142"/>
      <c r="M156" s="146"/>
      <c r="T156" s="147"/>
      <c r="AT156" s="144" t="s">
        <v>346</v>
      </c>
      <c r="AU156" s="144" t="s">
        <v>90</v>
      </c>
      <c r="AV156" s="141" t="s">
        <v>87</v>
      </c>
      <c r="AW156" s="141" t="s">
        <v>33</v>
      </c>
      <c r="AX156" s="141" t="s">
        <v>80</v>
      </c>
      <c r="AY156" s="144" t="s">
        <v>337</v>
      </c>
    </row>
    <row r="157" spans="2:65" s="148" customFormat="1" x14ac:dyDescent="0.2">
      <c r="B157" s="149"/>
      <c r="D157" s="143" t="s">
        <v>346</v>
      </c>
      <c r="E157" s="150"/>
      <c r="F157" s="151" t="s">
        <v>8182</v>
      </c>
      <c r="H157" s="152">
        <v>4.8</v>
      </c>
      <c r="L157" s="149"/>
      <c r="M157" s="153"/>
      <c r="T157" s="154"/>
      <c r="AT157" s="150" t="s">
        <v>346</v>
      </c>
      <c r="AU157" s="150" t="s">
        <v>90</v>
      </c>
      <c r="AV157" s="148" t="s">
        <v>90</v>
      </c>
      <c r="AW157" s="148" t="s">
        <v>33</v>
      </c>
      <c r="AX157" s="148" t="s">
        <v>80</v>
      </c>
      <c r="AY157" s="150" t="s">
        <v>337</v>
      </c>
    </row>
    <row r="158" spans="2:65" s="141" customFormat="1" x14ac:dyDescent="0.2">
      <c r="B158" s="142"/>
      <c r="D158" s="143" t="s">
        <v>346</v>
      </c>
      <c r="E158" s="144"/>
      <c r="F158" s="145" t="s">
        <v>8183</v>
      </c>
      <c r="H158" s="144"/>
      <c r="L158" s="142"/>
      <c r="M158" s="146"/>
      <c r="T158" s="147"/>
      <c r="AT158" s="144" t="s">
        <v>346</v>
      </c>
      <c r="AU158" s="144" t="s">
        <v>90</v>
      </c>
      <c r="AV158" s="141" t="s">
        <v>87</v>
      </c>
      <c r="AW158" s="141" t="s">
        <v>33</v>
      </c>
      <c r="AX158" s="141" t="s">
        <v>80</v>
      </c>
      <c r="AY158" s="144" t="s">
        <v>337</v>
      </c>
    </row>
    <row r="159" spans="2:65" s="148" customFormat="1" x14ac:dyDescent="0.2">
      <c r="B159" s="149"/>
      <c r="D159" s="143" t="s">
        <v>346</v>
      </c>
      <c r="E159" s="150"/>
      <c r="F159" s="151" t="s">
        <v>8184</v>
      </c>
      <c r="H159" s="152">
        <v>4.7</v>
      </c>
      <c r="L159" s="149"/>
      <c r="M159" s="153"/>
      <c r="T159" s="154"/>
      <c r="AT159" s="150" t="s">
        <v>346</v>
      </c>
      <c r="AU159" s="150" t="s">
        <v>90</v>
      </c>
      <c r="AV159" s="148" t="s">
        <v>90</v>
      </c>
      <c r="AW159" s="148" t="s">
        <v>33</v>
      </c>
      <c r="AX159" s="148" t="s">
        <v>80</v>
      </c>
      <c r="AY159" s="150" t="s">
        <v>337</v>
      </c>
    </row>
    <row r="160" spans="2:65" s="155" customFormat="1" x14ac:dyDescent="0.2">
      <c r="B160" s="156"/>
      <c r="D160" s="143" t="s">
        <v>346</v>
      </c>
      <c r="E160" s="157"/>
      <c r="F160" s="158" t="s">
        <v>351</v>
      </c>
      <c r="H160" s="159">
        <v>12</v>
      </c>
      <c r="L160" s="156"/>
      <c r="M160" s="160"/>
      <c r="T160" s="161"/>
      <c r="AT160" s="157" t="s">
        <v>346</v>
      </c>
      <c r="AU160" s="157" t="s">
        <v>90</v>
      </c>
      <c r="AV160" s="155" t="s">
        <v>344</v>
      </c>
      <c r="AW160" s="155" t="s">
        <v>33</v>
      </c>
      <c r="AX160" s="155" t="s">
        <v>87</v>
      </c>
      <c r="AY160" s="157" t="s">
        <v>337</v>
      </c>
    </row>
    <row r="161" spans="2:65" s="16" customFormat="1" ht="16.5" customHeight="1" x14ac:dyDescent="0.2">
      <c r="B161" s="17"/>
      <c r="C161" s="128">
        <v>11</v>
      </c>
      <c r="D161" s="128" t="s">
        <v>339</v>
      </c>
      <c r="E161" s="129" t="s">
        <v>8185</v>
      </c>
      <c r="F161" s="130" t="s">
        <v>8186</v>
      </c>
      <c r="G161" s="131" t="s">
        <v>425</v>
      </c>
      <c r="H161" s="132">
        <v>6</v>
      </c>
      <c r="I161" s="133"/>
      <c r="J161" s="134">
        <f>ROUND(I161*H161,2)</f>
        <v>0</v>
      </c>
      <c r="K161" s="130" t="s">
        <v>343</v>
      </c>
      <c r="L161" s="17"/>
      <c r="M161" s="135"/>
      <c r="N161" s="136" t="s">
        <v>45</v>
      </c>
      <c r="P161" s="137">
        <f>O161*H161</f>
        <v>0</v>
      </c>
      <c r="Q161" s="137">
        <v>0</v>
      </c>
      <c r="R161" s="137">
        <f>Q161*H161</f>
        <v>0</v>
      </c>
      <c r="S161" s="137">
        <v>0.29499999999999998</v>
      </c>
      <c r="T161" s="138">
        <f>S161*H161</f>
        <v>1.77</v>
      </c>
      <c r="AR161" s="139" t="s">
        <v>344</v>
      </c>
      <c r="AT161" s="139" t="s">
        <v>339</v>
      </c>
      <c r="AU161" s="139" t="s">
        <v>90</v>
      </c>
      <c r="AY161" s="2" t="s">
        <v>337</v>
      </c>
      <c r="BE161" s="140">
        <f>IF(N161="základní",J161,0)</f>
        <v>0</v>
      </c>
      <c r="BF161" s="140">
        <f>IF(N161="snížená",J161,0)</f>
        <v>0</v>
      </c>
      <c r="BG161" s="140">
        <f>IF(N161="zákl. přenesená",J161,0)</f>
        <v>0</v>
      </c>
      <c r="BH161" s="140">
        <f>IF(N161="sníž. přenesená",J161,0)</f>
        <v>0</v>
      </c>
      <c r="BI161" s="140">
        <f>IF(N161="nulová",J161,0)</f>
        <v>0</v>
      </c>
      <c r="BJ161" s="2" t="s">
        <v>87</v>
      </c>
      <c r="BK161" s="140">
        <f>ROUND(I161*H161,2)</f>
        <v>0</v>
      </c>
      <c r="BL161" s="2" t="s">
        <v>344</v>
      </c>
      <c r="BM161" s="139" t="s">
        <v>8187</v>
      </c>
    </row>
    <row r="162" spans="2:65" s="148" customFormat="1" x14ac:dyDescent="0.2">
      <c r="B162" s="149"/>
      <c r="D162" s="143" t="s">
        <v>346</v>
      </c>
      <c r="E162" s="150"/>
      <c r="F162" s="151" t="s">
        <v>8188</v>
      </c>
      <c r="H162" s="152">
        <v>6</v>
      </c>
      <c r="L162" s="149"/>
      <c r="M162" s="153"/>
      <c r="T162" s="154"/>
      <c r="AT162" s="150" t="s">
        <v>346</v>
      </c>
      <c r="AU162" s="150" t="s">
        <v>90</v>
      </c>
      <c r="AV162" s="148" t="s">
        <v>90</v>
      </c>
      <c r="AW162" s="148" t="s">
        <v>33</v>
      </c>
      <c r="AX162" s="148" t="s">
        <v>87</v>
      </c>
      <c r="AY162" s="150" t="s">
        <v>337</v>
      </c>
    </row>
    <row r="163" spans="2:65" s="16" customFormat="1" ht="21.75" customHeight="1" x14ac:dyDescent="0.2">
      <c r="B163" s="17"/>
      <c r="C163" s="128">
        <v>12</v>
      </c>
      <c r="D163" s="128" t="s">
        <v>339</v>
      </c>
      <c r="E163" s="129" t="s">
        <v>8189</v>
      </c>
      <c r="F163" s="130" t="s">
        <v>8190</v>
      </c>
      <c r="G163" s="131" t="s">
        <v>425</v>
      </c>
      <c r="H163" s="132">
        <v>324.5</v>
      </c>
      <c r="I163" s="133"/>
      <c r="J163" s="134">
        <f>ROUND(I163*H163,2)</f>
        <v>0</v>
      </c>
      <c r="K163" s="130" t="s">
        <v>343</v>
      </c>
      <c r="L163" s="17"/>
      <c r="M163" s="135"/>
      <c r="N163" s="136" t="s">
        <v>45</v>
      </c>
      <c r="P163" s="137">
        <f>O163*H163</f>
        <v>0</v>
      </c>
      <c r="Q163" s="137">
        <v>0</v>
      </c>
      <c r="R163" s="137">
        <f>Q163*H163</f>
        <v>0</v>
      </c>
      <c r="S163" s="137">
        <v>0.57999999999999996</v>
      </c>
      <c r="T163" s="138">
        <f>S163*H163</f>
        <v>188.20999999999998</v>
      </c>
      <c r="AR163" s="139" t="s">
        <v>344</v>
      </c>
      <c r="AT163" s="139" t="s">
        <v>339</v>
      </c>
      <c r="AU163" s="139" t="s">
        <v>90</v>
      </c>
      <c r="AY163" s="2" t="s">
        <v>337</v>
      </c>
      <c r="BE163" s="140">
        <f>IF(N163="základní",J163,0)</f>
        <v>0</v>
      </c>
      <c r="BF163" s="140">
        <f>IF(N163="snížená",J163,0)</f>
        <v>0</v>
      </c>
      <c r="BG163" s="140">
        <f>IF(N163="zákl. přenesená",J163,0)</f>
        <v>0</v>
      </c>
      <c r="BH163" s="140">
        <f>IF(N163="sníž. přenesená",J163,0)</f>
        <v>0</v>
      </c>
      <c r="BI163" s="140">
        <f>IF(N163="nulová",J163,0)</f>
        <v>0</v>
      </c>
      <c r="BJ163" s="2" t="s">
        <v>87</v>
      </c>
      <c r="BK163" s="140">
        <f>ROUND(I163*H163,2)</f>
        <v>0</v>
      </c>
      <c r="BL163" s="2" t="s">
        <v>344</v>
      </c>
      <c r="BM163" s="139" t="s">
        <v>8191</v>
      </c>
    </row>
    <row r="164" spans="2:65" s="141" customFormat="1" x14ac:dyDescent="0.2">
      <c r="B164" s="142"/>
      <c r="D164" s="143" t="s">
        <v>346</v>
      </c>
      <c r="E164" s="144"/>
      <c r="F164" s="145" t="s">
        <v>8192</v>
      </c>
      <c r="H164" s="144"/>
      <c r="L164" s="142"/>
      <c r="M164" s="146"/>
      <c r="T164" s="147"/>
      <c r="AT164" s="144" t="s">
        <v>346</v>
      </c>
      <c r="AU164" s="144" t="s">
        <v>90</v>
      </c>
      <c r="AV164" s="141" t="s">
        <v>87</v>
      </c>
      <c r="AW164" s="141" t="s">
        <v>33</v>
      </c>
      <c r="AX164" s="141" t="s">
        <v>80</v>
      </c>
      <c r="AY164" s="144" t="s">
        <v>337</v>
      </c>
    </row>
    <row r="165" spans="2:65" s="148" customFormat="1" x14ac:dyDescent="0.2">
      <c r="B165" s="149"/>
      <c r="D165" s="143" t="s">
        <v>346</v>
      </c>
      <c r="E165" s="150"/>
      <c r="F165" s="151" t="s">
        <v>8193</v>
      </c>
      <c r="H165" s="152">
        <v>92</v>
      </c>
      <c r="L165" s="149"/>
      <c r="M165" s="153"/>
      <c r="T165" s="154"/>
      <c r="AT165" s="150" t="s">
        <v>346</v>
      </c>
      <c r="AU165" s="150" t="s">
        <v>90</v>
      </c>
      <c r="AV165" s="148" t="s">
        <v>90</v>
      </c>
      <c r="AW165" s="148" t="s">
        <v>33</v>
      </c>
      <c r="AX165" s="148" t="s">
        <v>80</v>
      </c>
      <c r="AY165" s="150" t="s">
        <v>337</v>
      </c>
    </row>
    <row r="166" spans="2:65" s="141" customFormat="1" x14ac:dyDescent="0.2">
      <c r="B166" s="142"/>
      <c r="D166" s="143" t="s">
        <v>346</v>
      </c>
      <c r="E166" s="144"/>
      <c r="F166" s="145" t="s">
        <v>8194</v>
      </c>
      <c r="H166" s="144"/>
      <c r="L166" s="142"/>
      <c r="M166" s="146"/>
      <c r="T166" s="147"/>
      <c r="AT166" s="144" t="s">
        <v>346</v>
      </c>
      <c r="AU166" s="144" t="s">
        <v>90</v>
      </c>
      <c r="AV166" s="141" t="s">
        <v>87</v>
      </c>
      <c r="AW166" s="141" t="s">
        <v>33</v>
      </c>
      <c r="AX166" s="141" t="s">
        <v>80</v>
      </c>
      <c r="AY166" s="144" t="s">
        <v>337</v>
      </c>
    </row>
    <row r="167" spans="2:65" s="148" customFormat="1" x14ac:dyDescent="0.2">
      <c r="B167" s="149"/>
      <c r="D167" s="143" t="s">
        <v>346</v>
      </c>
      <c r="E167" s="150"/>
      <c r="F167" s="151" t="s">
        <v>8195</v>
      </c>
      <c r="H167" s="152">
        <v>232.5</v>
      </c>
      <c r="L167" s="149"/>
      <c r="M167" s="153"/>
      <c r="T167" s="154"/>
      <c r="AT167" s="150" t="s">
        <v>346</v>
      </c>
      <c r="AU167" s="150" t="s">
        <v>90</v>
      </c>
      <c r="AV167" s="148" t="s">
        <v>90</v>
      </c>
      <c r="AW167" s="148" t="s">
        <v>33</v>
      </c>
      <c r="AX167" s="148" t="s">
        <v>80</v>
      </c>
      <c r="AY167" s="150" t="s">
        <v>337</v>
      </c>
    </row>
    <row r="168" spans="2:65" s="155" customFormat="1" x14ac:dyDescent="0.2">
      <c r="B168" s="156"/>
      <c r="D168" s="143" t="s">
        <v>346</v>
      </c>
      <c r="E168" s="157"/>
      <c r="F168" s="158" t="s">
        <v>351</v>
      </c>
      <c r="H168" s="159">
        <v>324.5</v>
      </c>
      <c r="L168" s="156"/>
      <c r="M168" s="160"/>
      <c r="T168" s="161"/>
      <c r="AT168" s="157" t="s">
        <v>346</v>
      </c>
      <c r="AU168" s="157" t="s">
        <v>90</v>
      </c>
      <c r="AV168" s="155" t="s">
        <v>344</v>
      </c>
      <c r="AW168" s="155" t="s">
        <v>33</v>
      </c>
      <c r="AX168" s="155" t="s">
        <v>87</v>
      </c>
      <c r="AY168" s="157" t="s">
        <v>337</v>
      </c>
    </row>
    <row r="169" spans="2:65" s="16" customFormat="1" ht="16.5" customHeight="1" x14ac:dyDescent="0.2">
      <c r="B169" s="17"/>
      <c r="C169" s="128">
        <v>13</v>
      </c>
      <c r="D169" s="128" t="s">
        <v>339</v>
      </c>
      <c r="E169" s="129" t="s">
        <v>8196</v>
      </c>
      <c r="F169" s="130" t="s">
        <v>8197</v>
      </c>
      <c r="G169" s="131" t="s">
        <v>425</v>
      </c>
      <c r="H169" s="132">
        <v>286.5</v>
      </c>
      <c r="I169" s="133"/>
      <c r="J169" s="134">
        <f>ROUND(I169*H169,2)</f>
        <v>0</v>
      </c>
      <c r="K169" s="130" t="s">
        <v>343</v>
      </c>
      <c r="L169" s="17"/>
      <c r="M169" s="135"/>
      <c r="N169" s="136" t="s">
        <v>45</v>
      </c>
      <c r="P169" s="137">
        <f>O169*H169</f>
        <v>0</v>
      </c>
      <c r="Q169" s="137">
        <v>0</v>
      </c>
      <c r="R169" s="137">
        <f>Q169*H169</f>
        <v>0</v>
      </c>
      <c r="S169" s="137">
        <v>0.316</v>
      </c>
      <c r="T169" s="138">
        <f>S169*H169</f>
        <v>90.534000000000006</v>
      </c>
      <c r="AR169" s="139" t="s">
        <v>344</v>
      </c>
      <c r="AT169" s="139" t="s">
        <v>339</v>
      </c>
      <c r="AU169" s="139" t="s">
        <v>90</v>
      </c>
      <c r="AY169" s="2" t="s">
        <v>337</v>
      </c>
      <c r="BE169" s="140">
        <f>IF(N169="základní",J169,0)</f>
        <v>0</v>
      </c>
      <c r="BF169" s="140">
        <f>IF(N169="snížená",J169,0)</f>
        <v>0</v>
      </c>
      <c r="BG169" s="140">
        <f>IF(N169="zákl. přenesená",J169,0)</f>
        <v>0</v>
      </c>
      <c r="BH169" s="140">
        <f>IF(N169="sníž. přenesená",J169,0)</f>
        <v>0</v>
      </c>
      <c r="BI169" s="140">
        <f>IF(N169="nulová",J169,0)</f>
        <v>0</v>
      </c>
      <c r="BJ169" s="2" t="s">
        <v>87</v>
      </c>
      <c r="BK169" s="140">
        <f>ROUND(I169*H169,2)</f>
        <v>0</v>
      </c>
      <c r="BL169" s="2" t="s">
        <v>344</v>
      </c>
      <c r="BM169" s="139" t="s">
        <v>8198</v>
      </c>
    </row>
    <row r="170" spans="2:65" s="141" customFormat="1" x14ac:dyDescent="0.2">
      <c r="B170" s="142"/>
      <c r="D170" s="143" t="s">
        <v>346</v>
      </c>
      <c r="E170" s="144"/>
      <c r="F170" s="145" t="s">
        <v>8199</v>
      </c>
      <c r="H170" s="144"/>
      <c r="L170" s="142"/>
      <c r="M170" s="146"/>
      <c r="T170" s="147"/>
      <c r="AT170" s="144" t="s">
        <v>346</v>
      </c>
      <c r="AU170" s="144" t="s">
        <v>90</v>
      </c>
      <c r="AV170" s="141" t="s">
        <v>87</v>
      </c>
      <c r="AW170" s="141" t="s">
        <v>33</v>
      </c>
      <c r="AX170" s="141" t="s">
        <v>80</v>
      </c>
      <c r="AY170" s="144" t="s">
        <v>337</v>
      </c>
    </row>
    <row r="171" spans="2:65" s="148" customFormat="1" x14ac:dyDescent="0.2">
      <c r="B171" s="149"/>
      <c r="D171" s="143" t="s">
        <v>346</v>
      </c>
      <c r="E171" s="150"/>
      <c r="F171" s="151" t="s">
        <v>8200</v>
      </c>
      <c r="H171" s="152">
        <v>92</v>
      </c>
      <c r="L171" s="149"/>
      <c r="M171" s="153"/>
      <c r="T171" s="154"/>
      <c r="AT171" s="150" t="s">
        <v>346</v>
      </c>
      <c r="AU171" s="150" t="s">
        <v>90</v>
      </c>
      <c r="AV171" s="148" t="s">
        <v>90</v>
      </c>
      <c r="AW171" s="148" t="s">
        <v>33</v>
      </c>
      <c r="AX171" s="148" t="s">
        <v>80</v>
      </c>
      <c r="AY171" s="150" t="s">
        <v>337</v>
      </c>
    </row>
    <row r="172" spans="2:65" s="141" customFormat="1" x14ac:dyDescent="0.2">
      <c r="B172" s="142"/>
      <c r="D172" s="143" t="s">
        <v>346</v>
      </c>
      <c r="E172" s="144"/>
      <c r="F172" s="145" t="s">
        <v>8194</v>
      </c>
      <c r="H172" s="144"/>
      <c r="L172" s="142"/>
      <c r="M172" s="146"/>
      <c r="T172" s="147"/>
      <c r="AT172" s="144" t="s">
        <v>346</v>
      </c>
      <c r="AU172" s="144" t="s">
        <v>90</v>
      </c>
      <c r="AV172" s="141" t="s">
        <v>87</v>
      </c>
      <c r="AW172" s="141" t="s">
        <v>33</v>
      </c>
      <c r="AX172" s="141" t="s">
        <v>80</v>
      </c>
      <c r="AY172" s="144" t="s">
        <v>337</v>
      </c>
    </row>
    <row r="173" spans="2:65" s="148" customFormat="1" x14ac:dyDescent="0.2">
      <c r="B173" s="149"/>
      <c r="D173" s="143" t="s">
        <v>346</v>
      </c>
      <c r="E173" s="150"/>
      <c r="F173" s="151" t="s">
        <v>8201</v>
      </c>
      <c r="H173" s="152">
        <v>194.5</v>
      </c>
      <c r="L173" s="149"/>
      <c r="M173" s="153"/>
      <c r="T173" s="154"/>
      <c r="AT173" s="150" t="s">
        <v>346</v>
      </c>
      <c r="AU173" s="150" t="s">
        <v>90</v>
      </c>
      <c r="AV173" s="148" t="s">
        <v>90</v>
      </c>
      <c r="AW173" s="148" t="s">
        <v>33</v>
      </c>
      <c r="AX173" s="148" t="s">
        <v>80</v>
      </c>
      <c r="AY173" s="150" t="s">
        <v>337</v>
      </c>
    </row>
    <row r="174" spans="2:65" s="155" customFormat="1" x14ac:dyDescent="0.2">
      <c r="B174" s="156"/>
      <c r="D174" s="143" t="s">
        <v>346</v>
      </c>
      <c r="E174" s="157"/>
      <c r="F174" s="158" t="s">
        <v>351</v>
      </c>
      <c r="H174" s="159">
        <v>286.5</v>
      </c>
      <c r="L174" s="156"/>
      <c r="M174" s="160"/>
      <c r="T174" s="161"/>
      <c r="AT174" s="157" t="s">
        <v>346</v>
      </c>
      <c r="AU174" s="157" t="s">
        <v>90</v>
      </c>
      <c r="AV174" s="155" t="s">
        <v>344</v>
      </c>
      <c r="AW174" s="155" t="s">
        <v>33</v>
      </c>
      <c r="AX174" s="155" t="s">
        <v>87</v>
      </c>
      <c r="AY174" s="157" t="s">
        <v>337</v>
      </c>
    </row>
    <row r="175" spans="2:65" s="16" customFormat="1" ht="16.5" customHeight="1" x14ac:dyDescent="0.2">
      <c r="B175" s="17"/>
      <c r="C175" s="128">
        <v>14</v>
      </c>
      <c r="D175" s="128" t="s">
        <v>339</v>
      </c>
      <c r="E175" s="129" t="s">
        <v>8202</v>
      </c>
      <c r="F175" s="130" t="s">
        <v>8203</v>
      </c>
      <c r="G175" s="131" t="s">
        <v>724</v>
      </c>
      <c r="H175" s="132">
        <v>45.7</v>
      </c>
      <c r="I175" s="133"/>
      <c r="J175" s="134">
        <f>ROUND(I175*H175,2)</f>
        <v>0</v>
      </c>
      <c r="K175" s="130" t="s">
        <v>343</v>
      </c>
      <c r="L175" s="17"/>
      <c r="M175" s="135"/>
      <c r="N175" s="136" t="s">
        <v>45</v>
      </c>
      <c r="P175" s="137">
        <f>O175*H175</f>
        <v>0</v>
      </c>
      <c r="Q175" s="137">
        <v>0</v>
      </c>
      <c r="R175" s="137">
        <f>Q175*H175</f>
        <v>0</v>
      </c>
      <c r="S175" s="137">
        <v>0.20499999999999999</v>
      </c>
      <c r="T175" s="138">
        <f>S175*H175</f>
        <v>9.3684999999999992</v>
      </c>
      <c r="AR175" s="139" t="s">
        <v>344</v>
      </c>
      <c r="AT175" s="139" t="s">
        <v>339</v>
      </c>
      <c r="AU175" s="139" t="s">
        <v>90</v>
      </c>
      <c r="AY175" s="2" t="s">
        <v>337</v>
      </c>
      <c r="BE175" s="140">
        <f>IF(N175="základní",J175,0)</f>
        <v>0</v>
      </c>
      <c r="BF175" s="140">
        <f>IF(N175="snížená",J175,0)</f>
        <v>0</v>
      </c>
      <c r="BG175" s="140">
        <f>IF(N175="zákl. přenesená",J175,0)</f>
        <v>0</v>
      </c>
      <c r="BH175" s="140">
        <f>IF(N175="sníž. přenesená",J175,0)</f>
        <v>0</v>
      </c>
      <c r="BI175" s="140">
        <f>IF(N175="nulová",J175,0)</f>
        <v>0</v>
      </c>
      <c r="BJ175" s="2" t="s">
        <v>87</v>
      </c>
      <c r="BK175" s="140">
        <f>ROUND(I175*H175,2)</f>
        <v>0</v>
      </c>
      <c r="BL175" s="2" t="s">
        <v>344</v>
      </c>
      <c r="BM175" s="139" t="s">
        <v>8204</v>
      </c>
    </row>
    <row r="176" spans="2:65" s="148" customFormat="1" x14ac:dyDescent="0.2">
      <c r="B176" s="149"/>
      <c r="D176" s="143" t="s">
        <v>346</v>
      </c>
      <c r="E176" s="150"/>
      <c r="F176" s="151" t="s">
        <v>8205</v>
      </c>
      <c r="H176" s="152">
        <v>45.7</v>
      </c>
      <c r="L176" s="149"/>
      <c r="M176" s="153"/>
      <c r="T176" s="154"/>
      <c r="AT176" s="150" t="s">
        <v>346</v>
      </c>
      <c r="AU176" s="150" t="s">
        <v>90</v>
      </c>
      <c r="AV176" s="148" t="s">
        <v>90</v>
      </c>
      <c r="AW176" s="148" t="s">
        <v>33</v>
      </c>
      <c r="AX176" s="148" t="s">
        <v>87</v>
      </c>
      <c r="AY176" s="150" t="s">
        <v>337</v>
      </c>
    </row>
    <row r="177" spans="2:65" s="16" customFormat="1" ht="16.5" customHeight="1" x14ac:dyDescent="0.2">
      <c r="B177" s="17"/>
      <c r="C177" s="128">
        <v>15</v>
      </c>
      <c r="D177" s="128" t="s">
        <v>339</v>
      </c>
      <c r="E177" s="129" t="s">
        <v>8206</v>
      </c>
      <c r="F177" s="130" t="s">
        <v>8207</v>
      </c>
      <c r="G177" s="131" t="s">
        <v>425</v>
      </c>
      <c r="H177" s="132">
        <v>544.5</v>
      </c>
      <c r="I177" s="133"/>
      <c r="J177" s="134">
        <f>ROUND(I177*H177,2)</f>
        <v>0</v>
      </c>
      <c r="K177" s="130" t="s">
        <v>343</v>
      </c>
      <c r="L177" s="17"/>
      <c r="M177" s="135"/>
      <c r="N177" s="136" t="s">
        <v>45</v>
      </c>
      <c r="P177" s="137">
        <f>O177*H177</f>
        <v>0</v>
      </c>
      <c r="Q177" s="137">
        <v>0</v>
      </c>
      <c r="R177" s="137">
        <f>Q177*H177</f>
        <v>0</v>
      </c>
      <c r="S177" s="137">
        <v>0</v>
      </c>
      <c r="T177" s="138">
        <f>S177*H177</f>
        <v>0</v>
      </c>
      <c r="AR177" s="139" t="s">
        <v>344</v>
      </c>
      <c r="AT177" s="139" t="s">
        <v>339</v>
      </c>
      <c r="AU177" s="139" t="s">
        <v>90</v>
      </c>
      <c r="AY177" s="2" t="s">
        <v>337</v>
      </c>
      <c r="BE177" s="140">
        <f>IF(N177="základní",J177,0)</f>
        <v>0</v>
      </c>
      <c r="BF177" s="140">
        <f>IF(N177="snížená",J177,0)</f>
        <v>0</v>
      </c>
      <c r="BG177" s="140">
        <f>IF(N177="zákl. přenesená",J177,0)</f>
        <v>0</v>
      </c>
      <c r="BH177" s="140">
        <f>IF(N177="sníž. přenesená",J177,0)</f>
        <v>0</v>
      </c>
      <c r="BI177" s="140">
        <f>IF(N177="nulová",J177,0)</f>
        <v>0</v>
      </c>
      <c r="BJ177" s="2" t="s">
        <v>87</v>
      </c>
      <c r="BK177" s="140">
        <f>ROUND(I177*H177,2)</f>
        <v>0</v>
      </c>
      <c r="BL177" s="2" t="s">
        <v>344</v>
      </c>
      <c r="BM177" s="139" t="s">
        <v>8208</v>
      </c>
    </row>
    <row r="178" spans="2:65" s="141" customFormat="1" x14ac:dyDescent="0.2">
      <c r="B178" s="142"/>
      <c r="D178" s="143" t="s">
        <v>346</v>
      </c>
      <c r="E178" s="144"/>
      <c r="F178" s="145" t="s">
        <v>8153</v>
      </c>
      <c r="H178" s="144"/>
      <c r="L178" s="142"/>
      <c r="M178" s="146"/>
      <c r="T178" s="147"/>
      <c r="AT178" s="144" t="s">
        <v>346</v>
      </c>
      <c r="AU178" s="144" t="s">
        <v>90</v>
      </c>
      <c r="AV178" s="141" t="s">
        <v>87</v>
      </c>
      <c r="AW178" s="141" t="s">
        <v>33</v>
      </c>
      <c r="AX178" s="141" t="s">
        <v>80</v>
      </c>
      <c r="AY178" s="144" t="s">
        <v>337</v>
      </c>
    </row>
    <row r="179" spans="2:65" s="148" customFormat="1" x14ac:dyDescent="0.2">
      <c r="B179" s="149"/>
      <c r="D179" s="143" t="s">
        <v>346</v>
      </c>
      <c r="E179" s="150"/>
      <c r="F179" s="151" t="s">
        <v>8154</v>
      </c>
      <c r="H179" s="152">
        <v>544.5</v>
      </c>
      <c r="L179" s="149"/>
      <c r="M179" s="153"/>
      <c r="T179" s="154"/>
      <c r="AT179" s="150" t="s">
        <v>346</v>
      </c>
      <c r="AU179" s="150" t="s">
        <v>90</v>
      </c>
      <c r="AV179" s="148" t="s">
        <v>90</v>
      </c>
      <c r="AW179" s="148" t="s">
        <v>33</v>
      </c>
      <c r="AX179" s="148" t="s">
        <v>87</v>
      </c>
      <c r="AY179" s="150" t="s">
        <v>337</v>
      </c>
    </row>
    <row r="180" spans="2:65" s="16" customFormat="1" ht="24.2" customHeight="1" x14ac:dyDescent="0.2">
      <c r="B180" s="17"/>
      <c r="C180" s="128">
        <v>16</v>
      </c>
      <c r="D180" s="128" t="s">
        <v>339</v>
      </c>
      <c r="E180" s="129" t="s">
        <v>8209</v>
      </c>
      <c r="F180" s="130" t="s">
        <v>8210</v>
      </c>
      <c r="G180" s="131" t="s">
        <v>342</v>
      </c>
      <c r="H180" s="132">
        <v>249.99199999999999</v>
      </c>
      <c r="I180" s="133"/>
      <c r="J180" s="134">
        <f>ROUND(I180*H180,2)</f>
        <v>0</v>
      </c>
      <c r="K180" s="130" t="s">
        <v>343</v>
      </c>
      <c r="L180" s="17"/>
      <c r="M180" s="135"/>
      <c r="N180" s="136" t="s">
        <v>45</v>
      </c>
      <c r="P180" s="137">
        <f>O180*H180</f>
        <v>0</v>
      </c>
      <c r="Q180" s="137">
        <v>0</v>
      </c>
      <c r="R180" s="137">
        <f>Q180*H180</f>
        <v>0</v>
      </c>
      <c r="S180" s="137">
        <v>0</v>
      </c>
      <c r="T180" s="138">
        <f>S180*H180</f>
        <v>0</v>
      </c>
      <c r="AR180" s="139" t="s">
        <v>344</v>
      </c>
      <c r="AT180" s="139" t="s">
        <v>339</v>
      </c>
      <c r="AU180" s="139" t="s">
        <v>90</v>
      </c>
      <c r="AY180" s="2" t="s">
        <v>337</v>
      </c>
      <c r="BE180" s="140">
        <f>IF(N180="základní",J180,0)</f>
        <v>0</v>
      </c>
      <c r="BF180" s="140">
        <f>IF(N180="snížená",J180,0)</f>
        <v>0</v>
      </c>
      <c r="BG180" s="140">
        <f>IF(N180="zákl. přenesená",J180,0)</f>
        <v>0</v>
      </c>
      <c r="BH180" s="140">
        <f>IF(N180="sníž. přenesená",J180,0)</f>
        <v>0</v>
      </c>
      <c r="BI180" s="140">
        <f>IF(N180="nulová",J180,0)</f>
        <v>0</v>
      </c>
      <c r="BJ180" s="2" t="s">
        <v>87</v>
      </c>
      <c r="BK180" s="140">
        <f>ROUND(I180*H180,2)</f>
        <v>0</v>
      </c>
      <c r="BL180" s="2" t="s">
        <v>344</v>
      </c>
      <c r="BM180" s="139" t="s">
        <v>8211</v>
      </c>
    </row>
    <row r="181" spans="2:65" s="141" customFormat="1" x14ac:dyDescent="0.2">
      <c r="B181" s="142"/>
      <c r="D181" s="143" t="s">
        <v>346</v>
      </c>
      <c r="E181" s="144"/>
      <c r="F181" s="145" t="s">
        <v>8212</v>
      </c>
      <c r="H181" s="144"/>
      <c r="L181" s="142"/>
      <c r="M181" s="146"/>
      <c r="T181" s="147"/>
      <c r="AT181" s="144" t="s">
        <v>346</v>
      </c>
      <c r="AU181" s="144" t="s">
        <v>90</v>
      </c>
      <c r="AV181" s="141" t="s">
        <v>87</v>
      </c>
      <c r="AW181" s="141" t="s">
        <v>33</v>
      </c>
      <c r="AX181" s="141" t="s">
        <v>80</v>
      </c>
      <c r="AY181" s="144" t="s">
        <v>337</v>
      </c>
    </row>
    <row r="182" spans="2:65" s="148" customFormat="1" x14ac:dyDescent="0.2">
      <c r="B182" s="149"/>
      <c r="D182" s="143" t="s">
        <v>346</v>
      </c>
      <c r="E182" s="150"/>
      <c r="F182" s="151" t="s">
        <v>8213</v>
      </c>
      <c r="H182" s="152">
        <v>54.494999999999997</v>
      </c>
      <c r="L182" s="149"/>
      <c r="M182" s="153"/>
      <c r="T182" s="154"/>
      <c r="AT182" s="150" t="s">
        <v>346</v>
      </c>
      <c r="AU182" s="150" t="s">
        <v>90</v>
      </c>
      <c r="AV182" s="148" t="s">
        <v>90</v>
      </c>
      <c r="AW182" s="148" t="s">
        <v>33</v>
      </c>
      <c r="AX182" s="148" t="s">
        <v>80</v>
      </c>
      <c r="AY182" s="150" t="s">
        <v>337</v>
      </c>
    </row>
    <row r="183" spans="2:65" s="141" customFormat="1" x14ac:dyDescent="0.2">
      <c r="B183" s="142"/>
      <c r="D183" s="143" t="s">
        <v>346</v>
      </c>
      <c r="E183" s="144"/>
      <c r="F183" s="145" t="s">
        <v>8214</v>
      </c>
      <c r="H183" s="144"/>
      <c r="L183" s="142"/>
      <c r="M183" s="146"/>
      <c r="T183" s="147"/>
      <c r="AT183" s="144" t="s">
        <v>346</v>
      </c>
      <c r="AU183" s="144" t="s">
        <v>90</v>
      </c>
      <c r="AV183" s="141" t="s">
        <v>87</v>
      </c>
      <c r="AW183" s="141" t="s">
        <v>33</v>
      </c>
      <c r="AX183" s="141" t="s">
        <v>80</v>
      </c>
      <c r="AY183" s="144" t="s">
        <v>337</v>
      </c>
    </row>
    <row r="184" spans="2:65" s="148" customFormat="1" x14ac:dyDescent="0.2">
      <c r="B184" s="149"/>
      <c r="D184" s="143" t="s">
        <v>346</v>
      </c>
      <c r="E184" s="150"/>
      <c r="F184" s="151" t="s">
        <v>8215</v>
      </c>
      <c r="H184" s="152">
        <v>163.35</v>
      </c>
      <c r="L184" s="149"/>
      <c r="M184" s="153"/>
      <c r="T184" s="154"/>
      <c r="AT184" s="150" t="s">
        <v>346</v>
      </c>
      <c r="AU184" s="150" t="s">
        <v>90</v>
      </c>
      <c r="AV184" s="148" t="s">
        <v>90</v>
      </c>
      <c r="AW184" s="148" t="s">
        <v>33</v>
      </c>
      <c r="AX184" s="148" t="s">
        <v>80</v>
      </c>
      <c r="AY184" s="150" t="s">
        <v>337</v>
      </c>
    </row>
    <row r="185" spans="2:65" s="141" customFormat="1" x14ac:dyDescent="0.2">
      <c r="B185" s="142"/>
      <c r="D185" s="143" t="s">
        <v>346</v>
      </c>
      <c r="E185" s="144"/>
      <c r="F185" s="145" t="s">
        <v>8216</v>
      </c>
      <c r="H185" s="144"/>
      <c r="L185" s="142"/>
      <c r="M185" s="146"/>
      <c r="T185" s="147"/>
      <c r="AT185" s="144" t="s">
        <v>346</v>
      </c>
      <c r="AU185" s="144" t="s">
        <v>90</v>
      </c>
      <c r="AV185" s="141" t="s">
        <v>87</v>
      </c>
      <c r="AW185" s="141" t="s">
        <v>33</v>
      </c>
      <c r="AX185" s="141" t="s">
        <v>80</v>
      </c>
      <c r="AY185" s="144" t="s">
        <v>337</v>
      </c>
    </row>
    <row r="186" spans="2:65" s="148" customFormat="1" x14ac:dyDescent="0.2">
      <c r="B186" s="149"/>
      <c r="D186" s="143" t="s">
        <v>346</v>
      </c>
      <c r="E186" s="150"/>
      <c r="F186" s="151" t="s">
        <v>8217</v>
      </c>
      <c r="H186" s="152">
        <v>32.146999999999998</v>
      </c>
      <c r="L186" s="149"/>
      <c r="M186" s="153"/>
      <c r="T186" s="154"/>
      <c r="AT186" s="150" t="s">
        <v>346</v>
      </c>
      <c r="AU186" s="150" t="s">
        <v>90</v>
      </c>
      <c r="AV186" s="148" t="s">
        <v>90</v>
      </c>
      <c r="AW186" s="148" t="s">
        <v>33</v>
      </c>
      <c r="AX186" s="148" t="s">
        <v>80</v>
      </c>
      <c r="AY186" s="150" t="s">
        <v>337</v>
      </c>
    </row>
    <row r="187" spans="2:65" s="155" customFormat="1" x14ac:dyDescent="0.2">
      <c r="B187" s="156"/>
      <c r="D187" s="143" t="s">
        <v>346</v>
      </c>
      <c r="E187" s="157"/>
      <c r="F187" s="158" t="s">
        <v>351</v>
      </c>
      <c r="H187" s="159">
        <v>249.99199999999999</v>
      </c>
      <c r="L187" s="156"/>
      <c r="M187" s="160"/>
      <c r="T187" s="161"/>
      <c r="AT187" s="157" t="s">
        <v>346</v>
      </c>
      <c r="AU187" s="157" t="s">
        <v>90</v>
      </c>
      <c r="AV187" s="155" t="s">
        <v>344</v>
      </c>
      <c r="AW187" s="155" t="s">
        <v>33</v>
      </c>
      <c r="AX187" s="155" t="s">
        <v>87</v>
      </c>
      <c r="AY187" s="157" t="s">
        <v>337</v>
      </c>
    </row>
    <row r="188" spans="2:65" s="16" customFormat="1" ht="21.75" customHeight="1" x14ac:dyDescent="0.2">
      <c r="B188" s="17"/>
      <c r="C188" s="128">
        <v>17</v>
      </c>
      <c r="D188" s="128" t="s">
        <v>339</v>
      </c>
      <c r="E188" s="129" t="s">
        <v>8218</v>
      </c>
      <c r="F188" s="130" t="s">
        <v>8219</v>
      </c>
      <c r="G188" s="131" t="s">
        <v>342</v>
      </c>
      <c r="H188" s="132">
        <v>24.411999999999999</v>
      </c>
      <c r="I188" s="133"/>
      <c r="J188" s="134">
        <f>ROUND(I188*H188,2)</f>
        <v>0</v>
      </c>
      <c r="K188" s="130" t="s">
        <v>343</v>
      </c>
      <c r="L188" s="17"/>
      <c r="M188" s="135"/>
      <c r="N188" s="136" t="s">
        <v>45</v>
      </c>
      <c r="P188" s="137">
        <f>O188*H188</f>
        <v>0</v>
      </c>
      <c r="Q188" s="137">
        <v>0</v>
      </c>
      <c r="R188" s="137">
        <f>Q188*H188</f>
        <v>0</v>
      </c>
      <c r="S188" s="137">
        <v>0</v>
      </c>
      <c r="T188" s="138">
        <f>S188*H188</f>
        <v>0</v>
      </c>
      <c r="AR188" s="139" t="s">
        <v>344</v>
      </c>
      <c r="AT188" s="139" t="s">
        <v>339</v>
      </c>
      <c r="AU188" s="139" t="s">
        <v>90</v>
      </c>
      <c r="AY188" s="2" t="s">
        <v>337</v>
      </c>
      <c r="BE188" s="140">
        <f>IF(N188="základní",J188,0)</f>
        <v>0</v>
      </c>
      <c r="BF188" s="140">
        <f>IF(N188="snížená",J188,0)</f>
        <v>0</v>
      </c>
      <c r="BG188" s="140">
        <f>IF(N188="zákl. přenesená",J188,0)</f>
        <v>0</v>
      </c>
      <c r="BH188" s="140">
        <f>IF(N188="sníž. přenesená",J188,0)</f>
        <v>0</v>
      </c>
      <c r="BI188" s="140">
        <f>IF(N188="nulová",J188,0)</f>
        <v>0</v>
      </c>
      <c r="BJ188" s="2" t="s">
        <v>87</v>
      </c>
      <c r="BK188" s="140">
        <f>ROUND(I188*H188,2)</f>
        <v>0</v>
      </c>
      <c r="BL188" s="2" t="s">
        <v>344</v>
      </c>
      <c r="BM188" s="139" t="s">
        <v>8220</v>
      </c>
    </row>
    <row r="189" spans="2:65" s="141" customFormat="1" x14ac:dyDescent="0.2">
      <c r="B189" s="142"/>
      <c r="D189" s="143" t="s">
        <v>346</v>
      </c>
      <c r="E189" s="144"/>
      <c r="F189" s="145" t="s">
        <v>8221</v>
      </c>
      <c r="H189" s="144"/>
      <c r="L189" s="142"/>
      <c r="M189" s="146"/>
      <c r="T189" s="147"/>
      <c r="AT189" s="144" t="s">
        <v>346</v>
      </c>
      <c r="AU189" s="144" t="s">
        <v>90</v>
      </c>
      <c r="AV189" s="141" t="s">
        <v>87</v>
      </c>
      <c r="AW189" s="141" t="s">
        <v>33</v>
      </c>
      <c r="AX189" s="141" t="s">
        <v>80</v>
      </c>
      <c r="AY189" s="144" t="s">
        <v>337</v>
      </c>
    </row>
    <row r="190" spans="2:65" s="148" customFormat="1" x14ac:dyDescent="0.2">
      <c r="B190" s="149"/>
      <c r="D190" s="143" t="s">
        <v>346</v>
      </c>
      <c r="E190" s="150"/>
      <c r="F190" s="151" t="s">
        <v>8222</v>
      </c>
      <c r="H190" s="152">
        <v>5.9470000000000001</v>
      </c>
      <c r="L190" s="149"/>
      <c r="M190" s="153"/>
      <c r="T190" s="154"/>
      <c r="AT190" s="150" t="s">
        <v>346</v>
      </c>
      <c r="AU190" s="150" t="s">
        <v>90</v>
      </c>
      <c r="AV190" s="148" t="s">
        <v>90</v>
      </c>
      <c r="AW190" s="148" t="s">
        <v>33</v>
      </c>
      <c r="AX190" s="148" t="s">
        <v>80</v>
      </c>
      <c r="AY190" s="150" t="s">
        <v>337</v>
      </c>
    </row>
    <row r="191" spans="2:65" s="148" customFormat="1" x14ac:dyDescent="0.2">
      <c r="B191" s="149"/>
      <c r="D191" s="143" t="s">
        <v>346</v>
      </c>
      <c r="E191" s="150"/>
      <c r="F191" s="151" t="s">
        <v>8223</v>
      </c>
      <c r="H191" s="152">
        <v>1.47</v>
      </c>
      <c r="L191" s="149"/>
      <c r="M191" s="153"/>
      <c r="T191" s="154"/>
      <c r="AT191" s="150" t="s">
        <v>346</v>
      </c>
      <c r="AU191" s="150" t="s">
        <v>90</v>
      </c>
      <c r="AV191" s="148" t="s">
        <v>90</v>
      </c>
      <c r="AW191" s="148" t="s">
        <v>33</v>
      </c>
      <c r="AX191" s="148" t="s">
        <v>80</v>
      </c>
      <c r="AY191" s="150" t="s">
        <v>337</v>
      </c>
    </row>
    <row r="192" spans="2:65" s="148" customFormat="1" x14ac:dyDescent="0.2">
      <c r="B192" s="149"/>
      <c r="D192" s="143" t="s">
        <v>346</v>
      </c>
      <c r="E192" s="150"/>
      <c r="F192" s="151" t="s">
        <v>8224</v>
      </c>
      <c r="H192" s="152">
        <v>4.5750000000000002</v>
      </c>
      <c r="L192" s="149"/>
      <c r="M192" s="153"/>
      <c r="T192" s="154"/>
      <c r="AT192" s="150" t="s">
        <v>346</v>
      </c>
      <c r="AU192" s="150" t="s">
        <v>90</v>
      </c>
      <c r="AV192" s="148" t="s">
        <v>90</v>
      </c>
      <c r="AW192" s="148" t="s">
        <v>33</v>
      </c>
      <c r="AX192" s="148" t="s">
        <v>80</v>
      </c>
      <c r="AY192" s="150" t="s">
        <v>337</v>
      </c>
    </row>
    <row r="193" spans="2:65" s="141" customFormat="1" x14ac:dyDescent="0.2">
      <c r="B193" s="142"/>
      <c r="D193" s="143" t="s">
        <v>346</v>
      </c>
      <c r="E193" s="144"/>
      <c r="F193" s="145" t="s">
        <v>8225</v>
      </c>
      <c r="H193" s="144"/>
      <c r="L193" s="142"/>
      <c r="M193" s="146"/>
      <c r="T193" s="147"/>
      <c r="AT193" s="144" t="s">
        <v>346</v>
      </c>
      <c r="AU193" s="144" t="s">
        <v>90</v>
      </c>
      <c r="AV193" s="141" t="s">
        <v>87</v>
      </c>
      <c r="AW193" s="141" t="s">
        <v>33</v>
      </c>
      <c r="AX193" s="141" t="s">
        <v>80</v>
      </c>
      <c r="AY193" s="144" t="s">
        <v>337</v>
      </c>
    </row>
    <row r="194" spans="2:65" s="148" customFormat="1" x14ac:dyDescent="0.2">
      <c r="B194" s="149"/>
      <c r="D194" s="143" t="s">
        <v>346</v>
      </c>
      <c r="E194" s="150"/>
      <c r="F194" s="151" t="s">
        <v>8226</v>
      </c>
      <c r="H194" s="152">
        <v>9</v>
      </c>
      <c r="L194" s="149"/>
      <c r="M194" s="153"/>
      <c r="T194" s="154"/>
      <c r="AT194" s="150" t="s">
        <v>346</v>
      </c>
      <c r="AU194" s="150" t="s">
        <v>90</v>
      </c>
      <c r="AV194" s="148" t="s">
        <v>90</v>
      </c>
      <c r="AW194" s="148" t="s">
        <v>33</v>
      </c>
      <c r="AX194" s="148" t="s">
        <v>80</v>
      </c>
      <c r="AY194" s="150" t="s">
        <v>337</v>
      </c>
    </row>
    <row r="195" spans="2:65" s="141" customFormat="1" x14ac:dyDescent="0.2">
      <c r="B195" s="142"/>
      <c r="D195" s="143" t="s">
        <v>346</v>
      </c>
      <c r="E195" s="144"/>
      <c r="F195" s="145" t="s">
        <v>8227</v>
      </c>
      <c r="H195" s="144"/>
      <c r="L195" s="142"/>
      <c r="M195" s="146"/>
      <c r="T195" s="147"/>
      <c r="AT195" s="144" t="s">
        <v>346</v>
      </c>
      <c r="AU195" s="144" t="s">
        <v>90</v>
      </c>
      <c r="AV195" s="141" t="s">
        <v>87</v>
      </c>
      <c r="AW195" s="141" t="s">
        <v>33</v>
      </c>
      <c r="AX195" s="141" t="s">
        <v>80</v>
      </c>
      <c r="AY195" s="144" t="s">
        <v>337</v>
      </c>
    </row>
    <row r="196" spans="2:65" s="148" customFormat="1" x14ac:dyDescent="0.2">
      <c r="B196" s="149"/>
      <c r="D196" s="143" t="s">
        <v>346</v>
      </c>
      <c r="E196" s="150"/>
      <c r="F196" s="151" t="s">
        <v>8228</v>
      </c>
      <c r="H196" s="152">
        <v>3.42</v>
      </c>
      <c r="L196" s="149"/>
      <c r="M196" s="153"/>
      <c r="T196" s="154"/>
      <c r="AT196" s="150" t="s">
        <v>346</v>
      </c>
      <c r="AU196" s="150" t="s">
        <v>90</v>
      </c>
      <c r="AV196" s="148" t="s">
        <v>90</v>
      </c>
      <c r="AW196" s="148" t="s">
        <v>33</v>
      </c>
      <c r="AX196" s="148" t="s">
        <v>80</v>
      </c>
      <c r="AY196" s="150" t="s">
        <v>337</v>
      </c>
    </row>
    <row r="197" spans="2:65" s="155" customFormat="1" x14ac:dyDescent="0.2">
      <c r="B197" s="156"/>
      <c r="D197" s="143" t="s">
        <v>346</v>
      </c>
      <c r="E197" s="157"/>
      <c r="F197" s="158" t="s">
        <v>351</v>
      </c>
      <c r="H197" s="159">
        <v>24.411999999999999</v>
      </c>
      <c r="L197" s="156"/>
      <c r="M197" s="160"/>
      <c r="T197" s="161"/>
      <c r="AT197" s="157" t="s">
        <v>346</v>
      </c>
      <c r="AU197" s="157" t="s">
        <v>90</v>
      </c>
      <c r="AV197" s="155" t="s">
        <v>344</v>
      </c>
      <c r="AW197" s="155" t="s">
        <v>33</v>
      </c>
      <c r="AX197" s="155" t="s">
        <v>87</v>
      </c>
      <c r="AY197" s="157" t="s">
        <v>337</v>
      </c>
    </row>
    <row r="198" spans="2:65" s="16" customFormat="1" ht="21.75" customHeight="1" x14ac:dyDescent="0.2">
      <c r="B198" s="17"/>
      <c r="C198" s="128">
        <v>18</v>
      </c>
      <c r="D198" s="128" t="s">
        <v>339</v>
      </c>
      <c r="E198" s="129" t="s">
        <v>8229</v>
      </c>
      <c r="F198" s="130" t="s">
        <v>8230</v>
      </c>
      <c r="G198" s="131" t="s">
        <v>342</v>
      </c>
      <c r="H198" s="132">
        <v>45</v>
      </c>
      <c r="I198" s="133"/>
      <c r="J198" s="134">
        <f>ROUND(I198*H198,2)</f>
        <v>0</v>
      </c>
      <c r="K198" s="130" t="s">
        <v>8231</v>
      </c>
      <c r="L198" s="17"/>
      <c r="M198" s="135"/>
      <c r="N198" s="136" t="s">
        <v>45</v>
      </c>
      <c r="P198" s="137">
        <f>O198*H198</f>
        <v>0</v>
      </c>
      <c r="Q198" s="137">
        <v>0</v>
      </c>
      <c r="R198" s="137">
        <f>Q198*H198</f>
        <v>0</v>
      </c>
      <c r="S198" s="137">
        <v>0</v>
      </c>
      <c r="T198" s="138">
        <f>S198*H198</f>
        <v>0</v>
      </c>
      <c r="AR198" s="139" t="s">
        <v>344</v>
      </c>
      <c r="AT198" s="139" t="s">
        <v>339</v>
      </c>
      <c r="AU198" s="139" t="s">
        <v>90</v>
      </c>
      <c r="AY198" s="2" t="s">
        <v>337</v>
      </c>
      <c r="BE198" s="140">
        <f>IF(N198="základní",J198,0)</f>
        <v>0</v>
      </c>
      <c r="BF198" s="140">
        <f>IF(N198="snížená",J198,0)</f>
        <v>0</v>
      </c>
      <c r="BG198" s="140">
        <f>IF(N198="zákl. přenesená",J198,0)</f>
        <v>0</v>
      </c>
      <c r="BH198" s="140">
        <f>IF(N198="sníž. přenesená",J198,0)</f>
        <v>0</v>
      </c>
      <c r="BI198" s="140">
        <f>IF(N198="nulová",J198,0)</f>
        <v>0</v>
      </c>
      <c r="BJ198" s="2" t="s">
        <v>87</v>
      </c>
      <c r="BK198" s="140">
        <f>ROUND(I198*H198,2)</f>
        <v>0</v>
      </c>
      <c r="BL198" s="2" t="s">
        <v>344</v>
      </c>
      <c r="BM198" s="139" t="s">
        <v>8232</v>
      </c>
    </row>
    <row r="199" spans="2:65" s="141" customFormat="1" x14ac:dyDescent="0.2">
      <c r="B199" s="142"/>
      <c r="D199" s="143" t="s">
        <v>346</v>
      </c>
      <c r="E199" s="144"/>
      <c r="F199" s="145" t="s">
        <v>8233</v>
      </c>
      <c r="H199" s="144"/>
      <c r="L199" s="142"/>
      <c r="M199" s="146"/>
      <c r="T199" s="147"/>
      <c r="AT199" s="144" t="s">
        <v>346</v>
      </c>
      <c r="AU199" s="144" t="s">
        <v>90</v>
      </c>
      <c r="AV199" s="141" t="s">
        <v>87</v>
      </c>
      <c r="AW199" s="141" t="s">
        <v>33</v>
      </c>
      <c r="AX199" s="141" t="s">
        <v>80</v>
      </c>
      <c r="AY199" s="144" t="s">
        <v>337</v>
      </c>
    </row>
    <row r="200" spans="2:65" s="148" customFormat="1" x14ac:dyDescent="0.2">
      <c r="B200" s="149"/>
      <c r="D200" s="143" t="s">
        <v>346</v>
      </c>
      <c r="E200" s="150"/>
      <c r="F200" s="151" t="s">
        <v>8234</v>
      </c>
      <c r="H200" s="152">
        <v>22.5</v>
      </c>
      <c r="L200" s="149"/>
      <c r="M200" s="153"/>
      <c r="T200" s="154"/>
      <c r="AT200" s="150" t="s">
        <v>346</v>
      </c>
      <c r="AU200" s="150" t="s">
        <v>90</v>
      </c>
      <c r="AV200" s="148" t="s">
        <v>90</v>
      </c>
      <c r="AW200" s="148" t="s">
        <v>33</v>
      </c>
      <c r="AX200" s="148" t="s">
        <v>80</v>
      </c>
      <c r="AY200" s="150" t="s">
        <v>337</v>
      </c>
    </row>
    <row r="201" spans="2:65" s="141" customFormat="1" x14ac:dyDescent="0.2">
      <c r="B201" s="142"/>
      <c r="D201" s="143" t="s">
        <v>346</v>
      </c>
      <c r="E201" s="144"/>
      <c r="F201" s="145" t="s">
        <v>8235</v>
      </c>
      <c r="H201" s="144"/>
      <c r="L201" s="142"/>
      <c r="M201" s="146"/>
      <c r="T201" s="147"/>
      <c r="AT201" s="144" t="s">
        <v>346</v>
      </c>
      <c r="AU201" s="144" t="s">
        <v>90</v>
      </c>
      <c r="AV201" s="141" t="s">
        <v>87</v>
      </c>
      <c r="AW201" s="141" t="s">
        <v>33</v>
      </c>
      <c r="AX201" s="141" t="s">
        <v>80</v>
      </c>
      <c r="AY201" s="144" t="s">
        <v>337</v>
      </c>
    </row>
    <row r="202" spans="2:65" s="148" customFormat="1" x14ac:dyDescent="0.2">
      <c r="B202" s="149"/>
      <c r="D202" s="143" t="s">
        <v>346</v>
      </c>
      <c r="E202" s="150"/>
      <c r="F202" s="151" t="s">
        <v>8236</v>
      </c>
      <c r="H202" s="152">
        <v>22.5</v>
      </c>
      <c r="L202" s="149"/>
      <c r="M202" s="153"/>
      <c r="T202" s="154"/>
      <c r="AT202" s="150" t="s">
        <v>346</v>
      </c>
      <c r="AU202" s="150" t="s">
        <v>90</v>
      </c>
      <c r="AV202" s="148" t="s">
        <v>90</v>
      </c>
      <c r="AW202" s="148" t="s">
        <v>33</v>
      </c>
      <c r="AX202" s="148" t="s">
        <v>80</v>
      </c>
      <c r="AY202" s="150" t="s">
        <v>337</v>
      </c>
    </row>
    <row r="203" spans="2:65" s="155" customFormat="1" x14ac:dyDescent="0.2">
      <c r="B203" s="156"/>
      <c r="D203" s="143" t="s">
        <v>346</v>
      </c>
      <c r="E203" s="157"/>
      <c r="F203" s="158" t="s">
        <v>351</v>
      </c>
      <c r="H203" s="159">
        <v>45</v>
      </c>
      <c r="L203" s="156"/>
      <c r="M203" s="160"/>
      <c r="T203" s="161"/>
      <c r="AT203" s="157" t="s">
        <v>346</v>
      </c>
      <c r="AU203" s="157" t="s">
        <v>90</v>
      </c>
      <c r="AV203" s="155" t="s">
        <v>344</v>
      </c>
      <c r="AW203" s="155" t="s">
        <v>33</v>
      </c>
      <c r="AX203" s="155" t="s">
        <v>87</v>
      </c>
      <c r="AY203" s="157" t="s">
        <v>337</v>
      </c>
    </row>
    <row r="204" spans="2:65" s="16" customFormat="1" ht="21.75" customHeight="1" x14ac:dyDescent="0.2">
      <c r="B204" s="17"/>
      <c r="C204" s="128">
        <v>19</v>
      </c>
      <c r="D204" s="128" t="s">
        <v>339</v>
      </c>
      <c r="E204" s="129" t="s">
        <v>3168</v>
      </c>
      <c r="F204" s="130" t="s">
        <v>3169</v>
      </c>
      <c r="G204" s="131" t="s">
        <v>342</v>
      </c>
      <c r="H204" s="132">
        <v>528.79899999999998</v>
      </c>
      <c r="I204" s="133"/>
      <c r="J204" s="134">
        <f>ROUND(I204*H204,2)</f>
        <v>0</v>
      </c>
      <c r="K204" s="130" t="s">
        <v>343</v>
      </c>
      <c r="L204" s="17"/>
      <c r="M204" s="135"/>
      <c r="N204" s="136" t="s">
        <v>45</v>
      </c>
      <c r="P204" s="137">
        <f>O204*H204</f>
        <v>0</v>
      </c>
      <c r="Q204" s="137">
        <v>0</v>
      </c>
      <c r="R204" s="137">
        <f>Q204*H204</f>
        <v>0</v>
      </c>
      <c r="S204" s="137">
        <v>0</v>
      </c>
      <c r="T204" s="138">
        <f>S204*H204</f>
        <v>0</v>
      </c>
      <c r="AR204" s="139" t="s">
        <v>344</v>
      </c>
      <c r="AT204" s="139" t="s">
        <v>339</v>
      </c>
      <c r="AU204" s="139" t="s">
        <v>90</v>
      </c>
      <c r="AY204" s="2" t="s">
        <v>337</v>
      </c>
      <c r="BE204" s="140">
        <f>IF(N204="základní",J204,0)</f>
        <v>0</v>
      </c>
      <c r="BF204" s="140">
        <f>IF(N204="snížená",J204,0)</f>
        <v>0</v>
      </c>
      <c r="BG204" s="140">
        <f>IF(N204="zákl. přenesená",J204,0)</f>
        <v>0</v>
      </c>
      <c r="BH204" s="140">
        <f>IF(N204="sníž. přenesená",J204,0)</f>
        <v>0</v>
      </c>
      <c r="BI204" s="140">
        <f>IF(N204="nulová",J204,0)</f>
        <v>0</v>
      </c>
      <c r="BJ204" s="2" t="s">
        <v>87</v>
      </c>
      <c r="BK204" s="140">
        <f>ROUND(I204*H204,2)</f>
        <v>0</v>
      </c>
      <c r="BL204" s="2" t="s">
        <v>344</v>
      </c>
      <c r="BM204" s="139" t="s">
        <v>8237</v>
      </c>
    </row>
    <row r="205" spans="2:65" s="148" customFormat="1" x14ac:dyDescent="0.2">
      <c r="B205" s="149"/>
      <c r="D205" s="143" t="s">
        <v>346</v>
      </c>
      <c r="E205" s="150"/>
      <c r="F205" s="151" t="s">
        <v>8238</v>
      </c>
      <c r="H205" s="152">
        <v>54.44</v>
      </c>
      <c r="L205" s="149"/>
      <c r="M205" s="153"/>
      <c r="T205" s="154"/>
      <c r="AT205" s="150" t="s">
        <v>346</v>
      </c>
      <c r="AU205" s="150" t="s">
        <v>90</v>
      </c>
      <c r="AV205" s="148" t="s">
        <v>90</v>
      </c>
      <c r="AW205" s="148" t="s">
        <v>33</v>
      </c>
      <c r="AX205" s="148" t="s">
        <v>80</v>
      </c>
      <c r="AY205" s="150" t="s">
        <v>337</v>
      </c>
    </row>
    <row r="206" spans="2:65" s="148" customFormat="1" x14ac:dyDescent="0.2">
      <c r="B206" s="149"/>
      <c r="D206" s="143" t="s">
        <v>346</v>
      </c>
      <c r="E206" s="150"/>
      <c r="F206" s="151" t="s">
        <v>8239</v>
      </c>
      <c r="H206" s="152">
        <v>108.88</v>
      </c>
      <c r="L206" s="149"/>
      <c r="M206" s="153"/>
      <c r="T206" s="154"/>
      <c r="AT206" s="150" t="s">
        <v>346</v>
      </c>
      <c r="AU206" s="150" t="s">
        <v>90</v>
      </c>
      <c r="AV206" s="148" t="s">
        <v>90</v>
      </c>
      <c r="AW206" s="148" t="s">
        <v>33</v>
      </c>
      <c r="AX206" s="148" t="s">
        <v>80</v>
      </c>
      <c r="AY206" s="150" t="s">
        <v>337</v>
      </c>
    </row>
    <row r="207" spans="2:65" s="148" customFormat="1" x14ac:dyDescent="0.2">
      <c r="B207" s="149"/>
      <c r="D207" s="143" t="s">
        <v>346</v>
      </c>
      <c r="E207" s="150"/>
      <c r="F207" s="151" t="s">
        <v>8240</v>
      </c>
      <c r="H207" s="152">
        <v>-22.5</v>
      </c>
      <c r="L207" s="149"/>
      <c r="M207" s="153"/>
      <c r="T207" s="154"/>
      <c r="AT207" s="150" t="s">
        <v>346</v>
      </c>
      <c r="AU207" s="150" t="s">
        <v>90</v>
      </c>
      <c r="AV207" s="148" t="s">
        <v>90</v>
      </c>
      <c r="AW207" s="148" t="s">
        <v>33</v>
      </c>
      <c r="AX207" s="148" t="s">
        <v>80</v>
      </c>
      <c r="AY207" s="150" t="s">
        <v>337</v>
      </c>
    </row>
    <row r="208" spans="2:65" s="148" customFormat="1" x14ac:dyDescent="0.2">
      <c r="B208" s="149"/>
      <c r="D208" s="143" t="s">
        <v>346</v>
      </c>
      <c r="E208" s="150"/>
      <c r="F208" s="151" t="s">
        <v>8241</v>
      </c>
      <c r="H208" s="152">
        <v>113.575</v>
      </c>
      <c r="L208" s="149"/>
      <c r="M208" s="153"/>
      <c r="T208" s="154"/>
      <c r="AT208" s="150" t="s">
        <v>346</v>
      </c>
      <c r="AU208" s="150" t="s">
        <v>90</v>
      </c>
      <c r="AV208" s="148" t="s">
        <v>90</v>
      </c>
      <c r="AW208" s="148" t="s">
        <v>33</v>
      </c>
      <c r="AX208" s="148" t="s">
        <v>80</v>
      </c>
      <c r="AY208" s="150" t="s">
        <v>337</v>
      </c>
    </row>
    <row r="209" spans="2:65" s="148" customFormat="1" x14ac:dyDescent="0.2">
      <c r="B209" s="149"/>
      <c r="D209" s="143" t="s">
        <v>346</v>
      </c>
      <c r="E209" s="150"/>
      <c r="F209" s="151" t="s">
        <v>8242</v>
      </c>
      <c r="H209" s="152">
        <v>249.99199999999999</v>
      </c>
      <c r="L209" s="149"/>
      <c r="M209" s="153"/>
      <c r="T209" s="154"/>
      <c r="AT209" s="150" t="s">
        <v>346</v>
      </c>
      <c r="AU209" s="150" t="s">
        <v>90</v>
      </c>
      <c r="AV209" s="148" t="s">
        <v>90</v>
      </c>
      <c r="AW209" s="148" t="s">
        <v>33</v>
      </c>
      <c r="AX209" s="148" t="s">
        <v>80</v>
      </c>
      <c r="AY209" s="150" t="s">
        <v>337</v>
      </c>
    </row>
    <row r="210" spans="2:65" s="148" customFormat="1" x14ac:dyDescent="0.2">
      <c r="B210" s="149"/>
      <c r="D210" s="143" t="s">
        <v>346</v>
      </c>
      <c r="E210" s="150"/>
      <c r="F210" s="151" t="s">
        <v>8243</v>
      </c>
      <c r="H210" s="152">
        <v>24.411999999999999</v>
      </c>
      <c r="L210" s="149"/>
      <c r="M210" s="153"/>
      <c r="T210" s="154"/>
      <c r="AT210" s="150" t="s">
        <v>346</v>
      </c>
      <c r="AU210" s="150" t="s">
        <v>90</v>
      </c>
      <c r="AV210" s="148" t="s">
        <v>90</v>
      </c>
      <c r="AW210" s="148" t="s">
        <v>33</v>
      </c>
      <c r="AX210" s="148" t="s">
        <v>80</v>
      </c>
      <c r="AY210" s="150" t="s">
        <v>337</v>
      </c>
    </row>
    <row r="211" spans="2:65" s="155" customFormat="1" x14ac:dyDescent="0.2">
      <c r="B211" s="156"/>
      <c r="D211" s="143" t="s">
        <v>346</v>
      </c>
      <c r="E211" s="157"/>
      <c r="F211" s="158" t="s">
        <v>351</v>
      </c>
      <c r="H211" s="159">
        <v>528.79899999999998</v>
      </c>
      <c r="L211" s="156"/>
      <c r="M211" s="160"/>
      <c r="T211" s="161"/>
      <c r="AT211" s="157" t="s">
        <v>346</v>
      </c>
      <c r="AU211" s="157" t="s">
        <v>90</v>
      </c>
      <c r="AV211" s="155" t="s">
        <v>344</v>
      </c>
      <c r="AW211" s="155" t="s">
        <v>33</v>
      </c>
      <c r="AX211" s="155" t="s">
        <v>87</v>
      </c>
      <c r="AY211" s="157" t="s">
        <v>337</v>
      </c>
    </row>
    <row r="212" spans="2:65" s="16" customFormat="1" ht="24.2" customHeight="1" x14ac:dyDescent="0.2">
      <c r="B212" s="17"/>
      <c r="C212" s="128">
        <v>20</v>
      </c>
      <c r="D212" s="128" t="s">
        <v>339</v>
      </c>
      <c r="E212" s="129" t="s">
        <v>3175</v>
      </c>
      <c r="F212" s="130" t="s">
        <v>3176</v>
      </c>
      <c r="G212" s="131" t="s">
        <v>342</v>
      </c>
      <c r="H212" s="132">
        <v>5287.99</v>
      </c>
      <c r="I212" s="133"/>
      <c r="J212" s="134">
        <f>ROUND(I212*H212,2)</f>
        <v>0</v>
      </c>
      <c r="K212" s="130" t="s">
        <v>343</v>
      </c>
      <c r="L212" s="17"/>
      <c r="M212" s="135"/>
      <c r="N212" s="136" t="s">
        <v>45</v>
      </c>
      <c r="P212" s="137">
        <f>O212*H212</f>
        <v>0</v>
      </c>
      <c r="Q212" s="137">
        <v>0</v>
      </c>
      <c r="R212" s="137">
        <f>Q212*H212</f>
        <v>0</v>
      </c>
      <c r="S212" s="137">
        <v>0</v>
      </c>
      <c r="T212" s="138">
        <f>S212*H212</f>
        <v>0</v>
      </c>
      <c r="AR212" s="139" t="s">
        <v>344</v>
      </c>
      <c r="AT212" s="139" t="s">
        <v>339</v>
      </c>
      <c r="AU212" s="139" t="s">
        <v>90</v>
      </c>
      <c r="AY212" s="2" t="s">
        <v>337</v>
      </c>
      <c r="BE212" s="140">
        <f>IF(N212="základní",J212,0)</f>
        <v>0</v>
      </c>
      <c r="BF212" s="140">
        <f>IF(N212="snížená",J212,0)</f>
        <v>0</v>
      </c>
      <c r="BG212" s="140">
        <f>IF(N212="zákl. přenesená",J212,0)</f>
        <v>0</v>
      </c>
      <c r="BH212" s="140">
        <f>IF(N212="sníž. přenesená",J212,0)</f>
        <v>0</v>
      </c>
      <c r="BI212" s="140">
        <f>IF(N212="nulová",J212,0)</f>
        <v>0</v>
      </c>
      <c r="BJ212" s="2" t="s">
        <v>87</v>
      </c>
      <c r="BK212" s="140">
        <f>ROUND(I212*H212,2)</f>
        <v>0</v>
      </c>
      <c r="BL212" s="2" t="s">
        <v>344</v>
      </c>
      <c r="BM212" s="139" t="s">
        <v>8244</v>
      </c>
    </row>
    <row r="213" spans="2:65" s="148" customFormat="1" x14ac:dyDescent="0.2">
      <c r="B213" s="149"/>
      <c r="D213" s="143" t="s">
        <v>346</v>
      </c>
      <c r="E213" s="150"/>
      <c r="F213" s="151" t="s">
        <v>8245</v>
      </c>
      <c r="H213" s="152">
        <v>5287.99</v>
      </c>
      <c r="L213" s="149"/>
      <c r="M213" s="153"/>
      <c r="T213" s="154"/>
      <c r="AT213" s="150" t="s">
        <v>346</v>
      </c>
      <c r="AU213" s="150" t="s">
        <v>90</v>
      </c>
      <c r="AV213" s="148" t="s">
        <v>90</v>
      </c>
      <c r="AW213" s="148" t="s">
        <v>33</v>
      </c>
      <c r="AX213" s="148" t="s">
        <v>87</v>
      </c>
      <c r="AY213" s="150" t="s">
        <v>337</v>
      </c>
    </row>
    <row r="214" spans="2:65" s="16" customFormat="1" ht="16.5" customHeight="1" x14ac:dyDescent="0.2">
      <c r="B214" s="17"/>
      <c r="C214" s="128">
        <v>21</v>
      </c>
      <c r="D214" s="128" t="s">
        <v>339</v>
      </c>
      <c r="E214" s="129" t="s">
        <v>8246</v>
      </c>
      <c r="F214" s="130" t="s">
        <v>8247</v>
      </c>
      <c r="G214" s="131" t="s">
        <v>342</v>
      </c>
      <c r="H214" s="132">
        <v>22.5</v>
      </c>
      <c r="I214" s="133"/>
      <c r="J214" s="134">
        <f>ROUND(I214*H214,2)</f>
        <v>0</v>
      </c>
      <c r="K214" s="130" t="s">
        <v>8231</v>
      </c>
      <c r="L214" s="17"/>
      <c r="M214" s="135"/>
      <c r="N214" s="136" t="s">
        <v>45</v>
      </c>
      <c r="P214" s="137">
        <f>O214*H214</f>
        <v>0</v>
      </c>
      <c r="Q214" s="137">
        <v>0</v>
      </c>
      <c r="R214" s="137">
        <f>Q214*H214</f>
        <v>0</v>
      </c>
      <c r="S214" s="137">
        <v>0</v>
      </c>
      <c r="T214" s="138">
        <f>S214*H214</f>
        <v>0</v>
      </c>
      <c r="AR214" s="139" t="s">
        <v>344</v>
      </c>
      <c r="AT214" s="139" t="s">
        <v>339</v>
      </c>
      <c r="AU214" s="139" t="s">
        <v>90</v>
      </c>
      <c r="AY214" s="2" t="s">
        <v>337</v>
      </c>
      <c r="BE214" s="140">
        <f>IF(N214="základní",J214,0)</f>
        <v>0</v>
      </c>
      <c r="BF214" s="140">
        <f>IF(N214="snížená",J214,0)</f>
        <v>0</v>
      </c>
      <c r="BG214" s="140">
        <f>IF(N214="zákl. přenesená",J214,0)</f>
        <v>0</v>
      </c>
      <c r="BH214" s="140">
        <f>IF(N214="sníž. přenesená",J214,0)</f>
        <v>0</v>
      </c>
      <c r="BI214" s="140">
        <f>IF(N214="nulová",J214,0)</f>
        <v>0</v>
      </c>
      <c r="BJ214" s="2" t="s">
        <v>87</v>
      </c>
      <c r="BK214" s="140">
        <f>ROUND(I214*H214,2)</f>
        <v>0</v>
      </c>
      <c r="BL214" s="2" t="s">
        <v>344</v>
      </c>
      <c r="BM214" s="139" t="s">
        <v>8248</v>
      </c>
    </row>
    <row r="215" spans="2:65" s="141" customFormat="1" x14ac:dyDescent="0.2">
      <c r="B215" s="142"/>
      <c r="D215" s="143" t="s">
        <v>346</v>
      </c>
      <c r="E215" s="144"/>
      <c r="F215" s="145" t="s">
        <v>8249</v>
      </c>
      <c r="H215" s="144"/>
      <c r="L215" s="142"/>
      <c r="M215" s="146"/>
      <c r="T215" s="147"/>
      <c r="AT215" s="144" t="s">
        <v>346</v>
      </c>
      <c r="AU215" s="144" t="s">
        <v>90</v>
      </c>
      <c r="AV215" s="141" t="s">
        <v>87</v>
      </c>
      <c r="AW215" s="141" t="s">
        <v>33</v>
      </c>
      <c r="AX215" s="141" t="s">
        <v>80</v>
      </c>
      <c r="AY215" s="144" t="s">
        <v>337</v>
      </c>
    </row>
    <row r="216" spans="2:65" s="148" customFormat="1" x14ac:dyDescent="0.2">
      <c r="B216" s="149"/>
      <c r="D216" s="143" t="s">
        <v>346</v>
      </c>
      <c r="E216" s="150"/>
      <c r="F216" s="151" t="s">
        <v>8236</v>
      </c>
      <c r="H216" s="152">
        <v>22.5</v>
      </c>
      <c r="L216" s="149"/>
      <c r="M216" s="153"/>
      <c r="T216" s="154"/>
      <c r="AT216" s="150" t="s">
        <v>346</v>
      </c>
      <c r="AU216" s="150" t="s">
        <v>90</v>
      </c>
      <c r="AV216" s="148" t="s">
        <v>90</v>
      </c>
      <c r="AW216" s="148" t="s">
        <v>33</v>
      </c>
      <c r="AX216" s="148" t="s">
        <v>87</v>
      </c>
      <c r="AY216" s="150" t="s">
        <v>337</v>
      </c>
    </row>
    <row r="217" spans="2:65" s="16" customFormat="1" ht="16.5" customHeight="1" x14ac:dyDescent="0.2">
      <c r="B217" s="17"/>
      <c r="C217" s="128">
        <v>22</v>
      </c>
      <c r="D217" s="128" t="s">
        <v>339</v>
      </c>
      <c r="E217" s="129" t="s">
        <v>3190</v>
      </c>
      <c r="F217" s="130" t="s">
        <v>3191</v>
      </c>
      <c r="G217" s="131" t="s">
        <v>342</v>
      </c>
      <c r="H217" s="132">
        <v>528.79899999999998</v>
      </c>
      <c r="I217" s="133"/>
      <c r="J217" s="134">
        <f>ROUND(I217*H217,2)</f>
        <v>0</v>
      </c>
      <c r="K217" s="130" t="s">
        <v>343</v>
      </c>
      <c r="L217" s="17"/>
      <c r="M217" s="135"/>
      <c r="N217" s="136" t="s">
        <v>45</v>
      </c>
      <c r="P217" s="137">
        <f>O217*H217</f>
        <v>0</v>
      </c>
      <c r="Q217" s="137">
        <v>0</v>
      </c>
      <c r="R217" s="137">
        <f>Q217*H217</f>
        <v>0</v>
      </c>
      <c r="S217" s="137">
        <v>0</v>
      </c>
      <c r="T217" s="138">
        <f>S217*H217</f>
        <v>0</v>
      </c>
      <c r="AR217" s="139" t="s">
        <v>344</v>
      </c>
      <c r="AT217" s="139" t="s">
        <v>339</v>
      </c>
      <c r="AU217" s="139" t="s">
        <v>90</v>
      </c>
      <c r="AY217" s="2" t="s">
        <v>337</v>
      </c>
      <c r="BE217" s="140">
        <f>IF(N217="základní",J217,0)</f>
        <v>0</v>
      </c>
      <c r="BF217" s="140">
        <f>IF(N217="snížená",J217,0)</f>
        <v>0</v>
      </c>
      <c r="BG217" s="140">
        <f>IF(N217="zákl. přenesená",J217,0)</f>
        <v>0</v>
      </c>
      <c r="BH217" s="140">
        <f>IF(N217="sníž. přenesená",J217,0)</f>
        <v>0</v>
      </c>
      <c r="BI217" s="140">
        <f>IF(N217="nulová",J217,0)</f>
        <v>0</v>
      </c>
      <c r="BJ217" s="2" t="s">
        <v>87</v>
      </c>
      <c r="BK217" s="140">
        <f>ROUND(I217*H217,2)</f>
        <v>0</v>
      </c>
      <c r="BL217" s="2" t="s">
        <v>344</v>
      </c>
      <c r="BM217" s="139" t="s">
        <v>8250</v>
      </c>
    </row>
    <row r="218" spans="2:65" s="16" customFormat="1" ht="16.5" customHeight="1" x14ac:dyDescent="0.2">
      <c r="B218" s="17"/>
      <c r="C218" s="128">
        <v>23</v>
      </c>
      <c r="D218" s="128" t="s">
        <v>339</v>
      </c>
      <c r="E218" s="129" t="s">
        <v>3202</v>
      </c>
      <c r="F218" s="130" t="s">
        <v>3203</v>
      </c>
      <c r="G218" s="131" t="s">
        <v>342</v>
      </c>
      <c r="H218" s="132">
        <v>15.84</v>
      </c>
      <c r="I218" s="133"/>
      <c r="J218" s="134">
        <f>ROUND(I218*H218,2)</f>
        <v>0</v>
      </c>
      <c r="K218" s="130" t="s">
        <v>343</v>
      </c>
      <c r="L218" s="17"/>
      <c r="M218" s="135"/>
      <c r="N218" s="136" t="s">
        <v>45</v>
      </c>
      <c r="P218" s="137">
        <f>O218*H218</f>
        <v>0</v>
      </c>
      <c r="Q218" s="137">
        <v>0</v>
      </c>
      <c r="R218" s="137">
        <f>Q218*H218</f>
        <v>0</v>
      </c>
      <c r="S218" s="137">
        <v>0</v>
      </c>
      <c r="T218" s="138">
        <f>S218*H218</f>
        <v>0</v>
      </c>
      <c r="AR218" s="139" t="s">
        <v>344</v>
      </c>
      <c r="AT218" s="139" t="s">
        <v>339</v>
      </c>
      <c r="AU218" s="139" t="s">
        <v>90</v>
      </c>
      <c r="AY218" s="2" t="s">
        <v>337</v>
      </c>
      <c r="BE218" s="140">
        <f>IF(N218="základní",J218,0)</f>
        <v>0</v>
      </c>
      <c r="BF218" s="140">
        <f>IF(N218="snížená",J218,0)</f>
        <v>0</v>
      </c>
      <c r="BG218" s="140">
        <f>IF(N218="zákl. přenesená",J218,0)</f>
        <v>0</v>
      </c>
      <c r="BH218" s="140">
        <f>IF(N218="sníž. přenesená",J218,0)</f>
        <v>0</v>
      </c>
      <c r="BI218" s="140">
        <f>IF(N218="nulová",J218,0)</f>
        <v>0</v>
      </c>
      <c r="BJ218" s="2" t="s">
        <v>87</v>
      </c>
      <c r="BK218" s="140">
        <f>ROUND(I218*H218,2)</f>
        <v>0</v>
      </c>
      <c r="BL218" s="2" t="s">
        <v>344</v>
      </c>
      <c r="BM218" s="139" t="s">
        <v>8251</v>
      </c>
    </row>
    <row r="219" spans="2:65" s="141" customFormat="1" x14ac:dyDescent="0.2">
      <c r="B219" s="142"/>
      <c r="D219" s="143" t="s">
        <v>346</v>
      </c>
      <c r="E219" s="144"/>
      <c r="F219" s="145" t="s">
        <v>8252</v>
      </c>
      <c r="H219" s="144"/>
      <c r="L219" s="142"/>
      <c r="M219" s="146"/>
      <c r="T219" s="147"/>
      <c r="AT219" s="144" t="s">
        <v>346</v>
      </c>
      <c r="AU219" s="144" t="s">
        <v>90</v>
      </c>
      <c r="AV219" s="141" t="s">
        <v>87</v>
      </c>
      <c r="AW219" s="141" t="s">
        <v>33</v>
      </c>
      <c r="AX219" s="141" t="s">
        <v>80</v>
      </c>
      <c r="AY219" s="144" t="s">
        <v>337</v>
      </c>
    </row>
    <row r="220" spans="2:65" s="141" customFormat="1" x14ac:dyDescent="0.2">
      <c r="B220" s="142"/>
      <c r="D220" s="143" t="s">
        <v>346</v>
      </c>
      <c r="E220" s="144"/>
      <c r="F220" s="145" t="s">
        <v>8253</v>
      </c>
      <c r="H220" s="144"/>
      <c r="L220" s="142"/>
      <c r="M220" s="146"/>
      <c r="T220" s="147"/>
      <c r="AT220" s="144" t="s">
        <v>346</v>
      </c>
      <c r="AU220" s="144" t="s">
        <v>90</v>
      </c>
      <c r="AV220" s="141" t="s">
        <v>87</v>
      </c>
      <c r="AW220" s="141" t="s">
        <v>33</v>
      </c>
      <c r="AX220" s="141" t="s">
        <v>80</v>
      </c>
      <c r="AY220" s="144" t="s">
        <v>337</v>
      </c>
    </row>
    <row r="221" spans="2:65" s="148" customFormat="1" x14ac:dyDescent="0.2">
      <c r="B221" s="149"/>
      <c r="D221" s="143" t="s">
        <v>346</v>
      </c>
      <c r="E221" s="150"/>
      <c r="F221" s="151" t="s">
        <v>8254</v>
      </c>
      <c r="H221" s="152">
        <v>15.84</v>
      </c>
      <c r="L221" s="149"/>
      <c r="M221" s="153"/>
      <c r="T221" s="154"/>
      <c r="AT221" s="150" t="s">
        <v>346</v>
      </c>
      <c r="AU221" s="150" t="s">
        <v>90</v>
      </c>
      <c r="AV221" s="148" t="s">
        <v>90</v>
      </c>
      <c r="AW221" s="148" t="s">
        <v>33</v>
      </c>
      <c r="AX221" s="148" t="s">
        <v>80</v>
      </c>
      <c r="AY221" s="150" t="s">
        <v>337</v>
      </c>
    </row>
    <row r="222" spans="2:65" s="155" customFormat="1" x14ac:dyDescent="0.2">
      <c r="B222" s="156"/>
      <c r="D222" s="143" t="s">
        <v>346</v>
      </c>
      <c r="E222" s="157"/>
      <c r="F222" s="158" t="s">
        <v>351</v>
      </c>
      <c r="H222" s="159">
        <v>15.84</v>
      </c>
      <c r="L222" s="156"/>
      <c r="M222" s="160"/>
      <c r="T222" s="161"/>
      <c r="AT222" s="157" t="s">
        <v>346</v>
      </c>
      <c r="AU222" s="157" t="s">
        <v>90</v>
      </c>
      <c r="AV222" s="155" t="s">
        <v>344</v>
      </c>
      <c r="AW222" s="155" t="s">
        <v>33</v>
      </c>
      <c r="AX222" s="155" t="s">
        <v>87</v>
      </c>
      <c r="AY222" s="157" t="s">
        <v>337</v>
      </c>
    </row>
    <row r="223" spans="2:65" s="16" customFormat="1" ht="16.5" customHeight="1" x14ac:dyDescent="0.2">
      <c r="B223" s="17"/>
      <c r="C223" s="162">
        <v>24</v>
      </c>
      <c r="D223" s="162" t="s">
        <v>519</v>
      </c>
      <c r="E223" s="163" t="s">
        <v>8255</v>
      </c>
      <c r="F223" s="164" t="s">
        <v>8256</v>
      </c>
      <c r="G223" s="165" t="s">
        <v>990</v>
      </c>
      <c r="H223" s="166">
        <v>28.512</v>
      </c>
      <c r="I223" s="167"/>
      <c r="J223" s="168">
        <f>ROUND(I223*H223,2)</f>
        <v>0</v>
      </c>
      <c r="K223" s="164" t="s">
        <v>343</v>
      </c>
      <c r="L223" s="169"/>
      <c r="M223" s="170"/>
      <c r="N223" s="171" t="s">
        <v>45</v>
      </c>
      <c r="P223" s="137">
        <f>O223*H223</f>
        <v>0</v>
      </c>
      <c r="Q223" s="137">
        <v>1</v>
      </c>
      <c r="R223" s="137">
        <f>Q223*H223</f>
        <v>28.512</v>
      </c>
      <c r="S223" s="137">
        <v>0</v>
      </c>
      <c r="T223" s="138">
        <f>S223*H223</f>
        <v>0</v>
      </c>
      <c r="AR223" s="139" t="s">
        <v>446</v>
      </c>
      <c r="AT223" s="139" t="s">
        <v>519</v>
      </c>
      <c r="AU223" s="139" t="s">
        <v>90</v>
      </c>
      <c r="AY223" s="2" t="s">
        <v>337</v>
      </c>
      <c r="BE223" s="140">
        <f>IF(N223="základní",J223,0)</f>
        <v>0</v>
      </c>
      <c r="BF223" s="140">
        <f>IF(N223="snížená",J223,0)</f>
        <v>0</v>
      </c>
      <c r="BG223" s="140">
        <f>IF(N223="zákl. přenesená",J223,0)</f>
        <v>0</v>
      </c>
      <c r="BH223" s="140">
        <f>IF(N223="sníž. přenesená",J223,0)</f>
        <v>0</v>
      </c>
      <c r="BI223" s="140">
        <f>IF(N223="nulová",J223,0)</f>
        <v>0</v>
      </c>
      <c r="BJ223" s="2" t="s">
        <v>87</v>
      </c>
      <c r="BK223" s="140">
        <f>ROUND(I223*H223,2)</f>
        <v>0</v>
      </c>
      <c r="BL223" s="2" t="s">
        <v>344</v>
      </c>
      <c r="BM223" s="139" t="s">
        <v>8257</v>
      </c>
    </row>
    <row r="224" spans="2:65" s="141" customFormat="1" x14ac:dyDescent="0.2">
      <c r="B224" s="142"/>
      <c r="D224" s="143" t="s">
        <v>346</v>
      </c>
      <c r="E224" s="144"/>
      <c r="F224" s="145" t="s">
        <v>8258</v>
      </c>
      <c r="H224" s="144"/>
      <c r="L224" s="142"/>
      <c r="M224" s="146"/>
      <c r="T224" s="147"/>
      <c r="AT224" s="144" t="s">
        <v>346</v>
      </c>
      <c r="AU224" s="144" t="s">
        <v>90</v>
      </c>
      <c r="AV224" s="141" t="s">
        <v>87</v>
      </c>
      <c r="AW224" s="141" t="s">
        <v>33</v>
      </c>
      <c r="AX224" s="141" t="s">
        <v>80</v>
      </c>
      <c r="AY224" s="144" t="s">
        <v>337</v>
      </c>
    </row>
    <row r="225" spans="2:65" s="148" customFormat="1" x14ac:dyDescent="0.2">
      <c r="B225" s="149"/>
      <c r="D225" s="143" t="s">
        <v>346</v>
      </c>
      <c r="E225" s="150"/>
      <c r="F225" s="151" t="s">
        <v>8259</v>
      </c>
      <c r="H225" s="152">
        <v>28.512</v>
      </c>
      <c r="L225" s="149"/>
      <c r="M225" s="153"/>
      <c r="T225" s="154"/>
      <c r="AT225" s="150" t="s">
        <v>346</v>
      </c>
      <c r="AU225" s="150" t="s">
        <v>90</v>
      </c>
      <c r="AV225" s="148" t="s">
        <v>90</v>
      </c>
      <c r="AW225" s="148" t="s">
        <v>33</v>
      </c>
      <c r="AX225" s="148" t="s">
        <v>87</v>
      </c>
      <c r="AY225" s="150" t="s">
        <v>337</v>
      </c>
    </row>
    <row r="226" spans="2:65" s="16" customFormat="1" ht="16.5" customHeight="1" x14ac:dyDescent="0.2">
      <c r="B226" s="17"/>
      <c r="C226" s="128">
        <v>25</v>
      </c>
      <c r="D226" s="128" t="s">
        <v>339</v>
      </c>
      <c r="E226" s="129" t="s">
        <v>8260</v>
      </c>
      <c r="F226" s="130" t="s">
        <v>8261</v>
      </c>
      <c r="G226" s="131" t="s">
        <v>342</v>
      </c>
      <c r="H226" s="132">
        <v>8.5660000000000007</v>
      </c>
      <c r="I226" s="133"/>
      <c r="J226" s="134">
        <f>ROUND(I226*H226,2)</f>
        <v>0</v>
      </c>
      <c r="K226" s="130" t="s">
        <v>343</v>
      </c>
      <c r="L226" s="17"/>
      <c r="M226" s="135"/>
      <c r="N226" s="136" t="s">
        <v>45</v>
      </c>
      <c r="P226" s="137">
        <f>O226*H226</f>
        <v>0</v>
      </c>
      <c r="Q226" s="137">
        <v>0</v>
      </c>
      <c r="R226" s="137">
        <f>Q226*H226</f>
        <v>0</v>
      </c>
      <c r="S226" s="137">
        <v>0</v>
      </c>
      <c r="T226" s="138">
        <f>S226*H226</f>
        <v>0</v>
      </c>
      <c r="AR226" s="139" t="s">
        <v>344</v>
      </c>
      <c r="AT226" s="139" t="s">
        <v>339</v>
      </c>
      <c r="AU226" s="139" t="s">
        <v>90</v>
      </c>
      <c r="AY226" s="2" t="s">
        <v>337</v>
      </c>
      <c r="BE226" s="140">
        <f>IF(N226="základní",J226,0)</f>
        <v>0</v>
      </c>
      <c r="BF226" s="140">
        <f>IF(N226="snížená",J226,0)</f>
        <v>0</v>
      </c>
      <c r="BG226" s="140">
        <f>IF(N226="zákl. přenesená",J226,0)</f>
        <v>0</v>
      </c>
      <c r="BH226" s="140">
        <f>IF(N226="sníž. přenesená",J226,0)</f>
        <v>0</v>
      </c>
      <c r="BI226" s="140">
        <f>IF(N226="nulová",J226,0)</f>
        <v>0</v>
      </c>
      <c r="BJ226" s="2" t="s">
        <v>87</v>
      </c>
      <c r="BK226" s="140">
        <f>ROUND(I226*H226,2)</f>
        <v>0</v>
      </c>
      <c r="BL226" s="2" t="s">
        <v>344</v>
      </c>
      <c r="BM226" s="139" t="s">
        <v>8262</v>
      </c>
    </row>
    <row r="227" spans="2:65" s="141" customFormat="1" x14ac:dyDescent="0.2">
      <c r="B227" s="142"/>
      <c r="D227" s="143" t="s">
        <v>346</v>
      </c>
      <c r="E227" s="144"/>
      <c r="F227" s="145" t="s">
        <v>8221</v>
      </c>
      <c r="H227" s="144"/>
      <c r="L227" s="142"/>
      <c r="M227" s="146"/>
      <c r="T227" s="147"/>
      <c r="AT227" s="144" t="s">
        <v>346</v>
      </c>
      <c r="AU227" s="144" t="s">
        <v>90</v>
      </c>
      <c r="AV227" s="141" t="s">
        <v>87</v>
      </c>
      <c r="AW227" s="141" t="s">
        <v>33</v>
      </c>
      <c r="AX227" s="141" t="s">
        <v>80</v>
      </c>
      <c r="AY227" s="144" t="s">
        <v>337</v>
      </c>
    </row>
    <row r="228" spans="2:65" s="148" customFormat="1" x14ac:dyDescent="0.2">
      <c r="B228" s="149"/>
      <c r="D228" s="143" t="s">
        <v>346</v>
      </c>
      <c r="E228" s="150"/>
      <c r="F228" s="151" t="s">
        <v>8263</v>
      </c>
      <c r="H228" s="152">
        <v>4.2480000000000002</v>
      </c>
      <c r="L228" s="149"/>
      <c r="M228" s="153"/>
      <c r="T228" s="154"/>
      <c r="AT228" s="150" t="s">
        <v>346</v>
      </c>
      <c r="AU228" s="150" t="s">
        <v>90</v>
      </c>
      <c r="AV228" s="148" t="s">
        <v>90</v>
      </c>
      <c r="AW228" s="148" t="s">
        <v>33</v>
      </c>
      <c r="AX228" s="148" t="s">
        <v>80</v>
      </c>
      <c r="AY228" s="150" t="s">
        <v>337</v>
      </c>
    </row>
    <row r="229" spans="2:65" s="148" customFormat="1" x14ac:dyDescent="0.2">
      <c r="B229" s="149"/>
      <c r="D229" s="143" t="s">
        <v>346</v>
      </c>
      <c r="E229" s="150"/>
      <c r="F229" s="151" t="s">
        <v>8264</v>
      </c>
      <c r="H229" s="152">
        <v>1.05</v>
      </c>
      <c r="L229" s="149"/>
      <c r="M229" s="153"/>
      <c r="T229" s="154"/>
      <c r="AT229" s="150" t="s">
        <v>346</v>
      </c>
      <c r="AU229" s="150" t="s">
        <v>90</v>
      </c>
      <c r="AV229" s="148" t="s">
        <v>90</v>
      </c>
      <c r="AW229" s="148" t="s">
        <v>33</v>
      </c>
      <c r="AX229" s="148" t="s">
        <v>80</v>
      </c>
      <c r="AY229" s="150" t="s">
        <v>337</v>
      </c>
    </row>
    <row r="230" spans="2:65" s="148" customFormat="1" x14ac:dyDescent="0.2">
      <c r="B230" s="149"/>
      <c r="D230" s="143" t="s">
        <v>346</v>
      </c>
      <c r="E230" s="150"/>
      <c r="F230" s="151" t="s">
        <v>8265</v>
      </c>
      <c r="H230" s="152">
        <v>3.2679999999999998</v>
      </c>
      <c r="L230" s="149"/>
      <c r="M230" s="153"/>
      <c r="T230" s="154"/>
      <c r="AT230" s="150" t="s">
        <v>346</v>
      </c>
      <c r="AU230" s="150" t="s">
        <v>90</v>
      </c>
      <c r="AV230" s="148" t="s">
        <v>90</v>
      </c>
      <c r="AW230" s="148" t="s">
        <v>33</v>
      </c>
      <c r="AX230" s="148" t="s">
        <v>80</v>
      </c>
      <c r="AY230" s="150" t="s">
        <v>337</v>
      </c>
    </row>
    <row r="231" spans="2:65" s="155" customFormat="1" x14ac:dyDescent="0.2">
      <c r="B231" s="156"/>
      <c r="D231" s="143" t="s">
        <v>346</v>
      </c>
      <c r="E231" s="157"/>
      <c r="F231" s="158" t="s">
        <v>351</v>
      </c>
      <c r="H231" s="159">
        <v>8.5660000000000007</v>
      </c>
      <c r="L231" s="156"/>
      <c r="M231" s="160"/>
      <c r="T231" s="161"/>
      <c r="AT231" s="157" t="s">
        <v>346</v>
      </c>
      <c r="AU231" s="157" t="s">
        <v>90</v>
      </c>
      <c r="AV231" s="155" t="s">
        <v>344</v>
      </c>
      <c r="AW231" s="155" t="s">
        <v>33</v>
      </c>
      <c r="AX231" s="155" t="s">
        <v>87</v>
      </c>
      <c r="AY231" s="157" t="s">
        <v>337</v>
      </c>
    </row>
    <row r="232" spans="2:65" s="16" customFormat="1" ht="16.5" customHeight="1" x14ac:dyDescent="0.2">
      <c r="B232" s="17"/>
      <c r="C232" s="162">
        <v>26</v>
      </c>
      <c r="D232" s="162" t="s">
        <v>519</v>
      </c>
      <c r="E232" s="163" t="s">
        <v>8266</v>
      </c>
      <c r="F232" s="164" t="s">
        <v>8267</v>
      </c>
      <c r="G232" s="165" t="s">
        <v>990</v>
      </c>
      <c r="H232" s="166">
        <v>17.132000000000001</v>
      </c>
      <c r="I232" s="167"/>
      <c r="J232" s="168">
        <f>ROUND(I232*H232,2)</f>
        <v>0</v>
      </c>
      <c r="K232" s="164" t="s">
        <v>343</v>
      </c>
      <c r="L232" s="169"/>
      <c r="M232" s="170"/>
      <c r="N232" s="171" t="s">
        <v>45</v>
      </c>
      <c r="P232" s="137">
        <f>O232*H232</f>
        <v>0</v>
      </c>
      <c r="Q232" s="137">
        <v>1</v>
      </c>
      <c r="R232" s="137">
        <f>Q232*H232</f>
        <v>17.132000000000001</v>
      </c>
      <c r="S232" s="137">
        <v>0</v>
      </c>
      <c r="T232" s="138">
        <f>S232*H232</f>
        <v>0</v>
      </c>
      <c r="AR232" s="139" t="s">
        <v>446</v>
      </c>
      <c r="AT232" s="139" t="s">
        <v>519</v>
      </c>
      <c r="AU232" s="139" t="s">
        <v>90</v>
      </c>
      <c r="AY232" s="2" t="s">
        <v>337</v>
      </c>
      <c r="BE232" s="140">
        <f>IF(N232="základní",J232,0)</f>
        <v>0</v>
      </c>
      <c r="BF232" s="140">
        <f>IF(N232="snížená",J232,0)</f>
        <v>0</v>
      </c>
      <c r="BG232" s="140">
        <f>IF(N232="zákl. přenesená",J232,0)</f>
        <v>0</v>
      </c>
      <c r="BH232" s="140">
        <f>IF(N232="sníž. přenesená",J232,0)</f>
        <v>0</v>
      </c>
      <c r="BI232" s="140">
        <f>IF(N232="nulová",J232,0)</f>
        <v>0</v>
      </c>
      <c r="BJ232" s="2" t="s">
        <v>87</v>
      </c>
      <c r="BK232" s="140">
        <f>ROUND(I232*H232,2)</f>
        <v>0</v>
      </c>
      <c r="BL232" s="2" t="s">
        <v>344</v>
      </c>
      <c r="BM232" s="139" t="s">
        <v>8268</v>
      </c>
    </row>
    <row r="233" spans="2:65" s="148" customFormat="1" x14ac:dyDescent="0.2">
      <c r="B233" s="149"/>
      <c r="D233" s="143" t="s">
        <v>346</v>
      </c>
      <c r="F233" s="151" t="s">
        <v>8269</v>
      </c>
      <c r="H233" s="152">
        <v>17.132000000000001</v>
      </c>
      <c r="L233" s="149"/>
      <c r="M233" s="153"/>
      <c r="T233" s="154"/>
      <c r="AT233" s="150" t="s">
        <v>346</v>
      </c>
      <c r="AU233" s="150" t="s">
        <v>90</v>
      </c>
      <c r="AV233" s="148" t="s">
        <v>90</v>
      </c>
      <c r="AW233" s="148" t="s">
        <v>3</v>
      </c>
      <c r="AX233" s="148" t="s">
        <v>87</v>
      </c>
      <c r="AY233" s="150" t="s">
        <v>337</v>
      </c>
    </row>
    <row r="234" spans="2:65" s="16" customFormat="1" ht="21.75" customHeight="1" x14ac:dyDescent="0.2">
      <c r="B234" s="17"/>
      <c r="C234" s="128">
        <v>27</v>
      </c>
      <c r="D234" s="128" t="s">
        <v>339</v>
      </c>
      <c r="E234" s="129" t="s">
        <v>8270</v>
      </c>
      <c r="F234" s="130" t="s">
        <v>8271</v>
      </c>
      <c r="G234" s="131" t="s">
        <v>425</v>
      </c>
      <c r="H234" s="132">
        <v>106.875</v>
      </c>
      <c r="I234" s="133"/>
      <c r="J234" s="134">
        <f>ROUND(I234*H234,2)</f>
        <v>0</v>
      </c>
      <c r="K234" s="130" t="s">
        <v>343</v>
      </c>
      <c r="L234" s="17"/>
      <c r="M234" s="135"/>
      <c r="N234" s="136" t="s">
        <v>45</v>
      </c>
      <c r="P234" s="137">
        <f>O234*H234</f>
        <v>0</v>
      </c>
      <c r="Q234" s="137">
        <v>0</v>
      </c>
      <c r="R234" s="137">
        <f>Q234*H234</f>
        <v>0</v>
      </c>
      <c r="S234" s="137">
        <v>0</v>
      </c>
      <c r="T234" s="138">
        <f>S234*H234</f>
        <v>0</v>
      </c>
      <c r="AR234" s="139" t="s">
        <v>344</v>
      </c>
      <c r="AT234" s="139" t="s">
        <v>339</v>
      </c>
      <c r="AU234" s="139" t="s">
        <v>90</v>
      </c>
      <c r="AY234" s="2" t="s">
        <v>337</v>
      </c>
      <c r="BE234" s="140">
        <f>IF(N234="základní",J234,0)</f>
        <v>0</v>
      </c>
      <c r="BF234" s="140">
        <f>IF(N234="snížená",J234,0)</f>
        <v>0</v>
      </c>
      <c r="BG234" s="140">
        <f>IF(N234="zákl. přenesená",J234,0)</f>
        <v>0</v>
      </c>
      <c r="BH234" s="140">
        <f>IF(N234="sníž. přenesená",J234,0)</f>
        <v>0</v>
      </c>
      <c r="BI234" s="140">
        <f>IF(N234="nulová",J234,0)</f>
        <v>0</v>
      </c>
      <c r="BJ234" s="2" t="s">
        <v>87</v>
      </c>
      <c r="BK234" s="140">
        <f>ROUND(I234*H234,2)</f>
        <v>0</v>
      </c>
      <c r="BL234" s="2" t="s">
        <v>344</v>
      </c>
      <c r="BM234" s="139" t="s">
        <v>8272</v>
      </c>
    </row>
    <row r="235" spans="2:65" s="148" customFormat="1" x14ac:dyDescent="0.2">
      <c r="B235" s="149"/>
      <c r="D235" s="143" t="s">
        <v>346</v>
      </c>
      <c r="E235" s="150"/>
      <c r="F235" s="151" t="s">
        <v>8273</v>
      </c>
      <c r="H235" s="152">
        <v>106.875</v>
      </c>
      <c r="L235" s="149"/>
      <c r="M235" s="153"/>
      <c r="T235" s="154"/>
      <c r="AT235" s="150" t="s">
        <v>346</v>
      </c>
      <c r="AU235" s="150" t="s">
        <v>90</v>
      </c>
      <c r="AV235" s="148" t="s">
        <v>90</v>
      </c>
      <c r="AW235" s="148" t="s">
        <v>33</v>
      </c>
      <c r="AX235" s="148" t="s">
        <v>80</v>
      </c>
      <c r="AY235" s="150" t="s">
        <v>337</v>
      </c>
    </row>
    <row r="236" spans="2:65" s="141" customFormat="1" x14ac:dyDescent="0.2">
      <c r="B236" s="142"/>
      <c r="D236" s="143" t="s">
        <v>346</v>
      </c>
      <c r="E236" s="144"/>
      <c r="F236" s="145" t="s">
        <v>8274</v>
      </c>
      <c r="H236" s="144"/>
      <c r="L236" s="142"/>
      <c r="M236" s="146"/>
      <c r="T236" s="147"/>
      <c r="AT236" s="144" t="s">
        <v>346</v>
      </c>
      <c r="AU236" s="144" t="s">
        <v>90</v>
      </c>
      <c r="AV236" s="141" t="s">
        <v>87</v>
      </c>
      <c r="AW236" s="141" t="s">
        <v>33</v>
      </c>
      <c r="AX236" s="141" t="s">
        <v>80</v>
      </c>
      <c r="AY236" s="144" t="s">
        <v>337</v>
      </c>
    </row>
    <row r="237" spans="2:65" s="155" customFormat="1" x14ac:dyDescent="0.2">
      <c r="B237" s="156"/>
      <c r="D237" s="143" t="s">
        <v>346</v>
      </c>
      <c r="E237" s="157"/>
      <c r="F237" s="158" t="s">
        <v>351</v>
      </c>
      <c r="H237" s="159">
        <v>106.875</v>
      </c>
      <c r="L237" s="156"/>
      <c r="M237" s="160"/>
      <c r="T237" s="161"/>
      <c r="AT237" s="157" t="s">
        <v>346</v>
      </c>
      <c r="AU237" s="157" t="s">
        <v>90</v>
      </c>
      <c r="AV237" s="155" t="s">
        <v>344</v>
      </c>
      <c r="AW237" s="155" t="s">
        <v>33</v>
      </c>
      <c r="AX237" s="155" t="s">
        <v>87</v>
      </c>
      <c r="AY237" s="157" t="s">
        <v>337</v>
      </c>
    </row>
    <row r="238" spans="2:65" s="16" customFormat="1" ht="16.5" customHeight="1" x14ac:dyDescent="0.2">
      <c r="B238" s="17"/>
      <c r="C238" s="162">
        <v>28</v>
      </c>
      <c r="D238" s="162" t="s">
        <v>519</v>
      </c>
      <c r="E238" s="163" t="s">
        <v>3218</v>
      </c>
      <c r="F238" s="164" t="s">
        <v>3219</v>
      </c>
      <c r="G238" s="165" t="s">
        <v>535</v>
      </c>
      <c r="H238" s="166">
        <v>2.1379999999999999</v>
      </c>
      <c r="I238" s="167"/>
      <c r="J238" s="168">
        <f>ROUND(I238*H238,2)</f>
        <v>0</v>
      </c>
      <c r="K238" s="164" t="s">
        <v>343</v>
      </c>
      <c r="L238" s="169"/>
      <c r="M238" s="170"/>
      <c r="N238" s="171" t="s">
        <v>45</v>
      </c>
      <c r="P238" s="137">
        <f>O238*H238</f>
        <v>0</v>
      </c>
      <c r="Q238" s="137">
        <v>1E-3</v>
      </c>
      <c r="R238" s="137">
        <f>Q238*H238</f>
        <v>2.1380000000000001E-3</v>
      </c>
      <c r="S238" s="137">
        <v>0</v>
      </c>
      <c r="T238" s="138">
        <f>S238*H238</f>
        <v>0</v>
      </c>
      <c r="AR238" s="139" t="s">
        <v>446</v>
      </c>
      <c r="AT238" s="139" t="s">
        <v>519</v>
      </c>
      <c r="AU238" s="139" t="s">
        <v>90</v>
      </c>
      <c r="AY238" s="2" t="s">
        <v>337</v>
      </c>
      <c r="BE238" s="140">
        <f>IF(N238="základní",J238,0)</f>
        <v>0</v>
      </c>
      <c r="BF238" s="140">
        <f>IF(N238="snížená",J238,0)</f>
        <v>0</v>
      </c>
      <c r="BG238" s="140">
        <f>IF(N238="zákl. přenesená",J238,0)</f>
        <v>0</v>
      </c>
      <c r="BH238" s="140">
        <f>IF(N238="sníž. přenesená",J238,0)</f>
        <v>0</v>
      </c>
      <c r="BI238" s="140">
        <f>IF(N238="nulová",J238,0)</f>
        <v>0</v>
      </c>
      <c r="BJ238" s="2" t="s">
        <v>87</v>
      </c>
      <c r="BK238" s="140">
        <f>ROUND(I238*H238,2)</f>
        <v>0</v>
      </c>
      <c r="BL238" s="2" t="s">
        <v>344</v>
      </c>
      <c r="BM238" s="139" t="s">
        <v>8275</v>
      </c>
    </row>
    <row r="239" spans="2:65" s="148" customFormat="1" x14ac:dyDescent="0.2">
      <c r="B239" s="149"/>
      <c r="D239" s="143" t="s">
        <v>346</v>
      </c>
      <c r="F239" s="151" t="s">
        <v>8276</v>
      </c>
      <c r="H239" s="152">
        <v>2.1379999999999999</v>
      </c>
      <c r="L239" s="149"/>
      <c r="M239" s="153"/>
      <c r="T239" s="154"/>
      <c r="AT239" s="150" t="s">
        <v>346</v>
      </c>
      <c r="AU239" s="150" t="s">
        <v>90</v>
      </c>
      <c r="AV239" s="148" t="s">
        <v>90</v>
      </c>
      <c r="AW239" s="148" t="s">
        <v>3</v>
      </c>
      <c r="AX239" s="148" t="s">
        <v>87</v>
      </c>
      <c r="AY239" s="150" t="s">
        <v>337</v>
      </c>
    </row>
    <row r="240" spans="2:65" s="16" customFormat="1" ht="16.5" customHeight="1" x14ac:dyDescent="0.2">
      <c r="B240" s="17"/>
      <c r="C240" s="128">
        <v>29</v>
      </c>
      <c r="D240" s="128" t="s">
        <v>339</v>
      </c>
      <c r="E240" s="129" t="s">
        <v>8277</v>
      </c>
      <c r="F240" s="130" t="s">
        <v>8278</v>
      </c>
      <c r="G240" s="131" t="s">
        <v>425</v>
      </c>
      <c r="H240" s="132">
        <v>1132.6130000000001</v>
      </c>
      <c r="I240" s="133"/>
      <c r="J240" s="134">
        <f>ROUND(I240*H240,2)</f>
        <v>0</v>
      </c>
      <c r="K240" s="130" t="s">
        <v>343</v>
      </c>
      <c r="L240" s="17"/>
      <c r="M240" s="135"/>
      <c r="N240" s="136" t="s">
        <v>45</v>
      </c>
      <c r="P240" s="137">
        <f>O240*H240</f>
        <v>0</v>
      </c>
      <c r="Q240" s="137">
        <v>0</v>
      </c>
      <c r="R240" s="137">
        <f>Q240*H240</f>
        <v>0</v>
      </c>
      <c r="S240" s="137">
        <v>0</v>
      </c>
      <c r="T240" s="138">
        <f>S240*H240</f>
        <v>0</v>
      </c>
      <c r="AR240" s="139" t="s">
        <v>344</v>
      </c>
      <c r="AT240" s="139" t="s">
        <v>339</v>
      </c>
      <c r="AU240" s="139" t="s">
        <v>90</v>
      </c>
      <c r="AY240" s="2" t="s">
        <v>337</v>
      </c>
      <c r="BE240" s="140">
        <f>IF(N240="základní",J240,0)</f>
        <v>0</v>
      </c>
      <c r="BF240" s="140">
        <f>IF(N240="snížená",J240,0)</f>
        <v>0</v>
      </c>
      <c r="BG240" s="140">
        <f>IF(N240="zákl. přenesená",J240,0)</f>
        <v>0</v>
      </c>
      <c r="BH240" s="140">
        <f>IF(N240="sníž. přenesená",J240,0)</f>
        <v>0</v>
      </c>
      <c r="BI240" s="140">
        <f>IF(N240="nulová",J240,0)</f>
        <v>0</v>
      </c>
      <c r="BJ240" s="2" t="s">
        <v>87</v>
      </c>
      <c r="BK240" s="140">
        <f>ROUND(I240*H240,2)</f>
        <v>0</v>
      </c>
      <c r="BL240" s="2" t="s">
        <v>344</v>
      </c>
      <c r="BM240" s="139" t="s">
        <v>8279</v>
      </c>
    </row>
    <row r="241" spans="2:65" s="141" customFormat="1" x14ac:dyDescent="0.2">
      <c r="B241" s="142"/>
      <c r="D241" s="143" t="s">
        <v>346</v>
      </c>
      <c r="E241" s="144"/>
      <c r="F241" s="145" t="s">
        <v>8212</v>
      </c>
      <c r="H241" s="144"/>
      <c r="L241" s="142"/>
      <c r="M241" s="146"/>
      <c r="T241" s="147"/>
      <c r="AT241" s="144" t="s">
        <v>346</v>
      </c>
      <c r="AU241" s="144" t="s">
        <v>90</v>
      </c>
      <c r="AV241" s="141" t="s">
        <v>87</v>
      </c>
      <c r="AW241" s="141" t="s">
        <v>33</v>
      </c>
      <c r="AX241" s="141" t="s">
        <v>80</v>
      </c>
      <c r="AY241" s="144" t="s">
        <v>337</v>
      </c>
    </row>
    <row r="242" spans="2:65" s="148" customFormat="1" x14ac:dyDescent="0.2">
      <c r="B242" s="149"/>
      <c r="D242" s="143" t="s">
        <v>346</v>
      </c>
      <c r="E242" s="150"/>
      <c r="F242" s="151" t="s">
        <v>8280</v>
      </c>
      <c r="H242" s="152">
        <v>181.65</v>
      </c>
      <c r="L242" s="149"/>
      <c r="M242" s="153"/>
      <c r="T242" s="154"/>
      <c r="AT242" s="150" t="s">
        <v>346</v>
      </c>
      <c r="AU242" s="150" t="s">
        <v>90</v>
      </c>
      <c r="AV242" s="148" t="s">
        <v>90</v>
      </c>
      <c r="AW242" s="148" t="s">
        <v>33</v>
      </c>
      <c r="AX242" s="148" t="s">
        <v>80</v>
      </c>
      <c r="AY242" s="150" t="s">
        <v>337</v>
      </c>
    </row>
    <row r="243" spans="2:65" s="141" customFormat="1" x14ac:dyDescent="0.2">
      <c r="B243" s="142"/>
      <c r="D243" s="143" t="s">
        <v>346</v>
      </c>
      <c r="E243" s="144"/>
      <c r="F243" s="145" t="s">
        <v>8214</v>
      </c>
      <c r="H243" s="144"/>
      <c r="L243" s="142"/>
      <c r="M243" s="146"/>
      <c r="T243" s="147"/>
      <c r="AT243" s="144" t="s">
        <v>346</v>
      </c>
      <c r="AU243" s="144" t="s">
        <v>90</v>
      </c>
      <c r="AV243" s="141" t="s">
        <v>87</v>
      </c>
      <c r="AW243" s="141" t="s">
        <v>33</v>
      </c>
      <c r="AX243" s="141" t="s">
        <v>80</v>
      </c>
      <c r="AY243" s="144" t="s">
        <v>337</v>
      </c>
    </row>
    <row r="244" spans="2:65" s="148" customFormat="1" x14ac:dyDescent="0.2">
      <c r="B244" s="149"/>
      <c r="D244" s="143" t="s">
        <v>346</v>
      </c>
      <c r="E244" s="150"/>
      <c r="F244" s="151" t="s">
        <v>8154</v>
      </c>
      <c r="H244" s="152">
        <v>544.5</v>
      </c>
      <c r="L244" s="149"/>
      <c r="M244" s="153"/>
      <c r="T244" s="154"/>
      <c r="AT244" s="150" t="s">
        <v>346</v>
      </c>
      <c r="AU244" s="150" t="s">
        <v>90</v>
      </c>
      <c r="AV244" s="148" t="s">
        <v>90</v>
      </c>
      <c r="AW244" s="148" t="s">
        <v>33</v>
      </c>
      <c r="AX244" s="148" t="s">
        <v>80</v>
      </c>
      <c r="AY244" s="150" t="s">
        <v>337</v>
      </c>
    </row>
    <row r="245" spans="2:65" s="141" customFormat="1" x14ac:dyDescent="0.2">
      <c r="B245" s="142"/>
      <c r="D245" s="143" t="s">
        <v>346</v>
      </c>
      <c r="E245" s="144"/>
      <c r="F245" s="145" t="s">
        <v>8216</v>
      </c>
      <c r="H245" s="144"/>
      <c r="L245" s="142"/>
      <c r="M245" s="146"/>
      <c r="T245" s="147"/>
      <c r="AT245" s="144" t="s">
        <v>346</v>
      </c>
      <c r="AU245" s="144" t="s">
        <v>90</v>
      </c>
      <c r="AV245" s="141" t="s">
        <v>87</v>
      </c>
      <c r="AW245" s="141" t="s">
        <v>33</v>
      </c>
      <c r="AX245" s="141" t="s">
        <v>80</v>
      </c>
      <c r="AY245" s="144" t="s">
        <v>337</v>
      </c>
    </row>
    <row r="246" spans="2:65" s="148" customFormat="1" x14ac:dyDescent="0.2">
      <c r="B246" s="149"/>
      <c r="D246" s="143" t="s">
        <v>346</v>
      </c>
      <c r="E246" s="150"/>
      <c r="F246" s="151" t="s">
        <v>8281</v>
      </c>
      <c r="H246" s="152">
        <v>214.31299999999999</v>
      </c>
      <c r="L246" s="149"/>
      <c r="M246" s="153"/>
      <c r="T246" s="154"/>
      <c r="AT246" s="150" t="s">
        <v>346</v>
      </c>
      <c r="AU246" s="150" t="s">
        <v>90</v>
      </c>
      <c r="AV246" s="148" t="s">
        <v>90</v>
      </c>
      <c r="AW246" s="148" t="s">
        <v>33</v>
      </c>
      <c r="AX246" s="148" t="s">
        <v>80</v>
      </c>
      <c r="AY246" s="150" t="s">
        <v>337</v>
      </c>
    </row>
    <row r="247" spans="2:65" s="141" customFormat="1" x14ac:dyDescent="0.2">
      <c r="B247" s="142"/>
      <c r="D247" s="143" t="s">
        <v>346</v>
      </c>
      <c r="E247" s="144"/>
      <c r="F247" s="145" t="s">
        <v>8192</v>
      </c>
      <c r="H247" s="144"/>
      <c r="L247" s="142"/>
      <c r="M247" s="146"/>
      <c r="T247" s="147"/>
      <c r="AT247" s="144" t="s">
        <v>346</v>
      </c>
      <c r="AU247" s="144" t="s">
        <v>90</v>
      </c>
      <c r="AV247" s="141" t="s">
        <v>87</v>
      </c>
      <c r="AW247" s="141" t="s">
        <v>33</v>
      </c>
      <c r="AX247" s="141" t="s">
        <v>80</v>
      </c>
      <c r="AY247" s="144" t="s">
        <v>337</v>
      </c>
    </row>
    <row r="248" spans="2:65" s="148" customFormat="1" x14ac:dyDescent="0.2">
      <c r="B248" s="149"/>
      <c r="D248" s="143" t="s">
        <v>346</v>
      </c>
      <c r="E248" s="150"/>
      <c r="F248" s="151" t="s">
        <v>8282</v>
      </c>
      <c r="H248" s="152">
        <v>137.75</v>
      </c>
      <c r="L248" s="149"/>
      <c r="M248" s="153"/>
      <c r="T248" s="154"/>
      <c r="AT248" s="150" t="s">
        <v>346</v>
      </c>
      <c r="AU248" s="150" t="s">
        <v>90</v>
      </c>
      <c r="AV248" s="148" t="s">
        <v>90</v>
      </c>
      <c r="AW248" s="148" t="s">
        <v>33</v>
      </c>
      <c r="AX248" s="148" t="s">
        <v>80</v>
      </c>
      <c r="AY248" s="150" t="s">
        <v>337</v>
      </c>
    </row>
    <row r="249" spans="2:65" s="141" customFormat="1" x14ac:dyDescent="0.2">
      <c r="B249" s="142"/>
      <c r="D249" s="143" t="s">
        <v>346</v>
      </c>
      <c r="E249" s="144"/>
      <c r="F249" s="145" t="s">
        <v>8283</v>
      </c>
      <c r="H249" s="144"/>
      <c r="L249" s="142"/>
      <c r="M249" s="146"/>
      <c r="T249" s="147"/>
      <c r="AT249" s="144" t="s">
        <v>346</v>
      </c>
      <c r="AU249" s="144" t="s">
        <v>90</v>
      </c>
      <c r="AV249" s="141" t="s">
        <v>87</v>
      </c>
      <c r="AW249" s="141" t="s">
        <v>33</v>
      </c>
      <c r="AX249" s="141" t="s">
        <v>80</v>
      </c>
      <c r="AY249" s="144" t="s">
        <v>337</v>
      </c>
    </row>
    <row r="250" spans="2:65" s="148" customFormat="1" x14ac:dyDescent="0.2">
      <c r="B250" s="149"/>
      <c r="D250" s="143" t="s">
        <v>346</v>
      </c>
      <c r="E250" s="150"/>
      <c r="F250" s="151" t="s">
        <v>8284</v>
      </c>
      <c r="H250" s="152">
        <v>54.4</v>
      </c>
      <c r="L250" s="149"/>
      <c r="M250" s="153"/>
      <c r="T250" s="154"/>
      <c r="AT250" s="150" t="s">
        <v>346</v>
      </c>
      <c r="AU250" s="150" t="s">
        <v>90</v>
      </c>
      <c r="AV250" s="148" t="s">
        <v>90</v>
      </c>
      <c r="AW250" s="148" t="s">
        <v>33</v>
      </c>
      <c r="AX250" s="148" t="s">
        <v>80</v>
      </c>
      <c r="AY250" s="150" t="s">
        <v>337</v>
      </c>
    </row>
    <row r="251" spans="2:65" s="155" customFormat="1" x14ac:dyDescent="0.2">
      <c r="B251" s="156"/>
      <c r="D251" s="143" t="s">
        <v>346</v>
      </c>
      <c r="E251" s="157"/>
      <c r="F251" s="158" t="s">
        <v>351</v>
      </c>
      <c r="H251" s="159">
        <v>1132.6130000000001</v>
      </c>
      <c r="L251" s="156"/>
      <c r="M251" s="160"/>
      <c r="T251" s="161"/>
      <c r="AT251" s="157" t="s">
        <v>346</v>
      </c>
      <c r="AU251" s="157" t="s">
        <v>90</v>
      </c>
      <c r="AV251" s="155" t="s">
        <v>344</v>
      </c>
      <c r="AW251" s="155" t="s">
        <v>33</v>
      </c>
      <c r="AX251" s="155" t="s">
        <v>87</v>
      </c>
      <c r="AY251" s="157" t="s">
        <v>337</v>
      </c>
    </row>
    <row r="252" spans="2:65" s="16" customFormat="1" ht="16.5" customHeight="1" x14ac:dyDescent="0.2">
      <c r="B252" s="17"/>
      <c r="C252" s="128">
        <v>30</v>
      </c>
      <c r="D252" s="128" t="s">
        <v>339</v>
      </c>
      <c r="E252" s="129" t="s">
        <v>8285</v>
      </c>
      <c r="F252" s="130" t="s">
        <v>8286</v>
      </c>
      <c r="G252" s="131" t="s">
        <v>425</v>
      </c>
      <c r="H252" s="132">
        <v>112.5</v>
      </c>
      <c r="I252" s="133"/>
      <c r="J252" s="134">
        <f>ROUND(I252*H252,2)</f>
        <v>0</v>
      </c>
      <c r="K252" s="130" t="s">
        <v>8231</v>
      </c>
      <c r="L252" s="17"/>
      <c r="M252" s="135"/>
      <c r="N252" s="136" t="s">
        <v>45</v>
      </c>
      <c r="P252" s="137">
        <f>O252*H252</f>
        <v>0</v>
      </c>
      <c r="Q252" s="137">
        <v>0</v>
      </c>
      <c r="R252" s="137">
        <f>Q252*H252</f>
        <v>0</v>
      </c>
      <c r="S252" s="137">
        <v>0</v>
      </c>
      <c r="T252" s="138">
        <f>S252*H252</f>
        <v>0</v>
      </c>
      <c r="AR252" s="139" t="s">
        <v>344</v>
      </c>
      <c r="AT252" s="139" t="s">
        <v>339</v>
      </c>
      <c r="AU252" s="139" t="s">
        <v>90</v>
      </c>
      <c r="AY252" s="2" t="s">
        <v>337</v>
      </c>
      <c r="BE252" s="140">
        <f>IF(N252="základní",J252,0)</f>
        <v>0</v>
      </c>
      <c r="BF252" s="140">
        <f>IF(N252="snížená",J252,0)</f>
        <v>0</v>
      </c>
      <c r="BG252" s="140">
        <f>IF(N252="zákl. přenesená",J252,0)</f>
        <v>0</v>
      </c>
      <c r="BH252" s="140">
        <f>IF(N252="sníž. přenesená",J252,0)</f>
        <v>0</v>
      </c>
      <c r="BI252" s="140">
        <f>IF(N252="nulová",J252,0)</f>
        <v>0</v>
      </c>
      <c r="BJ252" s="2" t="s">
        <v>87</v>
      </c>
      <c r="BK252" s="140">
        <f>ROUND(I252*H252,2)</f>
        <v>0</v>
      </c>
      <c r="BL252" s="2" t="s">
        <v>344</v>
      </c>
      <c r="BM252" s="139" t="s">
        <v>8287</v>
      </c>
    </row>
    <row r="253" spans="2:65" s="141" customFormat="1" x14ac:dyDescent="0.2">
      <c r="B253" s="142"/>
      <c r="D253" s="143" t="s">
        <v>346</v>
      </c>
      <c r="E253" s="144"/>
      <c r="F253" s="145" t="s">
        <v>8288</v>
      </c>
      <c r="H253" s="144"/>
      <c r="L253" s="142"/>
      <c r="M253" s="146"/>
      <c r="T253" s="147"/>
      <c r="AT253" s="144" t="s">
        <v>346</v>
      </c>
      <c r="AU253" s="144" t="s">
        <v>90</v>
      </c>
      <c r="AV253" s="141" t="s">
        <v>87</v>
      </c>
      <c r="AW253" s="141" t="s">
        <v>33</v>
      </c>
      <c r="AX253" s="141" t="s">
        <v>80</v>
      </c>
      <c r="AY253" s="144" t="s">
        <v>337</v>
      </c>
    </row>
    <row r="254" spans="2:65" s="148" customFormat="1" x14ac:dyDescent="0.2">
      <c r="B254" s="149"/>
      <c r="D254" s="143" t="s">
        <v>346</v>
      </c>
      <c r="E254" s="150"/>
      <c r="F254" s="151" t="s">
        <v>8289</v>
      </c>
      <c r="H254" s="152">
        <v>112.5</v>
      </c>
      <c r="L254" s="149"/>
      <c r="M254" s="153"/>
      <c r="T254" s="154"/>
      <c r="AT254" s="150" t="s">
        <v>346</v>
      </c>
      <c r="AU254" s="150" t="s">
        <v>90</v>
      </c>
      <c r="AV254" s="148" t="s">
        <v>90</v>
      </c>
      <c r="AW254" s="148" t="s">
        <v>33</v>
      </c>
      <c r="AX254" s="148" t="s">
        <v>87</v>
      </c>
      <c r="AY254" s="150" t="s">
        <v>337</v>
      </c>
    </row>
    <row r="255" spans="2:65" s="116" customFormat="1" ht="22.9" customHeight="1" x14ac:dyDescent="0.2">
      <c r="B255" s="117"/>
      <c r="D255" s="118" t="s">
        <v>79</v>
      </c>
      <c r="E255" s="126" t="s">
        <v>90</v>
      </c>
      <c r="F255" s="126" t="s">
        <v>338</v>
      </c>
      <c r="J255" s="127">
        <f>BK255</f>
        <v>0</v>
      </c>
      <c r="L255" s="117"/>
      <c r="M255" s="121"/>
      <c r="P255" s="122">
        <f>SUM(P256:P287)</f>
        <v>0</v>
      </c>
      <c r="R255" s="122">
        <f>SUM(R256:R287)</f>
        <v>27.941765230000001</v>
      </c>
      <c r="T255" s="123">
        <f>SUM(T256:T287)</f>
        <v>0</v>
      </c>
      <c r="AR255" s="118" t="s">
        <v>87</v>
      </c>
      <c r="AT255" s="124" t="s">
        <v>79</v>
      </c>
      <c r="AU255" s="124" t="s">
        <v>87</v>
      </c>
      <c r="AY255" s="118" t="s">
        <v>337</v>
      </c>
      <c r="BK255" s="125">
        <f>SUM(BK256:BK287)</f>
        <v>0</v>
      </c>
    </row>
    <row r="256" spans="2:65" s="16" customFormat="1" ht="16.5" customHeight="1" x14ac:dyDescent="0.2">
      <c r="B256" s="17"/>
      <c r="C256" s="128">
        <v>31</v>
      </c>
      <c r="D256" s="128" t="s">
        <v>339</v>
      </c>
      <c r="E256" s="129" t="s">
        <v>3237</v>
      </c>
      <c r="F256" s="130" t="s">
        <v>3238</v>
      </c>
      <c r="G256" s="131" t="s">
        <v>425</v>
      </c>
      <c r="H256" s="132">
        <v>164.47200000000001</v>
      </c>
      <c r="I256" s="133"/>
      <c r="J256" s="134">
        <f>ROUND(I256*H256,2)</f>
        <v>0</v>
      </c>
      <c r="K256" s="130" t="s">
        <v>343</v>
      </c>
      <c r="L256" s="17"/>
      <c r="M256" s="135"/>
      <c r="N256" s="136" t="s">
        <v>45</v>
      </c>
      <c r="P256" s="137">
        <f>O256*H256</f>
        <v>0</v>
      </c>
      <c r="Q256" s="137">
        <v>3.1E-4</v>
      </c>
      <c r="R256" s="137">
        <f>Q256*H256</f>
        <v>5.0986320000000002E-2</v>
      </c>
      <c r="S256" s="137">
        <v>0</v>
      </c>
      <c r="T256" s="138">
        <f>S256*H256</f>
        <v>0</v>
      </c>
      <c r="AR256" s="139" t="s">
        <v>344</v>
      </c>
      <c r="AT256" s="139" t="s">
        <v>339</v>
      </c>
      <c r="AU256" s="139" t="s">
        <v>90</v>
      </c>
      <c r="AY256" s="2" t="s">
        <v>337</v>
      </c>
      <c r="BE256" s="140">
        <f>IF(N256="základní",J256,0)</f>
        <v>0</v>
      </c>
      <c r="BF256" s="140">
        <f>IF(N256="snížená",J256,0)</f>
        <v>0</v>
      </c>
      <c r="BG256" s="140">
        <f>IF(N256="zákl. přenesená",J256,0)</f>
        <v>0</v>
      </c>
      <c r="BH256" s="140">
        <f>IF(N256="sníž. přenesená",J256,0)</f>
        <v>0</v>
      </c>
      <c r="BI256" s="140">
        <f>IF(N256="nulová",J256,0)</f>
        <v>0</v>
      </c>
      <c r="BJ256" s="2" t="s">
        <v>87</v>
      </c>
      <c r="BK256" s="140">
        <f>ROUND(I256*H256,2)</f>
        <v>0</v>
      </c>
      <c r="BL256" s="2" t="s">
        <v>344</v>
      </c>
      <c r="BM256" s="139" t="s">
        <v>8290</v>
      </c>
    </row>
    <row r="257" spans="2:65" s="141" customFormat="1" x14ac:dyDescent="0.2">
      <c r="B257" s="142"/>
      <c r="D257" s="143" t="s">
        <v>346</v>
      </c>
      <c r="E257" s="144"/>
      <c r="F257" s="145" t="s">
        <v>8221</v>
      </c>
      <c r="H257" s="144"/>
      <c r="L257" s="142"/>
      <c r="M257" s="146"/>
      <c r="T257" s="147"/>
      <c r="AT257" s="144" t="s">
        <v>346</v>
      </c>
      <c r="AU257" s="144" t="s">
        <v>90</v>
      </c>
      <c r="AV257" s="141" t="s">
        <v>87</v>
      </c>
      <c r="AW257" s="141" t="s">
        <v>33</v>
      </c>
      <c r="AX257" s="141" t="s">
        <v>80</v>
      </c>
      <c r="AY257" s="144" t="s">
        <v>337</v>
      </c>
    </row>
    <row r="258" spans="2:65" s="148" customFormat="1" x14ac:dyDescent="0.2">
      <c r="B258" s="149"/>
      <c r="D258" s="143" t="s">
        <v>346</v>
      </c>
      <c r="E258" s="150"/>
      <c r="F258" s="151" t="s">
        <v>8291</v>
      </c>
      <c r="H258" s="152">
        <v>81.563999999999993</v>
      </c>
      <c r="L258" s="149"/>
      <c r="M258" s="153"/>
      <c r="T258" s="154"/>
      <c r="AT258" s="150" t="s">
        <v>346</v>
      </c>
      <c r="AU258" s="150" t="s">
        <v>90</v>
      </c>
      <c r="AV258" s="148" t="s">
        <v>90</v>
      </c>
      <c r="AW258" s="148" t="s">
        <v>33</v>
      </c>
      <c r="AX258" s="148" t="s">
        <v>80</v>
      </c>
      <c r="AY258" s="150" t="s">
        <v>337</v>
      </c>
    </row>
    <row r="259" spans="2:65" s="148" customFormat="1" x14ac:dyDescent="0.2">
      <c r="B259" s="149"/>
      <c r="D259" s="143" t="s">
        <v>346</v>
      </c>
      <c r="E259" s="150"/>
      <c r="F259" s="151" t="s">
        <v>8292</v>
      </c>
      <c r="H259" s="152">
        <v>20.16</v>
      </c>
      <c r="L259" s="149"/>
      <c r="M259" s="153"/>
      <c r="T259" s="154"/>
      <c r="AT259" s="150" t="s">
        <v>346</v>
      </c>
      <c r="AU259" s="150" t="s">
        <v>90</v>
      </c>
      <c r="AV259" s="148" t="s">
        <v>90</v>
      </c>
      <c r="AW259" s="148" t="s">
        <v>33</v>
      </c>
      <c r="AX259" s="148" t="s">
        <v>80</v>
      </c>
      <c r="AY259" s="150" t="s">
        <v>337</v>
      </c>
    </row>
    <row r="260" spans="2:65" s="148" customFormat="1" x14ac:dyDescent="0.2">
      <c r="B260" s="149"/>
      <c r="D260" s="143" t="s">
        <v>346</v>
      </c>
      <c r="E260" s="150"/>
      <c r="F260" s="151" t="s">
        <v>8293</v>
      </c>
      <c r="H260" s="152">
        <v>62.747999999999998</v>
      </c>
      <c r="L260" s="149"/>
      <c r="M260" s="153"/>
      <c r="T260" s="154"/>
      <c r="AT260" s="150" t="s">
        <v>346</v>
      </c>
      <c r="AU260" s="150" t="s">
        <v>90</v>
      </c>
      <c r="AV260" s="148" t="s">
        <v>90</v>
      </c>
      <c r="AW260" s="148" t="s">
        <v>33</v>
      </c>
      <c r="AX260" s="148" t="s">
        <v>80</v>
      </c>
      <c r="AY260" s="150" t="s">
        <v>337</v>
      </c>
    </row>
    <row r="261" spans="2:65" s="155" customFormat="1" x14ac:dyDescent="0.2">
      <c r="B261" s="156"/>
      <c r="D261" s="143" t="s">
        <v>346</v>
      </c>
      <c r="E261" s="157"/>
      <c r="F261" s="158" t="s">
        <v>351</v>
      </c>
      <c r="H261" s="159">
        <v>164.47200000000001</v>
      </c>
      <c r="L261" s="156"/>
      <c r="M261" s="160"/>
      <c r="T261" s="161"/>
      <c r="AT261" s="157" t="s">
        <v>346</v>
      </c>
      <c r="AU261" s="157" t="s">
        <v>90</v>
      </c>
      <c r="AV261" s="155" t="s">
        <v>344</v>
      </c>
      <c r="AW261" s="155" t="s">
        <v>33</v>
      </c>
      <c r="AX261" s="155" t="s">
        <v>87</v>
      </c>
      <c r="AY261" s="157" t="s">
        <v>337</v>
      </c>
    </row>
    <row r="262" spans="2:65" s="16" customFormat="1" ht="16.5" customHeight="1" x14ac:dyDescent="0.2">
      <c r="B262" s="17"/>
      <c r="C262" s="128">
        <v>32</v>
      </c>
      <c r="D262" s="128" t="s">
        <v>339</v>
      </c>
      <c r="E262" s="129" t="s">
        <v>8294</v>
      </c>
      <c r="F262" s="130" t="s">
        <v>8295</v>
      </c>
      <c r="G262" s="131" t="s">
        <v>425</v>
      </c>
      <c r="H262" s="132">
        <v>4.8</v>
      </c>
      <c r="I262" s="133"/>
      <c r="J262" s="134">
        <f>ROUND(I262*H262,2)</f>
        <v>0</v>
      </c>
      <c r="K262" s="130" t="s">
        <v>343</v>
      </c>
      <c r="L262" s="17"/>
      <c r="M262" s="135"/>
      <c r="N262" s="136" t="s">
        <v>45</v>
      </c>
      <c r="P262" s="137">
        <f>O262*H262</f>
        <v>0</v>
      </c>
      <c r="Q262" s="137">
        <v>1E-4</v>
      </c>
      <c r="R262" s="137">
        <f>Q262*H262</f>
        <v>4.8000000000000001E-4</v>
      </c>
      <c r="S262" s="137">
        <v>0</v>
      </c>
      <c r="T262" s="138">
        <f>S262*H262</f>
        <v>0</v>
      </c>
      <c r="AR262" s="139" t="s">
        <v>344</v>
      </c>
      <c r="AT262" s="139" t="s">
        <v>339</v>
      </c>
      <c r="AU262" s="139" t="s">
        <v>90</v>
      </c>
      <c r="AY262" s="2" t="s">
        <v>337</v>
      </c>
      <c r="BE262" s="140">
        <f>IF(N262="základní",J262,0)</f>
        <v>0</v>
      </c>
      <c r="BF262" s="140">
        <f>IF(N262="snížená",J262,0)</f>
        <v>0</v>
      </c>
      <c r="BG262" s="140">
        <f>IF(N262="zákl. přenesená",J262,0)</f>
        <v>0</v>
      </c>
      <c r="BH262" s="140">
        <f>IF(N262="sníž. přenesená",J262,0)</f>
        <v>0</v>
      </c>
      <c r="BI262" s="140">
        <f>IF(N262="nulová",J262,0)</f>
        <v>0</v>
      </c>
      <c r="BJ262" s="2" t="s">
        <v>87</v>
      </c>
      <c r="BK262" s="140">
        <f>ROUND(I262*H262,2)</f>
        <v>0</v>
      </c>
      <c r="BL262" s="2" t="s">
        <v>344</v>
      </c>
      <c r="BM262" s="139" t="s">
        <v>8296</v>
      </c>
    </row>
    <row r="263" spans="2:65" s="141" customFormat="1" x14ac:dyDescent="0.2">
      <c r="B263" s="142"/>
      <c r="D263" s="143" t="s">
        <v>346</v>
      </c>
      <c r="E263" s="144"/>
      <c r="F263" s="145" t="s">
        <v>8297</v>
      </c>
      <c r="H263" s="144"/>
      <c r="L263" s="142"/>
      <c r="M263" s="146"/>
      <c r="T263" s="147"/>
      <c r="AT263" s="144" t="s">
        <v>346</v>
      </c>
      <c r="AU263" s="144" t="s">
        <v>90</v>
      </c>
      <c r="AV263" s="141" t="s">
        <v>87</v>
      </c>
      <c r="AW263" s="141" t="s">
        <v>33</v>
      </c>
      <c r="AX263" s="141" t="s">
        <v>80</v>
      </c>
      <c r="AY263" s="144" t="s">
        <v>337</v>
      </c>
    </row>
    <row r="264" spans="2:65" s="148" customFormat="1" x14ac:dyDescent="0.2">
      <c r="B264" s="149"/>
      <c r="D264" s="143" t="s">
        <v>346</v>
      </c>
      <c r="E264" s="150"/>
      <c r="F264" s="151" t="s">
        <v>8298</v>
      </c>
      <c r="H264" s="152">
        <v>4.8</v>
      </c>
      <c r="L264" s="149"/>
      <c r="M264" s="153"/>
      <c r="T264" s="154"/>
      <c r="AT264" s="150" t="s">
        <v>346</v>
      </c>
      <c r="AU264" s="150" t="s">
        <v>90</v>
      </c>
      <c r="AV264" s="148" t="s">
        <v>90</v>
      </c>
      <c r="AW264" s="148" t="s">
        <v>33</v>
      </c>
      <c r="AX264" s="148" t="s">
        <v>87</v>
      </c>
      <c r="AY264" s="150" t="s">
        <v>337</v>
      </c>
    </row>
    <row r="265" spans="2:65" s="16" customFormat="1" ht="16.5" customHeight="1" x14ac:dyDescent="0.2">
      <c r="B265" s="17"/>
      <c r="C265" s="162">
        <v>33</v>
      </c>
      <c r="D265" s="162" t="s">
        <v>519</v>
      </c>
      <c r="E265" s="163" t="s">
        <v>8299</v>
      </c>
      <c r="F265" s="164" t="s">
        <v>8300</v>
      </c>
      <c r="G265" s="165" t="s">
        <v>425</v>
      </c>
      <c r="H265" s="166">
        <v>200.50299999999999</v>
      </c>
      <c r="I265" s="167"/>
      <c r="J265" s="168">
        <f>ROUND(I265*H265,2)</f>
        <v>0</v>
      </c>
      <c r="K265" s="164" t="s">
        <v>343</v>
      </c>
      <c r="L265" s="169"/>
      <c r="M265" s="170"/>
      <c r="N265" s="171" t="s">
        <v>45</v>
      </c>
      <c r="P265" s="137">
        <f>O265*H265</f>
        <v>0</v>
      </c>
      <c r="Q265" s="137">
        <v>2.9999999999999997E-4</v>
      </c>
      <c r="R265" s="137">
        <f>Q265*H265</f>
        <v>6.0150899999999993E-2</v>
      </c>
      <c r="S265" s="137">
        <v>0</v>
      </c>
      <c r="T265" s="138">
        <f>S265*H265</f>
        <v>0</v>
      </c>
      <c r="AR265" s="139" t="s">
        <v>446</v>
      </c>
      <c r="AT265" s="139" t="s">
        <v>519</v>
      </c>
      <c r="AU265" s="139" t="s">
        <v>90</v>
      </c>
      <c r="AY265" s="2" t="s">
        <v>337</v>
      </c>
      <c r="BE265" s="140">
        <f>IF(N265="základní",J265,0)</f>
        <v>0</v>
      </c>
      <c r="BF265" s="140">
        <f>IF(N265="snížená",J265,0)</f>
        <v>0</v>
      </c>
      <c r="BG265" s="140">
        <f>IF(N265="zákl. přenesená",J265,0)</f>
        <v>0</v>
      </c>
      <c r="BH265" s="140">
        <f>IF(N265="sníž. přenesená",J265,0)</f>
        <v>0</v>
      </c>
      <c r="BI265" s="140">
        <f>IF(N265="nulová",J265,0)</f>
        <v>0</v>
      </c>
      <c r="BJ265" s="2" t="s">
        <v>87</v>
      </c>
      <c r="BK265" s="140">
        <f>ROUND(I265*H265,2)</f>
        <v>0</v>
      </c>
      <c r="BL265" s="2" t="s">
        <v>344</v>
      </c>
      <c r="BM265" s="139" t="s">
        <v>8301</v>
      </c>
    </row>
    <row r="266" spans="2:65" s="148" customFormat="1" x14ac:dyDescent="0.2">
      <c r="B266" s="149"/>
      <c r="D266" s="143" t="s">
        <v>346</v>
      </c>
      <c r="E266" s="150"/>
      <c r="F266" s="151" t="s">
        <v>8302</v>
      </c>
      <c r="H266" s="152">
        <v>169.27199999999999</v>
      </c>
      <c r="L266" s="149"/>
      <c r="M266" s="153"/>
      <c r="T266" s="154"/>
      <c r="AT266" s="150" t="s">
        <v>346</v>
      </c>
      <c r="AU266" s="150" t="s">
        <v>90</v>
      </c>
      <c r="AV266" s="148" t="s">
        <v>90</v>
      </c>
      <c r="AW266" s="148" t="s">
        <v>33</v>
      </c>
      <c r="AX266" s="148" t="s">
        <v>87</v>
      </c>
      <c r="AY266" s="150" t="s">
        <v>337</v>
      </c>
    </row>
    <row r="267" spans="2:65" s="148" customFormat="1" x14ac:dyDescent="0.2">
      <c r="B267" s="149"/>
      <c r="D267" s="143" t="s">
        <v>346</v>
      </c>
      <c r="F267" s="151" t="s">
        <v>8303</v>
      </c>
      <c r="H267" s="152">
        <v>200.50299999999999</v>
      </c>
      <c r="L267" s="149"/>
      <c r="M267" s="153"/>
      <c r="T267" s="154"/>
      <c r="AT267" s="150" t="s">
        <v>346</v>
      </c>
      <c r="AU267" s="150" t="s">
        <v>90</v>
      </c>
      <c r="AV267" s="148" t="s">
        <v>90</v>
      </c>
      <c r="AW267" s="148" t="s">
        <v>3</v>
      </c>
      <c r="AX267" s="148" t="s">
        <v>87</v>
      </c>
      <c r="AY267" s="150" t="s">
        <v>337</v>
      </c>
    </row>
    <row r="268" spans="2:65" s="16" customFormat="1" ht="16.5" customHeight="1" x14ac:dyDescent="0.2">
      <c r="B268" s="17"/>
      <c r="C268" s="128">
        <v>34</v>
      </c>
      <c r="D268" s="128" t="s">
        <v>339</v>
      </c>
      <c r="E268" s="129" t="s">
        <v>3245</v>
      </c>
      <c r="F268" s="130" t="s">
        <v>3246</v>
      </c>
      <c r="G268" s="131" t="s">
        <v>342</v>
      </c>
      <c r="H268" s="132">
        <v>3.4260000000000002</v>
      </c>
      <c r="I268" s="133"/>
      <c r="J268" s="134">
        <f>ROUND(I268*H268,2)</f>
        <v>0</v>
      </c>
      <c r="K268" s="130" t="s">
        <v>343</v>
      </c>
      <c r="L268" s="17"/>
      <c r="M268" s="135"/>
      <c r="N268" s="136" t="s">
        <v>45</v>
      </c>
      <c r="P268" s="137">
        <f>O268*H268</f>
        <v>0</v>
      </c>
      <c r="Q268" s="137">
        <v>1.63</v>
      </c>
      <c r="R268" s="137">
        <f>Q268*H268</f>
        <v>5.5843799999999995</v>
      </c>
      <c r="S268" s="137">
        <v>0</v>
      </c>
      <c r="T268" s="138">
        <f>S268*H268</f>
        <v>0</v>
      </c>
      <c r="AR268" s="139" t="s">
        <v>344</v>
      </c>
      <c r="AT268" s="139" t="s">
        <v>339</v>
      </c>
      <c r="AU268" s="139" t="s">
        <v>90</v>
      </c>
      <c r="AY268" s="2" t="s">
        <v>337</v>
      </c>
      <c r="BE268" s="140">
        <f>IF(N268="základní",J268,0)</f>
        <v>0</v>
      </c>
      <c r="BF268" s="140">
        <f>IF(N268="snížená",J268,0)</f>
        <v>0</v>
      </c>
      <c r="BG268" s="140">
        <f>IF(N268="zákl. přenesená",J268,0)</f>
        <v>0</v>
      </c>
      <c r="BH268" s="140">
        <f>IF(N268="sníž. přenesená",J268,0)</f>
        <v>0</v>
      </c>
      <c r="BI268" s="140">
        <f>IF(N268="nulová",J268,0)</f>
        <v>0</v>
      </c>
      <c r="BJ268" s="2" t="s">
        <v>87</v>
      </c>
      <c r="BK268" s="140">
        <f>ROUND(I268*H268,2)</f>
        <v>0</v>
      </c>
      <c r="BL268" s="2" t="s">
        <v>344</v>
      </c>
      <c r="BM268" s="139" t="s">
        <v>8304</v>
      </c>
    </row>
    <row r="269" spans="2:65" s="141" customFormat="1" x14ac:dyDescent="0.2">
      <c r="B269" s="142"/>
      <c r="D269" s="143" t="s">
        <v>346</v>
      </c>
      <c r="E269" s="144"/>
      <c r="F269" s="145" t="s">
        <v>8221</v>
      </c>
      <c r="H269" s="144"/>
      <c r="L269" s="142"/>
      <c r="M269" s="146"/>
      <c r="T269" s="147"/>
      <c r="AT269" s="144" t="s">
        <v>346</v>
      </c>
      <c r="AU269" s="144" t="s">
        <v>90</v>
      </c>
      <c r="AV269" s="141" t="s">
        <v>87</v>
      </c>
      <c r="AW269" s="141" t="s">
        <v>33</v>
      </c>
      <c r="AX269" s="141" t="s">
        <v>80</v>
      </c>
      <c r="AY269" s="144" t="s">
        <v>337</v>
      </c>
    </row>
    <row r="270" spans="2:65" s="148" customFormat="1" x14ac:dyDescent="0.2">
      <c r="B270" s="149"/>
      <c r="D270" s="143" t="s">
        <v>346</v>
      </c>
      <c r="E270" s="150"/>
      <c r="F270" s="151" t="s">
        <v>8305</v>
      </c>
      <c r="H270" s="152">
        <v>1.6990000000000001</v>
      </c>
      <c r="L270" s="149"/>
      <c r="M270" s="153"/>
      <c r="T270" s="154"/>
      <c r="AT270" s="150" t="s">
        <v>346</v>
      </c>
      <c r="AU270" s="150" t="s">
        <v>90</v>
      </c>
      <c r="AV270" s="148" t="s">
        <v>90</v>
      </c>
      <c r="AW270" s="148" t="s">
        <v>33</v>
      </c>
      <c r="AX270" s="148" t="s">
        <v>80</v>
      </c>
      <c r="AY270" s="150" t="s">
        <v>337</v>
      </c>
    </row>
    <row r="271" spans="2:65" s="148" customFormat="1" x14ac:dyDescent="0.2">
      <c r="B271" s="149"/>
      <c r="D271" s="143" t="s">
        <v>346</v>
      </c>
      <c r="E271" s="150"/>
      <c r="F271" s="151" t="s">
        <v>8306</v>
      </c>
      <c r="H271" s="152">
        <v>0.42</v>
      </c>
      <c r="L271" s="149"/>
      <c r="M271" s="153"/>
      <c r="T271" s="154"/>
      <c r="AT271" s="150" t="s">
        <v>346</v>
      </c>
      <c r="AU271" s="150" t="s">
        <v>90</v>
      </c>
      <c r="AV271" s="148" t="s">
        <v>90</v>
      </c>
      <c r="AW271" s="148" t="s">
        <v>33</v>
      </c>
      <c r="AX271" s="148" t="s">
        <v>80</v>
      </c>
      <c r="AY271" s="150" t="s">
        <v>337</v>
      </c>
    </row>
    <row r="272" spans="2:65" s="148" customFormat="1" x14ac:dyDescent="0.2">
      <c r="B272" s="149"/>
      <c r="D272" s="143" t="s">
        <v>346</v>
      </c>
      <c r="E272" s="150"/>
      <c r="F272" s="151" t="s">
        <v>8307</v>
      </c>
      <c r="H272" s="152">
        <v>1.3069999999999999</v>
      </c>
      <c r="L272" s="149"/>
      <c r="M272" s="153"/>
      <c r="T272" s="154"/>
      <c r="AT272" s="150" t="s">
        <v>346</v>
      </c>
      <c r="AU272" s="150" t="s">
        <v>90</v>
      </c>
      <c r="AV272" s="148" t="s">
        <v>90</v>
      </c>
      <c r="AW272" s="148" t="s">
        <v>33</v>
      </c>
      <c r="AX272" s="148" t="s">
        <v>80</v>
      </c>
      <c r="AY272" s="150" t="s">
        <v>337</v>
      </c>
    </row>
    <row r="273" spans="2:65" s="155" customFormat="1" x14ac:dyDescent="0.2">
      <c r="B273" s="156"/>
      <c r="D273" s="143" t="s">
        <v>346</v>
      </c>
      <c r="E273" s="157"/>
      <c r="F273" s="158" t="s">
        <v>351</v>
      </c>
      <c r="H273" s="159">
        <v>3.4260000000000002</v>
      </c>
      <c r="L273" s="156"/>
      <c r="M273" s="160"/>
      <c r="T273" s="161"/>
      <c r="AT273" s="157" t="s">
        <v>346</v>
      </c>
      <c r="AU273" s="157" t="s">
        <v>90</v>
      </c>
      <c r="AV273" s="155" t="s">
        <v>344</v>
      </c>
      <c r="AW273" s="155" t="s">
        <v>33</v>
      </c>
      <c r="AX273" s="155" t="s">
        <v>87</v>
      </c>
      <c r="AY273" s="157" t="s">
        <v>337</v>
      </c>
    </row>
    <row r="274" spans="2:65" s="16" customFormat="1" ht="16.5" customHeight="1" x14ac:dyDescent="0.2">
      <c r="B274" s="17"/>
      <c r="C274" s="128">
        <v>35</v>
      </c>
      <c r="D274" s="128" t="s">
        <v>339</v>
      </c>
      <c r="E274" s="129" t="s">
        <v>3250</v>
      </c>
      <c r="F274" s="130" t="s">
        <v>3251</v>
      </c>
      <c r="G274" s="131" t="s">
        <v>724</v>
      </c>
      <c r="H274" s="132">
        <v>97.9</v>
      </c>
      <c r="I274" s="133"/>
      <c r="J274" s="134">
        <f>ROUND(I274*H274,2)</f>
        <v>0</v>
      </c>
      <c r="K274" s="130" t="s">
        <v>343</v>
      </c>
      <c r="L274" s="17"/>
      <c r="M274" s="135"/>
      <c r="N274" s="136" t="s">
        <v>45</v>
      </c>
      <c r="P274" s="137">
        <f>O274*H274</f>
        <v>0</v>
      </c>
      <c r="Q274" s="137">
        <v>7.2999999999999996E-4</v>
      </c>
      <c r="R274" s="137">
        <f>Q274*H274</f>
        <v>7.1467000000000003E-2</v>
      </c>
      <c r="S274" s="137">
        <v>0</v>
      </c>
      <c r="T274" s="138">
        <f>S274*H274</f>
        <v>0</v>
      </c>
      <c r="AR274" s="139" t="s">
        <v>344</v>
      </c>
      <c r="AT274" s="139" t="s">
        <v>339</v>
      </c>
      <c r="AU274" s="139" t="s">
        <v>90</v>
      </c>
      <c r="AY274" s="2" t="s">
        <v>337</v>
      </c>
      <c r="BE274" s="140">
        <f>IF(N274="základní",J274,0)</f>
        <v>0</v>
      </c>
      <c r="BF274" s="140">
        <f>IF(N274="snížená",J274,0)</f>
        <v>0</v>
      </c>
      <c r="BG274" s="140">
        <f>IF(N274="zákl. přenesená",J274,0)</f>
        <v>0</v>
      </c>
      <c r="BH274" s="140">
        <f>IF(N274="sníž. přenesená",J274,0)</f>
        <v>0</v>
      </c>
      <c r="BI274" s="140">
        <f>IF(N274="nulová",J274,0)</f>
        <v>0</v>
      </c>
      <c r="BJ274" s="2" t="s">
        <v>87</v>
      </c>
      <c r="BK274" s="140">
        <f>ROUND(I274*H274,2)</f>
        <v>0</v>
      </c>
      <c r="BL274" s="2" t="s">
        <v>344</v>
      </c>
      <c r="BM274" s="139" t="s">
        <v>8308</v>
      </c>
    </row>
    <row r="275" spans="2:65" s="141" customFormat="1" x14ac:dyDescent="0.2">
      <c r="B275" s="142"/>
      <c r="D275" s="143" t="s">
        <v>346</v>
      </c>
      <c r="E275" s="144"/>
      <c r="F275" s="145" t="s">
        <v>8221</v>
      </c>
      <c r="H275" s="144"/>
      <c r="L275" s="142"/>
      <c r="M275" s="146"/>
      <c r="T275" s="147"/>
      <c r="AT275" s="144" t="s">
        <v>346</v>
      </c>
      <c r="AU275" s="144" t="s">
        <v>90</v>
      </c>
      <c r="AV275" s="141" t="s">
        <v>87</v>
      </c>
      <c r="AW275" s="141" t="s">
        <v>33</v>
      </c>
      <c r="AX275" s="141" t="s">
        <v>80</v>
      </c>
      <c r="AY275" s="144" t="s">
        <v>337</v>
      </c>
    </row>
    <row r="276" spans="2:65" s="148" customFormat="1" x14ac:dyDescent="0.2">
      <c r="B276" s="149"/>
      <c r="D276" s="143" t="s">
        <v>346</v>
      </c>
      <c r="E276" s="150"/>
      <c r="F276" s="151" t="s">
        <v>8309</v>
      </c>
      <c r="H276" s="152">
        <v>48.55</v>
      </c>
      <c r="L276" s="149"/>
      <c r="M276" s="153"/>
      <c r="T276" s="154"/>
      <c r="AT276" s="150" t="s">
        <v>346</v>
      </c>
      <c r="AU276" s="150" t="s">
        <v>90</v>
      </c>
      <c r="AV276" s="148" t="s">
        <v>90</v>
      </c>
      <c r="AW276" s="148" t="s">
        <v>33</v>
      </c>
      <c r="AX276" s="148" t="s">
        <v>80</v>
      </c>
      <c r="AY276" s="150" t="s">
        <v>337</v>
      </c>
    </row>
    <row r="277" spans="2:65" s="148" customFormat="1" x14ac:dyDescent="0.2">
      <c r="B277" s="149"/>
      <c r="D277" s="143" t="s">
        <v>346</v>
      </c>
      <c r="E277" s="150"/>
      <c r="F277" s="151" t="s">
        <v>8310</v>
      </c>
      <c r="H277" s="152">
        <v>12</v>
      </c>
      <c r="L277" s="149"/>
      <c r="M277" s="153"/>
      <c r="T277" s="154"/>
      <c r="AT277" s="150" t="s">
        <v>346</v>
      </c>
      <c r="AU277" s="150" t="s">
        <v>90</v>
      </c>
      <c r="AV277" s="148" t="s">
        <v>90</v>
      </c>
      <c r="AW277" s="148" t="s">
        <v>33</v>
      </c>
      <c r="AX277" s="148" t="s">
        <v>80</v>
      </c>
      <c r="AY277" s="150" t="s">
        <v>337</v>
      </c>
    </row>
    <row r="278" spans="2:65" s="148" customFormat="1" x14ac:dyDescent="0.2">
      <c r="B278" s="149"/>
      <c r="D278" s="143" t="s">
        <v>346</v>
      </c>
      <c r="E278" s="150"/>
      <c r="F278" s="151" t="s">
        <v>8311</v>
      </c>
      <c r="H278" s="152">
        <v>37.35</v>
      </c>
      <c r="L278" s="149"/>
      <c r="M278" s="153"/>
      <c r="T278" s="154"/>
      <c r="AT278" s="150" t="s">
        <v>346</v>
      </c>
      <c r="AU278" s="150" t="s">
        <v>90</v>
      </c>
      <c r="AV278" s="148" t="s">
        <v>90</v>
      </c>
      <c r="AW278" s="148" t="s">
        <v>33</v>
      </c>
      <c r="AX278" s="148" t="s">
        <v>80</v>
      </c>
      <c r="AY278" s="150" t="s">
        <v>337</v>
      </c>
    </row>
    <row r="279" spans="2:65" s="155" customFormat="1" x14ac:dyDescent="0.2">
      <c r="B279" s="156"/>
      <c r="D279" s="143" t="s">
        <v>346</v>
      </c>
      <c r="E279" s="157"/>
      <c r="F279" s="158" t="s">
        <v>351</v>
      </c>
      <c r="H279" s="159">
        <v>97.9</v>
      </c>
      <c r="L279" s="156"/>
      <c r="M279" s="160"/>
      <c r="T279" s="161"/>
      <c r="AT279" s="157" t="s">
        <v>346</v>
      </c>
      <c r="AU279" s="157" t="s">
        <v>90</v>
      </c>
      <c r="AV279" s="155" t="s">
        <v>344</v>
      </c>
      <c r="AW279" s="155" t="s">
        <v>33</v>
      </c>
      <c r="AX279" s="155" t="s">
        <v>87</v>
      </c>
      <c r="AY279" s="157" t="s">
        <v>337</v>
      </c>
    </row>
    <row r="280" spans="2:65" s="16" customFormat="1" ht="16.5" customHeight="1" x14ac:dyDescent="0.2">
      <c r="B280" s="17"/>
      <c r="C280" s="128">
        <v>36</v>
      </c>
      <c r="D280" s="128" t="s">
        <v>339</v>
      </c>
      <c r="E280" s="129" t="s">
        <v>8312</v>
      </c>
      <c r="F280" s="130" t="s">
        <v>8313</v>
      </c>
      <c r="G280" s="131" t="s">
        <v>342</v>
      </c>
      <c r="H280" s="132">
        <v>3.42</v>
      </c>
      <c r="I280" s="133"/>
      <c r="J280" s="134">
        <f>ROUND(I280*H280,2)</f>
        <v>0</v>
      </c>
      <c r="K280" s="130" t="s">
        <v>343</v>
      </c>
      <c r="L280" s="17"/>
      <c r="M280" s="135"/>
      <c r="N280" s="136" t="s">
        <v>45</v>
      </c>
      <c r="P280" s="137">
        <f>O280*H280</f>
        <v>0</v>
      </c>
      <c r="Q280" s="137">
        <v>2.3010199999999998</v>
      </c>
      <c r="R280" s="137">
        <f>Q280*H280</f>
        <v>7.8694883999999989</v>
      </c>
      <c r="S280" s="137">
        <v>0</v>
      </c>
      <c r="T280" s="138">
        <f>S280*H280</f>
        <v>0</v>
      </c>
      <c r="AR280" s="139" t="s">
        <v>344</v>
      </c>
      <c r="AT280" s="139" t="s">
        <v>339</v>
      </c>
      <c r="AU280" s="139" t="s">
        <v>90</v>
      </c>
      <c r="AY280" s="2" t="s">
        <v>337</v>
      </c>
      <c r="BE280" s="140">
        <f>IF(N280="základní",J280,0)</f>
        <v>0</v>
      </c>
      <c r="BF280" s="140">
        <f>IF(N280="snížená",J280,0)</f>
        <v>0</v>
      </c>
      <c r="BG280" s="140">
        <f>IF(N280="zákl. přenesená",J280,0)</f>
        <v>0</v>
      </c>
      <c r="BH280" s="140">
        <f>IF(N280="sníž. přenesená",J280,0)</f>
        <v>0</v>
      </c>
      <c r="BI280" s="140">
        <f>IF(N280="nulová",J280,0)</f>
        <v>0</v>
      </c>
      <c r="BJ280" s="2" t="s">
        <v>87</v>
      </c>
      <c r="BK280" s="140">
        <f>ROUND(I280*H280,2)</f>
        <v>0</v>
      </c>
      <c r="BL280" s="2" t="s">
        <v>344</v>
      </c>
      <c r="BM280" s="139" t="s">
        <v>8314</v>
      </c>
    </row>
    <row r="281" spans="2:65" s="148" customFormat="1" x14ac:dyDescent="0.2">
      <c r="B281" s="149"/>
      <c r="D281" s="143" t="s">
        <v>346</v>
      </c>
      <c r="E281" s="150"/>
      <c r="F281" s="151" t="s">
        <v>8228</v>
      </c>
      <c r="H281" s="152">
        <v>3.42</v>
      </c>
      <c r="L281" s="149"/>
      <c r="M281" s="153"/>
      <c r="T281" s="154"/>
      <c r="AT281" s="150" t="s">
        <v>346</v>
      </c>
      <c r="AU281" s="150" t="s">
        <v>90</v>
      </c>
      <c r="AV281" s="148" t="s">
        <v>90</v>
      </c>
      <c r="AW281" s="148" t="s">
        <v>33</v>
      </c>
      <c r="AX281" s="148" t="s">
        <v>87</v>
      </c>
      <c r="AY281" s="150" t="s">
        <v>337</v>
      </c>
    </row>
    <row r="282" spans="2:65" s="16" customFormat="1" ht="16.5" customHeight="1" x14ac:dyDescent="0.2">
      <c r="B282" s="17"/>
      <c r="C282" s="128">
        <v>37</v>
      </c>
      <c r="D282" s="128" t="s">
        <v>339</v>
      </c>
      <c r="E282" s="129" t="s">
        <v>8315</v>
      </c>
      <c r="F282" s="130" t="s">
        <v>8316</v>
      </c>
      <c r="G282" s="131" t="s">
        <v>990</v>
      </c>
      <c r="H282" s="132">
        <v>0.183</v>
      </c>
      <c r="I282" s="133"/>
      <c r="J282" s="134">
        <f>ROUND(I282*H282,2)</f>
        <v>0</v>
      </c>
      <c r="K282" s="130" t="s">
        <v>343</v>
      </c>
      <c r="L282" s="17"/>
      <c r="M282" s="135"/>
      <c r="N282" s="136" t="s">
        <v>45</v>
      </c>
      <c r="P282" s="137">
        <f>O282*H282</f>
        <v>0</v>
      </c>
      <c r="Q282" s="137">
        <v>1.05962</v>
      </c>
      <c r="R282" s="137">
        <f>Q282*H282</f>
        <v>0.19391046000000001</v>
      </c>
      <c r="S282" s="137">
        <v>0</v>
      </c>
      <c r="T282" s="138">
        <f>S282*H282</f>
        <v>0</v>
      </c>
      <c r="AR282" s="139" t="s">
        <v>344</v>
      </c>
      <c r="AT282" s="139" t="s">
        <v>339</v>
      </c>
      <c r="AU282" s="139" t="s">
        <v>90</v>
      </c>
      <c r="AY282" s="2" t="s">
        <v>337</v>
      </c>
      <c r="BE282" s="140">
        <f>IF(N282="základní",J282,0)</f>
        <v>0</v>
      </c>
      <c r="BF282" s="140">
        <f>IF(N282="snížená",J282,0)</f>
        <v>0</v>
      </c>
      <c r="BG282" s="140">
        <f>IF(N282="zákl. přenesená",J282,0)</f>
        <v>0</v>
      </c>
      <c r="BH282" s="140">
        <f>IF(N282="sníž. přenesená",J282,0)</f>
        <v>0</v>
      </c>
      <c r="BI282" s="140">
        <f>IF(N282="nulová",J282,0)</f>
        <v>0</v>
      </c>
      <c r="BJ282" s="2" t="s">
        <v>87</v>
      </c>
      <c r="BK282" s="140">
        <f>ROUND(I282*H282,2)</f>
        <v>0</v>
      </c>
      <c r="BL282" s="2" t="s">
        <v>344</v>
      </c>
      <c r="BM282" s="139" t="s">
        <v>8317</v>
      </c>
    </row>
    <row r="283" spans="2:65" s="16" customFormat="1" ht="16.5" customHeight="1" x14ac:dyDescent="0.2">
      <c r="B283" s="17"/>
      <c r="C283" s="128">
        <v>38</v>
      </c>
      <c r="D283" s="128" t="s">
        <v>339</v>
      </c>
      <c r="E283" s="129" t="s">
        <v>8318</v>
      </c>
      <c r="F283" s="130" t="s">
        <v>8319</v>
      </c>
      <c r="G283" s="131" t="s">
        <v>342</v>
      </c>
      <c r="H283" s="132">
        <v>4.32</v>
      </c>
      <c r="I283" s="133"/>
      <c r="J283" s="134">
        <f>ROUND(I283*H283,2)</f>
        <v>0</v>
      </c>
      <c r="K283" s="130" t="s">
        <v>343</v>
      </c>
      <c r="L283" s="17"/>
      <c r="M283" s="135"/>
      <c r="N283" s="136" t="s">
        <v>45</v>
      </c>
      <c r="P283" s="137">
        <f>O283*H283</f>
        <v>0</v>
      </c>
      <c r="Q283" s="137">
        <v>2.5018699999999998</v>
      </c>
      <c r="R283" s="137">
        <f>Q283*H283</f>
        <v>10.808078399999999</v>
      </c>
      <c r="S283" s="137">
        <v>0</v>
      </c>
      <c r="T283" s="138">
        <f>S283*H283</f>
        <v>0</v>
      </c>
      <c r="AR283" s="139" t="s">
        <v>344</v>
      </c>
      <c r="AT283" s="139" t="s">
        <v>339</v>
      </c>
      <c r="AU283" s="139" t="s">
        <v>90</v>
      </c>
      <c r="AY283" s="2" t="s">
        <v>337</v>
      </c>
      <c r="BE283" s="140">
        <f>IF(N283="základní",J283,0)</f>
        <v>0</v>
      </c>
      <c r="BF283" s="140">
        <f>IF(N283="snížená",J283,0)</f>
        <v>0</v>
      </c>
      <c r="BG283" s="140">
        <f>IF(N283="zákl. přenesená",J283,0)</f>
        <v>0</v>
      </c>
      <c r="BH283" s="140">
        <f>IF(N283="sníž. přenesená",J283,0)</f>
        <v>0</v>
      </c>
      <c r="BI283" s="140">
        <f>IF(N283="nulová",J283,0)</f>
        <v>0</v>
      </c>
      <c r="BJ283" s="2" t="s">
        <v>87</v>
      </c>
      <c r="BK283" s="140">
        <f>ROUND(I283*H283,2)</f>
        <v>0</v>
      </c>
      <c r="BL283" s="2" t="s">
        <v>344</v>
      </c>
      <c r="BM283" s="139" t="s">
        <v>8320</v>
      </c>
    </row>
    <row r="284" spans="2:65" s="141" customFormat="1" x14ac:dyDescent="0.2">
      <c r="B284" s="142"/>
      <c r="D284" s="143" t="s">
        <v>346</v>
      </c>
      <c r="E284" s="144"/>
      <c r="F284" s="145" t="s">
        <v>8321</v>
      </c>
      <c r="H284" s="144"/>
      <c r="L284" s="142"/>
      <c r="M284" s="146"/>
      <c r="T284" s="147"/>
      <c r="AT284" s="144" t="s">
        <v>346</v>
      </c>
      <c r="AU284" s="144" t="s">
        <v>90</v>
      </c>
      <c r="AV284" s="141" t="s">
        <v>87</v>
      </c>
      <c r="AW284" s="141" t="s">
        <v>33</v>
      </c>
      <c r="AX284" s="141" t="s">
        <v>80</v>
      </c>
      <c r="AY284" s="144" t="s">
        <v>337</v>
      </c>
    </row>
    <row r="285" spans="2:65" s="148" customFormat="1" x14ac:dyDescent="0.2">
      <c r="B285" s="149"/>
      <c r="D285" s="143" t="s">
        <v>346</v>
      </c>
      <c r="E285" s="150"/>
      <c r="F285" s="151" t="s">
        <v>8322</v>
      </c>
      <c r="H285" s="152">
        <v>4.32</v>
      </c>
      <c r="L285" s="149"/>
      <c r="M285" s="153"/>
      <c r="T285" s="154"/>
      <c r="AT285" s="150" t="s">
        <v>346</v>
      </c>
      <c r="AU285" s="150" t="s">
        <v>90</v>
      </c>
      <c r="AV285" s="148" t="s">
        <v>90</v>
      </c>
      <c r="AW285" s="148" t="s">
        <v>33</v>
      </c>
      <c r="AX285" s="148" t="s">
        <v>87</v>
      </c>
      <c r="AY285" s="150" t="s">
        <v>337</v>
      </c>
    </row>
    <row r="286" spans="2:65" s="16" customFormat="1" ht="21.75" customHeight="1" x14ac:dyDescent="0.2">
      <c r="B286" s="17"/>
      <c r="C286" s="128">
        <v>39</v>
      </c>
      <c r="D286" s="128" t="s">
        <v>339</v>
      </c>
      <c r="E286" s="129" t="s">
        <v>8323</v>
      </c>
      <c r="F286" s="130" t="s">
        <v>8324</v>
      </c>
      <c r="G286" s="131" t="s">
        <v>425</v>
      </c>
      <c r="H286" s="132">
        <v>6.375</v>
      </c>
      <c r="I286" s="133"/>
      <c r="J286" s="134">
        <f>ROUND(I286*H286,2)</f>
        <v>0</v>
      </c>
      <c r="K286" s="130" t="s">
        <v>343</v>
      </c>
      <c r="L286" s="17"/>
      <c r="M286" s="135"/>
      <c r="N286" s="136" t="s">
        <v>45</v>
      </c>
      <c r="P286" s="137">
        <f>O286*H286</f>
        <v>0</v>
      </c>
      <c r="Q286" s="137">
        <v>0.51809000000000005</v>
      </c>
      <c r="R286" s="137">
        <f>Q286*H286</f>
        <v>3.3028237500000004</v>
      </c>
      <c r="S286" s="137">
        <v>0</v>
      </c>
      <c r="T286" s="138">
        <f>S286*H286</f>
        <v>0</v>
      </c>
      <c r="AR286" s="139" t="s">
        <v>344</v>
      </c>
      <c r="AT286" s="139" t="s">
        <v>339</v>
      </c>
      <c r="AU286" s="139" t="s">
        <v>90</v>
      </c>
      <c r="AY286" s="2" t="s">
        <v>337</v>
      </c>
      <c r="BE286" s="140">
        <f>IF(N286="základní",J286,0)</f>
        <v>0</v>
      </c>
      <c r="BF286" s="140">
        <f>IF(N286="snížená",J286,0)</f>
        <v>0</v>
      </c>
      <c r="BG286" s="140">
        <f>IF(N286="zákl. přenesená",J286,0)</f>
        <v>0</v>
      </c>
      <c r="BH286" s="140">
        <f>IF(N286="sníž. přenesená",J286,0)</f>
        <v>0</v>
      </c>
      <c r="BI286" s="140">
        <f>IF(N286="nulová",J286,0)</f>
        <v>0</v>
      </c>
      <c r="BJ286" s="2" t="s">
        <v>87</v>
      </c>
      <c r="BK286" s="140">
        <f>ROUND(I286*H286,2)</f>
        <v>0</v>
      </c>
      <c r="BL286" s="2" t="s">
        <v>344</v>
      </c>
      <c r="BM286" s="139" t="s">
        <v>8325</v>
      </c>
    </row>
    <row r="287" spans="2:65" s="148" customFormat="1" x14ac:dyDescent="0.2">
      <c r="B287" s="149"/>
      <c r="D287" s="143" t="s">
        <v>346</v>
      </c>
      <c r="E287" s="150"/>
      <c r="F287" s="151" t="s">
        <v>8326</v>
      </c>
      <c r="H287" s="152">
        <v>6.375</v>
      </c>
      <c r="L287" s="149"/>
      <c r="M287" s="153"/>
      <c r="T287" s="154"/>
      <c r="AT287" s="150" t="s">
        <v>346</v>
      </c>
      <c r="AU287" s="150" t="s">
        <v>90</v>
      </c>
      <c r="AV287" s="148" t="s">
        <v>90</v>
      </c>
      <c r="AW287" s="148" t="s">
        <v>33</v>
      </c>
      <c r="AX287" s="148" t="s">
        <v>87</v>
      </c>
      <c r="AY287" s="150" t="s">
        <v>337</v>
      </c>
    </row>
    <row r="288" spans="2:65" s="116" customFormat="1" ht="22.9" customHeight="1" x14ac:dyDescent="0.2">
      <c r="B288" s="117"/>
      <c r="D288" s="118" t="s">
        <v>79</v>
      </c>
      <c r="E288" s="126" t="s">
        <v>113</v>
      </c>
      <c r="F288" s="126" t="s">
        <v>352</v>
      </c>
      <c r="J288" s="127">
        <f>BK288</f>
        <v>0</v>
      </c>
      <c r="L288" s="117"/>
      <c r="M288" s="121"/>
      <c r="P288" s="122">
        <f>SUM(P289:P300)</f>
        <v>0</v>
      </c>
      <c r="R288" s="122">
        <f>SUM(R289:R300)</f>
        <v>9.407188080000001</v>
      </c>
      <c r="T288" s="123">
        <f>SUM(T289:T300)</f>
        <v>0</v>
      </c>
      <c r="AR288" s="118" t="s">
        <v>87</v>
      </c>
      <c r="AT288" s="124" t="s">
        <v>79</v>
      </c>
      <c r="AU288" s="124" t="s">
        <v>87</v>
      </c>
      <c r="AY288" s="118" t="s">
        <v>337</v>
      </c>
      <c r="BK288" s="125">
        <f>SUM(BK289:BK300)</f>
        <v>0</v>
      </c>
    </row>
    <row r="289" spans="2:65" s="16" customFormat="1" ht="16.5" customHeight="1" x14ac:dyDescent="0.2">
      <c r="B289" s="17"/>
      <c r="C289" s="128">
        <v>40</v>
      </c>
      <c r="D289" s="128" t="s">
        <v>339</v>
      </c>
      <c r="E289" s="129" t="s">
        <v>8327</v>
      </c>
      <c r="F289" s="130" t="s">
        <v>8328</v>
      </c>
      <c r="G289" s="131" t="s">
        <v>990</v>
      </c>
      <c r="H289" s="132">
        <v>8.4000000000000005E-2</v>
      </c>
      <c r="I289" s="133"/>
      <c r="J289" s="134">
        <f>ROUND(I289*H289,2)</f>
        <v>0</v>
      </c>
      <c r="K289" s="130" t="s">
        <v>343</v>
      </c>
      <c r="L289" s="17"/>
      <c r="M289" s="135"/>
      <c r="N289" s="136" t="s">
        <v>45</v>
      </c>
      <c r="P289" s="137">
        <f>O289*H289</f>
        <v>0</v>
      </c>
      <c r="Q289" s="137">
        <v>1.0475699999999999</v>
      </c>
      <c r="R289" s="137">
        <f>Q289*H289</f>
        <v>8.7995879999999999E-2</v>
      </c>
      <c r="S289" s="137">
        <v>0</v>
      </c>
      <c r="T289" s="138">
        <f>S289*H289</f>
        <v>0</v>
      </c>
      <c r="AR289" s="139" t="s">
        <v>344</v>
      </c>
      <c r="AT289" s="139" t="s">
        <v>339</v>
      </c>
      <c r="AU289" s="139" t="s">
        <v>90</v>
      </c>
      <c r="AY289" s="2" t="s">
        <v>337</v>
      </c>
      <c r="BE289" s="140">
        <f>IF(N289="základní",J289,0)</f>
        <v>0</v>
      </c>
      <c r="BF289" s="140">
        <f>IF(N289="snížená",J289,0)</f>
        <v>0</v>
      </c>
      <c r="BG289" s="140">
        <f>IF(N289="zákl. přenesená",J289,0)</f>
        <v>0</v>
      </c>
      <c r="BH289" s="140">
        <f>IF(N289="sníž. přenesená",J289,0)</f>
        <v>0</v>
      </c>
      <c r="BI289" s="140">
        <f>IF(N289="nulová",J289,0)</f>
        <v>0</v>
      </c>
      <c r="BJ289" s="2" t="s">
        <v>87</v>
      </c>
      <c r="BK289" s="140">
        <f>ROUND(I289*H289,2)</f>
        <v>0</v>
      </c>
      <c r="BL289" s="2" t="s">
        <v>344</v>
      </c>
      <c r="BM289" s="139" t="s">
        <v>8329</v>
      </c>
    </row>
    <row r="290" spans="2:65" s="16" customFormat="1" ht="16.5" customHeight="1" x14ac:dyDescent="0.2">
      <c r="B290" s="17"/>
      <c r="C290" s="128">
        <v>41</v>
      </c>
      <c r="D290" s="128" t="s">
        <v>339</v>
      </c>
      <c r="E290" s="129" t="s">
        <v>8330</v>
      </c>
      <c r="F290" s="130" t="s">
        <v>8331</v>
      </c>
      <c r="G290" s="131" t="s">
        <v>342</v>
      </c>
      <c r="H290" s="132">
        <v>1.8</v>
      </c>
      <c r="I290" s="133"/>
      <c r="J290" s="134">
        <f>ROUND(I290*H290,2)</f>
        <v>0</v>
      </c>
      <c r="K290" s="130" t="s">
        <v>343</v>
      </c>
      <c r="L290" s="17"/>
      <c r="M290" s="135"/>
      <c r="N290" s="136" t="s">
        <v>45</v>
      </c>
      <c r="P290" s="137">
        <f>O290*H290</f>
        <v>0</v>
      </c>
      <c r="Q290" s="137">
        <v>1.80972</v>
      </c>
      <c r="R290" s="137">
        <f>Q290*H290</f>
        <v>3.2574960000000002</v>
      </c>
      <c r="S290" s="137">
        <v>0</v>
      </c>
      <c r="T290" s="138">
        <f>S290*H290</f>
        <v>0</v>
      </c>
      <c r="AR290" s="139" t="s">
        <v>344</v>
      </c>
      <c r="AT290" s="139" t="s">
        <v>339</v>
      </c>
      <c r="AU290" s="139" t="s">
        <v>90</v>
      </c>
      <c r="AY290" s="2" t="s">
        <v>337</v>
      </c>
      <c r="BE290" s="140">
        <f>IF(N290="základní",J290,0)</f>
        <v>0</v>
      </c>
      <c r="BF290" s="140">
        <f>IF(N290="snížená",J290,0)</f>
        <v>0</v>
      </c>
      <c r="BG290" s="140">
        <f>IF(N290="zákl. přenesená",J290,0)</f>
        <v>0</v>
      </c>
      <c r="BH290" s="140">
        <f>IF(N290="sníž. přenesená",J290,0)</f>
        <v>0</v>
      </c>
      <c r="BI290" s="140">
        <f>IF(N290="nulová",J290,0)</f>
        <v>0</v>
      </c>
      <c r="BJ290" s="2" t="s">
        <v>87</v>
      </c>
      <c r="BK290" s="140">
        <f>ROUND(I290*H290,2)</f>
        <v>0</v>
      </c>
      <c r="BL290" s="2" t="s">
        <v>344</v>
      </c>
      <c r="BM290" s="139" t="s">
        <v>8332</v>
      </c>
    </row>
    <row r="291" spans="2:65" s="141" customFormat="1" x14ac:dyDescent="0.2">
      <c r="B291" s="142"/>
      <c r="D291" s="143" t="s">
        <v>346</v>
      </c>
      <c r="E291" s="144"/>
      <c r="F291" s="145" t="s">
        <v>8333</v>
      </c>
      <c r="H291" s="144"/>
      <c r="L291" s="142"/>
      <c r="M291" s="146"/>
      <c r="T291" s="147"/>
      <c r="AT291" s="144" t="s">
        <v>346</v>
      </c>
      <c r="AU291" s="144" t="s">
        <v>90</v>
      </c>
      <c r="AV291" s="141" t="s">
        <v>87</v>
      </c>
      <c r="AW291" s="141" t="s">
        <v>33</v>
      </c>
      <c r="AX291" s="141" t="s">
        <v>80</v>
      </c>
      <c r="AY291" s="144" t="s">
        <v>337</v>
      </c>
    </row>
    <row r="292" spans="2:65" s="148" customFormat="1" x14ac:dyDescent="0.2">
      <c r="B292" s="149"/>
      <c r="D292" s="143" t="s">
        <v>346</v>
      </c>
      <c r="E292" s="150"/>
      <c r="F292" s="151" t="s">
        <v>8334</v>
      </c>
      <c r="H292" s="152">
        <v>1.8</v>
      </c>
      <c r="L292" s="149"/>
      <c r="M292" s="153"/>
      <c r="T292" s="154"/>
      <c r="AT292" s="150" t="s">
        <v>346</v>
      </c>
      <c r="AU292" s="150" t="s">
        <v>90</v>
      </c>
      <c r="AV292" s="148" t="s">
        <v>90</v>
      </c>
      <c r="AW292" s="148" t="s">
        <v>33</v>
      </c>
      <c r="AX292" s="148" t="s">
        <v>87</v>
      </c>
      <c r="AY292" s="150" t="s">
        <v>337</v>
      </c>
    </row>
    <row r="293" spans="2:65" s="16" customFormat="1" ht="16.5" customHeight="1" x14ac:dyDescent="0.2">
      <c r="B293" s="17"/>
      <c r="C293" s="128">
        <v>42</v>
      </c>
      <c r="D293" s="128" t="s">
        <v>339</v>
      </c>
      <c r="E293" s="129" t="s">
        <v>8335</v>
      </c>
      <c r="F293" s="130" t="s">
        <v>8336</v>
      </c>
      <c r="G293" s="131" t="s">
        <v>724</v>
      </c>
      <c r="H293" s="132">
        <v>13.16</v>
      </c>
      <c r="I293" s="133"/>
      <c r="J293" s="134">
        <f>ROUND(I293*H293,2)</f>
        <v>0</v>
      </c>
      <c r="K293" s="130" t="s">
        <v>343</v>
      </c>
      <c r="L293" s="17"/>
      <c r="M293" s="135"/>
      <c r="N293" s="136" t="s">
        <v>45</v>
      </c>
      <c r="P293" s="137">
        <f>O293*H293</f>
        <v>0</v>
      </c>
      <c r="Q293" s="137">
        <v>0.24127000000000001</v>
      </c>
      <c r="R293" s="137">
        <f>Q293*H293</f>
        <v>3.1751132000000002</v>
      </c>
      <c r="S293" s="137">
        <v>0</v>
      </c>
      <c r="T293" s="138">
        <f>S293*H293</f>
        <v>0</v>
      </c>
      <c r="AR293" s="139" t="s">
        <v>344</v>
      </c>
      <c r="AT293" s="139" t="s">
        <v>339</v>
      </c>
      <c r="AU293" s="139" t="s">
        <v>90</v>
      </c>
      <c r="AY293" s="2" t="s">
        <v>337</v>
      </c>
      <c r="BE293" s="140">
        <f>IF(N293="základní",J293,0)</f>
        <v>0</v>
      </c>
      <c r="BF293" s="140">
        <f>IF(N293="snížená",J293,0)</f>
        <v>0</v>
      </c>
      <c r="BG293" s="140">
        <f>IF(N293="zákl. přenesená",J293,0)</f>
        <v>0</v>
      </c>
      <c r="BH293" s="140">
        <f>IF(N293="sníž. přenesená",J293,0)</f>
        <v>0</v>
      </c>
      <c r="BI293" s="140">
        <f>IF(N293="nulová",J293,0)</f>
        <v>0</v>
      </c>
      <c r="BJ293" s="2" t="s">
        <v>87</v>
      </c>
      <c r="BK293" s="140">
        <f>ROUND(I293*H293,2)</f>
        <v>0</v>
      </c>
      <c r="BL293" s="2" t="s">
        <v>344</v>
      </c>
      <c r="BM293" s="139" t="s">
        <v>8337</v>
      </c>
    </row>
    <row r="294" spans="2:65" s="148" customFormat="1" x14ac:dyDescent="0.2">
      <c r="B294" s="149"/>
      <c r="D294" s="143" t="s">
        <v>346</v>
      </c>
      <c r="E294" s="150"/>
      <c r="F294" s="151" t="s">
        <v>8338</v>
      </c>
      <c r="H294" s="152">
        <v>5.96</v>
      </c>
      <c r="L294" s="149"/>
      <c r="M294" s="153"/>
      <c r="T294" s="154"/>
      <c r="AT294" s="150" t="s">
        <v>346</v>
      </c>
      <c r="AU294" s="150" t="s">
        <v>90</v>
      </c>
      <c r="AV294" s="148" t="s">
        <v>90</v>
      </c>
      <c r="AW294" s="148" t="s">
        <v>33</v>
      </c>
      <c r="AX294" s="148" t="s">
        <v>80</v>
      </c>
      <c r="AY294" s="150" t="s">
        <v>337</v>
      </c>
    </row>
    <row r="295" spans="2:65" s="148" customFormat="1" x14ac:dyDescent="0.2">
      <c r="B295" s="149"/>
      <c r="D295" s="143" t="s">
        <v>346</v>
      </c>
      <c r="E295" s="150"/>
      <c r="F295" s="151" t="s">
        <v>4758</v>
      </c>
      <c r="H295" s="152">
        <v>7.2</v>
      </c>
      <c r="L295" s="149"/>
      <c r="M295" s="153"/>
      <c r="T295" s="154"/>
      <c r="AT295" s="150" t="s">
        <v>346</v>
      </c>
      <c r="AU295" s="150" t="s">
        <v>90</v>
      </c>
      <c r="AV295" s="148" t="s">
        <v>90</v>
      </c>
      <c r="AW295" s="148" t="s">
        <v>33</v>
      </c>
      <c r="AX295" s="148" t="s">
        <v>80</v>
      </c>
      <c r="AY295" s="150" t="s">
        <v>337</v>
      </c>
    </row>
    <row r="296" spans="2:65" s="155" customFormat="1" x14ac:dyDescent="0.2">
      <c r="B296" s="156"/>
      <c r="D296" s="143" t="s">
        <v>346</v>
      </c>
      <c r="E296" s="157"/>
      <c r="F296" s="158" t="s">
        <v>351</v>
      </c>
      <c r="H296" s="159">
        <v>13.16</v>
      </c>
      <c r="L296" s="156"/>
      <c r="M296" s="160"/>
      <c r="T296" s="161"/>
      <c r="AT296" s="157" t="s">
        <v>346</v>
      </c>
      <c r="AU296" s="157" t="s">
        <v>90</v>
      </c>
      <c r="AV296" s="155" t="s">
        <v>344</v>
      </c>
      <c r="AW296" s="155" t="s">
        <v>33</v>
      </c>
      <c r="AX296" s="155" t="s">
        <v>87</v>
      </c>
      <c r="AY296" s="157" t="s">
        <v>337</v>
      </c>
    </row>
    <row r="297" spans="2:65" s="16" customFormat="1" ht="16.5" customHeight="1" x14ac:dyDescent="0.2">
      <c r="B297" s="17"/>
      <c r="C297" s="162">
        <v>43</v>
      </c>
      <c r="D297" s="162" t="s">
        <v>519</v>
      </c>
      <c r="E297" s="163" t="s">
        <v>8339</v>
      </c>
      <c r="F297" s="164" t="s">
        <v>8340</v>
      </c>
      <c r="G297" s="165" t="s">
        <v>449</v>
      </c>
      <c r="H297" s="166">
        <v>73.695999999999998</v>
      </c>
      <c r="I297" s="167"/>
      <c r="J297" s="168">
        <f>ROUND(I297*H297,2)</f>
        <v>0</v>
      </c>
      <c r="K297" s="164" t="s">
        <v>343</v>
      </c>
      <c r="L297" s="169"/>
      <c r="M297" s="170"/>
      <c r="N297" s="171" t="s">
        <v>45</v>
      </c>
      <c r="P297" s="137">
        <f>O297*H297</f>
        <v>0</v>
      </c>
      <c r="Q297" s="137">
        <v>3.4000000000000002E-2</v>
      </c>
      <c r="R297" s="137">
        <f>Q297*H297</f>
        <v>2.5056639999999999</v>
      </c>
      <c r="S297" s="137">
        <v>0</v>
      </c>
      <c r="T297" s="138">
        <f>S297*H297</f>
        <v>0</v>
      </c>
      <c r="AR297" s="139" t="s">
        <v>446</v>
      </c>
      <c r="AT297" s="139" t="s">
        <v>519</v>
      </c>
      <c r="AU297" s="139" t="s">
        <v>90</v>
      </c>
      <c r="AY297" s="2" t="s">
        <v>337</v>
      </c>
      <c r="BE297" s="140">
        <f>IF(N297="základní",J297,0)</f>
        <v>0</v>
      </c>
      <c r="BF297" s="140">
        <f>IF(N297="snížená",J297,0)</f>
        <v>0</v>
      </c>
      <c r="BG297" s="140">
        <f>IF(N297="zákl. přenesená",J297,0)</f>
        <v>0</v>
      </c>
      <c r="BH297" s="140">
        <f>IF(N297="sníž. přenesená",J297,0)</f>
        <v>0</v>
      </c>
      <c r="BI297" s="140">
        <f>IF(N297="nulová",J297,0)</f>
        <v>0</v>
      </c>
      <c r="BJ297" s="2" t="s">
        <v>87</v>
      </c>
      <c r="BK297" s="140">
        <f>ROUND(I297*H297,2)</f>
        <v>0</v>
      </c>
      <c r="BL297" s="2" t="s">
        <v>344</v>
      </c>
      <c r="BM297" s="139" t="s">
        <v>8341</v>
      </c>
    </row>
    <row r="298" spans="2:65" s="16" customFormat="1" ht="16.5" customHeight="1" x14ac:dyDescent="0.2">
      <c r="B298" s="17"/>
      <c r="C298" s="128">
        <v>44</v>
      </c>
      <c r="D298" s="128" t="s">
        <v>339</v>
      </c>
      <c r="E298" s="129" t="s">
        <v>8342</v>
      </c>
      <c r="F298" s="130" t="s">
        <v>8343</v>
      </c>
      <c r="G298" s="131" t="s">
        <v>724</v>
      </c>
      <c r="H298" s="132">
        <v>9.35</v>
      </c>
      <c r="I298" s="133"/>
      <c r="J298" s="134">
        <f>ROUND(I298*H298,2)</f>
        <v>0</v>
      </c>
      <c r="K298" s="130" t="s">
        <v>343</v>
      </c>
      <c r="L298" s="17"/>
      <c r="M298" s="135"/>
      <c r="N298" s="136" t="s">
        <v>45</v>
      </c>
      <c r="P298" s="137">
        <f>O298*H298</f>
        <v>0</v>
      </c>
      <c r="Q298" s="137">
        <v>4.0739999999999998E-2</v>
      </c>
      <c r="R298" s="137">
        <f>Q298*H298</f>
        <v>0.38091899999999995</v>
      </c>
      <c r="S298" s="137">
        <v>0</v>
      </c>
      <c r="T298" s="138">
        <f>S298*H298</f>
        <v>0</v>
      </c>
      <c r="AR298" s="139" t="s">
        <v>344</v>
      </c>
      <c r="AT298" s="139" t="s">
        <v>339</v>
      </c>
      <c r="AU298" s="139" t="s">
        <v>90</v>
      </c>
      <c r="AY298" s="2" t="s">
        <v>337</v>
      </c>
      <c r="BE298" s="140">
        <f>IF(N298="základní",J298,0)</f>
        <v>0</v>
      </c>
      <c r="BF298" s="140">
        <f>IF(N298="snížená",J298,0)</f>
        <v>0</v>
      </c>
      <c r="BG298" s="140">
        <f>IF(N298="zákl. přenesená",J298,0)</f>
        <v>0</v>
      </c>
      <c r="BH298" s="140">
        <f>IF(N298="sníž. přenesená",J298,0)</f>
        <v>0</v>
      </c>
      <c r="BI298" s="140">
        <f>IF(N298="nulová",J298,0)</f>
        <v>0</v>
      </c>
      <c r="BJ298" s="2" t="s">
        <v>87</v>
      </c>
      <c r="BK298" s="140">
        <f>ROUND(I298*H298,2)</f>
        <v>0</v>
      </c>
      <c r="BL298" s="2" t="s">
        <v>344</v>
      </c>
      <c r="BM298" s="139" t="s">
        <v>8344</v>
      </c>
    </row>
    <row r="299" spans="2:65" s="141" customFormat="1" x14ac:dyDescent="0.2">
      <c r="B299" s="142"/>
      <c r="D299" s="143" t="s">
        <v>346</v>
      </c>
      <c r="E299" s="144"/>
      <c r="F299" s="145" t="s">
        <v>8345</v>
      </c>
      <c r="H299" s="144"/>
      <c r="L299" s="142"/>
      <c r="M299" s="146"/>
      <c r="T299" s="147"/>
      <c r="AT299" s="144" t="s">
        <v>346</v>
      </c>
      <c r="AU299" s="144" t="s">
        <v>90</v>
      </c>
      <c r="AV299" s="141" t="s">
        <v>87</v>
      </c>
      <c r="AW299" s="141" t="s">
        <v>33</v>
      </c>
      <c r="AX299" s="141" t="s">
        <v>80</v>
      </c>
      <c r="AY299" s="144" t="s">
        <v>337</v>
      </c>
    </row>
    <row r="300" spans="2:65" s="148" customFormat="1" x14ac:dyDescent="0.2">
      <c r="B300" s="149"/>
      <c r="D300" s="143" t="s">
        <v>346</v>
      </c>
      <c r="E300" s="150"/>
      <c r="F300" s="151" t="s">
        <v>8346</v>
      </c>
      <c r="H300" s="152">
        <v>9.35</v>
      </c>
      <c r="L300" s="149"/>
      <c r="M300" s="153"/>
      <c r="T300" s="154"/>
      <c r="AT300" s="150" t="s">
        <v>346</v>
      </c>
      <c r="AU300" s="150" t="s">
        <v>90</v>
      </c>
      <c r="AV300" s="148" t="s">
        <v>90</v>
      </c>
      <c r="AW300" s="148" t="s">
        <v>33</v>
      </c>
      <c r="AX300" s="148" t="s">
        <v>87</v>
      </c>
      <c r="AY300" s="150" t="s">
        <v>337</v>
      </c>
    </row>
    <row r="301" spans="2:65" s="116" customFormat="1" ht="22.9" customHeight="1" x14ac:dyDescent="0.2">
      <c r="B301" s="117"/>
      <c r="D301" s="118" t="s">
        <v>79</v>
      </c>
      <c r="E301" s="126" t="s">
        <v>422</v>
      </c>
      <c r="F301" s="126" t="s">
        <v>3283</v>
      </c>
      <c r="J301" s="127">
        <f>BK301</f>
        <v>0</v>
      </c>
      <c r="L301" s="117"/>
      <c r="M301" s="121"/>
      <c r="P301" s="122">
        <f>SUM(P302:P365)</f>
        <v>0</v>
      </c>
      <c r="R301" s="122">
        <f>SUM(R302:R365)</f>
        <v>588.35094299999992</v>
      </c>
      <c r="T301" s="123">
        <f>SUM(T302:T365)</f>
        <v>0</v>
      </c>
      <c r="AR301" s="118" t="s">
        <v>87</v>
      </c>
      <c r="AT301" s="124" t="s">
        <v>79</v>
      </c>
      <c r="AU301" s="124" t="s">
        <v>87</v>
      </c>
      <c r="AY301" s="118" t="s">
        <v>337</v>
      </c>
      <c r="BK301" s="125">
        <f>SUM(BK302:BK365)</f>
        <v>0</v>
      </c>
    </row>
    <row r="302" spans="2:65" s="16" customFormat="1" ht="16.5" customHeight="1" x14ac:dyDescent="0.2">
      <c r="B302" s="17"/>
      <c r="C302" s="128">
        <v>45</v>
      </c>
      <c r="D302" s="128" t="s">
        <v>339</v>
      </c>
      <c r="E302" s="129" t="s">
        <v>8347</v>
      </c>
      <c r="F302" s="130" t="s">
        <v>8348</v>
      </c>
      <c r="G302" s="131" t="s">
        <v>425</v>
      </c>
      <c r="H302" s="132">
        <v>1066.55</v>
      </c>
      <c r="I302" s="133"/>
      <c r="J302" s="134">
        <f>ROUND(I302*H302,2)</f>
        <v>0</v>
      </c>
      <c r="K302" s="130" t="s">
        <v>343</v>
      </c>
      <c r="L302" s="17"/>
      <c r="M302" s="135"/>
      <c r="N302" s="136" t="s">
        <v>45</v>
      </c>
      <c r="P302" s="137">
        <f>O302*H302</f>
        <v>0</v>
      </c>
      <c r="Q302" s="137">
        <v>0</v>
      </c>
      <c r="R302" s="137">
        <f>Q302*H302</f>
        <v>0</v>
      </c>
      <c r="S302" s="137">
        <v>0</v>
      </c>
      <c r="T302" s="138">
        <f>S302*H302</f>
        <v>0</v>
      </c>
      <c r="AR302" s="139" t="s">
        <v>344</v>
      </c>
      <c r="AT302" s="139" t="s">
        <v>339</v>
      </c>
      <c r="AU302" s="139" t="s">
        <v>90</v>
      </c>
      <c r="AY302" s="2" t="s">
        <v>337</v>
      </c>
      <c r="BE302" s="140">
        <f>IF(N302="základní",J302,0)</f>
        <v>0</v>
      </c>
      <c r="BF302" s="140">
        <f>IF(N302="snížená",J302,0)</f>
        <v>0</v>
      </c>
      <c r="BG302" s="140">
        <f>IF(N302="zákl. přenesená",J302,0)</f>
        <v>0</v>
      </c>
      <c r="BH302" s="140">
        <f>IF(N302="sníž. přenesená",J302,0)</f>
        <v>0</v>
      </c>
      <c r="BI302" s="140">
        <f>IF(N302="nulová",J302,0)</f>
        <v>0</v>
      </c>
      <c r="BJ302" s="2" t="s">
        <v>87</v>
      </c>
      <c r="BK302" s="140">
        <f>ROUND(I302*H302,2)</f>
        <v>0</v>
      </c>
      <c r="BL302" s="2" t="s">
        <v>344</v>
      </c>
      <c r="BM302" s="139" t="s">
        <v>8349</v>
      </c>
    </row>
    <row r="303" spans="2:65" s="141" customFormat="1" x14ac:dyDescent="0.2">
      <c r="B303" s="142"/>
      <c r="D303" s="143" t="s">
        <v>346</v>
      </c>
      <c r="E303" s="144"/>
      <c r="F303" s="145" t="s">
        <v>8350</v>
      </c>
      <c r="H303" s="144"/>
      <c r="L303" s="142"/>
      <c r="M303" s="146"/>
      <c r="T303" s="147"/>
      <c r="AT303" s="144" t="s">
        <v>346</v>
      </c>
      <c r="AU303" s="144" t="s">
        <v>90</v>
      </c>
      <c r="AV303" s="141" t="s">
        <v>87</v>
      </c>
      <c r="AW303" s="141" t="s">
        <v>33</v>
      </c>
      <c r="AX303" s="141" t="s">
        <v>80</v>
      </c>
      <c r="AY303" s="144" t="s">
        <v>337</v>
      </c>
    </row>
    <row r="304" spans="2:65" s="148" customFormat="1" x14ac:dyDescent="0.2">
      <c r="B304" s="149"/>
      <c r="D304" s="143" t="s">
        <v>346</v>
      </c>
      <c r="E304" s="150"/>
      <c r="F304" s="151" t="s">
        <v>8351</v>
      </c>
      <c r="H304" s="152">
        <v>95.45</v>
      </c>
      <c r="L304" s="149"/>
      <c r="M304" s="153"/>
      <c r="T304" s="154"/>
      <c r="AT304" s="150" t="s">
        <v>346</v>
      </c>
      <c r="AU304" s="150" t="s">
        <v>90</v>
      </c>
      <c r="AV304" s="148" t="s">
        <v>90</v>
      </c>
      <c r="AW304" s="148" t="s">
        <v>33</v>
      </c>
      <c r="AX304" s="148" t="s">
        <v>80</v>
      </c>
      <c r="AY304" s="150" t="s">
        <v>337</v>
      </c>
    </row>
    <row r="305" spans="2:65" s="148" customFormat="1" x14ac:dyDescent="0.2">
      <c r="B305" s="149"/>
      <c r="D305" s="143" t="s">
        <v>346</v>
      </c>
      <c r="E305" s="150"/>
      <c r="F305" s="151" t="s">
        <v>8352</v>
      </c>
      <c r="H305" s="152">
        <v>178.45</v>
      </c>
      <c r="L305" s="149"/>
      <c r="M305" s="153"/>
      <c r="T305" s="154"/>
      <c r="AT305" s="150" t="s">
        <v>346</v>
      </c>
      <c r="AU305" s="150" t="s">
        <v>90</v>
      </c>
      <c r="AV305" s="148" t="s">
        <v>90</v>
      </c>
      <c r="AW305" s="148" t="s">
        <v>33</v>
      </c>
      <c r="AX305" s="148" t="s">
        <v>80</v>
      </c>
      <c r="AY305" s="150" t="s">
        <v>337</v>
      </c>
    </row>
    <row r="306" spans="2:65" s="148" customFormat="1" x14ac:dyDescent="0.2">
      <c r="B306" s="149"/>
      <c r="D306" s="143" t="s">
        <v>346</v>
      </c>
      <c r="E306" s="150"/>
      <c r="F306" s="151" t="s">
        <v>8353</v>
      </c>
      <c r="H306" s="152">
        <v>261.45</v>
      </c>
      <c r="L306" s="149"/>
      <c r="M306" s="153"/>
      <c r="T306" s="154"/>
      <c r="AT306" s="150" t="s">
        <v>346</v>
      </c>
      <c r="AU306" s="150" t="s">
        <v>90</v>
      </c>
      <c r="AV306" s="148" t="s">
        <v>90</v>
      </c>
      <c r="AW306" s="148" t="s">
        <v>33</v>
      </c>
      <c r="AX306" s="148" t="s">
        <v>80</v>
      </c>
      <c r="AY306" s="150" t="s">
        <v>337</v>
      </c>
    </row>
    <row r="307" spans="2:65" s="148" customFormat="1" x14ac:dyDescent="0.2">
      <c r="B307" s="149"/>
      <c r="D307" s="143" t="s">
        <v>346</v>
      </c>
      <c r="E307" s="150"/>
      <c r="F307" s="151" t="s">
        <v>8354</v>
      </c>
      <c r="H307" s="152">
        <v>323.7</v>
      </c>
      <c r="L307" s="149"/>
      <c r="M307" s="153"/>
      <c r="T307" s="154"/>
      <c r="AT307" s="150" t="s">
        <v>346</v>
      </c>
      <c r="AU307" s="150" t="s">
        <v>90</v>
      </c>
      <c r="AV307" s="148" t="s">
        <v>90</v>
      </c>
      <c r="AW307" s="148" t="s">
        <v>33</v>
      </c>
      <c r="AX307" s="148" t="s">
        <v>80</v>
      </c>
      <c r="AY307" s="150" t="s">
        <v>337</v>
      </c>
    </row>
    <row r="308" spans="2:65" s="148" customFormat="1" x14ac:dyDescent="0.2">
      <c r="B308" s="149"/>
      <c r="D308" s="143" t="s">
        <v>346</v>
      </c>
      <c r="E308" s="150"/>
      <c r="F308" s="151" t="s">
        <v>8355</v>
      </c>
      <c r="H308" s="152">
        <v>207.5</v>
      </c>
      <c r="L308" s="149"/>
      <c r="M308" s="153"/>
      <c r="T308" s="154"/>
      <c r="AT308" s="150" t="s">
        <v>346</v>
      </c>
      <c r="AU308" s="150" t="s">
        <v>90</v>
      </c>
      <c r="AV308" s="148" t="s">
        <v>90</v>
      </c>
      <c r="AW308" s="148" t="s">
        <v>33</v>
      </c>
      <c r="AX308" s="148" t="s">
        <v>80</v>
      </c>
      <c r="AY308" s="150" t="s">
        <v>337</v>
      </c>
    </row>
    <row r="309" spans="2:65" s="155" customFormat="1" x14ac:dyDescent="0.2">
      <c r="B309" s="156"/>
      <c r="D309" s="143" t="s">
        <v>346</v>
      </c>
      <c r="E309" s="157"/>
      <c r="F309" s="158" t="s">
        <v>351</v>
      </c>
      <c r="H309" s="159">
        <v>1066.55</v>
      </c>
      <c r="L309" s="156"/>
      <c r="M309" s="160"/>
      <c r="T309" s="161"/>
      <c r="AT309" s="157" t="s">
        <v>346</v>
      </c>
      <c r="AU309" s="157" t="s">
        <v>90</v>
      </c>
      <c r="AV309" s="155" t="s">
        <v>344</v>
      </c>
      <c r="AW309" s="155" t="s">
        <v>33</v>
      </c>
      <c r="AX309" s="155" t="s">
        <v>87</v>
      </c>
      <c r="AY309" s="157" t="s">
        <v>337</v>
      </c>
    </row>
    <row r="310" spans="2:65" s="16" customFormat="1" ht="16.5" customHeight="1" x14ac:dyDescent="0.2">
      <c r="B310" s="17"/>
      <c r="C310" s="162">
        <v>46</v>
      </c>
      <c r="D310" s="162" t="s">
        <v>519</v>
      </c>
      <c r="E310" s="163" t="s">
        <v>8356</v>
      </c>
      <c r="F310" s="164" t="s">
        <v>8357</v>
      </c>
      <c r="G310" s="165" t="s">
        <v>990</v>
      </c>
      <c r="H310" s="166">
        <v>383.95800000000003</v>
      </c>
      <c r="I310" s="167"/>
      <c r="J310" s="168">
        <f>ROUND(I310*H310,2)</f>
        <v>0</v>
      </c>
      <c r="K310" s="164" t="s">
        <v>343</v>
      </c>
      <c r="L310" s="169"/>
      <c r="M310" s="170"/>
      <c r="N310" s="171" t="s">
        <v>45</v>
      </c>
      <c r="P310" s="137">
        <f>O310*H310</f>
        <v>0</v>
      </c>
      <c r="Q310" s="137">
        <v>1</v>
      </c>
      <c r="R310" s="137">
        <f>Q310*H310</f>
        <v>383.95800000000003</v>
      </c>
      <c r="S310" s="137">
        <v>0</v>
      </c>
      <c r="T310" s="138">
        <f>S310*H310</f>
        <v>0</v>
      </c>
      <c r="AR310" s="139" t="s">
        <v>446</v>
      </c>
      <c r="AT310" s="139" t="s">
        <v>519</v>
      </c>
      <c r="AU310" s="139" t="s">
        <v>90</v>
      </c>
      <c r="AY310" s="2" t="s">
        <v>337</v>
      </c>
      <c r="BE310" s="140">
        <f>IF(N310="základní",J310,0)</f>
        <v>0</v>
      </c>
      <c r="BF310" s="140">
        <f>IF(N310="snížená",J310,0)</f>
        <v>0</v>
      </c>
      <c r="BG310" s="140">
        <f>IF(N310="zákl. přenesená",J310,0)</f>
        <v>0</v>
      </c>
      <c r="BH310" s="140">
        <f>IF(N310="sníž. přenesená",J310,0)</f>
        <v>0</v>
      </c>
      <c r="BI310" s="140">
        <f>IF(N310="nulová",J310,0)</f>
        <v>0</v>
      </c>
      <c r="BJ310" s="2" t="s">
        <v>87</v>
      </c>
      <c r="BK310" s="140">
        <f>ROUND(I310*H310,2)</f>
        <v>0</v>
      </c>
      <c r="BL310" s="2" t="s">
        <v>344</v>
      </c>
      <c r="BM310" s="139" t="s">
        <v>8358</v>
      </c>
    </row>
    <row r="311" spans="2:65" s="141" customFormat="1" x14ac:dyDescent="0.2">
      <c r="B311" s="142"/>
      <c r="D311" s="143" t="s">
        <v>346</v>
      </c>
      <c r="E311" s="144"/>
      <c r="F311" s="145" t="s">
        <v>8359</v>
      </c>
      <c r="H311" s="144"/>
      <c r="L311" s="142"/>
      <c r="M311" s="146"/>
      <c r="T311" s="147"/>
      <c r="AT311" s="144" t="s">
        <v>346</v>
      </c>
      <c r="AU311" s="144" t="s">
        <v>90</v>
      </c>
      <c r="AV311" s="141" t="s">
        <v>87</v>
      </c>
      <c r="AW311" s="141" t="s">
        <v>33</v>
      </c>
      <c r="AX311" s="141" t="s">
        <v>80</v>
      </c>
      <c r="AY311" s="144" t="s">
        <v>337</v>
      </c>
    </row>
    <row r="312" spans="2:65" s="148" customFormat="1" x14ac:dyDescent="0.2">
      <c r="B312" s="149"/>
      <c r="D312" s="143" t="s">
        <v>346</v>
      </c>
      <c r="E312" s="150"/>
      <c r="F312" s="151" t="s">
        <v>8360</v>
      </c>
      <c r="H312" s="152">
        <v>1066.55</v>
      </c>
      <c r="L312" s="149"/>
      <c r="M312" s="153"/>
      <c r="T312" s="154"/>
      <c r="AT312" s="150" t="s">
        <v>346</v>
      </c>
      <c r="AU312" s="150" t="s">
        <v>90</v>
      </c>
      <c r="AV312" s="148" t="s">
        <v>90</v>
      </c>
      <c r="AW312" s="148" t="s">
        <v>33</v>
      </c>
      <c r="AX312" s="148" t="s">
        <v>87</v>
      </c>
      <c r="AY312" s="150" t="s">
        <v>337</v>
      </c>
    </row>
    <row r="313" spans="2:65" s="148" customFormat="1" x14ac:dyDescent="0.2">
      <c r="B313" s="149"/>
      <c r="D313" s="143" t="s">
        <v>346</v>
      </c>
      <c r="F313" s="151" t="s">
        <v>8361</v>
      </c>
      <c r="H313" s="152">
        <v>383.95800000000003</v>
      </c>
      <c r="L313" s="149"/>
      <c r="M313" s="153"/>
      <c r="T313" s="154"/>
      <c r="AT313" s="150" t="s">
        <v>346</v>
      </c>
      <c r="AU313" s="150" t="s">
        <v>90</v>
      </c>
      <c r="AV313" s="148" t="s">
        <v>90</v>
      </c>
      <c r="AW313" s="148" t="s">
        <v>3</v>
      </c>
      <c r="AX313" s="148" t="s">
        <v>87</v>
      </c>
      <c r="AY313" s="150" t="s">
        <v>337</v>
      </c>
    </row>
    <row r="314" spans="2:65" s="16" customFormat="1" ht="16.5" customHeight="1" x14ac:dyDescent="0.2">
      <c r="B314" s="17"/>
      <c r="C314" s="128">
        <v>47</v>
      </c>
      <c r="D314" s="128" t="s">
        <v>339</v>
      </c>
      <c r="E314" s="129" t="s">
        <v>8362</v>
      </c>
      <c r="F314" s="130" t="s">
        <v>8363</v>
      </c>
      <c r="G314" s="131" t="s">
        <v>425</v>
      </c>
      <c r="H314" s="132">
        <v>107.06</v>
      </c>
      <c r="I314" s="133"/>
      <c r="J314" s="134">
        <f>ROUND(I314*H314,2)</f>
        <v>0</v>
      </c>
      <c r="K314" s="130" t="s">
        <v>343</v>
      </c>
      <c r="L314" s="17"/>
      <c r="M314" s="135"/>
      <c r="N314" s="136" t="s">
        <v>45</v>
      </c>
      <c r="P314" s="137">
        <f>O314*H314</f>
        <v>0</v>
      </c>
      <c r="Q314" s="137">
        <v>0</v>
      </c>
      <c r="R314" s="137">
        <f>Q314*H314</f>
        <v>0</v>
      </c>
      <c r="S314" s="137">
        <v>0</v>
      </c>
      <c r="T314" s="138">
        <f>S314*H314</f>
        <v>0</v>
      </c>
      <c r="AR314" s="139" t="s">
        <v>344</v>
      </c>
      <c r="AT314" s="139" t="s">
        <v>339</v>
      </c>
      <c r="AU314" s="139" t="s">
        <v>90</v>
      </c>
      <c r="AY314" s="2" t="s">
        <v>337</v>
      </c>
      <c r="BE314" s="140">
        <f>IF(N314="základní",J314,0)</f>
        <v>0</v>
      </c>
      <c r="BF314" s="140">
        <f>IF(N314="snížená",J314,0)</f>
        <v>0</v>
      </c>
      <c r="BG314" s="140">
        <f>IF(N314="zákl. přenesená",J314,0)</f>
        <v>0</v>
      </c>
      <c r="BH314" s="140">
        <f>IF(N314="sníž. přenesená",J314,0)</f>
        <v>0</v>
      </c>
      <c r="BI314" s="140">
        <f>IF(N314="nulová",J314,0)</f>
        <v>0</v>
      </c>
      <c r="BJ314" s="2" t="s">
        <v>87</v>
      </c>
      <c r="BK314" s="140">
        <f>ROUND(I314*H314,2)</f>
        <v>0</v>
      </c>
      <c r="BL314" s="2" t="s">
        <v>344</v>
      </c>
      <c r="BM314" s="139" t="s">
        <v>8364</v>
      </c>
    </row>
    <row r="315" spans="2:65" s="141" customFormat="1" x14ac:dyDescent="0.2">
      <c r="B315" s="142"/>
      <c r="D315" s="143" t="s">
        <v>346</v>
      </c>
      <c r="E315" s="144"/>
      <c r="F315" s="145" t="s">
        <v>8365</v>
      </c>
      <c r="H315" s="144"/>
      <c r="L315" s="142"/>
      <c r="M315" s="146"/>
      <c r="T315" s="147"/>
      <c r="AT315" s="144" t="s">
        <v>346</v>
      </c>
      <c r="AU315" s="144" t="s">
        <v>90</v>
      </c>
      <c r="AV315" s="141" t="s">
        <v>87</v>
      </c>
      <c r="AW315" s="141" t="s">
        <v>33</v>
      </c>
      <c r="AX315" s="141" t="s">
        <v>80</v>
      </c>
      <c r="AY315" s="144" t="s">
        <v>337</v>
      </c>
    </row>
    <row r="316" spans="2:65" s="148" customFormat="1" x14ac:dyDescent="0.2">
      <c r="B316" s="149"/>
      <c r="D316" s="143" t="s">
        <v>346</v>
      </c>
      <c r="E316" s="150"/>
      <c r="F316" s="151" t="s">
        <v>8366</v>
      </c>
      <c r="H316" s="152">
        <v>67.42</v>
      </c>
      <c r="L316" s="149"/>
      <c r="M316" s="153"/>
      <c r="T316" s="154"/>
      <c r="AT316" s="150" t="s">
        <v>346</v>
      </c>
      <c r="AU316" s="150" t="s">
        <v>90</v>
      </c>
      <c r="AV316" s="148" t="s">
        <v>90</v>
      </c>
      <c r="AW316" s="148" t="s">
        <v>33</v>
      </c>
      <c r="AX316" s="148" t="s">
        <v>80</v>
      </c>
      <c r="AY316" s="150" t="s">
        <v>337</v>
      </c>
    </row>
    <row r="317" spans="2:65" s="148" customFormat="1" x14ac:dyDescent="0.2">
      <c r="B317" s="149"/>
      <c r="D317" s="143" t="s">
        <v>346</v>
      </c>
      <c r="E317" s="150"/>
      <c r="F317" s="151" t="s">
        <v>8367</v>
      </c>
      <c r="H317" s="152">
        <v>19.84</v>
      </c>
      <c r="L317" s="149"/>
      <c r="M317" s="153"/>
      <c r="T317" s="154"/>
      <c r="AT317" s="150" t="s">
        <v>346</v>
      </c>
      <c r="AU317" s="150" t="s">
        <v>90</v>
      </c>
      <c r="AV317" s="148" t="s">
        <v>90</v>
      </c>
      <c r="AW317" s="148" t="s">
        <v>33</v>
      </c>
      <c r="AX317" s="148" t="s">
        <v>80</v>
      </c>
      <c r="AY317" s="150" t="s">
        <v>337</v>
      </c>
    </row>
    <row r="318" spans="2:65" s="148" customFormat="1" x14ac:dyDescent="0.2">
      <c r="B318" s="149"/>
      <c r="D318" s="143" t="s">
        <v>346</v>
      </c>
      <c r="E318" s="150"/>
      <c r="F318" s="151" t="s">
        <v>8368</v>
      </c>
      <c r="H318" s="152">
        <v>19.8</v>
      </c>
      <c r="L318" s="149"/>
      <c r="M318" s="153"/>
      <c r="T318" s="154"/>
      <c r="AT318" s="150" t="s">
        <v>346</v>
      </c>
      <c r="AU318" s="150" t="s">
        <v>90</v>
      </c>
      <c r="AV318" s="148" t="s">
        <v>90</v>
      </c>
      <c r="AW318" s="148" t="s">
        <v>33</v>
      </c>
      <c r="AX318" s="148" t="s">
        <v>80</v>
      </c>
      <c r="AY318" s="150" t="s">
        <v>337</v>
      </c>
    </row>
    <row r="319" spans="2:65" s="155" customFormat="1" x14ac:dyDescent="0.2">
      <c r="B319" s="156"/>
      <c r="D319" s="143" t="s">
        <v>346</v>
      </c>
      <c r="E319" s="157"/>
      <c r="F319" s="158" t="s">
        <v>351</v>
      </c>
      <c r="H319" s="159">
        <v>107.06</v>
      </c>
      <c r="L319" s="156"/>
      <c r="M319" s="160"/>
      <c r="T319" s="161"/>
      <c r="AT319" s="157" t="s">
        <v>346</v>
      </c>
      <c r="AU319" s="157" t="s">
        <v>90</v>
      </c>
      <c r="AV319" s="155" t="s">
        <v>344</v>
      </c>
      <c r="AW319" s="155" t="s">
        <v>33</v>
      </c>
      <c r="AX319" s="155" t="s">
        <v>87</v>
      </c>
      <c r="AY319" s="157" t="s">
        <v>337</v>
      </c>
    </row>
    <row r="320" spans="2:65" s="16" customFormat="1" ht="16.5" customHeight="1" x14ac:dyDescent="0.2">
      <c r="B320" s="17"/>
      <c r="C320" s="128">
        <v>48</v>
      </c>
      <c r="D320" s="128" t="s">
        <v>339</v>
      </c>
      <c r="E320" s="129" t="s">
        <v>8369</v>
      </c>
      <c r="F320" s="130" t="s">
        <v>8370</v>
      </c>
      <c r="G320" s="131" t="s">
        <v>425</v>
      </c>
      <c r="H320" s="132">
        <v>316.8</v>
      </c>
      <c r="I320" s="133"/>
      <c r="J320" s="134">
        <f>ROUND(I320*H320,2)</f>
        <v>0</v>
      </c>
      <c r="K320" s="130" t="s">
        <v>343</v>
      </c>
      <c r="L320" s="17"/>
      <c r="M320" s="135"/>
      <c r="N320" s="136" t="s">
        <v>45</v>
      </c>
      <c r="P320" s="137">
        <f>O320*H320</f>
        <v>0</v>
      </c>
      <c r="Q320" s="137">
        <v>0</v>
      </c>
      <c r="R320" s="137">
        <f>Q320*H320</f>
        <v>0</v>
      </c>
      <c r="S320" s="137">
        <v>0</v>
      </c>
      <c r="T320" s="138">
        <f>S320*H320</f>
        <v>0</v>
      </c>
      <c r="AR320" s="139" t="s">
        <v>344</v>
      </c>
      <c r="AT320" s="139" t="s">
        <v>339</v>
      </c>
      <c r="AU320" s="139" t="s">
        <v>90</v>
      </c>
      <c r="AY320" s="2" t="s">
        <v>337</v>
      </c>
      <c r="BE320" s="140">
        <f>IF(N320="základní",J320,0)</f>
        <v>0</v>
      </c>
      <c r="BF320" s="140">
        <f>IF(N320="snížená",J320,0)</f>
        <v>0</v>
      </c>
      <c r="BG320" s="140">
        <f>IF(N320="zákl. přenesená",J320,0)</f>
        <v>0</v>
      </c>
      <c r="BH320" s="140">
        <f>IF(N320="sníž. přenesená",J320,0)</f>
        <v>0</v>
      </c>
      <c r="BI320" s="140">
        <f>IF(N320="nulová",J320,0)</f>
        <v>0</v>
      </c>
      <c r="BJ320" s="2" t="s">
        <v>87</v>
      </c>
      <c r="BK320" s="140">
        <f>ROUND(I320*H320,2)</f>
        <v>0</v>
      </c>
      <c r="BL320" s="2" t="s">
        <v>344</v>
      </c>
      <c r="BM320" s="139" t="s">
        <v>8371</v>
      </c>
    </row>
    <row r="321" spans="2:65" s="141" customFormat="1" x14ac:dyDescent="0.2">
      <c r="B321" s="142"/>
      <c r="D321" s="143" t="s">
        <v>346</v>
      </c>
      <c r="E321" s="144"/>
      <c r="F321" s="145" t="s">
        <v>8372</v>
      </c>
      <c r="H321" s="144"/>
      <c r="L321" s="142"/>
      <c r="M321" s="146"/>
      <c r="T321" s="147"/>
      <c r="AT321" s="144" t="s">
        <v>346</v>
      </c>
      <c r="AU321" s="144" t="s">
        <v>90</v>
      </c>
      <c r="AV321" s="141" t="s">
        <v>87</v>
      </c>
      <c r="AW321" s="141" t="s">
        <v>33</v>
      </c>
      <c r="AX321" s="141" t="s">
        <v>80</v>
      </c>
      <c r="AY321" s="144" t="s">
        <v>337</v>
      </c>
    </row>
    <row r="322" spans="2:65" s="148" customFormat="1" x14ac:dyDescent="0.2">
      <c r="B322" s="149"/>
      <c r="D322" s="143" t="s">
        <v>346</v>
      </c>
      <c r="E322" s="150"/>
      <c r="F322" s="151" t="s">
        <v>8373</v>
      </c>
      <c r="H322" s="152">
        <v>316.8</v>
      </c>
      <c r="L322" s="149"/>
      <c r="M322" s="153"/>
      <c r="T322" s="154"/>
      <c r="AT322" s="150" t="s">
        <v>346</v>
      </c>
      <c r="AU322" s="150" t="s">
        <v>90</v>
      </c>
      <c r="AV322" s="148" t="s">
        <v>90</v>
      </c>
      <c r="AW322" s="148" t="s">
        <v>33</v>
      </c>
      <c r="AX322" s="148" t="s">
        <v>87</v>
      </c>
      <c r="AY322" s="150" t="s">
        <v>337</v>
      </c>
    </row>
    <row r="323" spans="2:65" s="16" customFormat="1" ht="16.5" customHeight="1" x14ac:dyDescent="0.2">
      <c r="B323" s="17"/>
      <c r="C323" s="128">
        <v>49</v>
      </c>
      <c r="D323" s="128" t="s">
        <v>339</v>
      </c>
      <c r="E323" s="129" t="s">
        <v>3284</v>
      </c>
      <c r="F323" s="130" t="s">
        <v>3285</v>
      </c>
      <c r="G323" s="131" t="s">
        <v>425</v>
      </c>
      <c r="H323" s="132">
        <v>119.49299999999999</v>
      </c>
      <c r="I323" s="133"/>
      <c r="J323" s="134">
        <f>ROUND(I323*H323,2)</f>
        <v>0</v>
      </c>
      <c r="K323" s="130" t="s">
        <v>343</v>
      </c>
      <c r="L323" s="17"/>
      <c r="M323" s="135"/>
      <c r="N323" s="136" t="s">
        <v>45</v>
      </c>
      <c r="P323" s="137">
        <f>O323*H323</f>
        <v>0</v>
      </c>
      <c r="Q323" s="137">
        <v>0</v>
      </c>
      <c r="R323" s="137">
        <f>Q323*H323</f>
        <v>0</v>
      </c>
      <c r="S323" s="137">
        <v>0</v>
      </c>
      <c r="T323" s="138">
        <f>S323*H323</f>
        <v>0</v>
      </c>
      <c r="AR323" s="139" t="s">
        <v>344</v>
      </c>
      <c r="AT323" s="139" t="s">
        <v>339</v>
      </c>
      <c r="AU323" s="139" t="s">
        <v>90</v>
      </c>
      <c r="AY323" s="2" t="s">
        <v>337</v>
      </c>
      <c r="BE323" s="140">
        <f>IF(N323="základní",J323,0)</f>
        <v>0</v>
      </c>
      <c r="BF323" s="140">
        <f>IF(N323="snížená",J323,0)</f>
        <v>0</v>
      </c>
      <c r="BG323" s="140">
        <f>IF(N323="zákl. přenesená",J323,0)</f>
        <v>0</v>
      </c>
      <c r="BH323" s="140">
        <f>IF(N323="sníž. přenesená",J323,0)</f>
        <v>0</v>
      </c>
      <c r="BI323" s="140">
        <f>IF(N323="nulová",J323,0)</f>
        <v>0</v>
      </c>
      <c r="BJ323" s="2" t="s">
        <v>87</v>
      </c>
      <c r="BK323" s="140">
        <f>ROUND(I323*H323,2)</f>
        <v>0</v>
      </c>
      <c r="BL323" s="2" t="s">
        <v>344</v>
      </c>
      <c r="BM323" s="139" t="s">
        <v>8374</v>
      </c>
    </row>
    <row r="324" spans="2:65" s="141" customFormat="1" x14ac:dyDescent="0.2">
      <c r="B324" s="142"/>
      <c r="D324" s="143" t="s">
        <v>346</v>
      </c>
      <c r="E324" s="144"/>
      <c r="F324" s="145" t="s">
        <v>8375</v>
      </c>
      <c r="H324" s="144"/>
      <c r="L324" s="142"/>
      <c r="M324" s="146"/>
      <c r="T324" s="147"/>
      <c r="AT324" s="144" t="s">
        <v>346</v>
      </c>
      <c r="AU324" s="144" t="s">
        <v>90</v>
      </c>
      <c r="AV324" s="141" t="s">
        <v>87</v>
      </c>
      <c r="AW324" s="141" t="s">
        <v>33</v>
      </c>
      <c r="AX324" s="141" t="s">
        <v>80</v>
      </c>
      <c r="AY324" s="144" t="s">
        <v>337</v>
      </c>
    </row>
    <row r="325" spans="2:65" s="148" customFormat="1" x14ac:dyDescent="0.2">
      <c r="B325" s="149"/>
      <c r="D325" s="143" t="s">
        <v>346</v>
      </c>
      <c r="E325" s="150"/>
      <c r="F325" s="151" t="s">
        <v>8376</v>
      </c>
      <c r="H325" s="152">
        <v>119.49299999999999</v>
      </c>
      <c r="L325" s="149"/>
      <c r="M325" s="153"/>
      <c r="T325" s="154"/>
      <c r="AT325" s="150" t="s">
        <v>346</v>
      </c>
      <c r="AU325" s="150" t="s">
        <v>90</v>
      </c>
      <c r="AV325" s="148" t="s">
        <v>90</v>
      </c>
      <c r="AW325" s="148" t="s">
        <v>33</v>
      </c>
      <c r="AX325" s="148" t="s">
        <v>87</v>
      </c>
      <c r="AY325" s="150" t="s">
        <v>337</v>
      </c>
    </row>
    <row r="326" spans="2:65" s="16" customFormat="1" ht="16.5" customHeight="1" x14ac:dyDescent="0.2">
      <c r="B326" s="17"/>
      <c r="C326" s="128">
        <v>50</v>
      </c>
      <c r="D326" s="128" t="s">
        <v>339</v>
      </c>
      <c r="E326" s="129" t="s">
        <v>8377</v>
      </c>
      <c r="F326" s="130" t="s">
        <v>8378</v>
      </c>
      <c r="G326" s="131" t="s">
        <v>425</v>
      </c>
      <c r="H326" s="132">
        <v>577.995</v>
      </c>
      <c r="I326" s="133"/>
      <c r="J326" s="134">
        <f>ROUND(I326*H326,2)</f>
        <v>0</v>
      </c>
      <c r="K326" s="130" t="s">
        <v>343</v>
      </c>
      <c r="L326" s="17"/>
      <c r="M326" s="135"/>
      <c r="N326" s="136" t="s">
        <v>45</v>
      </c>
      <c r="P326" s="137">
        <f>O326*H326</f>
        <v>0</v>
      </c>
      <c r="Q326" s="137">
        <v>0</v>
      </c>
      <c r="R326" s="137">
        <f>Q326*H326</f>
        <v>0</v>
      </c>
      <c r="S326" s="137">
        <v>0</v>
      </c>
      <c r="T326" s="138">
        <f>S326*H326</f>
        <v>0</v>
      </c>
      <c r="AR326" s="139" t="s">
        <v>344</v>
      </c>
      <c r="AT326" s="139" t="s">
        <v>339</v>
      </c>
      <c r="AU326" s="139" t="s">
        <v>90</v>
      </c>
      <c r="AY326" s="2" t="s">
        <v>337</v>
      </c>
      <c r="BE326" s="140">
        <f>IF(N326="základní",J326,0)</f>
        <v>0</v>
      </c>
      <c r="BF326" s="140">
        <f>IF(N326="snížená",J326,0)</f>
        <v>0</v>
      </c>
      <c r="BG326" s="140">
        <f>IF(N326="zákl. přenesená",J326,0)</f>
        <v>0</v>
      </c>
      <c r="BH326" s="140">
        <f>IF(N326="sníž. přenesená",J326,0)</f>
        <v>0</v>
      </c>
      <c r="BI326" s="140">
        <f>IF(N326="nulová",J326,0)</f>
        <v>0</v>
      </c>
      <c r="BJ326" s="2" t="s">
        <v>87</v>
      </c>
      <c r="BK326" s="140">
        <f>ROUND(I326*H326,2)</f>
        <v>0</v>
      </c>
      <c r="BL326" s="2" t="s">
        <v>344</v>
      </c>
      <c r="BM326" s="139" t="s">
        <v>8379</v>
      </c>
    </row>
    <row r="327" spans="2:65" s="141" customFormat="1" x14ac:dyDescent="0.2">
      <c r="B327" s="142"/>
      <c r="D327" s="143" t="s">
        <v>346</v>
      </c>
      <c r="E327" s="144"/>
      <c r="F327" s="145" t="s">
        <v>8380</v>
      </c>
      <c r="H327" s="144"/>
      <c r="L327" s="142"/>
      <c r="M327" s="146"/>
      <c r="T327" s="147"/>
      <c r="AT327" s="144" t="s">
        <v>346</v>
      </c>
      <c r="AU327" s="144" t="s">
        <v>90</v>
      </c>
      <c r="AV327" s="141" t="s">
        <v>87</v>
      </c>
      <c r="AW327" s="141" t="s">
        <v>33</v>
      </c>
      <c r="AX327" s="141" t="s">
        <v>80</v>
      </c>
      <c r="AY327" s="144" t="s">
        <v>337</v>
      </c>
    </row>
    <row r="328" spans="2:65" s="148" customFormat="1" x14ac:dyDescent="0.2">
      <c r="B328" s="149"/>
      <c r="D328" s="143" t="s">
        <v>346</v>
      </c>
      <c r="E328" s="150"/>
      <c r="F328" s="151" t="s">
        <v>8381</v>
      </c>
      <c r="H328" s="152">
        <v>577.995</v>
      </c>
      <c r="L328" s="149"/>
      <c r="M328" s="153"/>
      <c r="T328" s="154"/>
      <c r="AT328" s="150" t="s">
        <v>346</v>
      </c>
      <c r="AU328" s="150" t="s">
        <v>90</v>
      </c>
      <c r="AV328" s="148" t="s">
        <v>90</v>
      </c>
      <c r="AW328" s="148" t="s">
        <v>33</v>
      </c>
      <c r="AX328" s="148" t="s">
        <v>87</v>
      </c>
      <c r="AY328" s="150" t="s">
        <v>337</v>
      </c>
    </row>
    <row r="329" spans="2:65" s="16" customFormat="1" ht="16.5" customHeight="1" x14ac:dyDescent="0.2">
      <c r="B329" s="17"/>
      <c r="C329" s="128">
        <v>51</v>
      </c>
      <c r="D329" s="128" t="s">
        <v>339</v>
      </c>
      <c r="E329" s="129" t="s">
        <v>8382</v>
      </c>
      <c r="F329" s="130" t="s">
        <v>8383</v>
      </c>
      <c r="G329" s="131" t="s">
        <v>425</v>
      </c>
      <c r="H329" s="132">
        <v>816.98500000000001</v>
      </c>
      <c r="I329" s="133"/>
      <c r="J329" s="134">
        <f>ROUND(I329*H329,2)</f>
        <v>0</v>
      </c>
      <c r="K329" s="130" t="s">
        <v>343</v>
      </c>
      <c r="L329" s="17"/>
      <c r="M329" s="135"/>
      <c r="N329" s="136" t="s">
        <v>45</v>
      </c>
      <c r="P329" s="137">
        <f>O329*H329</f>
        <v>0</v>
      </c>
      <c r="Q329" s="137">
        <v>0</v>
      </c>
      <c r="R329" s="137">
        <f>Q329*H329</f>
        <v>0</v>
      </c>
      <c r="S329" s="137">
        <v>0</v>
      </c>
      <c r="T329" s="138">
        <f>S329*H329</f>
        <v>0</v>
      </c>
      <c r="AR329" s="139" t="s">
        <v>344</v>
      </c>
      <c r="AT329" s="139" t="s">
        <v>339</v>
      </c>
      <c r="AU329" s="139" t="s">
        <v>90</v>
      </c>
      <c r="AY329" s="2" t="s">
        <v>337</v>
      </c>
      <c r="BE329" s="140">
        <f>IF(N329="základní",J329,0)</f>
        <v>0</v>
      </c>
      <c r="BF329" s="140">
        <f>IF(N329="snížená",J329,0)</f>
        <v>0</v>
      </c>
      <c r="BG329" s="140">
        <f>IF(N329="zákl. přenesená",J329,0)</f>
        <v>0</v>
      </c>
      <c r="BH329" s="140">
        <f>IF(N329="sníž. přenesená",J329,0)</f>
        <v>0</v>
      </c>
      <c r="BI329" s="140">
        <f>IF(N329="nulová",J329,0)</f>
        <v>0</v>
      </c>
      <c r="BJ329" s="2" t="s">
        <v>87</v>
      </c>
      <c r="BK329" s="140">
        <f>ROUND(I329*H329,2)</f>
        <v>0</v>
      </c>
      <c r="BL329" s="2" t="s">
        <v>344</v>
      </c>
      <c r="BM329" s="139" t="s">
        <v>8384</v>
      </c>
    </row>
    <row r="330" spans="2:65" s="141" customFormat="1" x14ac:dyDescent="0.2">
      <c r="B330" s="142"/>
      <c r="D330" s="143" t="s">
        <v>346</v>
      </c>
      <c r="E330" s="144"/>
      <c r="F330" s="145" t="s">
        <v>8385</v>
      </c>
      <c r="H330" s="144"/>
      <c r="L330" s="142"/>
      <c r="M330" s="146"/>
      <c r="T330" s="147"/>
      <c r="AT330" s="144" t="s">
        <v>346</v>
      </c>
      <c r="AU330" s="144" t="s">
        <v>90</v>
      </c>
      <c r="AV330" s="141" t="s">
        <v>87</v>
      </c>
      <c r="AW330" s="141" t="s">
        <v>33</v>
      </c>
      <c r="AX330" s="141" t="s">
        <v>80</v>
      </c>
      <c r="AY330" s="144" t="s">
        <v>337</v>
      </c>
    </row>
    <row r="331" spans="2:65" s="141" customFormat="1" x14ac:dyDescent="0.2">
      <c r="B331" s="142"/>
      <c r="D331" s="143" t="s">
        <v>346</v>
      </c>
      <c r="E331" s="144"/>
      <c r="F331" s="145" t="s">
        <v>8386</v>
      </c>
      <c r="H331" s="144"/>
      <c r="L331" s="142"/>
      <c r="M331" s="146"/>
      <c r="T331" s="147"/>
      <c r="AT331" s="144" t="s">
        <v>346</v>
      </c>
      <c r="AU331" s="144" t="s">
        <v>90</v>
      </c>
      <c r="AV331" s="141" t="s">
        <v>87</v>
      </c>
      <c r="AW331" s="141" t="s">
        <v>33</v>
      </c>
      <c r="AX331" s="141" t="s">
        <v>80</v>
      </c>
      <c r="AY331" s="144" t="s">
        <v>337</v>
      </c>
    </row>
    <row r="332" spans="2:65" s="148" customFormat="1" x14ac:dyDescent="0.2">
      <c r="B332" s="149"/>
      <c r="D332" s="143" t="s">
        <v>346</v>
      </c>
      <c r="E332" s="150"/>
      <c r="F332" s="151" t="s">
        <v>8387</v>
      </c>
      <c r="H332" s="152">
        <v>151.19999999999999</v>
      </c>
      <c r="L332" s="149"/>
      <c r="M332" s="153"/>
      <c r="T332" s="154"/>
      <c r="AT332" s="150" t="s">
        <v>346</v>
      </c>
      <c r="AU332" s="150" t="s">
        <v>90</v>
      </c>
      <c r="AV332" s="148" t="s">
        <v>90</v>
      </c>
      <c r="AW332" s="148" t="s">
        <v>33</v>
      </c>
      <c r="AX332" s="148" t="s">
        <v>80</v>
      </c>
      <c r="AY332" s="150" t="s">
        <v>337</v>
      </c>
    </row>
    <row r="333" spans="2:65" s="141" customFormat="1" x14ac:dyDescent="0.2">
      <c r="B333" s="142"/>
      <c r="D333" s="143" t="s">
        <v>346</v>
      </c>
      <c r="E333" s="144"/>
      <c r="F333" s="145" t="s">
        <v>8388</v>
      </c>
      <c r="H333" s="144"/>
      <c r="L333" s="142"/>
      <c r="M333" s="146"/>
      <c r="T333" s="147"/>
      <c r="AT333" s="144" t="s">
        <v>346</v>
      </c>
      <c r="AU333" s="144" t="s">
        <v>90</v>
      </c>
      <c r="AV333" s="141" t="s">
        <v>87</v>
      </c>
      <c r="AW333" s="141" t="s">
        <v>33</v>
      </c>
      <c r="AX333" s="141" t="s">
        <v>80</v>
      </c>
      <c r="AY333" s="144" t="s">
        <v>337</v>
      </c>
    </row>
    <row r="334" spans="2:65" s="148" customFormat="1" x14ac:dyDescent="0.2">
      <c r="B334" s="149"/>
      <c r="D334" s="143" t="s">
        <v>346</v>
      </c>
      <c r="E334" s="150"/>
      <c r="F334" s="151" t="s">
        <v>8389</v>
      </c>
      <c r="H334" s="152">
        <v>114.062</v>
      </c>
      <c r="L334" s="149"/>
      <c r="M334" s="153"/>
      <c r="T334" s="154"/>
      <c r="AT334" s="150" t="s">
        <v>346</v>
      </c>
      <c r="AU334" s="150" t="s">
        <v>90</v>
      </c>
      <c r="AV334" s="148" t="s">
        <v>90</v>
      </c>
      <c r="AW334" s="148" t="s">
        <v>33</v>
      </c>
      <c r="AX334" s="148" t="s">
        <v>80</v>
      </c>
      <c r="AY334" s="150" t="s">
        <v>337</v>
      </c>
    </row>
    <row r="335" spans="2:65" s="141" customFormat="1" x14ac:dyDescent="0.2">
      <c r="B335" s="142"/>
      <c r="D335" s="143" t="s">
        <v>346</v>
      </c>
      <c r="E335" s="144"/>
      <c r="F335" s="145" t="s">
        <v>8390</v>
      </c>
      <c r="H335" s="144"/>
      <c r="L335" s="142"/>
      <c r="M335" s="146"/>
      <c r="T335" s="147"/>
      <c r="AT335" s="144" t="s">
        <v>346</v>
      </c>
      <c r="AU335" s="144" t="s">
        <v>90</v>
      </c>
      <c r="AV335" s="141" t="s">
        <v>87</v>
      </c>
      <c r="AW335" s="141" t="s">
        <v>33</v>
      </c>
      <c r="AX335" s="141" t="s">
        <v>80</v>
      </c>
      <c r="AY335" s="144" t="s">
        <v>337</v>
      </c>
    </row>
    <row r="336" spans="2:65" s="148" customFormat="1" x14ac:dyDescent="0.2">
      <c r="B336" s="149"/>
      <c r="D336" s="143" t="s">
        <v>346</v>
      </c>
      <c r="E336" s="150"/>
      <c r="F336" s="151" t="s">
        <v>8391</v>
      </c>
      <c r="H336" s="152">
        <v>551.72299999999996</v>
      </c>
      <c r="L336" s="149"/>
      <c r="M336" s="153"/>
      <c r="T336" s="154"/>
      <c r="AT336" s="150" t="s">
        <v>346</v>
      </c>
      <c r="AU336" s="150" t="s">
        <v>90</v>
      </c>
      <c r="AV336" s="148" t="s">
        <v>90</v>
      </c>
      <c r="AW336" s="148" t="s">
        <v>33</v>
      </c>
      <c r="AX336" s="148" t="s">
        <v>80</v>
      </c>
      <c r="AY336" s="150" t="s">
        <v>337</v>
      </c>
    </row>
    <row r="337" spans="2:65" s="155" customFormat="1" x14ac:dyDescent="0.2">
      <c r="B337" s="156"/>
      <c r="D337" s="143" t="s">
        <v>346</v>
      </c>
      <c r="E337" s="157"/>
      <c r="F337" s="158" t="s">
        <v>351</v>
      </c>
      <c r="H337" s="159">
        <v>816.98500000000001</v>
      </c>
      <c r="L337" s="156"/>
      <c r="M337" s="160"/>
      <c r="T337" s="161"/>
      <c r="AT337" s="157" t="s">
        <v>346</v>
      </c>
      <c r="AU337" s="157" t="s">
        <v>90</v>
      </c>
      <c r="AV337" s="155" t="s">
        <v>344</v>
      </c>
      <c r="AW337" s="155" t="s">
        <v>33</v>
      </c>
      <c r="AX337" s="155" t="s">
        <v>87</v>
      </c>
      <c r="AY337" s="157" t="s">
        <v>337</v>
      </c>
    </row>
    <row r="338" spans="2:65" s="16" customFormat="1" ht="16.5" customHeight="1" x14ac:dyDescent="0.2">
      <c r="B338" s="17"/>
      <c r="C338" s="128">
        <v>52</v>
      </c>
      <c r="D338" s="128" t="s">
        <v>339</v>
      </c>
      <c r="E338" s="129" t="s">
        <v>8392</v>
      </c>
      <c r="F338" s="130" t="s">
        <v>8393</v>
      </c>
      <c r="G338" s="131" t="s">
        <v>425</v>
      </c>
      <c r="H338" s="132">
        <v>89.03</v>
      </c>
      <c r="I338" s="133"/>
      <c r="J338" s="134">
        <f>ROUND(I338*H338,2)</f>
        <v>0</v>
      </c>
      <c r="K338" s="130" t="s">
        <v>343</v>
      </c>
      <c r="L338" s="17"/>
      <c r="M338" s="135"/>
      <c r="N338" s="136" t="s">
        <v>45</v>
      </c>
      <c r="P338" s="137">
        <f>O338*H338</f>
        <v>0</v>
      </c>
      <c r="Q338" s="137">
        <v>8.9219999999999994E-2</v>
      </c>
      <c r="R338" s="137">
        <f>Q338*H338</f>
        <v>7.9432565999999998</v>
      </c>
      <c r="S338" s="137">
        <v>0</v>
      </c>
      <c r="T338" s="138">
        <f>S338*H338</f>
        <v>0</v>
      </c>
      <c r="AR338" s="139" t="s">
        <v>344</v>
      </c>
      <c r="AT338" s="139" t="s">
        <v>339</v>
      </c>
      <c r="AU338" s="139" t="s">
        <v>90</v>
      </c>
      <c r="AY338" s="2" t="s">
        <v>337</v>
      </c>
      <c r="BE338" s="140">
        <f>IF(N338="základní",J338,0)</f>
        <v>0</v>
      </c>
      <c r="BF338" s="140">
        <f>IF(N338="snížená",J338,0)</f>
        <v>0</v>
      </c>
      <c r="BG338" s="140">
        <f>IF(N338="zákl. přenesená",J338,0)</f>
        <v>0</v>
      </c>
      <c r="BH338" s="140">
        <f>IF(N338="sníž. přenesená",J338,0)</f>
        <v>0</v>
      </c>
      <c r="BI338" s="140">
        <f>IF(N338="nulová",J338,0)</f>
        <v>0</v>
      </c>
      <c r="BJ338" s="2" t="s">
        <v>87</v>
      </c>
      <c r="BK338" s="140">
        <f>ROUND(I338*H338,2)</f>
        <v>0</v>
      </c>
      <c r="BL338" s="2" t="s">
        <v>344</v>
      </c>
      <c r="BM338" s="139" t="s">
        <v>8394</v>
      </c>
    </row>
    <row r="339" spans="2:65" s="141" customFormat="1" x14ac:dyDescent="0.2">
      <c r="B339" s="142"/>
      <c r="D339" s="143" t="s">
        <v>346</v>
      </c>
      <c r="E339" s="144"/>
      <c r="F339" s="145" t="s">
        <v>8395</v>
      </c>
      <c r="H339" s="144"/>
      <c r="L339" s="142"/>
      <c r="M339" s="146"/>
      <c r="T339" s="147"/>
      <c r="AT339" s="144" t="s">
        <v>346</v>
      </c>
      <c r="AU339" s="144" t="s">
        <v>90</v>
      </c>
      <c r="AV339" s="141" t="s">
        <v>87</v>
      </c>
      <c r="AW339" s="141" t="s">
        <v>33</v>
      </c>
      <c r="AX339" s="141" t="s">
        <v>80</v>
      </c>
      <c r="AY339" s="144" t="s">
        <v>337</v>
      </c>
    </row>
    <row r="340" spans="2:65" s="148" customFormat="1" x14ac:dyDescent="0.2">
      <c r="B340" s="149"/>
      <c r="D340" s="143" t="s">
        <v>346</v>
      </c>
      <c r="E340" s="150"/>
      <c r="F340" s="151" t="s">
        <v>8396</v>
      </c>
      <c r="H340" s="152">
        <v>41.25</v>
      </c>
      <c r="L340" s="149"/>
      <c r="M340" s="153"/>
      <c r="T340" s="154"/>
      <c r="AT340" s="150" t="s">
        <v>346</v>
      </c>
      <c r="AU340" s="150" t="s">
        <v>90</v>
      </c>
      <c r="AV340" s="148" t="s">
        <v>90</v>
      </c>
      <c r="AW340" s="148" t="s">
        <v>33</v>
      </c>
      <c r="AX340" s="148" t="s">
        <v>80</v>
      </c>
      <c r="AY340" s="150" t="s">
        <v>337</v>
      </c>
    </row>
    <row r="341" spans="2:65" s="141" customFormat="1" x14ac:dyDescent="0.2">
      <c r="B341" s="142"/>
      <c r="D341" s="143" t="s">
        <v>346</v>
      </c>
      <c r="E341" s="144"/>
      <c r="F341" s="145" t="s">
        <v>8397</v>
      </c>
      <c r="H341" s="144"/>
      <c r="L341" s="142"/>
      <c r="M341" s="146"/>
      <c r="T341" s="147"/>
      <c r="AT341" s="144" t="s">
        <v>346</v>
      </c>
      <c r="AU341" s="144" t="s">
        <v>90</v>
      </c>
      <c r="AV341" s="141" t="s">
        <v>87</v>
      </c>
      <c r="AW341" s="141" t="s">
        <v>33</v>
      </c>
      <c r="AX341" s="141" t="s">
        <v>80</v>
      </c>
      <c r="AY341" s="144" t="s">
        <v>337</v>
      </c>
    </row>
    <row r="342" spans="2:65" s="148" customFormat="1" x14ac:dyDescent="0.2">
      <c r="B342" s="149"/>
      <c r="D342" s="143" t="s">
        <v>346</v>
      </c>
      <c r="E342" s="150"/>
      <c r="F342" s="151" t="s">
        <v>8398</v>
      </c>
      <c r="H342" s="152">
        <v>47.78</v>
      </c>
      <c r="L342" s="149"/>
      <c r="M342" s="153"/>
      <c r="T342" s="154"/>
      <c r="AT342" s="150" t="s">
        <v>346</v>
      </c>
      <c r="AU342" s="150" t="s">
        <v>90</v>
      </c>
      <c r="AV342" s="148" t="s">
        <v>90</v>
      </c>
      <c r="AW342" s="148" t="s">
        <v>33</v>
      </c>
      <c r="AX342" s="148" t="s">
        <v>80</v>
      </c>
      <c r="AY342" s="150" t="s">
        <v>337</v>
      </c>
    </row>
    <row r="343" spans="2:65" s="155" customFormat="1" x14ac:dyDescent="0.2">
      <c r="B343" s="156"/>
      <c r="D343" s="143" t="s">
        <v>346</v>
      </c>
      <c r="E343" s="157"/>
      <c r="F343" s="158" t="s">
        <v>351</v>
      </c>
      <c r="H343" s="159">
        <v>89.03</v>
      </c>
      <c r="L343" s="156"/>
      <c r="M343" s="160"/>
      <c r="T343" s="161"/>
      <c r="AT343" s="157" t="s">
        <v>346</v>
      </c>
      <c r="AU343" s="157" t="s">
        <v>90</v>
      </c>
      <c r="AV343" s="155" t="s">
        <v>344</v>
      </c>
      <c r="AW343" s="155" t="s">
        <v>33</v>
      </c>
      <c r="AX343" s="155" t="s">
        <v>87</v>
      </c>
      <c r="AY343" s="157" t="s">
        <v>337</v>
      </c>
    </row>
    <row r="344" spans="2:65" s="16" customFormat="1" ht="16.5" customHeight="1" x14ac:dyDescent="0.2">
      <c r="B344" s="17"/>
      <c r="C344" s="162">
        <v>53</v>
      </c>
      <c r="D344" s="162" t="s">
        <v>519</v>
      </c>
      <c r="E344" s="163" t="s">
        <v>8399</v>
      </c>
      <c r="F344" s="164" t="s">
        <v>8400</v>
      </c>
      <c r="G344" s="165" t="s">
        <v>425</v>
      </c>
      <c r="H344" s="166">
        <v>90.641999999999996</v>
      </c>
      <c r="I344" s="167"/>
      <c r="J344" s="168">
        <f>ROUND(I344*H344,2)</f>
        <v>0</v>
      </c>
      <c r="K344" s="164" t="s">
        <v>343</v>
      </c>
      <c r="L344" s="169"/>
      <c r="M344" s="170"/>
      <c r="N344" s="171" t="s">
        <v>45</v>
      </c>
      <c r="P344" s="137">
        <f>O344*H344</f>
        <v>0</v>
      </c>
      <c r="Q344" s="137">
        <v>0.13100000000000001</v>
      </c>
      <c r="R344" s="137">
        <f>Q344*H344</f>
        <v>11.874102000000001</v>
      </c>
      <c r="S344" s="137">
        <v>0</v>
      </c>
      <c r="T344" s="138">
        <f>S344*H344</f>
        <v>0</v>
      </c>
      <c r="AR344" s="139" t="s">
        <v>446</v>
      </c>
      <c r="AT344" s="139" t="s">
        <v>519</v>
      </c>
      <c r="AU344" s="139" t="s">
        <v>90</v>
      </c>
      <c r="AY344" s="2" t="s">
        <v>337</v>
      </c>
      <c r="BE344" s="140">
        <f>IF(N344="základní",J344,0)</f>
        <v>0</v>
      </c>
      <c r="BF344" s="140">
        <f>IF(N344="snížená",J344,0)</f>
        <v>0</v>
      </c>
      <c r="BG344" s="140">
        <f>IF(N344="zákl. přenesená",J344,0)</f>
        <v>0</v>
      </c>
      <c r="BH344" s="140">
        <f>IF(N344="sníž. přenesená",J344,0)</f>
        <v>0</v>
      </c>
      <c r="BI344" s="140">
        <f>IF(N344="nulová",J344,0)</f>
        <v>0</v>
      </c>
      <c r="BJ344" s="2" t="s">
        <v>87</v>
      </c>
      <c r="BK344" s="140">
        <f>ROUND(I344*H344,2)</f>
        <v>0</v>
      </c>
      <c r="BL344" s="2" t="s">
        <v>344</v>
      </c>
      <c r="BM344" s="139" t="s">
        <v>8401</v>
      </c>
    </row>
    <row r="345" spans="2:65" s="148" customFormat="1" x14ac:dyDescent="0.2">
      <c r="B345" s="149"/>
      <c r="D345" s="143" t="s">
        <v>346</v>
      </c>
      <c r="F345" s="151" t="s">
        <v>8402</v>
      </c>
      <c r="H345" s="152">
        <v>90.641999999999996</v>
      </c>
      <c r="L345" s="149"/>
      <c r="M345" s="153"/>
      <c r="T345" s="154"/>
      <c r="AT345" s="150" t="s">
        <v>346</v>
      </c>
      <c r="AU345" s="150" t="s">
        <v>90</v>
      </c>
      <c r="AV345" s="148" t="s">
        <v>90</v>
      </c>
      <c r="AW345" s="148" t="s">
        <v>3</v>
      </c>
      <c r="AX345" s="148" t="s">
        <v>87</v>
      </c>
      <c r="AY345" s="150" t="s">
        <v>337</v>
      </c>
    </row>
    <row r="346" spans="2:65" s="16" customFormat="1" ht="16.5" customHeight="1" x14ac:dyDescent="0.2">
      <c r="B346" s="17"/>
      <c r="C346" s="162">
        <v>54</v>
      </c>
      <c r="D346" s="162" t="s">
        <v>519</v>
      </c>
      <c r="E346" s="163" t="s">
        <v>8403</v>
      </c>
      <c r="F346" s="164" t="s">
        <v>8404</v>
      </c>
      <c r="G346" s="165" t="s">
        <v>425</v>
      </c>
      <c r="H346" s="166">
        <v>3.4649999999999999</v>
      </c>
      <c r="I346" s="167"/>
      <c r="J346" s="168">
        <f>ROUND(I346*H346,2)</f>
        <v>0</v>
      </c>
      <c r="K346" s="164" t="s">
        <v>343</v>
      </c>
      <c r="L346" s="169"/>
      <c r="M346" s="170"/>
      <c r="N346" s="171" t="s">
        <v>45</v>
      </c>
      <c r="P346" s="137">
        <f>O346*H346</f>
        <v>0</v>
      </c>
      <c r="Q346" s="137">
        <v>0.13100000000000001</v>
      </c>
      <c r="R346" s="137">
        <f>Q346*H346</f>
        <v>0.45391500000000001</v>
      </c>
      <c r="S346" s="137">
        <v>0</v>
      </c>
      <c r="T346" s="138">
        <f>S346*H346</f>
        <v>0</v>
      </c>
      <c r="AR346" s="139" t="s">
        <v>446</v>
      </c>
      <c r="AT346" s="139" t="s">
        <v>519</v>
      </c>
      <c r="AU346" s="139" t="s">
        <v>90</v>
      </c>
      <c r="AY346" s="2" t="s">
        <v>337</v>
      </c>
      <c r="BE346" s="140">
        <f>IF(N346="základní",J346,0)</f>
        <v>0</v>
      </c>
      <c r="BF346" s="140">
        <f>IF(N346="snížená",J346,0)</f>
        <v>0</v>
      </c>
      <c r="BG346" s="140">
        <f>IF(N346="zákl. přenesená",J346,0)</f>
        <v>0</v>
      </c>
      <c r="BH346" s="140">
        <f>IF(N346="sníž. přenesená",J346,0)</f>
        <v>0</v>
      </c>
      <c r="BI346" s="140">
        <f>IF(N346="nulová",J346,0)</f>
        <v>0</v>
      </c>
      <c r="BJ346" s="2" t="s">
        <v>87</v>
      </c>
      <c r="BK346" s="140">
        <f>ROUND(I346*H346,2)</f>
        <v>0</v>
      </c>
      <c r="BL346" s="2" t="s">
        <v>344</v>
      </c>
      <c r="BM346" s="139" t="s">
        <v>8405</v>
      </c>
    </row>
    <row r="347" spans="2:65" s="148" customFormat="1" x14ac:dyDescent="0.2">
      <c r="B347" s="149"/>
      <c r="D347" s="143" t="s">
        <v>346</v>
      </c>
      <c r="E347" s="150"/>
      <c r="F347" s="151" t="s">
        <v>8406</v>
      </c>
      <c r="H347" s="152">
        <v>3.3</v>
      </c>
      <c r="L347" s="149"/>
      <c r="M347" s="153"/>
      <c r="T347" s="154"/>
      <c r="AT347" s="150" t="s">
        <v>346</v>
      </c>
      <c r="AU347" s="150" t="s">
        <v>90</v>
      </c>
      <c r="AV347" s="148" t="s">
        <v>90</v>
      </c>
      <c r="AW347" s="148" t="s">
        <v>33</v>
      </c>
      <c r="AX347" s="148" t="s">
        <v>87</v>
      </c>
      <c r="AY347" s="150" t="s">
        <v>337</v>
      </c>
    </row>
    <row r="348" spans="2:65" s="148" customFormat="1" x14ac:dyDescent="0.2">
      <c r="B348" s="149"/>
      <c r="D348" s="143" t="s">
        <v>346</v>
      </c>
      <c r="F348" s="151" t="s">
        <v>8407</v>
      </c>
      <c r="H348" s="152">
        <v>3.4649999999999999</v>
      </c>
      <c r="L348" s="149"/>
      <c r="M348" s="153"/>
      <c r="T348" s="154"/>
      <c r="AT348" s="150" t="s">
        <v>346</v>
      </c>
      <c r="AU348" s="150" t="s">
        <v>90</v>
      </c>
      <c r="AV348" s="148" t="s">
        <v>90</v>
      </c>
      <c r="AW348" s="148" t="s">
        <v>3</v>
      </c>
      <c r="AX348" s="148" t="s">
        <v>87</v>
      </c>
      <c r="AY348" s="150" t="s">
        <v>337</v>
      </c>
    </row>
    <row r="349" spans="2:65" s="16" customFormat="1" ht="16.5" customHeight="1" x14ac:dyDescent="0.2">
      <c r="B349" s="17"/>
      <c r="C349" s="128">
        <v>55</v>
      </c>
      <c r="D349" s="128" t="s">
        <v>339</v>
      </c>
      <c r="E349" s="129" t="s">
        <v>8408</v>
      </c>
      <c r="F349" s="130" t="s">
        <v>8409</v>
      </c>
      <c r="G349" s="131" t="s">
        <v>425</v>
      </c>
      <c r="H349" s="132">
        <v>506.52</v>
      </c>
      <c r="I349" s="133"/>
      <c r="J349" s="134">
        <f>ROUND(I349*H349,2)</f>
        <v>0</v>
      </c>
      <c r="K349" s="130" t="s">
        <v>343</v>
      </c>
      <c r="L349" s="17"/>
      <c r="M349" s="135"/>
      <c r="N349" s="136" t="s">
        <v>45</v>
      </c>
      <c r="P349" s="137">
        <f>O349*H349</f>
        <v>0</v>
      </c>
      <c r="Q349" s="137">
        <v>0.11162</v>
      </c>
      <c r="R349" s="137">
        <f>Q349*H349</f>
        <v>56.537762399999998</v>
      </c>
      <c r="S349" s="137">
        <v>0</v>
      </c>
      <c r="T349" s="138">
        <f>S349*H349</f>
        <v>0</v>
      </c>
      <c r="AR349" s="139" t="s">
        <v>344</v>
      </c>
      <c r="AT349" s="139" t="s">
        <v>339</v>
      </c>
      <c r="AU349" s="139" t="s">
        <v>90</v>
      </c>
      <c r="AY349" s="2" t="s">
        <v>337</v>
      </c>
      <c r="BE349" s="140">
        <f>IF(N349="základní",J349,0)</f>
        <v>0</v>
      </c>
      <c r="BF349" s="140">
        <f>IF(N349="snížená",J349,0)</f>
        <v>0</v>
      </c>
      <c r="BG349" s="140">
        <f>IF(N349="zákl. přenesená",J349,0)</f>
        <v>0</v>
      </c>
      <c r="BH349" s="140">
        <f>IF(N349="sníž. přenesená",J349,0)</f>
        <v>0</v>
      </c>
      <c r="BI349" s="140">
        <f>IF(N349="nulová",J349,0)</f>
        <v>0</v>
      </c>
      <c r="BJ349" s="2" t="s">
        <v>87</v>
      </c>
      <c r="BK349" s="140">
        <f>ROUND(I349*H349,2)</f>
        <v>0</v>
      </c>
      <c r="BL349" s="2" t="s">
        <v>344</v>
      </c>
      <c r="BM349" s="139" t="s">
        <v>8410</v>
      </c>
    </row>
    <row r="350" spans="2:65" s="148" customFormat="1" x14ac:dyDescent="0.2">
      <c r="B350" s="149"/>
      <c r="D350" s="143" t="s">
        <v>346</v>
      </c>
      <c r="E350" s="150"/>
      <c r="F350" s="151" t="s">
        <v>8411</v>
      </c>
      <c r="H350" s="152">
        <v>506.52</v>
      </c>
      <c r="L350" s="149"/>
      <c r="M350" s="153"/>
      <c r="T350" s="154"/>
      <c r="AT350" s="150" t="s">
        <v>346</v>
      </c>
      <c r="AU350" s="150" t="s">
        <v>90</v>
      </c>
      <c r="AV350" s="148" t="s">
        <v>90</v>
      </c>
      <c r="AW350" s="148" t="s">
        <v>33</v>
      </c>
      <c r="AX350" s="148" t="s">
        <v>87</v>
      </c>
      <c r="AY350" s="150" t="s">
        <v>337</v>
      </c>
    </row>
    <row r="351" spans="2:65" s="16" customFormat="1" ht="16.5" customHeight="1" x14ac:dyDescent="0.2">
      <c r="B351" s="17"/>
      <c r="C351" s="162">
        <v>56</v>
      </c>
      <c r="D351" s="162" t="s">
        <v>519</v>
      </c>
      <c r="E351" s="163" t="s">
        <v>8412</v>
      </c>
      <c r="F351" s="164" t="s">
        <v>8413</v>
      </c>
      <c r="G351" s="165" t="s">
        <v>425</v>
      </c>
      <c r="H351" s="166">
        <v>483.58800000000002</v>
      </c>
      <c r="I351" s="167"/>
      <c r="J351" s="168">
        <f>ROUND(I351*H351,2)</f>
        <v>0</v>
      </c>
      <c r="K351" s="164" t="s">
        <v>343</v>
      </c>
      <c r="L351" s="169"/>
      <c r="M351" s="170"/>
      <c r="N351" s="171" t="s">
        <v>45</v>
      </c>
      <c r="P351" s="137">
        <f>O351*H351</f>
        <v>0</v>
      </c>
      <c r="Q351" s="137">
        <v>0.17599999999999999</v>
      </c>
      <c r="R351" s="137">
        <f>Q351*H351</f>
        <v>85.111487999999994</v>
      </c>
      <c r="S351" s="137">
        <v>0</v>
      </c>
      <c r="T351" s="138">
        <f>S351*H351</f>
        <v>0</v>
      </c>
      <c r="AR351" s="139" t="s">
        <v>446</v>
      </c>
      <c r="AT351" s="139" t="s">
        <v>519</v>
      </c>
      <c r="AU351" s="139" t="s">
        <v>90</v>
      </c>
      <c r="AY351" s="2" t="s">
        <v>337</v>
      </c>
      <c r="BE351" s="140">
        <f>IF(N351="základní",J351,0)</f>
        <v>0</v>
      </c>
      <c r="BF351" s="140">
        <f>IF(N351="snížená",J351,0)</f>
        <v>0</v>
      </c>
      <c r="BG351" s="140">
        <f>IF(N351="zákl. přenesená",J351,0)</f>
        <v>0</v>
      </c>
      <c r="BH351" s="140">
        <f>IF(N351="sníž. přenesená",J351,0)</f>
        <v>0</v>
      </c>
      <c r="BI351" s="140">
        <f>IF(N351="nulová",J351,0)</f>
        <v>0</v>
      </c>
      <c r="BJ351" s="2" t="s">
        <v>87</v>
      </c>
      <c r="BK351" s="140">
        <f>ROUND(I351*H351,2)</f>
        <v>0</v>
      </c>
      <c r="BL351" s="2" t="s">
        <v>344</v>
      </c>
      <c r="BM351" s="139" t="s">
        <v>8414</v>
      </c>
    </row>
    <row r="352" spans="2:65" s="148" customFormat="1" x14ac:dyDescent="0.2">
      <c r="B352" s="149"/>
      <c r="D352" s="143" t="s">
        <v>346</v>
      </c>
      <c r="E352" s="150"/>
      <c r="F352" s="151" t="s">
        <v>8415</v>
      </c>
      <c r="H352" s="152">
        <v>460.56</v>
      </c>
      <c r="L352" s="149"/>
      <c r="M352" s="153"/>
      <c r="T352" s="154"/>
      <c r="AT352" s="150" t="s">
        <v>346</v>
      </c>
      <c r="AU352" s="150" t="s">
        <v>90</v>
      </c>
      <c r="AV352" s="148" t="s">
        <v>90</v>
      </c>
      <c r="AW352" s="148" t="s">
        <v>33</v>
      </c>
      <c r="AX352" s="148" t="s">
        <v>87</v>
      </c>
      <c r="AY352" s="150" t="s">
        <v>337</v>
      </c>
    </row>
    <row r="353" spans="2:65" s="148" customFormat="1" x14ac:dyDescent="0.2">
      <c r="B353" s="149"/>
      <c r="D353" s="143" t="s">
        <v>346</v>
      </c>
      <c r="F353" s="151" t="s">
        <v>8416</v>
      </c>
      <c r="H353" s="152">
        <v>483.58800000000002</v>
      </c>
      <c r="L353" s="149"/>
      <c r="M353" s="153"/>
      <c r="T353" s="154"/>
      <c r="AT353" s="150" t="s">
        <v>346</v>
      </c>
      <c r="AU353" s="150" t="s">
        <v>90</v>
      </c>
      <c r="AV353" s="148" t="s">
        <v>90</v>
      </c>
      <c r="AW353" s="148" t="s">
        <v>3</v>
      </c>
      <c r="AX353" s="148" t="s">
        <v>87</v>
      </c>
      <c r="AY353" s="150" t="s">
        <v>337</v>
      </c>
    </row>
    <row r="354" spans="2:65" s="16" customFormat="1" ht="16.5" customHeight="1" x14ac:dyDescent="0.2">
      <c r="B354" s="17"/>
      <c r="C354" s="162">
        <v>57</v>
      </c>
      <c r="D354" s="162" t="s">
        <v>519</v>
      </c>
      <c r="E354" s="163" t="s">
        <v>8417</v>
      </c>
      <c r="F354" s="164" t="s">
        <v>8418</v>
      </c>
      <c r="G354" s="165" t="s">
        <v>425</v>
      </c>
      <c r="H354" s="166">
        <v>47.639000000000003</v>
      </c>
      <c r="I354" s="167"/>
      <c r="J354" s="168">
        <f>ROUND(I354*H354,2)</f>
        <v>0</v>
      </c>
      <c r="K354" s="164" t="s">
        <v>343</v>
      </c>
      <c r="L354" s="169"/>
      <c r="M354" s="170"/>
      <c r="N354" s="171" t="s">
        <v>45</v>
      </c>
      <c r="P354" s="137">
        <f>O354*H354</f>
        <v>0</v>
      </c>
      <c r="Q354" s="137">
        <v>0.17599999999999999</v>
      </c>
      <c r="R354" s="137">
        <f>Q354*H354</f>
        <v>8.3844639999999995</v>
      </c>
      <c r="S354" s="137">
        <v>0</v>
      </c>
      <c r="T354" s="138">
        <f>S354*H354</f>
        <v>0</v>
      </c>
      <c r="AR354" s="139" t="s">
        <v>446</v>
      </c>
      <c r="AT354" s="139" t="s">
        <v>519</v>
      </c>
      <c r="AU354" s="139" t="s">
        <v>90</v>
      </c>
      <c r="AY354" s="2" t="s">
        <v>337</v>
      </c>
      <c r="BE354" s="140">
        <f>IF(N354="základní",J354,0)</f>
        <v>0</v>
      </c>
      <c r="BF354" s="140">
        <f>IF(N354="snížená",J354,0)</f>
        <v>0</v>
      </c>
      <c r="BG354" s="140">
        <f>IF(N354="zákl. přenesená",J354,0)</f>
        <v>0</v>
      </c>
      <c r="BH354" s="140">
        <f>IF(N354="sníž. přenesená",J354,0)</f>
        <v>0</v>
      </c>
      <c r="BI354" s="140">
        <f>IF(N354="nulová",J354,0)</f>
        <v>0</v>
      </c>
      <c r="BJ354" s="2" t="s">
        <v>87</v>
      </c>
      <c r="BK354" s="140">
        <f>ROUND(I354*H354,2)</f>
        <v>0</v>
      </c>
      <c r="BL354" s="2" t="s">
        <v>344</v>
      </c>
      <c r="BM354" s="139" t="s">
        <v>8419</v>
      </c>
    </row>
    <row r="355" spans="2:65" s="148" customFormat="1" x14ac:dyDescent="0.2">
      <c r="B355" s="149"/>
      <c r="D355" s="143" t="s">
        <v>346</v>
      </c>
      <c r="E355" s="150"/>
      <c r="F355" s="151" t="s">
        <v>8420</v>
      </c>
      <c r="H355" s="152">
        <v>45.37</v>
      </c>
      <c r="L355" s="149"/>
      <c r="M355" s="153"/>
      <c r="T355" s="154"/>
      <c r="AT355" s="150" t="s">
        <v>346</v>
      </c>
      <c r="AU355" s="150" t="s">
        <v>90</v>
      </c>
      <c r="AV355" s="148" t="s">
        <v>90</v>
      </c>
      <c r="AW355" s="148" t="s">
        <v>33</v>
      </c>
      <c r="AX355" s="148" t="s">
        <v>87</v>
      </c>
      <c r="AY355" s="150" t="s">
        <v>337</v>
      </c>
    </row>
    <row r="356" spans="2:65" s="148" customFormat="1" x14ac:dyDescent="0.2">
      <c r="B356" s="149"/>
      <c r="D356" s="143" t="s">
        <v>346</v>
      </c>
      <c r="F356" s="151" t="s">
        <v>8421</v>
      </c>
      <c r="H356" s="152">
        <v>47.639000000000003</v>
      </c>
      <c r="L356" s="149"/>
      <c r="M356" s="153"/>
      <c r="T356" s="154"/>
      <c r="AT356" s="150" t="s">
        <v>346</v>
      </c>
      <c r="AU356" s="150" t="s">
        <v>90</v>
      </c>
      <c r="AV356" s="148" t="s">
        <v>90</v>
      </c>
      <c r="AW356" s="148" t="s">
        <v>3</v>
      </c>
      <c r="AX356" s="148" t="s">
        <v>87</v>
      </c>
      <c r="AY356" s="150" t="s">
        <v>337</v>
      </c>
    </row>
    <row r="357" spans="2:65" s="16" customFormat="1" ht="21.75" customHeight="1" x14ac:dyDescent="0.2">
      <c r="B357" s="17"/>
      <c r="C357" s="128">
        <v>58</v>
      </c>
      <c r="D357" s="128" t="s">
        <v>339</v>
      </c>
      <c r="E357" s="129" t="s">
        <v>8422</v>
      </c>
      <c r="F357" s="130" t="s">
        <v>8423</v>
      </c>
      <c r="G357" s="131" t="s">
        <v>425</v>
      </c>
      <c r="H357" s="132">
        <v>45.37</v>
      </c>
      <c r="I357" s="133"/>
      <c r="J357" s="134">
        <f>ROUND(I357*H357,2)</f>
        <v>0</v>
      </c>
      <c r="K357" s="130" t="s">
        <v>343</v>
      </c>
      <c r="L357" s="17"/>
      <c r="M357" s="135"/>
      <c r="N357" s="136" t="s">
        <v>45</v>
      </c>
      <c r="P357" s="137">
        <f>O357*H357</f>
        <v>0</v>
      </c>
      <c r="Q357" s="137">
        <v>0</v>
      </c>
      <c r="R357" s="137">
        <f>Q357*H357</f>
        <v>0</v>
      </c>
      <c r="S357" s="137">
        <v>0</v>
      </c>
      <c r="T357" s="138">
        <f>S357*H357</f>
        <v>0</v>
      </c>
      <c r="AR357" s="139" t="s">
        <v>344</v>
      </c>
      <c r="AT357" s="139" t="s">
        <v>339</v>
      </c>
      <c r="AU357" s="139" t="s">
        <v>90</v>
      </c>
      <c r="AY357" s="2" t="s">
        <v>337</v>
      </c>
      <c r="BE357" s="140">
        <f>IF(N357="základní",J357,0)</f>
        <v>0</v>
      </c>
      <c r="BF357" s="140">
        <f>IF(N357="snížená",J357,0)</f>
        <v>0</v>
      </c>
      <c r="BG357" s="140">
        <f>IF(N357="zákl. přenesená",J357,0)</f>
        <v>0</v>
      </c>
      <c r="BH357" s="140">
        <f>IF(N357="sníž. přenesená",J357,0)</f>
        <v>0</v>
      </c>
      <c r="BI357" s="140">
        <f>IF(N357="nulová",J357,0)</f>
        <v>0</v>
      </c>
      <c r="BJ357" s="2" t="s">
        <v>87</v>
      </c>
      <c r="BK357" s="140">
        <f>ROUND(I357*H357,2)</f>
        <v>0</v>
      </c>
      <c r="BL357" s="2" t="s">
        <v>344</v>
      </c>
      <c r="BM357" s="139" t="s">
        <v>8424</v>
      </c>
    </row>
    <row r="358" spans="2:65" s="16" customFormat="1" ht="16.5" customHeight="1" x14ac:dyDescent="0.2">
      <c r="B358" s="17"/>
      <c r="C358" s="128">
        <v>59</v>
      </c>
      <c r="D358" s="128" t="s">
        <v>339</v>
      </c>
      <c r="E358" s="129" t="s">
        <v>8425</v>
      </c>
      <c r="F358" s="130" t="s">
        <v>8426</v>
      </c>
      <c r="G358" s="131" t="s">
        <v>425</v>
      </c>
      <c r="H358" s="132">
        <v>37.125</v>
      </c>
      <c r="I358" s="133"/>
      <c r="J358" s="134">
        <f>ROUND(I358*H358,2)</f>
        <v>0</v>
      </c>
      <c r="K358" s="130" t="s">
        <v>343</v>
      </c>
      <c r="L358" s="17"/>
      <c r="M358" s="135"/>
      <c r="N358" s="136" t="s">
        <v>45</v>
      </c>
      <c r="P358" s="137">
        <f>O358*H358</f>
        <v>0</v>
      </c>
      <c r="Q358" s="137">
        <v>9.8000000000000004E-2</v>
      </c>
      <c r="R358" s="137">
        <f>Q358*H358</f>
        <v>3.6382500000000002</v>
      </c>
      <c r="S358" s="137">
        <v>0</v>
      </c>
      <c r="T358" s="138">
        <f>S358*H358</f>
        <v>0</v>
      </c>
      <c r="AR358" s="139" t="s">
        <v>344</v>
      </c>
      <c r="AT358" s="139" t="s">
        <v>339</v>
      </c>
      <c r="AU358" s="139" t="s">
        <v>90</v>
      </c>
      <c r="AY358" s="2" t="s">
        <v>337</v>
      </c>
      <c r="BE358" s="140">
        <f>IF(N358="základní",J358,0)</f>
        <v>0</v>
      </c>
      <c r="BF358" s="140">
        <f>IF(N358="snížená",J358,0)</f>
        <v>0</v>
      </c>
      <c r="BG358" s="140">
        <f>IF(N358="zákl. přenesená",J358,0)</f>
        <v>0</v>
      </c>
      <c r="BH358" s="140">
        <f>IF(N358="sníž. přenesená",J358,0)</f>
        <v>0</v>
      </c>
      <c r="BI358" s="140">
        <f>IF(N358="nulová",J358,0)</f>
        <v>0</v>
      </c>
      <c r="BJ358" s="2" t="s">
        <v>87</v>
      </c>
      <c r="BK358" s="140">
        <f>ROUND(I358*H358,2)</f>
        <v>0</v>
      </c>
      <c r="BL358" s="2" t="s">
        <v>344</v>
      </c>
      <c r="BM358" s="139" t="s">
        <v>8427</v>
      </c>
    </row>
    <row r="359" spans="2:65" s="148" customFormat="1" x14ac:dyDescent="0.2">
      <c r="B359" s="149"/>
      <c r="D359" s="143" t="s">
        <v>346</v>
      </c>
      <c r="E359" s="150"/>
      <c r="F359" s="151" t="s">
        <v>8428</v>
      </c>
      <c r="H359" s="152">
        <v>37.125</v>
      </c>
      <c r="L359" s="149"/>
      <c r="M359" s="153"/>
      <c r="T359" s="154"/>
      <c r="AT359" s="150" t="s">
        <v>346</v>
      </c>
      <c r="AU359" s="150" t="s">
        <v>90</v>
      </c>
      <c r="AV359" s="148" t="s">
        <v>90</v>
      </c>
      <c r="AW359" s="148" t="s">
        <v>33</v>
      </c>
      <c r="AX359" s="148" t="s">
        <v>87</v>
      </c>
      <c r="AY359" s="150" t="s">
        <v>337</v>
      </c>
    </row>
    <row r="360" spans="2:65" s="16" customFormat="1" ht="16.5" customHeight="1" x14ac:dyDescent="0.2">
      <c r="B360" s="17"/>
      <c r="C360" s="128">
        <v>60</v>
      </c>
      <c r="D360" s="128" t="s">
        <v>339</v>
      </c>
      <c r="E360" s="129" t="s">
        <v>8429</v>
      </c>
      <c r="F360" s="130" t="s">
        <v>8430</v>
      </c>
      <c r="G360" s="131" t="s">
        <v>425</v>
      </c>
      <c r="H360" s="132">
        <v>106.875</v>
      </c>
      <c r="I360" s="133"/>
      <c r="J360" s="134">
        <f>ROUND(I360*H360,2)</f>
        <v>0</v>
      </c>
      <c r="K360" s="130" t="s">
        <v>343</v>
      </c>
      <c r="L360" s="17"/>
      <c r="M360" s="135"/>
      <c r="N360" s="136" t="s">
        <v>45</v>
      </c>
      <c r="P360" s="137">
        <f>O360*H360</f>
        <v>0</v>
      </c>
      <c r="Q360" s="137">
        <v>9.8000000000000004E-2</v>
      </c>
      <c r="R360" s="137">
        <f>Q360*H360</f>
        <v>10.473750000000001</v>
      </c>
      <c r="S360" s="137">
        <v>0</v>
      </c>
      <c r="T360" s="138">
        <f>S360*H360</f>
        <v>0</v>
      </c>
      <c r="AR360" s="139" t="s">
        <v>344</v>
      </c>
      <c r="AT360" s="139" t="s">
        <v>339</v>
      </c>
      <c r="AU360" s="139" t="s">
        <v>90</v>
      </c>
      <c r="AY360" s="2" t="s">
        <v>337</v>
      </c>
      <c r="BE360" s="140">
        <f>IF(N360="základní",J360,0)</f>
        <v>0</v>
      </c>
      <c r="BF360" s="140">
        <f>IF(N360="snížená",J360,0)</f>
        <v>0</v>
      </c>
      <c r="BG360" s="140">
        <f>IF(N360="zákl. přenesená",J360,0)</f>
        <v>0</v>
      </c>
      <c r="BH360" s="140">
        <f>IF(N360="sníž. přenesená",J360,0)</f>
        <v>0</v>
      </c>
      <c r="BI360" s="140">
        <f>IF(N360="nulová",J360,0)</f>
        <v>0</v>
      </c>
      <c r="BJ360" s="2" t="s">
        <v>87</v>
      </c>
      <c r="BK360" s="140">
        <f>ROUND(I360*H360,2)</f>
        <v>0</v>
      </c>
      <c r="BL360" s="2" t="s">
        <v>344</v>
      </c>
      <c r="BM360" s="139" t="s">
        <v>8431</v>
      </c>
    </row>
    <row r="361" spans="2:65" s="148" customFormat="1" x14ac:dyDescent="0.2">
      <c r="B361" s="149"/>
      <c r="D361" s="143" t="s">
        <v>346</v>
      </c>
      <c r="E361" s="150"/>
      <c r="F361" s="151" t="s">
        <v>8432</v>
      </c>
      <c r="H361" s="152">
        <v>106.875</v>
      </c>
      <c r="L361" s="149"/>
      <c r="M361" s="153"/>
      <c r="T361" s="154"/>
      <c r="AT361" s="150" t="s">
        <v>346</v>
      </c>
      <c r="AU361" s="150" t="s">
        <v>90</v>
      </c>
      <c r="AV361" s="148" t="s">
        <v>90</v>
      </c>
      <c r="AW361" s="148" t="s">
        <v>33</v>
      </c>
      <c r="AX361" s="148" t="s">
        <v>87</v>
      </c>
      <c r="AY361" s="150" t="s">
        <v>337</v>
      </c>
    </row>
    <row r="362" spans="2:65" s="16" customFormat="1" ht="16.5" customHeight="1" x14ac:dyDescent="0.2">
      <c r="B362" s="17"/>
      <c r="C362" s="162">
        <v>61</v>
      </c>
      <c r="D362" s="162" t="s">
        <v>519</v>
      </c>
      <c r="E362" s="163" t="s">
        <v>8433</v>
      </c>
      <c r="F362" s="164" t="s">
        <v>8434</v>
      </c>
      <c r="G362" s="165" t="s">
        <v>425</v>
      </c>
      <c r="H362" s="166">
        <v>146.88</v>
      </c>
      <c r="I362" s="167"/>
      <c r="J362" s="168">
        <f>ROUND(I362*H362,2)</f>
        <v>0</v>
      </c>
      <c r="K362" s="164" t="s">
        <v>343</v>
      </c>
      <c r="L362" s="169"/>
      <c r="M362" s="170"/>
      <c r="N362" s="171" t="s">
        <v>45</v>
      </c>
      <c r="P362" s="137">
        <f>O362*H362</f>
        <v>0</v>
      </c>
      <c r="Q362" s="137">
        <v>0.13600000000000001</v>
      </c>
      <c r="R362" s="137">
        <f>Q362*H362</f>
        <v>19.975680000000001</v>
      </c>
      <c r="S362" s="137">
        <v>0</v>
      </c>
      <c r="T362" s="138">
        <f>S362*H362</f>
        <v>0</v>
      </c>
      <c r="AR362" s="139" t="s">
        <v>446</v>
      </c>
      <c r="AT362" s="139" t="s">
        <v>519</v>
      </c>
      <c r="AU362" s="139" t="s">
        <v>90</v>
      </c>
      <c r="AY362" s="2" t="s">
        <v>337</v>
      </c>
      <c r="BE362" s="140">
        <f>IF(N362="základní",J362,0)</f>
        <v>0</v>
      </c>
      <c r="BF362" s="140">
        <f>IF(N362="snížená",J362,0)</f>
        <v>0</v>
      </c>
      <c r="BG362" s="140">
        <f>IF(N362="zákl. přenesená",J362,0)</f>
        <v>0</v>
      </c>
      <c r="BH362" s="140">
        <f>IF(N362="sníž. přenesená",J362,0)</f>
        <v>0</v>
      </c>
      <c r="BI362" s="140">
        <f>IF(N362="nulová",J362,0)</f>
        <v>0</v>
      </c>
      <c r="BJ362" s="2" t="s">
        <v>87</v>
      </c>
      <c r="BK362" s="140">
        <f>ROUND(I362*H362,2)</f>
        <v>0</v>
      </c>
      <c r="BL362" s="2" t="s">
        <v>344</v>
      </c>
      <c r="BM362" s="139" t="s">
        <v>8435</v>
      </c>
    </row>
    <row r="363" spans="2:65" s="148" customFormat="1" x14ac:dyDescent="0.2">
      <c r="B363" s="149"/>
      <c r="D363" s="143" t="s">
        <v>346</v>
      </c>
      <c r="E363" s="150"/>
      <c r="F363" s="151" t="s">
        <v>8436</v>
      </c>
      <c r="H363" s="152">
        <v>144</v>
      </c>
      <c r="L363" s="149"/>
      <c r="M363" s="153"/>
      <c r="T363" s="154"/>
      <c r="AT363" s="150" t="s">
        <v>346</v>
      </c>
      <c r="AU363" s="150" t="s">
        <v>90</v>
      </c>
      <c r="AV363" s="148" t="s">
        <v>90</v>
      </c>
      <c r="AW363" s="148" t="s">
        <v>33</v>
      </c>
      <c r="AX363" s="148" t="s">
        <v>87</v>
      </c>
      <c r="AY363" s="150" t="s">
        <v>337</v>
      </c>
    </row>
    <row r="364" spans="2:65" s="148" customFormat="1" x14ac:dyDescent="0.2">
      <c r="B364" s="149"/>
      <c r="D364" s="143" t="s">
        <v>346</v>
      </c>
      <c r="F364" s="151" t="s">
        <v>8437</v>
      </c>
      <c r="H364" s="152">
        <v>146.88</v>
      </c>
      <c r="L364" s="149"/>
      <c r="M364" s="153"/>
      <c r="T364" s="154"/>
      <c r="AT364" s="150" t="s">
        <v>346</v>
      </c>
      <c r="AU364" s="150" t="s">
        <v>90</v>
      </c>
      <c r="AV364" s="148" t="s">
        <v>90</v>
      </c>
      <c r="AW364" s="148" t="s">
        <v>3</v>
      </c>
      <c r="AX364" s="148" t="s">
        <v>87</v>
      </c>
      <c r="AY364" s="150" t="s">
        <v>337</v>
      </c>
    </row>
    <row r="365" spans="2:65" s="16" customFormat="1" ht="16.5" customHeight="1" x14ac:dyDescent="0.2">
      <c r="B365" s="17"/>
      <c r="C365" s="128">
        <v>62</v>
      </c>
      <c r="D365" s="128" t="s">
        <v>339</v>
      </c>
      <c r="E365" s="129" t="s">
        <v>8438</v>
      </c>
      <c r="F365" s="130" t="s">
        <v>8439</v>
      </c>
      <c r="G365" s="131" t="s">
        <v>724</v>
      </c>
      <c r="H365" s="132">
        <v>27.5</v>
      </c>
      <c r="I365" s="133"/>
      <c r="J365" s="134">
        <f>ROUND(I365*H365,2)</f>
        <v>0</v>
      </c>
      <c r="K365" s="130" t="s">
        <v>343</v>
      </c>
      <c r="L365" s="17"/>
      <c r="M365" s="135"/>
      <c r="N365" s="136" t="s">
        <v>45</v>
      </c>
      <c r="P365" s="137">
        <f>O365*H365</f>
        <v>0</v>
      </c>
      <c r="Q365" s="137">
        <v>1.0000000000000001E-5</v>
      </c>
      <c r="R365" s="137">
        <f>Q365*H365</f>
        <v>2.7500000000000002E-4</v>
      </c>
      <c r="S365" s="137">
        <v>0</v>
      </c>
      <c r="T365" s="138">
        <f>S365*H365</f>
        <v>0</v>
      </c>
      <c r="AR365" s="139" t="s">
        <v>344</v>
      </c>
      <c r="AT365" s="139" t="s">
        <v>339</v>
      </c>
      <c r="AU365" s="139" t="s">
        <v>90</v>
      </c>
      <c r="AY365" s="2" t="s">
        <v>337</v>
      </c>
      <c r="BE365" s="140">
        <f>IF(N365="základní",J365,0)</f>
        <v>0</v>
      </c>
      <c r="BF365" s="140">
        <f>IF(N365="snížená",J365,0)</f>
        <v>0</v>
      </c>
      <c r="BG365" s="140">
        <f>IF(N365="zákl. přenesená",J365,0)</f>
        <v>0</v>
      </c>
      <c r="BH365" s="140">
        <f>IF(N365="sníž. přenesená",J365,0)</f>
        <v>0</v>
      </c>
      <c r="BI365" s="140">
        <f>IF(N365="nulová",J365,0)</f>
        <v>0</v>
      </c>
      <c r="BJ365" s="2" t="s">
        <v>87</v>
      </c>
      <c r="BK365" s="140">
        <f>ROUND(I365*H365,2)</f>
        <v>0</v>
      </c>
      <c r="BL365" s="2" t="s">
        <v>344</v>
      </c>
      <c r="BM365" s="139" t="s">
        <v>8440</v>
      </c>
    </row>
    <row r="366" spans="2:65" s="116" customFormat="1" ht="22.9" customHeight="1" x14ac:dyDescent="0.2">
      <c r="B366" s="117"/>
      <c r="D366" s="118" t="s">
        <v>79</v>
      </c>
      <c r="E366" s="126" t="s">
        <v>430</v>
      </c>
      <c r="F366" s="126" t="s">
        <v>565</v>
      </c>
      <c r="J366" s="127">
        <f>BK366</f>
        <v>0</v>
      </c>
      <c r="L366" s="117"/>
      <c r="M366" s="121"/>
      <c r="P366" s="122">
        <f>SUM(P367:P369)</f>
        <v>0</v>
      </c>
      <c r="R366" s="122">
        <f>SUM(R367:R369)</f>
        <v>1.76352</v>
      </c>
      <c r="T366" s="123">
        <f>SUM(T367:T369)</f>
        <v>0</v>
      </c>
      <c r="AR366" s="118" t="s">
        <v>87</v>
      </c>
      <c r="AT366" s="124" t="s">
        <v>79</v>
      </c>
      <c r="AU366" s="124" t="s">
        <v>87</v>
      </c>
      <c r="AY366" s="118" t="s">
        <v>337</v>
      </c>
      <c r="BK366" s="125">
        <f>SUM(BK367:BK369)</f>
        <v>0</v>
      </c>
    </row>
    <row r="367" spans="2:65" s="16" customFormat="1" ht="16.5" customHeight="1" x14ac:dyDescent="0.2">
      <c r="B367" s="17"/>
      <c r="C367" s="128">
        <v>63</v>
      </c>
      <c r="D367" s="128" t="s">
        <v>339</v>
      </c>
      <c r="E367" s="129" t="s">
        <v>8441</v>
      </c>
      <c r="F367" s="130" t="s">
        <v>8442</v>
      </c>
      <c r="G367" s="131" t="s">
        <v>425</v>
      </c>
      <c r="H367" s="132">
        <v>4.8</v>
      </c>
      <c r="I367" s="133"/>
      <c r="J367" s="134">
        <f>ROUND(I367*H367,2)</f>
        <v>0</v>
      </c>
      <c r="K367" s="130" t="s">
        <v>343</v>
      </c>
      <c r="L367" s="17"/>
      <c r="M367" s="135"/>
      <c r="N367" s="136" t="s">
        <v>45</v>
      </c>
      <c r="P367" s="137">
        <f>O367*H367</f>
        <v>0</v>
      </c>
      <c r="Q367" s="137">
        <v>0.3674</v>
      </c>
      <c r="R367" s="137">
        <f>Q367*H367</f>
        <v>1.76352</v>
      </c>
      <c r="S367" s="137">
        <v>0</v>
      </c>
      <c r="T367" s="138">
        <f>S367*H367</f>
        <v>0</v>
      </c>
      <c r="AR367" s="139" t="s">
        <v>344</v>
      </c>
      <c r="AT367" s="139" t="s">
        <v>339</v>
      </c>
      <c r="AU367" s="139" t="s">
        <v>90</v>
      </c>
      <c r="AY367" s="2" t="s">
        <v>337</v>
      </c>
      <c r="BE367" s="140">
        <f>IF(N367="základní",J367,0)</f>
        <v>0</v>
      </c>
      <c r="BF367" s="140">
        <f>IF(N367="snížená",J367,0)</f>
        <v>0</v>
      </c>
      <c r="BG367" s="140">
        <f>IF(N367="zákl. přenesená",J367,0)</f>
        <v>0</v>
      </c>
      <c r="BH367" s="140">
        <f>IF(N367="sníž. přenesená",J367,0)</f>
        <v>0</v>
      </c>
      <c r="BI367" s="140">
        <f>IF(N367="nulová",J367,0)</f>
        <v>0</v>
      </c>
      <c r="BJ367" s="2" t="s">
        <v>87</v>
      </c>
      <c r="BK367" s="140">
        <f>ROUND(I367*H367,2)</f>
        <v>0</v>
      </c>
      <c r="BL367" s="2" t="s">
        <v>344</v>
      </c>
      <c r="BM367" s="139" t="s">
        <v>8443</v>
      </c>
    </row>
    <row r="368" spans="2:65" s="141" customFormat="1" x14ac:dyDescent="0.2">
      <c r="B368" s="142"/>
      <c r="D368" s="143" t="s">
        <v>346</v>
      </c>
      <c r="E368" s="144"/>
      <c r="F368" s="145" t="s">
        <v>8297</v>
      </c>
      <c r="H368" s="144"/>
      <c r="L368" s="142"/>
      <c r="M368" s="146"/>
      <c r="T368" s="147"/>
      <c r="AT368" s="144" t="s">
        <v>346</v>
      </c>
      <c r="AU368" s="144" t="s">
        <v>90</v>
      </c>
      <c r="AV368" s="141" t="s">
        <v>87</v>
      </c>
      <c r="AW368" s="141" t="s">
        <v>33</v>
      </c>
      <c r="AX368" s="141" t="s">
        <v>80</v>
      </c>
      <c r="AY368" s="144" t="s">
        <v>337</v>
      </c>
    </row>
    <row r="369" spans="2:65" s="148" customFormat="1" x14ac:dyDescent="0.2">
      <c r="B369" s="149"/>
      <c r="D369" s="143" t="s">
        <v>346</v>
      </c>
      <c r="E369" s="150"/>
      <c r="F369" s="151" t="s">
        <v>8298</v>
      </c>
      <c r="H369" s="152">
        <v>4.8</v>
      </c>
      <c r="L369" s="149"/>
      <c r="M369" s="153"/>
      <c r="T369" s="154"/>
      <c r="AT369" s="150" t="s">
        <v>346</v>
      </c>
      <c r="AU369" s="150" t="s">
        <v>90</v>
      </c>
      <c r="AV369" s="148" t="s">
        <v>90</v>
      </c>
      <c r="AW369" s="148" t="s">
        <v>33</v>
      </c>
      <c r="AX369" s="148" t="s">
        <v>87</v>
      </c>
      <c r="AY369" s="150" t="s">
        <v>337</v>
      </c>
    </row>
    <row r="370" spans="2:65" s="116" customFormat="1" ht="22.9" customHeight="1" x14ac:dyDescent="0.2">
      <c r="B370" s="117"/>
      <c r="D370" s="118" t="s">
        <v>79</v>
      </c>
      <c r="E370" s="126" t="s">
        <v>446</v>
      </c>
      <c r="F370" s="126" t="s">
        <v>6437</v>
      </c>
      <c r="J370" s="127">
        <f>BK370</f>
        <v>0</v>
      </c>
      <c r="L370" s="117"/>
      <c r="M370" s="121"/>
      <c r="P370" s="122">
        <f>SUM(P371:P382)</f>
        <v>0</v>
      </c>
      <c r="R370" s="122">
        <f>SUM(R371:R382)</f>
        <v>2.1703000000000001</v>
      </c>
      <c r="T370" s="123">
        <f>SUM(T371:T382)</f>
        <v>0.3</v>
      </c>
      <c r="AR370" s="118" t="s">
        <v>87</v>
      </c>
      <c r="AT370" s="124" t="s">
        <v>79</v>
      </c>
      <c r="AU370" s="124" t="s">
        <v>87</v>
      </c>
      <c r="AY370" s="118" t="s">
        <v>337</v>
      </c>
      <c r="BK370" s="125">
        <f>SUM(BK371:BK382)</f>
        <v>0</v>
      </c>
    </row>
    <row r="371" spans="2:65" s="16" customFormat="1" ht="16.5" customHeight="1" x14ac:dyDescent="0.2">
      <c r="B371" s="17"/>
      <c r="C371" s="128">
        <v>64</v>
      </c>
      <c r="D371" s="128" t="s">
        <v>339</v>
      </c>
      <c r="E371" s="129" t="s">
        <v>8444</v>
      </c>
      <c r="F371" s="130" t="s">
        <v>8445</v>
      </c>
      <c r="G371" s="131" t="s">
        <v>449</v>
      </c>
      <c r="H371" s="132">
        <v>2</v>
      </c>
      <c r="I371" s="133"/>
      <c r="J371" s="134">
        <f t="shared" ref="J371:J377" si="10">ROUND(I371*H371,2)</f>
        <v>0</v>
      </c>
      <c r="K371" s="130" t="s">
        <v>343</v>
      </c>
      <c r="L371" s="17"/>
      <c r="M371" s="135"/>
      <c r="N371" s="136" t="s">
        <v>45</v>
      </c>
      <c r="P371" s="137">
        <f t="shared" ref="P371:P377" si="11">O371*H371</f>
        <v>0</v>
      </c>
      <c r="Q371" s="137">
        <v>0.12526000000000001</v>
      </c>
      <c r="R371" s="137">
        <f t="shared" ref="R371:R377" si="12">Q371*H371</f>
        <v>0.25052000000000002</v>
      </c>
      <c r="S371" s="137">
        <v>0</v>
      </c>
      <c r="T371" s="138">
        <f t="shared" ref="T371:T377" si="13">S371*H371</f>
        <v>0</v>
      </c>
      <c r="AR371" s="139" t="s">
        <v>344</v>
      </c>
      <c r="AT371" s="139" t="s">
        <v>339</v>
      </c>
      <c r="AU371" s="139" t="s">
        <v>90</v>
      </c>
      <c r="AY371" s="2" t="s">
        <v>337</v>
      </c>
      <c r="BE371" s="140">
        <f t="shared" ref="BE371:BE377" si="14">IF(N371="základní",J371,0)</f>
        <v>0</v>
      </c>
      <c r="BF371" s="140">
        <f t="shared" ref="BF371:BF377" si="15">IF(N371="snížená",J371,0)</f>
        <v>0</v>
      </c>
      <c r="BG371" s="140">
        <f t="shared" ref="BG371:BG377" si="16">IF(N371="zákl. přenesená",J371,0)</f>
        <v>0</v>
      </c>
      <c r="BH371" s="140">
        <f t="shared" ref="BH371:BH377" si="17">IF(N371="sníž. přenesená",J371,0)</f>
        <v>0</v>
      </c>
      <c r="BI371" s="140">
        <f t="shared" ref="BI371:BI377" si="18">IF(N371="nulová",J371,0)</f>
        <v>0</v>
      </c>
      <c r="BJ371" s="2" t="s">
        <v>87</v>
      </c>
      <c r="BK371" s="140">
        <f t="shared" ref="BK371:BK377" si="19">ROUND(I371*H371,2)</f>
        <v>0</v>
      </c>
      <c r="BL371" s="2" t="s">
        <v>344</v>
      </c>
      <c r="BM371" s="139" t="s">
        <v>8446</v>
      </c>
    </row>
    <row r="372" spans="2:65" s="16" customFormat="1" ht="16.5" customHeight="1" x14ac:dyDescent="0.2">
      <c r="B372" s="17"/>
      <c r="C372" s="162">
        <v>65</v>
      </c>
      <c r="D372" s="162" t="s">
        <v>519</v>
      </c>
      <c r="E372" s="163" t="s">
        <v>8447</v>
      </c>
      <c r="F372" s="164" t="s">
        <v>8448</v>
      </c>
      <c r="G372" s="165" t="s">
        <v>449</v>
      </c>
      <c r="H372" s="166">
        <v>2</v>
      </c>
      <c r="I372" s="167"/>
      <c r="J372" s="168">
        <f t="shared" si="10"/>
        <v>0</v>
      </c>
      <c r="K372" s="164" t="s">
        <v>343</v>
      </c>
      <c r="L372" s="169"/>
      <c r="M372" s="170"/>
      <c r="N372" s="171" t="s">
        <v>45</v>
      </c>
      <c r="P372" s="137">
        <f t="shared" si="11"/>
        <v>0</v>
      </c>
      <c r="Q372" s="137">
        <v>0.1</v>
      </c>
      <c r="R372" s="137">
        <f t="shared" si="12"/>
        <v>0.2</v>
      </c>
      <c r="S372" s="137">
        <v>0</v>
      </c>
      <c r="T372" s="138">
        <f t="shared" si="13"/>
        <v>0</v>
      </c>
      <c r="AR372" s="139" t="s">
        <v>446</v>
      </c>
      <c r="AT372" s="139" t="s">
        <v>519</v>
      </c>
      <c r="AU372" s="139" t="s">
        <v>90</v>
      </c>
      <c r="AY372" s="2" t="s">
        <v>337</v>
      </c>
      <c r="BE372" s="140">
        <f t="shared" si="14"/>
        <v>0</v>
      </c>
      <c r="BF372" s="140">
        <f t="shared" si="15"/>
        <v>0</v>
      </c>
      <c r="BG372" s="140">
        <f t="shared" si="16"/>
        <v>0</v>
      </c>
      <c r="BH372" s="140">
        <f t="shared" si="17"/>
        <v>0</v>
      </c>
      <c r="BI372" s="140">
        <f t="shared" si="18"/>
        <v>0</v>
      </c>
      <c r="BJ372" s="2" t="s">
        <v>87</v>
      </c>
      <c r="BK372" s="140">
        <f t="shared" si="19"/>
        <v>0</v>
      </c>
      <c r="BL372" s="2" t="s">
        <v>344</v>
      </c>
      <c r="BM372" s="139" t="s">
        <v>8449</v>
      </c>
    </row>
    <row r="373" spans="2:65" s="16" customFormat="1" ht="16.5" customHeight="1" x14ac:dyDescent="0.2">
      <c r="B373" s="17"/>
      <c r="C373" s="128">
        <v>66</v>
      </c>
      <c r="D373" s="128" t="s">
        <v>339</v>
      </c>
      <c r="E373" s="129" t="s">
        <v>8450</v>
      </c>
      <c r="F373" s="130" t="s">
        <v>8451</v>
      </c>
      <c r="G373" s="131" t="s">
        <v>449</v>
      </c>
      <c r="H373" s="132">
        <v>2</v>
      </c>
      <c r="I373" s="133"/>
      <c r="J373" s="134">
        <f t="shared" si="10"/>
        <v>0</v>
      </c>
      <c r="K373" s="130" t="s">
        <v>343</v>
      </c>
      <c r="L373" s="17"/>
      <c r="M373" s="135"/>
      <c r="N373" s="136" t="s">
        <v>45</v>
      </c>
      <c r="P373" s="137">
        <f t="shared" si="11"/>
        <v>0</v>
      </c>
      <c r="Q373" s="137">
        <v>3.0759999999999999E-2</v>
      </c>
      <c r="R373" s="137">
        <f t="shared" si="12"/>
        <v>6.1519999999999998E-2</v>
      </c>
      <c r="S373" s="137">
        <v>0</v>
      </c>
      <c r="T373" s="138">
        <f t="shared" si="13"/>
        <v>0</v>
      </c>
      <c r="AR373" s="139" t="s">
        <v>344</v>
      </c>
      <c r="AT373" s="139" t="s">
        <v>339</v>
      </c>
      <c r="AU373" s="139" t="s">
        <v>90</v>
      </c>
      <c r="AY373" s="2" t="s">
        <v>337</v>
      </c>
      <c r="BE373" s="140">
        <f t="shared" si="14"/>
        <v>0</v>
      </c>
      <c r="BF373" s="140">
        <f t="shared" si="15"/>
        <v>0</v>
      </c>
      <c r="BG373" s="140">
        <f t="shared" si="16"/>
        <v>0</v>
      </c>
      <c r="BH373" s="140">
        <f t="shared" si="17"/>
        <v>0</v>
      </c>
      <c r="BI373" s="140">
        <f t="shared" si="18"/>
        <v>0</v>
      </c>
      <c r="BJ373" s="2" t="s">
        <v>87</v>
      </c>
      <c r="BK373" s="140">
        <f t="shared" si="19"/>
        <v>0</v>
      </c>
      <c r="BL373" s="2" t="s">
        <v>344</v>
      </c>
      <c r="BM373" s="139" t="s">
        <v>8452</v>
      </c>
    </row>
    <row r="374" spans="2:65" s="16" customFormat="1" ht="16.5" customHeight="1" x14ac:dyDescent="0.2">
      <c r="B374" s="17"/>
      <c r="C374" s="162">
        <v>67</v>
      </c>
      <c r="D374" s="162" t="s">
        <v>519</v>
      </c>
      <c r="E374" s="163" t="s">
        <v>8453</v>
      </c>
      <c r="F374" s="164" t="s">
        <v>8454</v>
      </c>
      <c r="G374" s="165" t="s">
        <v>449</v>
      </c>
      <c r="H374" s="166">
        <v>2</v>
      </c>
      <c r="I374" s="167"/>
      <c r="J374" s="168">
        <f t="shared" si="10"/>
        <v>0</v>
      </c>
      <c r="K374" s="164" t="s">
        <v>343</v>
      </c>
      <c r="L374" s="169"/>
      <c r="M374" s="170"/>
      <c r="N374" s="171" t="s">
        <v>45</v>
      </c>
      <c r="P374" s="137">
        <f t="shared" si="11"/>
        <v>0</v>
      </c>
      <c r="Q374" s="137">
        <v>7.5999999999999998E-2</v>
      </c>
      <c r="R374" s="137">
        <f t="shared" si="12"/>
        <v>0.152</v>
      </c>
      <c r="S374" s="137">
        <v>0</v>
      </c>
      <c r="T374" s="138">
        <f t="shared" si="13"/>
        <v>0</v>
      </c>
      <c r="AR374" s="139" t="s">
        <v>446</v>
      </c>
      <c r="AT374" s="139" t="s">
        <v>519</v>
      </c>
      <c r="AU374" s="139" t="s">
        <v>90</v>
      </c>
      <c r="AY374" s="2" t="s">
        <v>337</v>
      </c>
      <c r="BE374" s="140">
        <f t="shared" si="14"/>
        <v>0</v>
      </c>
      <c r="BF374" s="140">
        <f t="shared" si="15"/>
        <v>0</v>
      </c>
      <c r="BG374" s="140">
        <f t="shared" si="16"/>
        <v>0</v>
      </c>
      <c r="BH374" s="140">
        <f t="shared" si="17"/>
        <v>0</v>
      </c>
      <c r="BI374" s="140">
        <f t="shared" si="18"/>
        <v>0</v>
      </c>
      <c r="BJ374" s="2" t="s">
        <v>87</v>
      </c>
      <c r="BK374" s="140">
        <f t="shared" si="19"/>
        <v>0</v>
      </c>
      <c r="BL374" s="2" t="s">
        <v>344</v>
      </c>
      <c r="BM374" s="139" t="s">
        <v>8455</v>
      </c>
    </row>
    <row r="375" spans="2:65" s="16" customFormat="1" ht="16.5" customHeight="1" x14ac:dyDescent="0.2">
      <c r="B375" s="17"/>
      <c r="C375" s="128">
        <v>68</v>
      </c>
      <c r="D375" s="128" t="s">
        <v>339</v>
      </c>
      <c r="E375" s="129" t="s">
        <v>8456</v>
      </c>
      <c r="F375" s="130" t="s">
        <v>8457</v>
      </c>
      <c r="G375" s="131" t="s">
        <v>449</v>
      </c>
      <c r="H375" s="132">
        <v>2</v>
      </c>
      <c r="I375" s="133"/>
      <c r="J375" s="134">
        <f t="shared" si="10"/>
        <v>0</v>
      </c>
      <c r="K375" s="130" t="s">
        <v>343</v>
      </c>
      <c r="L375" s="17"/>
      <c r="M375" s="135"/>
      <c r="N375" s="136" t="s">
        <v>45</v>
      </c>
      <c r="P375" s="137">
        <f t="shared" si="11"/>
        <v>0</v>
      </c>
      <c r="Q375" s="137">
        <v>3.0759999999999999E-2</v>
      </c>
      <c r="R375" s="137">
        <f t="shared" si="12"/>
        <v>6.1519999999999998E-2</v>
      </c>
      <c r="S375" s="137">
        <v>0</v>
      </c>
      <c r="T375" s="138">
        <f t="shared" si="13"/>
        <v>0</v>
      </c>
      <c r="AR375" s="139" t="s">
        <v>344</v>
      </c>
      <c r="AT375" s="139" t="s">
        <v>339</v>
      </c>
      <c r="AU375" s="139" t="s">
        <v>90</v>
      </c>
      <c r="AY375" s="2" t="s">
        <v>337</v>
      </c>
      <c r="BE375" s="140">
        <f t="shared" si="14"/>
        <v>0</v>
      </c>
      <c r="BF375" s="140">
        <f t="shared" si="15"/>
        <v>0</v>
      </c>
      <c r="BG375" s="140">
        <f t="shared" si="16"/>
        <v>0</v>
      </c>
      <c r="BH375" s="140">
        <f t="shared" si="17"/>
        <v>0</v>
      </c>
      <c r="BI375" s="140">
        <f t="shared" si="18"/>
        <v>0</v>
      </c>
      <c r="BJ375" s="2" t="s">
        <v>87</v>
      </c>
      <c r="BK375" s="140">
        <f t="shared" si="19"/>
        <v>0</v>
      </c>
      <c r="BL375" s="2" t="s">
        <v>344</v>
      </c>
      <c r="BM375" s="139" t="s">
        <v>8458</v>
      </c>
    </row>
    <row r="376" spans="2:65" s="16" customFormat="1" ht="16.5" customHeight="1" x14ac:dyDescent="0.2">
      <c r="B376" s="17"/>
      <c r="C376" s="162">
        <v>69</v>
      </c>
      <c r="D376" s="162" t="s">
        <v>519</v>
      </c>
      <c r="E376" s="163" t="s">
        <v>8459</v>
      </c>
      <c r="F376" s="164" t="s">
        <v>8460</v>
      </c>
      <c r="G376" s="165" t="s">
        <v>449</v>
      </c>
      <c r="H376" s="166">
        <v>2</v>
      </c>
      <c r="I376" s="167"/>
      <c r="J376" s="168">
        <f t="shared" si="10"/>
        <v>0</v>
      </c>
      <c r="K376" s="164" t="s">
        <v>343</v>
      </c>
      <c r="L376" s="169"/>
      <c r="M376" s="170"/>
      <c r="N376" s="171" t="s">
        <v>45</v>
      </c>
      <c r="P376" s="137">
        <f t="shared" si="11"/>
        <v>0</v>
      </c>
      <c r="Q376" s="137">
        <v>0.17</v>
      </c>
      <c r="R376" s="137">
        <f t="shared" si="12"/>
        <v>0.34</v>
      </c>
      <c r="S376" s="137">
        <v>0</v>
      </c>
      <c r="T376" s="138">
        <f t="shared" si="13"/>
        <v>0</v>
      </c>
      <c r="AR376" s="139" t="s">
        <v>446</v>
      </c>
      <c r="AT376" s="139" t="s">
        <v>519</v>
      </c>
      <c r="AU376" s="139" t="s">
        <v>90</v>
      </c>
      <c r="AY376" s="2" t="s">
        <v>337</v>
      </c>
      <c r="BE376" s="140">
        <f t="shared" si="14"/>
        <v>0</v>
      </c>
      <c r="BF376" s="140">
        <f t="shared" si="15"/>
        <v>0</v>
      </c>
      <c r="BG376" s="140">
        <f t="shared" si="16"/>
        <v>0</v>
      </c>
      <c r="BH376" s="140">
        <f t="shared" si="17"/>
        <v>0</v>
      </c>
      <c r="BI376" s="140">
        <f t="shared" si="18"/>
        <v>0</v>
      </c>
      <c r="BJ376" s="2" t="s">
        <v>87</v>
      </c>
      <c r="BK376" s="140">
        <f t="shared" si="19"/>
        <v>0</v>
      </c>
      <c r="BL376" s="2" t="s">
        <v>344</v>
      </c>
      <c r="BM376" s="139" t="s">
        <v>8461</v>
      </c>
    </row>
    <row r="377" spans="2:65" s="16" customFormat="1" ht="16.5" customHeight="1" x14ac:dyDescent="0.2">
      <c r="B377" s="17"/>
      <c r="C377" s="128">
        <v>70</v>
      </c>
      <c r="D377" s="128" t="s">
        <v>339</v>
      </c>
      <c r="E377" s="129" t="s">
        <v>8462</v>
      </c>
      <c r="F377" s="130" t="s">
        <v>8463</v>
      </c>
      <c r="G377" s="131" t="s">
        <v>449</v>
      </c>
      <c r="H377" s="132">
        <v>1</v>
      </c>
      <c r="I377" s="133"/>
      <c r="J377" s="134">
        <f t="shared" si="10"/>
        <v>0</v>
      </c>
      <c r="K377" s="130" t="s">
        <v>343</v>
      </c>
      <c r="L377" s="17"/>
      <c r="M377" s="135"/>
      <c r="N377" s="136" t="s">
        <v>45</v>
      </c>
      <c r="P377" s="137">
        <f t="shared" si="11"/>
        <v>0</v>
      </c>
      <c r="Q377" s="137">
        <v>0.53325999999999996</v>
      </c>
      <c r="R377" s="137">
        <f t="shared" si="12"/>
        <v>0.53325999999999996</v>
      </c>
      <c r="S377" s="137">
        <v>0.3</v>
      </c>
      <c r="T377" s="138">
        <f t="shared" si="13"/>
        <v>0.3</v>
      </c>
      <c r="AR377" s="139" t="s">
        <v>344</v>
      </c>
      <c r="AT377" s="139" t="s">
        <v>339</v>
      </c>
      <c r="AU377" s="139" t="s">
        <v>90</v>
      </c>
      <c r="AY377" s="2" t="s">
        <v>337</v>
      </c>
      <c r="BE377" s="140">
        <f t="shared" si="14"/>
        <v>0</v>
      </c>
      <c r="BF377" s="140">
        <f t="shared" si="15"/>
        <v>0</v>
      </c>
      <c r="BG377" s="140">
        <f t="shared" si="16"/>
        <v>0</v>
      </c>
      <c r="BH377" s="140">
        <f t="shared" si="17"/>
        <v>0</v>
      </c>
      <c r="BI377" s="140">
        <f t="shared" si="18"/>
        <v>0</v>
      </c>
      <c r="BJ377" s="2" t="s">
        <v>87</v>
      </c>
      <c r="BK377" s="140">
        <f t="shared" si="19"/>
        <v>0</v>
      </c>
      <c r="BL377" s="2" t="s">
        <v>344</v>
      </c>
      <c r="BM377" s="139" t="s">
        <v>8464</v>
      </c>
    </row>
    <row r="378" spans="2:65" s="141" customFormat="1" x14ac:dyDescent="0.2">
      <c r="B378" s="142"/>
      <c r="D378" s="143" t="s">
        <v>346</v>
      </c>
      <c r="E378" s="144"/>
      <c r="F378" s="145" t="s">
        <v>8465</v>
      </c>
      <c r="H378" s="144"/>
      <c r="L378" s="142"/>
      <c r="M378" s="146"/>
      <c r="T378" s="147"/>
      <c r="AT378" s="144" t="s">
        <v>346</v>
      </c>
      <c r="AU378" s="144" t="s">
        <v>90</v>
      </c>
      <c r="AV378" s="141" t="s">
        <v>87</v>
      </c>
      <c r="AW378" s="141" t="s">
        <v>33</v>
      </c>
      <c r="AX378" s="141" t="s">
        <v>80</v>
      </c>
      <c r="AY378" s="144" t="s">
        <v>337</v>
      </c>
    </row>
    <row r="379" spans="2:65" s="148" customFormat="1" x14ac:dyDescent="0.2">
      <c r="B379" s="149"/>
      <c r="D379" s="143" t="s">
        <v>346</v>
      </c>
      <c r="E379" s="150"/>
      <c r="F379" s="151" t="s">
        <v>373</v>
      </c>
      <c r="H379" s="152">
        <v>1</v>
      </c>
      <c r="L379" s="149"/>
      <c r="M379" s="153"/>
      <c r="T379" s="154"/>
      <c r="AT379" s="150" t="s">
        <v>346</v>
      </c>
      <c r="AU379" s="150" t="s">
        <v>90</v>
      </c>
      <c r="AV379" s="148" t="s">
        <v>90</v>
      </c>
      <c r="AW379" s="148" t="s">
        <v>33</v>
      </c>
      <c r="AX379" s="148" t="s">
        <v>87</v>
      </c>
      <c r="AY379" s="150" t="s">
        <v>337</v>
      </c>
    </row>
    <row r="380" spans="2:65" s="16" customFormat="1" ht="16.5" customHeight="1" x14ac:dyDescent="0.2">
      <c r="B380" s="17"/>
      <c r="C380" s="162">
        <v>71</v>
      </c>
      <c r="D380" s="162" t="s">
        <v>519</v>
      </c>
      <c r="E380" s="163" t="s">
        <v>8466</v>
      </c>
      <c r="F380" s="164" t="s">
        <v>8467</v>
      </c>
      <c r="G380" s="165" t="s">
        <v>449</v>
      </c>
      <c r="H380" s="166">
        <v>1</v>
      </c>
      <c r="I380" s="167"/>
      <c r="J380" s="168">
        <f>ROUND(I380*H380,2)</f>
        <v>0</v>
      </c>
      <c r="K380" s="164" t="s">
        <v>343</v>
      </c>
      <c r="L380" s="169"/>
      <c r="M380" s="170"/>
      <c r="N380" s="171" t="s">
        <v>45</v>
      </c>
      <c r="P380" s="137">
        <f>O380*H380</f>
        <v>0</v>
      </c>
      <c r="Q380" s="137">
        <v>1.6799999999999999E-2</v>
      </c>
      <c r="R380" s="137">
        <f>Q380*H380</f>
        <v>1.6799999999999999E-2</v>
      </c>
      <c r="S380" s="137">
        <v>0</v>
      </c>
      <c r="T380" s="138">
        <f>S380*H380</f>
        <v>0</v>
      </c>
      <c r="AR380" s="139" t="s">
        <v>446</v>
      </c>
      <c r="AT380" s="139" t="s">
        <v>519</v>
      </c>
      <c r="AU380" s="139" t="s">
        <v>90</v>
      </c>
      <c r="AY380" s="2" t="s">
        <v>337</v>
      </c>
      <c r="BE380" s="140">
        <f>IF(N380="základní",J380,0)</f>
        <v>0</v>
      </c>
      <c r="BF380" s="140">
        <f>IF(N380="snížená",J380,0)</f>
        <v>0</v>
      </c>
      <c r="BG380" s="140">
        <f>IF(N380="zákl. přenesená",J380,0)</f>
        <v>0</v>
      </c>
      <c r="BH380" s="140">
        <f>IF(N380="sníž. přenesená",J380,0)</f>
        <v>0</v>
      </c>
      <c r="BI380" s="140">
        <f>IF(N380="nulová",J380,0)</f>
        <v>0</v>
      </c>
      <c r="BJ380" s="2" t="s">
        <v>87</v>
      </c>
      <c r="BK380" s="140">
        <f>ROUND(I380*H380,2)</f>
        <v>0</v>
      </c>
      <c r="BL380" s="2" t="s">
        <v>344</v>
      </c>
      <c r="BM380" s="139" t="s">
        <v>8468</v>
      </c>
    </row>
    <row r="381" spans="2:65" s="16" customFormat="1" ht="16.5" customHeight="1" x14ac:dyDescent="0.2">
      <c r="B381" s="17"/>
      <c r="C381" s="128">
        <v>72</v>
      </c>
      <c r="D381" s="128" t="s">
        <v>339</v>
      </c>
      <c r="E381" s="129" t="s">
        <v>8469</v>
      </c>
      <c r="F381" s="130" t="s">
        <v>8470</v>
      </c>
      <c r="G381" s="131" t="s">
        <v>449</v>
      </c>
      <c r="H381" s="132">
        <v>2</v>
      </c>
      <c r="I381" s="133"/>
      <c r="J381" s="134">
        <f>ROUND(I381*H381,2)</f>
        <v>0</v>
      </c>
      <c r="K381" s="130" t="s">
        <v>343</v>
      </c>
      <c r="L381" s="17"/>
      <c r="M381" s="135"/>
      <c r="N381" s="136" t="s">
        <v>45</v>
      </c>
      <c r="P381" s="137">
        <f>O381*H381</f>
        <v>0</v>
      </c>
      <c r="Q381" s="137">
        <v>0.21734000000000001</v>
      </c>
      <c r="R381" s="137">
        <f>Q381*H381</f>
        <v>0.43468000000000001</v>
      </c>
      <c r="S381" s="137">
        <v>0</v>
      </c>
      <c r="T381" s="138">
        <f>S381*H381</f>
        <v>0</v>
      </c>
      <c r="AR381" s="139" t="s">
        <v>344</v>
      </c>
      <c r="AT381" s="139" t="s">
        <v>339</v>
      </c>
      <c r="AU381" s="139" t="s">
        <v>90</v>
      </c>
      <c r="AY381" s="2" t="s">
        <v>337</v>
      </c>
      <c r="BE381" s="140">
        <f>IF(N381="základní",J381,0)</f>
        <v>0</v>
      </c>
      <c r="BF381" s="140">
        <f>IF(N381="snížená",J381,0)</f>
        <v>0</v>
      </c>
      <c r="BG381" s="140">
        <f>IF(N381="zákl. přenesená",J381,0)</f>
        <v>0</v>
      </c>
      <c r="BH381" s="140">
        <f>IF(N381="sníž. přenesená",J381,0)</f>
        <v>0</v>
      </c>
      <c r="BI381" s="140">
        <f>IF(N381="nulová",J381,0)</f>
        <v>0</v>
      </c>
      <c r="BJ381" s="2" t="s">
        <v>87</v>
      </c>
      <c r="BK381" s="140">
        <f>ROUND(I381*H381,2)</f>
        <v>0</v>
      </c>
      <c r="BL381" s="2" t="s">
        <v>344</v>
      </c>
      <c r="BM381" s="139" t="s">
        <v>8471</v>
      </c>
    </row>
    <row r="382" spans="2:65" s="16" customFormat="1" ht="16.5" customHeight="1" x14ac:dyDescent="0.2">
      <c r="B382" s="17"/>
      <c r="C382" s="162">
        <v>73</v>
      </c>
      <c r="D382" s="162" t="s">
        <v>519</v>
      </c>
      <c r="E382" s="163" t="s">
        <v>8472</v>
      </c>
      <c r="F382" s="164" t="s">
        <v>8473</v>
      </c>
      <c r="G382" s="165" t="s">
        <v>449</v>
      </c>
      <c r="H382" s="166">
        <v>2</v>
      </c>
      <c r="I382" s="167"/>
      <c r="J382" s="168">
        <f>ROUND(I382*H382,2)</f>
        <v>0</v>
      </c>
      <c r="K382" s="164" t="s">
        <v>343</v>
      </c>
      <c r="L382" s="169"/>
      <c r="M382" s="170"/>
      <c r="N382" s="171" t="s">
        <v>45</v>
      </c>
      <c r="P382" s="137">
        <f>O382*H382</f>
        <v>0</v>
      </c>
      <c r="Q382" s="137">
        <v>0.06</v>
      </c>
      <c r="R382" s="137">
        <f>Q382*H382</f>
        <v>0.12</v>
      </c>
      <c r="S382" s="137">
        <v>0</v>
      </c>
      <c r="T382" s="138">
        <f>S382*H382</f>
        <v>0</v>
      </c>
      <c r="AR382" s="139" t="s">
        <v>446</v>
      </c>
      <c r="AT382" s="139" t="s">
        <v>519</v>
      </c>
      <c r="AU382" s="139" t="s">
        <v>90</v>
      </c>
      <c r="AY382" s="2" t="s">
        <v>337</v>
      </c>
      <c r="BE382" s="140">
        <f>IF(N382="základní",J382,0)</f>
        <v>0</v>
      </c>
      <c r="BF382" s="140">
        <f>IF(N382="snížená",J382,0)</f>
        <v>0</v>
      </c>
      <c r="BG382" s="140">
        <f>IF(N382="zákl. přenesená",J382,0)</f>
        <v>0</v>
      </c>
      <c r="BH382" s="140">
        <f>IF(N382="sníž. přenesená",J382,0)</f>
        <v>0</v>
      </c>
      <c r="BI382" s="140">
        <f>IF(N382="nulová",J382,0)</f>
        <v>0</v>
      </c>
      <c r="BJ382" s="2" t="s">
        <v>87</v>
      </c>
      <c r="BK382" s="140">
        <f>ROUND(I382*H382,2)</f>
        <v>0</v>
      </c>
      <c r="BL382" s="2" t="s">
        <v>344</v>
      </c>
      <c r="BM382" s="139" t="s">
        <v>8474</v>
      </c>
    </row>
    <row r="383" spans="2:65" s="116" customFormat="1" ht="22.9" customHeight="1" x14ac:dyDescent="0.2">
      <c r="B383" s="117"/>
      <c r="D383" s="118" t="s">
        <v>79</v>
      </c>
      <c r="E383" s="126" t="s">
        <v>452</v>
      </c>
      <c r="F383" s="126" t="s">
        <v>869</v>
      </c>
      <c r="J383" s="127">
        <f>BK383</f>
        <v>0</v>
      </c>
      <c r="L383" s="117"/>
      <c r="M383" s="121"/>
      <c r="P383" s="122">
        <f>SUM(P384:P458)</f>
        <v>0</v>
      </c>
      <c r="R383" s="122">
        <f>SUM(R384:R458)</f>
        <v>50.49323562</v>
      </c>
      <c r="T383" s="123">
        <f>SUM(T384:T458)</f>
        <v>23.514200000000002</v>
      </c>
      <c r="AR383" s="118" t="s">
        <v>87</v>
      </c>
      <c r="AT383" s="124" t="s">
        <v>79</v>
      </c>
      <c r="AU383" s="124" t="s">
        <v>87</v>
      </c>
      <c r="AY383" s="118" t="s">
        <v>337</v>
      </c>
      <c r="BK383" s="125">
        <f>SUM(BK384:BK458)</f>
        <v>0</v>
      </c>
    </row>
    <row r="384" spans="2:65" s="16" customFormat="1" ht="16.5" customHeight="1" x14ac:dyDescent="0.2">
      <c r="B384" s="17"/>
      <c r="C384" s="128">
        <v>74</v>
      </c>
      <c r="D384" s="128" t="s">
        <v>339</v>
      </c>
      <c r="E384" s="129" t="s">
        <v>8475</v>
      </c>
      <c r="F384" s="130" t="s">
        <v>8476</v>
      </c>
      <c r="G384" s="131" t="s">
        <v>7010</v>
      </c>
      <c r="H384" s="132">
        <v>1</v>
      </c>
      <c r="I384" s="133"/>
      <c r="J384" s="134">
        <f>ROUND(I384*H384,2)</f>
        <v>0</v>
      </c>
      <c r="K384" s="130"/>
      <c r="L384" s="17"/>
      <c r="M384" s="135"/>
      <c r="N384" s="136" t="s">
        <v>45</v>
      </c>
      <c r="P384" s="137">
        <f>O384*H384</f>
        <v>0</v>
      </c>
      <c r="Q384" s="137">
        <v>0</v>
      </c>
      <c r="R384" s="137">
        <f>Q384*H384</f>
        <v>0</v>
      </c>
      <c r="S384" s="137">
        <v>0</v>
      </c>
      <c r="T384" s="138">
        <f>S384*H384</f>
        <v>0</v>
      </c>
      <c r="AR384" s="139" t="s">
        <v>344</v>
      </c>
      <c r="AT384" s="139" t="s">
        <v>339</v>
      </c>
      <c r="AU384" s="139" t="s">
        <v>90</v>
      </c>
      <c r="AY384" s="2" t="s">
        <v>337</v>
      </c>
      <c r="BE384" s="140">
        <f>IF(N384="základní",J384,0)</f>
        <v>0</v>
      </c>
      <c r="BF384" s="140">
        <f>IF(N384="snížená",J384,0)</f>
        <v>0</v>
      </c>
      <c r="BG384" s="140">
        <f>IF(N384="zákl. přenesená",J384,0)</f>
        <v>0</v>
      </c>
      <c r="BH384" s="140">
        <f>IF(N384="sníž. přenesená",J384,0)</f>
        <v>0</v>
      </c>
      <c r="BI384" s="140">
        <f>IF(N384="nulová",J384,0)</f>
        <v>0</v>
      </c>
      <c r="BJ384" s="2" t="s">
        <v>87</v>
      </c>
      <c r="BK384" s="140">
        <f>ROUND(I384*H384,2)</f>
        <v>0</v>
      </c>
      <c r="BL384" s="2" t="s">
        <v>344</v>
      </c>
      <c r="BM384" s="139" t="s">
        <v>8477</v>
      </c>
    </row>
    <row r="385" spans="2:65" s="141" customFormat="1" x14ac:dyDescent="0.2">
      <c r="B385" s="142"/>
      <c r="D385" s="143" t="s">
        <v>346</v>
      </c>
      <c r="E385" s="144"/>
      <c r="F385" s="145" t="s">
        <v>8478</v>
      </c>
      <c r="H385" s="144"/>
      <c r="L385" s="142"/>
      <c r="M385" s="146"/>
      <c r="T385" s="147"/>
      <c r="AT385" s="144" t="s">
        <v>346</v>
      </c>
      <c r="AU385" s="144" t="s">
        <v>90</v>
      </c>
      <c r="AV385" s="141" t="s">
        <v>87</v>
      </c>
      <c r="AW385" s="141" t="s">
        <v>33</v>
      </c>
      <c r="AX385" s="141" t="s">
        <v>80</v>
      </c>
      <c r="AY385" s="144" t="s">
        <v>337</v>
      </c>
    </row>
    <row r="386" spans="2:65" s="148" customFormat="1" x14ac:dyDescent="0.2">
      <c r="B386" s="149"/>
      <c r="D386" s="143" t="s">
        <v>346</v>
      </c>
      <c r="E386" s="150"/>
      <c r="F386" s="151" t="s">
        <v>373</v>
      </c>
      <c r="H386" s="152">
        <v>1</v>
      </c>
      <c r="L386" s="149"/>
      <c r="M386" s="153"/>
      <c r="T386" s="154"/>
      <c r="AT386" s="150" t="s">
        <v>346</v>
      </c>
      <c r="AU386" s="150" t="s">
        <v>90</v>
      </c>
      <c r="AV386" s="148" t="s">
        <v>90</v>
      </c>
      <c r="AW386" s="148" t="s">
        <v>33</v>
      </c>
      <c r="AX386" s="148" t="s">
        <v>87</v>
      </c>
      <c r="AY386" s="150" t="s">
        <v>337</v>
      </c>
    </row>
    <row r="387" spans="2:65" s="16" customFormat="1" ht="16.5" customHeight="1" x14ac:dyDescent="0.2">
      <c r="B387" s="17"/>
      <c r="C387" s="128">
        <v>75</v>
      </c>
      <c r="D387" s="128" t="s">
        <v>339</v>
      </c>
      <c r="E387" s="129" t="s">
        <v>8479</v>
      </c>
      <c r="F387" s="130" t="s">
        <v>8480</v>
      </c>
      <c r="G387" s="131" t="s">
        <v>449</v>
      </c>
      <c r="H387" s="132">
        <v>6</v>
      </c>
      <c r="I387" s="133"/>
      <c r="J387" s="134">
        <f>ROUND(I387*H387,2)</f>
        <v>0</v>
      </c>
      <c r="K387" s="130" t="s">
        <v>343</v>
      </c>
      <c r="L387" s="17"/>
      <c r="M387" s="135"/>
      <c r="N387" s="136" t="s">
        <v>45</v>
      </c>
      <c r="P387" s="137">
        <f>O387*H387</f>
        <v>0</v>
      </c>
      <c r="Q387" s="137">
        <v>6.9999999999999999E-4</v>
      </c>
      <c r="R387" s="137">
        <f>Q387*H387</f>
        <v>4.1999999999999997E-3</v>
      </c>
      <c r="S387" s="137">
        <v>0</v>
      </c>
      <c r="T387" s="138">
        <f>S387*H387</f>
        <v>0</v>
      </c>
      <c r="AR387" s="139" t="s">
        <v>344</v>
      </c>
      <c r="AT387" s="139" t="s">
        <v>339</v>
      </c>
      <c r="AU387" s="139" t="s">
        <v>90</v>
      </c>
      <c r="AY387" s="2" t="s">
        <v>337</v>
      </c>
      <c r="BE387" s="140">
        <f>IF(N387="základní",J387,0)</f>
        <v>0</v>
      </c>
      <c r="BF387" s="140">
        <f>IF(N387="snížená",J387,0)</f>
        <v>0</v>
      </c>
      <c r="BG387" s="140">
        <f>IF(N387="zákl. přenesená",J387,0)</f>
        <v>0</v>
      </c>
      <c r="BH387" s="140">
        <f>IF(N387="sníž. přenesená",J387,0)</f>
        <v>0</v>
      </c>
      <c r="BI387" s="140">
        <f>IF(N387="nulová",J387,0)</f>
        <v>0</v>
      </c>
      <c r="BJ387" s="2" t="s">
        <v>87</v>
      </c>
      <c r="BK387" s="140">
        <f>ROUND(I387*H387,2)</f>
        <v>0</v>
      </c>
      <c r="BL387" s="2" t="s">
        <v>344</v>
      </c>
      <c r="BM387" s="139" t="s">
        <v>8481</v>
      </c>
    </row>
    <row r="388" spans="2:65" s="16" customFormat="1" ht="16.5" customHeight="1" x14ac:dyDescent="0.2">
      <c r="B388" s="17"/>
      <c r="C388" s="162">
        <v>76</v>
      </c>
      <c r="D388" s="162" t="s">
        <v>519</v>
      </c>
      <c r="E388" s="163" t="s">
        <v>8482</v>
      </c>
      <c r="F388" s="164" t="s">
        <v>8483</v>
      </c>
      <c r="G388" s="165" t="s">
        <v>449</v>
      </c>
      <c r="H388" s="166">
        <v>2</v>
      </c>
      <c r="I388" s="167"/>
      <c r="J388" s="168">
        <f>ROUND(I388*H388,2)</f>
        <v>0</v>
      </c>
      <c r="K388" s="164" t="s">
        <v>343</v>
      </c>
      <c r="L388" s="169"/>
      <c r="M388" s="170"/>
      <c r="N388" s="171" t="s">
        <v>45</v>
      </c>
      <c r="P388" s="137">
        <f>O388*H388</f>
        <v>0</v>
      </c>
      <c r="Q388" s="137">
        <v>2.5000000000000001E-3</v>
      </c>
      <c r="R388" s="137">
        <f>Q388*H388</f>
        <v>5.0000000000000001E-3</v>
      </c>
      <c r="S388" s="137">
        <v>0</v>
      </c>
      <c r="T388" s="138">
        <f>S388*H388</f>
        <v>0</v>
      </c>
      <c r="AR388" s="139" t="s">
        <v>446</v>
      </c>
      <c r="AT388" s="139" t="s">
        <v>519</v>
      </c>
      <c r="AU388" s="139" t="s">
        <v>90</v>
      </c>
      <c r="AY388" s="2" t="s">
        <v>337</v>
      </c>
      <c r="BE388" s="140">
        <f>IF(N388="základní",J388,0)</f>
        <v>0</v>
      </c>
      <c r="BF388" s="140">
        <f>IF(N388="snížená",J388,0)</f>
        <v>0</v>
      </c>
      <c r="BG388" s="140">
        <f>IF(N388="zákl. přenesená",J388,0)</f>
        <v>0</v>
      </c>
      <c r="BH388" s="140">
        <f>IF(N388="sníž. přenesená",J388,0)</f>
        <v>0</v>
      </c>
      <c r="BI388" s="140">
        <f>IF(N388="nulová",J388,0)</f>
        <v>0</v>
      </c>
      <c r="BJ388" s="2" t="s">
        <v>87</v>
      </c>
      <c r="BK388" s="140">
        <f>ROUND(I388*H388,2)</f>
        <v>0</v>
      </c>
      <c r="BL388" s="2" t="s">
        <v>344</v>
      </c>
      <c r="BM388" s="139" t="s">
        <v>8484</v>
      </c>
    </row>
    <row r="389" spans="2:65" s="141" customFormat="1" x14ac:dyDescent="0.2">
      <c r="B389" s="142"/>
      <c r="D389" s="143" t="s">
        <v>346</v>
      </c>
      <c r="E389" s="144"/>
      <c r="F389" s="145" t="s">
        <v>8485</v>
      </c>
      <c r="H389" s="144"/>
      <c r="L389" s="142"/>
      <c r="M389" s="146"/>
      <c r="T389" s="147"/>
      <c r="AT389" s="144" t="s">
        <v>346</v>
      </c>
      <c r="AU389" s="144" t="s">
        <v>90</v>
      </c>
      <c r="AV389" s="141" t="s">
        <v>87</v>
      </c>
      <c r="AW389" s="141" t="s">
        <v>33</v>
      </c>
      <c r="AX389" s="141" t="s">
        <v>80</v>
      </c>
      <c r="AY389" s="144" t="s">
        <v>337</v>
      </c>
    </row>
    <row r="390" spans="2:65" s="148" customFormat="1" x14ac:dyDescent="0.2">
      <c r="B390" s="149"/>
      <c r="D390" s="143" t="s">
        <v>346</v>
      </c>
      <c r="E390" s="150"/>
      <c r="F390" s="151" t="s">
        <v>373</v>
      </c>
      <c r="H390" s="152">
        <v>1</v>
      </c>
      <c r="L390" s="149"/>
      <c r="M390" s="153"/>
      <c r="T390" s="154"/>
      <c r="AT390" s="150" t="s">
        <v>346</v>
      </c>
      <c r="AU390" s="150" t="s">
        <v>90</v>
      </c>
      <c r="AV390" s="148" t="s">
        <v>90</v>
      </c>
      <c r="AW390" s="148" t="s">
        <v>33</v>
      </c>
      <c r="AX390" s="148" t="s">
        <v>80</v>
      </c>
      <c r="AY390" s="150" t="s">
        <v>337</v>
      </c>
    </row>
    <row r="391" spans="2:65" s="141" customFormat="1" x14ac:dyDescent="0.2">
      <c r="B391" s="142"/>
      <c r="D391" s="143" t="s">
        <v>346</v>
      </c>
      <c r="E391" s="144"/>
      <c r="F391" s="145" t="s">
        <v>8486</v>
      </c>
      <c r="H391" s="144"/>
      <c r="L391" s="142"/>
      <c r="M391" s="146"/>
      <c r="T391" s="147"/>
      <c r="AT391" s="144" t="s">
        <v>346</v>
      </c>
      <c r="AU391" s="144" t="s">
        <v>90</v>
      </c>
      <c r="AV391" s="141" t="s">
        <v>87</v>
      </c>
      <c r="AW391" s="141" t="s">
        <v>33</v>
      </c>
      <c r="AX391" s="141" t="s">
        <v>80</v>
      </c>
      <c r="AY391" s="144" t="s">
        <v>337</v>
      </c>
    </row>
    <row r="392" spans="2:65" s="148" customFormat="1" x14ac:dyDescent="0.2">
      <c r="B392" s="149"/>
      <c r="D392" s="143" t="s">
        <v>346</v>
      </c>
      <c r="E392" s="150"/>
      <c r="F392" s="151" t="s">
        <v>373</v>
      </c>
      <c r="H392" s="152">
        <v>1</v>
      </c>
      <c r="L392" s="149"/>
      <c r="M392" s="153"/>
      <c r="T392" s="154"/>
      <c r="AT392" s="150" t="s">
        <v>346</v>
      </c>
      <c r="AU392" s="150" t="s">
        <v>90</v>
      </c>
      <c r="AV392" s="148" t="s">
        <v>90</v>
      </c>
      <c r="AW392" s="148" t="s">
        <v>33</v>
      </c>
      <c r="AX392" s="148" t="s">
        <v>80</v>
      </c>
      <c r="AY392" s="150" t="s">
        <v>337</v>
      </c>
    </row>
    <row r="393" spans="2:65" s="155" customFormat="1" x14ac:dyDescent="0.2">
      <c r="B393" s="156"/>
      <c r="D393" s="143" t="s">
        <v>346</v>
      </c>
      <c r="E393" s="157"/>
      <c r="F393" s="158" t="s">
        <v>351</v>
      </c>
      <c r="H393" s="159">
        <v>2</v>
      </c>
      <c r="L393" s="156"/>
      <c r="M393" s="160"/>
      <c r="T393" s="161"/>
      <c r="AT393" s="157" t="s">
        <v>346</v>
      </c>
      <c r="AU393" s="157" t="s">
        <v>90</v>
      </c>
      <c r="AV393" s="155" t="s">
        <v>344</v>
      </c>
      <c r="AW393" s="155" t="s">
        <v>33</v>
      </c>
      <c r="AX393" s="155" t="s">
        <v>87</v>
      </c>
      <c r="AY393" s="157" t="s">
        <v>337</v>
      </c>
    </row>
    <row r="394" spans="2:65" s="16" customFormat="1" ht="16.5" customHeight="1" x14ac:dyDescent="0.2">
      <c r="B394" s="17"/>
      <c r="C394" s="162">
        <v>77</v>
      </c>
      <c r="D394" s="162" t="s">
        <v>519</v>
      </c>
      <c r="E394" s="163" t="s">
        <v>8487</v>
      </c>
      <c r="F394" s="164" t="s">
        <v>8488</v>
      </c>
      <c r="G394" s="165" t="s">
        <v>449</v>
      </c>
      <c r="H394" s="166">
        <v>1</v>
      </c>
      <c r="I394" s="167"/>
      <c r="J394" s="168">
        <f>ROUND(I394*H394,2)</f>
        <v>0</v>
      </c>
      <c r="K394" s="164" t="s">
        <v>343</v>
      </c>
      <c r="L394" s="169"/>
      <c r="M394" s="170"/>
      <c r="N394" s="171" t="s">
        <v>45</v>
      </c>
      <c r="P394" s="137">
        <f>O394*H394</f>
        <v>0</v>
      </c>
      <c r="Q394" s="137">
        <v>5.0000000000000001E-3</v>
      </c>
      <c r="R394" s="137">
        <f>Q394*H394</f>
        <v>5.0000000000000001E-3</v>
      </c>
      <c r="S394" s="137">
        <v>0</v>
      </c>
      <c r="T394" s="138">
        <f>S394*H394</f>
        <v>0</v>
      </c>
      <c r="AR394" s="139" t="s">
        <v>446</v>
      </c>
      <c r="AT394" s="139" t="s">
        <v>519</v>
      </c>
      <c r="AU394" s="139" t="s">
        <v>90</v>
      </c>
      <c r="AY394" s="2" t="s">
        <v>337</v>
      </c>
      <c r="BE394" s="140">
        <f>IF(N394="základní",J394,0)</f>
        <v>0</v>
      </c>
      <c r="BF394" s="140">
        <f>IF(N394="snížená",J394,0)</f>
        <v>0</v>
      </c>
      <c r="BG394" s="140">
        <f>IF(N394="zákl. přenesená",J394,0)</f>
        <v>0</v>
      </c>
      <c r="BH394" s="140">
        <f>IF(N394="sníž. přenesená",J394,0)</f>
        <v>0</v>
      </c>
      <c r="BI394" s="140">
        <f>IF(N394="nulová",J394,0)</f>
        <v>0</v>
      </c>
      <c r="BJ394" s="2" t="s">
        <v>87</v>
      </c>
      <c r="BK394" s="140">
        <f>ROUND(I394*H394,2)</f>
        <v>0</v>
      </c>
      <c r="BL394" s="2" t="s">
        <v>344</v>
      </c>
      <c r="BM394" s="139" t="s">
        <v>8489</v>
      </c>
    </row>
    <row r="395" spans="2:65" s="141" customFormat="1" x14ac:dyDescent="0.2">
      <c r="B395" s="142"/>
      <c r="D395" s="143" t="s">
        <v>346</v>
      </c>
      <c r="E395" s="144"/>
      <c r="F395" s="145" t="s">
        <v>8490</v>
      </c>
      <c r="H395" s="144"/>
      <c r="L395" s="142"/>
      <c r="M395" s="146"/>
      <c r="T395" s="147"/>
      <c r="AT395" s="144" t="s">
        <v>346</v>
      </c>
      <c r="AU395" s="144" t="s">
        <v>90</v>
      </c>
      <c r="AV395" s="141" t="s">
        <v>87</v>
      </c>
      <c r="AW395" s="141" t="s">
        <v>33</v>
      </c>
      <c r="AX395" s="141" t="s">
        <v>80</v>
      </c>
      <c r="AY395" s="144" t="s">
        <v>337</v>
      </c>
    </row>
    <row r="396" spans="2:65" s="148" customFormat="1" x14ac:dyDescent="0.2">
      <c r="B396" s="149"/>
      <c r="D396" s="143" t="s">
        <v>346</v>
      </c>
      <c r="E396" s="150"/>
      <c r="F396" s="151" t="s">
        <v>373</v>
      </c>
      <c r="H396" s="152">
        <v>1</v>
      </c>
      <c r="L396" s="149"/>
      <c r="M396" s="153"/>
      <c r="T396" s="154"/>
      <c r="AT396" s="150" t="s">
        <v>346</v>
      </c>
      <c r="AU396" s="150" t="s">
        <v>90</v>
      </c>
      <c r="AV396" s="148" t="s">
        <v>90</v>
      </c>
      <c r="AW396" s="148" t="s">
        <v>33</v>
      </c>
      <c r="AX396" s="148" t="s">
        <v>87</v>
      </c>
      <c r="AY396" s="150" t="s">
        <v>337</v>
      </c>
    </row>
    <row r="397" spans="2:65" s="16" customFormat="1" ht="16.5" customHeight="1" x14ac:dyDescent="0.2">
      <c r="B397" s="17"/>
      <c r="C397" s="162">
        <v>78</v>
      </c>
      <c r="D397" s="162" t="s">
        <v>519</v>
      </c>
      <c r="E397" s="163" t="s">
        <v>8491</v>
      </c>
      <c r="F397" s="164" t="s">
        <v>8492</v>
      </c>
      <c r="G397" s="165" t="s">
        <v>449</v>
      </c>
      <c r="H397" s="166">
        <v>1</v>
      </c>
      <c r="I397" s="167"/>
      <c r="J397" s="168">
        <f>ROUND(I397*H397,2)</f>
        <v>0</v>
      </c>
      <c r="K397" s="164" t="s">
        <v>343</v>
      </c>
      <c r="L397" s="169"/>
      <c r="M397" s="170"/>
      <c r="N397" s="171" t="s">
        <v>45</v>
      </c>
      <c r="P397" s="137">
        <f>O397*H397</f>
        <v>0</v>
      </c>
      <c r="Q397" s="137">
        <v>3.5000000000000001E-3</v>
      </c>
      <c r="R397" s="137">
        <f>Q397*H397</f>
        <v>3.5000000000000001E-3</v>
      </c>
      <c r="S397" s="137">
        <v>0</v>
      </c>
      <c r="T397" s="138">
        <f>S397*H397</f>
        <v>0</v>
      </c>
      <c r="AR397" s="139" t="s">
        <v>446</v>
      </c>
      <c r="AT397" s="139" t="s">
        <v>519</v>
      </c>
      <c r="AU397" s="139" t="s">
        <v>90</v>
      </c>
      <c r="AY397" s="2" t="s">
        <v>337</v>
      </c>
      <c r="BE397" s="140">
        <f>IF(N397="základní",J397,0)</f>
        <v>0</v>
      </c>
      <c r="BF397" s="140">
        <f>IF(N397="snížená",J397,0)</f>
        <v>0</v>
      </c>
      <c r="BG397" s="140">
        <f>IF(N397="zákl. přenesená",J397,0)</f>
        <v>0</v>
      </c>
      <c r="BH397" s="140">
        <f>IF(N397="sníž. přenesená",J397,0)</f>
        <v>0</v>
      </c>
      <c r="BI397" s="140">
        <f>IF(N397="nulová",J397,0)</f>
        <v>0</v>
      </c>
      <c r="BJ397" s="2" t="s">
        <v>87</v>
      </c>
      <c r="BK397" s="140">
        <f>ROUND(I397*H397,2)</f>
        <v>0</v>
      </c>
      <c r="BL397" s="2" t="s">
        <v>344</v>
      </c>
      <c r="BM397" s="139" t="s">
        <v>8493</v>
      </c>
    </row>
    <row r="398" spans="2:65" s="141" customFormat="1" x14ac:dyDescent="0.2">
      <c r="B398" s="142"/>
      <c r="D398" s="143" t="s">
        <v>346</v>
      </c>
      <c r="E398" s="144"/>
      <c r="F398" s="145" t="s">
        <v>8494</v>
      </c>
      <c r="H398" s="144"/>
      <c r="L398" s="142"/>
      <c r="M398" s="146"/>
      <c r="T398" s="147"/>
      <c r="AT398" s="144" t="s">
        <v>346</v>
      </c>
      <c r="AU398" s="144" t="s">
        <v>90</v>
      </c>
      <c r="AV398" s="141" t="s">
        <v>87</v>
      </c>
      <c r="AW398" s="141" t="s">
        <v>33</v>
      </c>
      <c r="AX398" s="141" t="s">
        <v>80</v>
      </c>
      <c r="AY398" s="144" t="s">
        <v>337</v>
      </c>
    </row>
    <row r="399" spans="2:65" s="148" customFormat="1" x14ac:dyDescent="0.2">
      <c r="B399" s="149"/>
      <c r="D399" s="143" t="s">
        <v>346</v>
      </c>
      <c r="E399" s="150"/>
      <c r="F399" s="151" t="s">
        <v>373</v>
      </c>
      <c r="H399" s="152">
        <v>1</v>
      </c>
      <c r="L399" s="149"/>
      <c r="M399" s="153"/>
      <c r="T399" s="154"/>
      <c r="AT399" s="150" t="s">
        <v>346</v>
      </c>
      <c r="AU399" s="150" t="s">
        <v>90</v>
      </c>
      <c r="AV399" s="148" t="s">
        <v>90</v>
      </c>
      <c r="AW399" s="148" t="s">
        <v>33</v>
      </c>
      <c r="AX399" s="148" t="s">
        <v>87</v>
      </c>
      <c r="AY399" s="150" t="s">
        <v>337</v>
      </c>
    </row>
    <row r="400" spans="2:65" s="16" customFormat="1" ht="16.5" customHeight="1" x14ac:dyDescent="0.2">
      <c r="B400" s="17"/>
      <c r="C400" s="162">
        <v>79</v>
      </c>
      <c r="D400" s="162" t="s">
        <v>519</v>
      </c>
      <c r="E400" s="163" t="s">
        <v>8495</v>
      </c>
      <c r="F400" s="164" t="s">
        <v>8496</v>
      </c>
      <c r="G400" s="165" t="s">
        <v>449</v>
      </c>
      <c r="H400" s="166">
        <v>2</v>
      </c>
      <c r="I400" s="167"/>
      <c r="J400" s="168">
        <f>ROUND(I400*H400,2)</f>
        <v>0</v>
      </c>
      <c r="K400" s="164" t="s">
        <v>343</v>
      </c>
      <c r="L400" s="169"/>
      <c r="M400" s="170"/>
      <c r="N400" s="171" t="s">
        <v>45</v>
      </c>
      <c r="P400" s="137">
        <f>O400*H400</f>
        <v>0</v>
      </c>
      <c r="Q400" s="137">
        <v>2.5000000000000001E-3</v>
      </c>
      <c r="R400" s="137">
        <f>Q400*H400</f>
        <v>5.0000000000000001E-3</v>
      </c>
      <c r="S400" s="137">
        <v>0</v>
      </c>
      <c r="T400" s="138">
        <f>S400*H400</f>
        <v>0</v>
      </c>
      <c r="AR400" s="139" t="s">
        <v>446</v>
      </c>
      <c r="AT400" s="139" t="s">
        <v>519</v>
      </c>
      <c r="AU400" s="139" t="s">
        <v>90</v>
      </c>
      <c r="AY400" s="2" t="s">
        <v>337</v>
      </c>
      <c r="BE400" s="140">
        <f>IF(N400="základní",J400,0)</f>
        <v>0</v>
      </c>
      <c r="BF400" s="140">
        <f>IF(N400="snížená",J400,0)</f>
        <v>0</v>
      </c>
      <c r="BG400" s="140">
        <f>IF(N400="zákl. přenesená",J400,0)</f>
        <v>0</v>
      </c>
      <c r="BH400" s="140">
        <f>IF(N400="sníž. přenesená",J400,0)</f>
        <v>0</v>
      </c>
      <c r="BI400" s="140">
        <f>IF(N400="nulová",J400,0)</f>
        <v>0</v>
      </c>
      <c r="BJ400" s="2" t="s">
        <v>87</v>
      </c>
      <c r="BK400" s="140">
        <f>ROUND(I400*H400,2)</f>
        <v>0</v>
      </c>
      <c r="BL400" s="2" t="s">
        <v>344</v>
      </c>
      <c r="BM400" s="139" t="s">
        <v>8497</v>
      </c>
    </row>
    <row r="401" spans="2:65" s="141" customFormat="1" x14ac:dyDescent="0.2">
      <c r="B401" s="142"/>
      <c r="D401" s="143" t="s">
        <v>346</v>
      </c>
      <c r="E401" s="144"/>
      <c r="F401" s="145" t="s">
        <v>8498</v>
      </c>
      <c r="H401" s="144"/>
      <c r="L401" s="142"/>
      <c r="M401" s="146"/>
      <c r="T401" s="147"/>
      <c r="AT401" s="144" t="s">
        <v>346</v>
      </c>
      <c r="AU401" s="144" t="s">
        <v>90</v>
      </c>
      <c r="AV401" s="141" t="s">
        <v>87</v>
      </c>
      <c r="AW401" s="141" t="s">
        <v>33</v>
      </c>
      <c r="AX401" s="141" t="s">
        <v>80</v>
      </c>
      <c r="AY401" s="144" t="s">
        <v>337</v>
      </c>
    </row>
    <row r="402" spans="2:65" s="148" customFormat="1" x14ac:dyDescent="0.2">
      <c r="B402" s="149"/>
      <c r="D402" s="143" t="s">
        <v>346</v>
      </c>
      <c r="E402" s="150"/>
      <c r="F402" s="151" t="s">
        <v>373</v>
      </c>
      <c r="H402" s="152">
        <v>1</v>
      </c>
      <c r="L402" s="149"/>
      <c r="M402" s="153"/>
      <c r="T402" s="154"/>
      <c r="AT402" s="150" t="s">
        <v>346</v>
      </c>
      <c r="AU402" s="150" t="s">
        <v>90</v>
      </c>
      <c r="AV402" s="148" t="s">
        <v>90</v>
      </c>
      <c r="AW402" s="148" t="s">
        <v>33</v>
      </c>
      <c r="AX402" s="148" t="s">
        <v>80</v>
      </c>
      <c r="AY402" s="150" t="s">
        <v>337</v>
      </c>
    </row>
    <row r="403" spans="2:65" s="141" customFormat="1" x14ac:dyDescent="0.2">
      <c r="B403" s="142"/>
      <c r="D403" s="143" t="s">
        <v>346</v>
      </c>
      <c r="E403" s="144"/>
      <c r="F403" s="145" t="s">
        <v>8499</v>
      </c>
      <c r="H403" s="144"/>
      <c r="L403" s="142"/>
      <c r="M403" s="146"/>
      <c r="T403" s="147"/>
      <c r="AT403" s="144" t="s">
        <v>346</v>
      </c>
      <c r="AU403" s="144" t="s">
        <v>90</v>
      </c>
      <c r="AV403" s="141" t="s">
        <v>87</v>
      </c>
      <c r="AW403" s="141" t="s">
        <v>33</v>
      </c>
      <c r="AX403" s="141" t="s">
        <v>80</v>
      </c>
      <c r="AY403" s="144" t="s">
        <v>337</v>
      </c>
    </row>
    <row r="404" spans="2:65" s="148" customFormat="1" x14ac:dyDescent="0.2">
      <c r="B404" s="149"/>
      <c r="D404" s="143" t="s">
        <v>346</v>
      </c>
      <c r="E404" s="150"/>
      <c r="F404" s="151" t="s">
        <v>373</v>
      </c>
      <c r="H404" s="152">
        <v>1</v>
      </c>
      <c r="L404" s="149"/>
      <c r="M404" s="153"/>
      <c r="T404" s="154"/>
      <c r="AT404" s="150" t="s">
        <v>346</v>
      </c>
      <c r="AU404" s="150" t="s">
        <v>90</v>
      </c>
      <c r="AV404" s="148" t="s">
        <v>90</v>
      </c>
      <c r="AW404" s="148" t="s">
        <v>33</v>
      </c>
      <c r="AX404" s="148" t="s">
        <v>80</v>
      </c>
      <c r="AY404" s="150" t="s">
        <v>337</v>
      </c>
    </row>
    <row r="405" spans="2:65" s="155" customFormat="1" x14ac:dyDescent="0.2">
      <c r="B405" s="156"/>
      <c r="D405" s="143" t="s">
        <v>346</v>
      </c>
      <c r="E405" s="157"/>
      <c r="F405" s="158" t="s">
        <v>351</v>
      </c>
      <c r="H405" s="159">
        <v>2</v>
      </c>
      <c r="L405" s="156"/>
      <c r="M405" s="160"/>
      <c r="T405" s="161"/>
      <c r="AT405" s="157" t="s">
        <v>346</v>
      </c>
      <c r="AU405" s="157" t="s">
        <v>90</v>
      </c>
      <c r="AV405" s="155" t="s">
        <v>344</v>
      </c>
      <c r="AW405" s="155" t="s">
        <v>33</v>
      </c>
      <c r="AX405" s="155" t="s">
        <v>87</v>
      </c>
      <c r="AY405" s="157" t="s">
        <v>337</v>
      </c>
    </row>
    <row r="406" spans="2:65" s="16" customFormat="1" ht="16.5" customHeight="1" x14ac:dyDescent="0.2">
      <c r="B406" s="17"/>
      <c r="C406" s="128">
        <v>80</v>
      </c>
      <c r="D406" s="128" t="s">
        <v>339</v>
      </c>
      <c r="E406" s="129" t="s">
        <v>8500</v>
      </c>
      <c r="F406" s="130" t="s">
        <v>8501</v>
      </c>
      <c r="G406" s="131" t="s">
        <v>449</v>
      </c>
      <c r="H406" s="132">
        <v>3</v>
      </c>
      <c r="I406" s="133"/>
      <c r="J406" s="134">
        <f>ROUND(I406*H406,2)</f>
        <v>0</v>
      </c>
      <c r="K406" s="130" t="s">
        <v>343</v>
      </c>
      <c r="L406" s="17"/>
      <c r="M406" s="135"/>
      <c r="N406" s="136" t="s">
        <v>45</v>
      </c>
      <c r="P406" s="137">
        <f>O406*H406</f>
        <v>0</v>
      </c>
      <c r="Q406" s="137">
        <v>0.10940999999999999</v>
      </c>
      <c r="R406" s="137">
        <f>Q406*H406</f>
        <v>0.32822999999999997</v>
      </c>
      <c r="S406" s="137">
        <v>0</v>
      </c>
      <c r="T406" s="138">
        <f>S406*H406</f>
        <v>0</v>
      </c>
      <c r="AR406" s="139" t="s">
        <v>344</v>
      </c>
      <c r="AT406" s="139" t="s">
        <v>339</v>
      </c>
      <c r="AU406" s="139" t="s">
        <v>90</v>
      </c>
      <c r="AY406" s="2" t="s">
        <v>337</v>
      </c>
      <c r="BE406" s="140">
        <f>IF(N406="základní",J406,0)</f>
        <v>0</v>
      </c>
      <c r="BF406" s="140">
        <f>IF(N406="snížená",J406,0)</f>
        <v>0</v>
      </c>
      <c r="BG406" s="140">
        <f>IF(N406="zákl. přenesená",J406,0)</f>
        <v>0</v>
      </c>
      <c r="BH406" s="140">
        <f>IF(N406="sníž. přenesená",J406,0)</f>
        <v>0</v>
      </c>
      <c r="BI406" s="140">
        <f>IF(N406="nulová",J406,0)</f>
        <v>0</v>
      </c>
      <c r="BJ406" s="2" t="s">
        <v>87</v>
      </c>
      <c r="BK406" s="140">
        <f>ROUND(I406*H406,2)</f>
        <v>0</v>
      </c>
      <c r="BL406" s="2" t="s">
        <v>344</v>
      </c>
      <c r="BM406" s="139" t="s">
        <v>8502</v>
      </c>
    </row>
    <row r="407" spans="2:65" s="16" customFormat="1" ht="16.5" customHeight="1" x14ac:dyDescent="0.2">
      <c r="B407" s="17"/>
      <c r="C407" s="162">
        <v>81</v>
      </c>
      <c r="D407" s="162" t="s">
        <v>519</v>
      </c>
      <c r="E407" s="163" t="s">
        <v>8503</v>
      </c>
      <c r="F407" s="164" t="s">
        <v>8504</v>
      </c>
      <c r="G407" s="165" t="s">
        <v>449</v>
      </c>
      <c r="H407" s="166">
        <v>3</v>
      </c>
      <c r="I407" s="167"/>
      <c r="J407" s="168">
        <f>ROUND(I407*H407,2)</f>
        <v>0</v>
      </c>
      <c r="K407" s="164" t="s">
        <v>343</v>
      </c>
      <c r="L407" s="169"/>
      <c r="M407" s="170"/>
      <c r="N407" s="171" t="s">
        <v>45</v>
      </c>
      <c r="P407" s="137">
        <f>O407*H407</f>
        <v>0</v>
      </c>
      <c r="Q407" s="137">
        <v>6.1000000000000004E-3</v>
      </c>
      <c r="R407" s="137">
        <f>Q407*H407</f>
        <v>1.83E-2</v>
      </c>
      <c r="S407" s="137">
        <v>0</v>
      </c>
      <c r="T407" s="138">
        <f>S407*H407</f>
        <v>0</v>
      </c>
      <c r="AR407" s="139" t="s">
        <v>446</v>
      </c>
      <c r="AT407" s="139" t="s">
        <v>519</v>
      </c>
      <c r="AU407" s="139" t="s">
        <v>90</v>
      </c>
      <c r="AY407" s="2" t="s">
        <v>337</v>
      </c>
      <c r="BE407" s="140">
        <f>IF(N407="základní",J407,0)</f>
        <v>0</v>
      </c>
      <c r="BF407" s="140">
        <f>IF(N407="snížená",J407,0)</f>
        <v>0</v>
      </c>
      <c r="BG407" s="140">
        <f>IF(N407="zákl. přenesená",J407,0)</f>
        <v>0</v>
      </c>
      <c r="BH407" s="140">
        <f>IF(N407="sníž. přenesená",J407,0)</f>
        <v>0</v>
      </c>
      <c r="BI407" s="140">
        <f>IF(N407="nulová",J407,0)</f>
        <v>0</v>
      </c>
      <c r="BJ407" s="2" t="s">
        <v>87</v>
      </c>
      <c r="BK407" s="140">
        <f>ROUND(I407*H407,2)</f>
        <v>0</v>
      </c>
      <c r="BL407" s="2" t="s">
        <v>344</v>
      </c>
      <c r="BM407" s="139" t="s">
        <v>8505</v>
      </c>
    </row>
    <row r="408" spans="2:65" s="16" customFormat="1" ht="16.5" customHeight="1" x14ac:dyDescent="0.2">
      <c r="B408" s="17"/>
      <c r="C408" s="162">
        <v>82</v>
      </c>
      <c r="D408" s="162" t="s">
        <v>519</v>
      </c>
      <c r="E408" s="163" t="s">
        <v>8506</v>
      </c>
      <c r="F408" s="164" t="s">
        <v>8507</v>
      </c>
      <c r="G408" s="165" t="s">
        <v>449</v>
      </c>
      <c r="H408" s="166">
        <v>3</v>
      </c>
      <c r="I408" s="167"/>
      <c r="J408" s="168">
        <f>ROUND(I408*H408,2)</f>
        <v>0</v>
      </c>
      <c r="K408" s="164" t="s">
        <v>343</v>
      </c>
      <c r="L408" s="169"/>
      <c r="M408" s="170"/>
      <c r="N408" s="171" t="s">
        <v>45</v>
      </c>
      <c r="P408" s="137">
        <f>O408*H408</f>
        <v>0</v>
      </c>
      <c r="Q408" s="137">
        <v>1E-4</v>
      </c>
      <c r="R408" s="137">
        <f>Q408*H408</f>
        <v>3.0000000000000003E-4</v>
      </c>
      <c r="S408" s="137">
        <v>0</v>
      </c>
      <c r="T408" s="138">
        <f>S408*H408</f>
        <v>0</v>
      </c>
      <c r="AR408" s="139" t="s">
        <v>446</v>
      </c>
      <c r="AT408" s="139" t="s">
        <v>519</v>
      </c>
      <c r="AU408" s="139" t="s">
        <v>90</v>
      </c>
      <c r="AY408" s="2" t="s">
        <v>337</v>
      </c>
      <c r="BE408" s="140">
        <f>IF(N408="základní",J408,0)</f>
        <v>0</v>
      </c>
      <c r="BF408" s="140">
        <f>IF(N408="snížená",J408,0)</f>
        <v>0</v>
      </c>
      <c r="BG408" s="140">
        <f>IF(N408="zákl. přenesená",J408,0)</f>
        <v>0</v>
      </c>
      <c r="BH408" s="140">
        <f>IF(N408="sníž. přenesená",J408,0)</f>
        <v>0</v>
      </c>
      <c r="BI408" s="140">
        <f>IF(N408="nulová",J408,0)</f>
        <v>0</v>
      </c>
      <c r="BJ408" s="2" t="s">
        <v>87</v>
      </c>
      <c r="BK408" s="140">
        <f>ROUND(I408*H408,2)</f>
        <v>0</v>
      </c>
      <c r="BL408" s="2" t="s">
        <v>344</v>
      </c>
      <c r="BM408" s="139" t="s">
        <v>8508</v>
      </c>
    </row>
    <row r="409" spans="2:65" s="16" customFormat="1" ht="16.5" customHeight="1" x14ac:dyDescent="0.2">
      <c r="B409" s="17"/>
      <c r="C409" s="128">
        <v>83</v>
      </c>
      <c r="D409" s="128" t="s">
        <v>339</v>
      </c>
      <c r="E409" s="129" t="s">
        <v>8509</v>
      </c>
      <c r="F409" s="130" t="s">
        <v>8510</v>
      </c>
      <c r="G409" s="131" t="s">
        <v>724</v>
      </c>
      <c r="H409" s="132">
        <v>64</v>
      </c>
      <c r="I409" s="133"/>
      <c r="J409" s="134">
        <f>ROUND(I409*H409,2)</f>
        <v>0</v>
      </c>
      <c r="K409" s="130" t="s">
        <v>343</v>
      </c>
      <c r="L409" s="17"/>
      <c r="M409" s="135"/>
      <c r="N409" s="136" t="s">
        <v>45</v>
      </c>
      <c r="P409" s="137">
        <f>O409*H409</f>
        <v>0</v>
      </c>
      <c r="Q409" s="137">
        <v>1.2999999999999999E-4</v>
      </c>
      <c r="R409" s="137">
        <f>Q409*H409</f>
        <v>8.3199999999999993E-3</v>
      </c>
      <c r="S409" s="137">
        <v>0</v>
      </c>
      <c r="T409" s="138">
        <f>S409*H409</f>
        <v>0</v>
      </c>
      <c r="AR409" s="139" t="s">
        <v>344</v>
      </c>
      <c r="AT409" s="139" t="s">
        <v>339</v>
      </c>
      <c r="AU409" s="139" t="s">
        <v>90</v>
      </c>
      <c r="AY409" s="2" t="s">
        <v>337</v>
      </c>
      <c r="BE409" s="140">
        <f>IF(N409="základní",J409,0)</f>
        <v>0</v>
      </c>
      <c r="BF409" s="140">
        <f>IF(N409="snížená",J409,0)</f>
        <v>0</v>
      </c>
      <c r="BG409" s="140">
        <f>IF(N409="zákl. přenesená",J409,0)</f>
        <v>0</v>
      </c>
      <c r="BH409" s="140">
        <f>IF(N409="sníž. přenesená",J409,0)</f>
        <v>0</v>
      </c>
      <c r="BI409" s="140">
        <f>IF(N409="nulová",J409,0)</f>
        <v>0</v>
      </c>
      <c r="BJ409" s="2" t="s">
        <v>87</v>
      </c>
      <c r="BK409" s="140">
        <f>ROUND(I409*H409,2)</f>
        <v>0</v>
      </c>
      <c r="BL409" s="2" t="s">
        <v>344</v>
      </c>
      <c r="BM409" s="139" t="s">
        <v>8511</v>
      </c>
    </row>
    <row r="410" spans="2:65" s="141" customFormat="1" x14ac:dyDescent="0.2">
      <c r="B410" s="142"/>
      <c r="D410" s="143" t="s">
        <v>346</v>
      </c>
      <c r="E410" s="144"/>
      <c r="F410" s="145" t="s">
        <v>8512</v>
      </c>
      <c r="H410" s="144"/>
      <c r="L410" s="142"/>
      <c r="M410" s="146"/>
      <c r="T410" s="147"/>
      <c r="AT410" s="144" t="s">
        <v>346</v>
      </c>
      <c r="AU410" s="144" t="s">
        <v>90</v>
      </c>
      <c r="AV410" s="141" t="s">
        <v>87</v>
      </c>
      <c r="AW410" s="141" t="s">
        <v>33</v>
      </c>
      <c r="AX410" s="141" t="s">
        <v>80</v>
      </c>
      <c r="AY410" s="144" t="s">
        <v>337</v>
      </c>
    </row>
    <row r="411" spans="2:65" s="148" customFormat="1" x14ac:dyDescent="0.2">
      <c r="B411" s="149"/>
      <c r="D411" s="143" t="s">
        <v>346</v>
      </c>
      <c r="E411" s="150"/>
      <c r="F411" s="151" t="s">
        <v>8513</v>
      </c>
      <c r="H411" s="152">
        <v>40.5</v>
      </c>
      <c r="L411" s="149"/>
      <c r="M411" s="153"/>
      <c r="T411" s="154"/>
      <c r="AT411" s="150" t="s">
        <v>346</v>
      </c>
      <c r="AU411" s="150" t="s">
        <v>90</v>
      </c>
      <c r="AV411" s="148" t="s">
        <v>90</v>
      </c>
      <c r="AW411" s="148" t="s">
        <v>33</v>
      </c>
      <c r="AX411" s="148" t="s">
        <v>80</v>
      </c>
      <c r="AY411" s="150" t="s">
        <v>337</v>
      </c>
    </row>
    <row r="412" spans="2:65" s="141" customFormat="1" x14ac:dyDescent="0.2">
      <c r="B412" s="142"/>
      <c r="D412" s="143" t="s">
        <v>346</v>
      </c>
      <c r="E412" s="144"/>
      <c r="F412" s="145" t="s">
        <v>8514</v>
      </c>
      <c r="H412" s="144"/>
      <c r="L412" s="142"/>
      <c r="M412" s="146"/>
      <c r="T412" s="147"/>
      <c r="AT412" s="144" t="s">
        <v>346</v>
      </c>
      <c r="AU412" s="144" t="s">
        <v>90</v>
      </c>
      <c r="AV412" s="141" t="s">
        <v>87</v>
      </c>
      <c r="AW412" s="141" t="s">
        <v>33</v>
      </c>
      <c r="AX412" s="141" t="s">
        <v>80</v>
      </c>
      <c r="AY412" s="144" t="s">
        <v>337</v>
      </c>
    </row>
    <row r="413" spans="2:65" s="148" customFormat="1" x14ac:dyDescent="0.2">
      <c r="B413" s="149"/>
      <c r="D413" s="143" t="s">
        <v>346</v>
      </c>
      <c r="E413" s="150"/>
      <c r="F413" s="151" t="s">
        <v>8515</v>
      </c>
      <c r="H413" s="152">
        <v>23.5</v>
      </c>
      <c r="L413" s="149"/>
      <c r="M413" s="153"/>
      <c r="T413" s="154"/>
      <c r="AT413" s="150" t="s">
        <v>346</v>
      </c>
      <c r="AU413" s="150" t="s">
        <v>90</v>
      </c>
      <c r="AV413" s="148" t="s">
        <v>90</v>
      </c>
      <c r="AW413" s="148" t="s">
        <v>33</v>
      </c>
      <c r="AX413" s="148" t="s">
        <v>80</v>
      </c>
      <c r="AY413" s="150" t="s">
        <v>337</v>
      </c>
    </row>
    <row r="414" spans="2:65" s="155" customFormat="1" x14ac:dyDescent="0.2">
      <c r="B414" s="156"/>
      <c r="D414" s="143" t="s">
        <v>346</v>
      </c>
      <c r="E414" s="157"/>
      <c r="F414" s="158" t="s">
        <v>351</v>
      </c>
      <c r="H414" s="159">
        <v>64</v>
      </c>
      <c r="L414" s="156"/>
      <c r="M414" s="160"/>
      <c r="T414" s="161"/>
      <c r="AT414" s="157" t="s">
        <v>346</v>
      </c>
      <c r="AU414" s="157" t="s">
        <v>90</v>
      </c>
      <c r="AV414" s="155" t="s">
        <v>344</v>
      </c>
      <c r="AW414" s="155" t="s">
        <v>33</v>
      </c>
      <c r="AX414" s="155" t="s">
        <v>87</v>
      </c>
      <c r="AY414" s="157" t="s">
        <v>337</v>
      </c>
    </row>
    <row r="415" spans="2:65" s="16" customFormat="1" ht="16.5" customHeight="1" x14ac:dyDescent="0.2">
      <c r="B415" s="17"/>
      <c r="C415" s="128">
        <v>84</v>
      </c>
      <c r="D415" s="128" t="s">
        <v>339</v>
      </c>
      <c r="E415" s="129" t="s">
        <v>8516</v>
      </c>
      <c r="F415" s="130" t="s">
        <v>8517</v>
      </c>
      <c r="G415" s="131" t="s">
        <v>425</v>
      </c>
      <c r="H415" s="132">
        <v>1.5</v>
      </c>
      <c r="I415" s="133"/>
      <c r="J415" s="134">
        <f>ROUND(I415*H415,2)</f>
        <v>0</v>
      </c>
      <c r="K415" s="130" t="s">
        <v>343</v>
      </c>
      <c r="L415" s="17"/>
      <c r="M415" s="135"/>
      <c r="N415" s="136" t="s">
        <v>45</v>
      </c>
      <c r="P415" s="137">
        <f>O415*H415</f>
        <v>0</v>
      </c>
      <c r="Q415" s="137">
        <v>1.4499999999999999E-3</v>
      </c>
      <c r="R415" s="137">
        <f>Q415*H415</f>
        <v>2.1749999999999999E-3</v>
      </c>
      <c r="S415" s="137">
        <v>0</v>
      </c>
      <c r="T415" s="138">
        <f>S415*H415</f>
        <v>0</v>
      </c>
      <c r="AR415" s="139" t="s">
        <v>344</v>
      </c>
      <c r="AT415" s="139" t="s">
        <v>339</v>
      </c>
      <c r="AU415" s="139" t="s">
        <v>90</v>
      </c>
      <c r="AY415" s="2" t="s">
        <v>337</v>
      </c>
      <c r="BE415" s="140">
        <f>IF(N415="základní",J415,0)</f>
        <v>0</v>
      </c>
      <c r="BF415" s="140">
        <f>IF(N415="snížená",J415,0)</f>
        <v>0</v>
      </c>
      <c r="BG415" s="140">
        <f>IF(N415="zákl. přenesená",J415,0)</f>
        <v>0</v>
      </c>
      <c r="BH415" s="140">
        <f>IF(N415="sníž. přenesená",J415,0)</f>
        <v>0</v>
      </c>
      <c r="BI415" s="140">
        <f>IF(N415="nulová",J415,0)</f>
        <v>0</v>
      </c>
      <c r="BJ415" s="2" t="s">
        <v>87</v>
      </c>
      <c r="BK415" s="140">
        <f>ROUND(I415*H415,2)</f>
        <v>0</v>
      </c>
      <c r="BL415" s="2" t="s">
        <v>344</v>
      </c>
      <c r="BM415" s="139" t="s">
        <v>8518</v>
      </c>
    </row>
    <row r="416" spans="2:65" s="141" customFormat="1" x14ac:dyDescent="0.2">
      <c r="B416" s="142"/>
      <c r="D416" s="143" t="s">
        <v>346</v>
      </c>
      <c r="E416" s="144"/>
      <c r="F416" s="145" t="s">
        <v>8519</v>
      </c>
      <c r="H416" s="144"/>
      <c r="L416" s="142"/>
      <c r="M416" s="146"/>
      <c r="T416" s="147"/>
      <c r="AT416" s="144" t="s">
        <v>346</v>
      </c>
      <c r="AU416" s="144" t="s">
        <v>90</v>
      </c>
      <c r="AV416" s="141" t="s">
        <v>87</v>
      </c>
      <c r="AW416" s="141" t="s">
        <v>33</v>
      </c>
      <c r="AX416" s="141" t="s">
        <v>80</v>
      </c>
      <c r="AY416" s="144" t="s">
        <v>337</v>
      </c>
    </row>
    <row r="417" spans="2:65" s="148" customFormat="1" x14ac:dyDescent="0.2">
      <c r="B417" s="149"/>
      <c r="D417" s="143" t="s">
        <v>346</v>
      </c>
      <c r="E417" s="150"/>
      <c r="F417" s="151" t="s">
        <v>8520</v>
      </c>
      <c r="H417" s="152">
        <v>1.5</v>
      </c>
      <c r="L417" s="149"/>
      <c r="M417" s="153"/>
      <c r="T417" s="154"/>
      <c r="AT417" s="150" t="s">
        <v>346</v>
      </c>
      <c r="AU417" s="150" t="s">
        <v>90</v>
      </c>
      <c r="AV417" s="148" t="s">
        <v>90</v>
      </c>
      <c r="AW417" s="148" t="s">
        <v>33</v>
      </c>
      <c r="AX417" s="148" t="s">
        <v>87</v>
      </c>
      <c r="AY417" s="150" t="s">
        <v>337</v>
      </c>
    </row>
    <row r="418" spans="2:65" s="16" customFormat="1" ht="21.75" customHeight="1" x14ac:dyDescent="0.2">
      <c r="B418" s="17"/>
      <c r="C418" s="128">
        <v>85</v>
      </c>
      <c r="D418" s="128" t="s">
        <v>339</v>
      </c>
      <c r="E418" s="129" t="s">
        <v>8521</v>
      </c>
      <c r="F418" s="130" t="s">
        <v>8522</v>
      </c>
      <c r="G418" s="131" t="s">
        <v>724</v>
      </c>
      <c r="H418" s="132">
        <v>39.25</v>
      </c>
      <c r="I418" s="133"/>
      <c r="J418" s="134">
        <f>ROUND(I418*H418,2)</f>
        <v>0</v>
      </c>
      <c r="K418" s="130" t="s">
        <v>343</v>
      </c>
      <c r="L418" s="17"/>
      <c r="M418" s="135"/>
      <c r="N418" s="136" t="s">
        <v>45</v>
      </c>
      <c r="P418" s="137">
        <f>O418*H418</f>
        <v>0</v>
      </c>
      <c r="Q418" s="137">
        <v>8.0879999999999994E-2</v>
      </c>
      <c r="R418" s="137">
        <f>Q418*H418</f>
        <v>3.1745399999999999</v>
      </c>
      <c r="S418" s="137">
        <v>0</v>
      </c>
      <c r="T418" s="138">
        <f>S418*H418</f>
        <v>0</v>
      </c>
      <c r="AR418" s="139" t="s">
        <v>344</v>
      </c>
      <c r="AT418" s="139" t="s">
        <v>339</v>
      </c>
      <c r="AU418" s="139" t="s">
        <v>90</v>
      </c>
      <c r="AY418" s="2" t="s">
        <v>337</v>
      </c>
      <c r="BE418" s="140">
        <f>IF(N418="základní",J418,0)</f>
        <v>0</v>
      </c>
      <c r="BF418" s="140">
        <f>IF(N418="snížená",J418,0)</f>
        <v>0</v>
      </c>
      <c r="BG418" s="140">
        <f>IF(N418="zákl. přenesená",J418,0)</f>
        <v>0</v>
      </c>
      <c r="BH418" s="140">
        <f>IF(N418="sníž. přenesená",J418,0)</f>
        <v>0</v>
      </c>
      <c r="BI418" s="140">
        <f>IF(N418="nulová",J418,0)</f>
        <v>0</v>
      </c>
      <c r="BJ418" s="2" t="s">
        <v>87</v>
      </c>
      <c r="BK418" s="140">
        <f>ROUND(I418*H418,2)</f>
        <v>0</v>
      </c>
      <c r="BL418" s="2" t="s">
        <v>344</v>
      </c>
      <c r="BM418" s="139" t="s">
        <v>8523</v>
      </c>
    </row>
    <row r="419" spans="2:65" s="141" customFormat="1" x14ac:dyDescent="0.2">
      <c r="B419" s="142"/>
      <c r="D419" s="143" t="s">
        <v>346</v>
      </c>
      <c r="E419" s="144"/>
      <c r="F419" s="145" t="s">
        <v>8524</v>
      </c>
      <c r="H419" s="144"/>
      <c r="L419" s="142"/>
      <c r="M419" s="146"/>
      <c r="T419" s="147"/>
      <c r="AT419" s="144" t="s">
        <v>346</v>
      </c>
      <c r="AU419" s="144" t="s">
        <v>90</v>
      </c>
      <c r="AV419" s="141" t="s">
        <v>87</v>
      </c>
      <c r="AW419" s="141" t="s">
        <v>33</v>
      </c>
      <c r="AX419" s="141" t="s">
        <v>80</v>
      </c>
      <c r="AY419" s="144" t="s">
        <v>337</v>
      </c>
    </row>
    <row r="420" spans="2:65" s="148" customFormat="1" x14ac:dyDescent="0.2">
      <c r="B420" s="149"/>
      <c r="D420" s="143" t="s">
        <v>346</v>
      </c>
      <c r="E420" s="150"/>
      <c r="F420" s="151" t="s">
        <v>8525</v>
      </c>
      <c r="H420" s="152">
        <v>39.25</v>
      </c>
      <c r="L420" s="149"/>
      <c r="M420" s="153"/>
      <c r="T420" s="154"/>
      <c r="AT420" s="150" t="s">
        <v>346</v>
      </c>
      <c r="AU420" s="150" t="s">
        <v>90</v>
      </c>
      <c r="AV420" s="148" t="s">
        <v>90</v>
      </c>
      <c r="AW420" s="148" t="s">
        <v>33</v>
      </c>
      <c r="AX420" s="148" t="s">
        <v>87</v>
      </c>
      <c r="AY420" s="150" t="s">
        <v>337</v>
      </c>
    </row>
    <row r="421" spans="2:65" s="16" customFormat="1" ht="16.5" customHeight="1" x14ac:dyDescent="0.2">
      <c r="B421" s="17"/>
      <c r="C421" s="128">
        <v>86</v>
      </c>
      <c r="D421" s="128" t="s">
        <v>339</v>
      </c>
      <c r="E421" s="129" t="s">
        <v>8526</v>
      </c>
      <c r="F421" s="130" t="s">
        <v>8527</v>
      </c>
      <c r="G421" s="131" t="s">
        <v>724</v>
      </c>
      <c r="H421" s="132">
        <v>64</v>
      </c>
      <c r="I421" s="133"/>
      <c r="J421" s="134">
        <f>ROUND(I421*H421,2)</f>
        <v>0</v>
      </c>
      <c r="K421" s="130" t="s">
        <v>343</v>
      </c>
      <c r="L421" s="17"/>
      <c r="M421" s="135"/>
      <c r="N421" s="136" t="s">
        <v>45</v>
      </c>
      <c r="P421" s="137">
        <f>O421*H421</f>
        <v>0</v>
      </c>
      <c r="Q421" s="137">
        <v>0</v>
      </c>
      <c r="R421" s="137">
        <f>Q421*H421</f>
        <v>0</v>
      </c>
      <c r="S421" s="137">
        <v>0</v>
      </c>
      <c r="T421" s="138">
        <f>S421*H421</f>
        <v>0</v>
      </c>
      <c r="AR421" s="139" t="s">
        <v>344</v>
      </c>
      <c r="AT421" s="139" t="s">
        <v>339</v>
      </c>
      <c r="AU421" s="139" t="s">
        <v>90</v>
      </c>
      <c r="AY421" s="2" t="s">
        <v>337</v>
      </c>
      <c r="BE421" s="140">
        <f>IF(N421="základní",J421,0)</f>
        <v>0</v>
      </c>
      <c r="BF421" s="140">
        <f>IF(N421="snížená",J421,0)</f>
        <v>0</v>
      </c>
      <c r="BG421" s="140">
        <f>IF(N421="zákl. přenesená",J421,0)</f>
        <v>0</v>
      </c>
      <c r="BH421" s="140">
        <f>IF(N421="sníž. přenesená",J421,0)</f>
        <v>0</v>
      </c>
      <c r="BI421" s="140">
        <f>IF(N421="nulová",J421,0)</f>
        <v>0</v>
      </c>
      <c r="BJ421" s="2" t="s">
        <v>87</v>
      </c>
      <c r="BK421" s="140">
        <f>ROUND(I421*H421,2)</f>
        <v>0</v>
      </c>
      <c r="BL421" s="2" t="s">
        <v>344</v>
      </c>
      <c r="BM421" s="139" t="s">
        <v>8528</v>
      </c>
    </row>
    <row r="422" spans="2:65" s="16" customFormat="1" ht="16.5" customHeight="1" x14ac:dyDescent="0.2">
      <c r="B422" s="17"/>
      <c r="C422" s="128">
        <v>87</v>
      </c>
      <c r="D422" s="128" t="s">
        <v>339</v>
      </c>
      <c r="E422" s="129" t="s">
        <v>8529</v>
      </c>
      <c r="F422" s="130" t="s">
        <v>8530</v>
      </c>
      <c r="G422" s="131" t="s">
        <v>425</v>
      </c>
      <c r="H422" s="132">
        <v>1.5</v>
      </c>
      <c r="I422" s="133"/>
      <c r="J422" s="134">
        <f>ROUND(I422*H422,2)</f>
        <v>0</v>
      </c>
      <c r="K422" s="130" t="s">
        <v>343</v>
      </c>
      <c r="L422" s="17"/>
      <c r="M422" s="135"/>
      <c r="N422" s="136" t="s">
        <v>45</v>
      </c>
      <c r="P422" s="137">
        <f>O422*H422</f>
        <v>0</v>
      </c>
      <c r="Q422" s="137">
        <v>1.0000000000000001E-5</v>
      </c>
      <c r="R422" s="137">
        <f>Q422*H422</f>
        <v>1.5000000000000002E-5</v>
      </c>
      <c r="S422" s="137">
        <v>0</v>
      </c>
      <c r="T422" s="138">
        <f>S422*H422</f>
        <v>0</v>
      </c>
      <c r="AR422" s="139" t="s">
        <v>344</v>
      </c>
      <c r="AT422" s="139" t="s">
        <v>339</v>
      </c>
      <c r="AU422" s="139" t="s">
        <v>90</v>
      </c>
      <c r="AY422" s="2" t="s">
        <v>337</v>
      </c>
      <c r="BE422" s="140">
        <f>IF(N422="základní",J422,0)</f>
        <v>0</v>
      </c>
      <c r="BF422" s="140">
        <f>IF(N422="snížená",J422,0)</f>
        <v>0</v>
      </c>
      <c r="BG422" s="140">
        <f>IF(N422="zákl. přenesená",J422,0)</f>
        <v>0</v>
      </c>
      <c r="BH422" s="140">
        <f>IF(N422="sníž. přenesená",J422,0)</f>
        <v>0</v>
      </c>
      <c r="BI422" s="140">
        <f>IF(N422="nulová",J422,0)</f>
        <v>0</v>
      </c>
      <c r="BJ422" s="2" t="s">
        <v>87</v>
      </c>
      <c r="BK422" s="140">
        <f>ROUND(I422*H422,2)</f>
        <v>0</v>
      </c>
      <c r="BL422" s="2" t="s">
        <v>344</v>
      </c>
      <c r="BM422" s="139" t="s">
        <v>8531</v>
      </c>
    </row>
    <row r="423" spans="2:65" s="16" customFormat="1" ht="16.5" customHeight="1" x14ac:dyDescent="0.2">
      <c r="B423" s="17"/>
      <c r="C423" s="128">
        <v>88</v>
      </c>
      <c r="D423" s="128" t="s">
        <v>339</v>
      </c>
      <c r="E423" s="129" t="s">
        <v>3831</v>
      </c>
      <c r="F423" s="130" t="s">
        <v>3832</v>
      </c>
      <c r="G423" s="131" t="s">
        <v>724</v>
      </c>
      <c r="H423" s="132">
        <v>157.55000000000001</v>
      </c>
      <c r="I423" s="133"/>
      <c r="J423" s="134">
        <f>ROUND(I423*H423,2)</f>
        <v>0</v>
      </c>
      <c r="K423" s="130" t="s">
        <v>343</v>
      </c>
      <c r="L423" s="17"/>
      <c r="M423" s="135"/>
      <c r="N423" s="136" t="s">
        <v>45</v>
      </c>
      <c r="P423" s="137">
        <f>O423*H423</f>
        <v>0</v>
      </c>
      <c r="Q423" s="137">
        <v>0.1295</v>
      </c>
      <c r="R423" s="137">
        <f>Q423*H423</f>
        <v>20.402725000000004</v>
      </c>
      <c r="S423" s="137">
        <v>0</v>
      </c>
      <c r="T423" s="138">
        <f>S423*H423</f>
        <v>0</v>
      </c>
      <c r="AR423" s="139" t="s">
        <v>344</v>
      </c>
      <c r="AT423" s="139" t="s">
        <v>339</v>
      </c>
      <c r="AU423" s="139" t="s">
        <v>90</v>
      </c>
      <c r="AY423" s="2" t="s">
        <v>337</v>
      </c>
      <c r="BE423" s="140">
        <f>IF(N423="základní",J423,0)</f>
        <v>0</v>
      </c>
      <c r="BF423" s="140">
        <f>IF(N423="snížená",J423,0)</f>
        <v>0</v>
      </c>
      <c r="BG423" s="140">
        <f>IF(N423="zákl. přenesená",J423,0)</f>
        <v>0</v>
      </c>
      <c r="BH423" s="140">
        <f>IF(N423="sníž. přenesená",J423,0)</f>
        <v>0</v>
      </c>
      <c r="BI423" s="140">
        <f>IF(N423="nulová",J423,0)</f>
        <v>0</v>
      </c>
      <c r="BJ423" s="2" t="s">
        <v>87</v>
      </c>
      <c r="BK423" s="140">
        <f>ROUND(I423*H423,2)</f>
        <v>0</v>
      </c>
      <c r="BL423" s="2" t="s">
        <v>344</v>
      </c>
      <c r="BM423" s="139" t="s">
        <v>8532</v>
      </c>
    </row>
    <row r="424" spans="2:65" s="148" customFormat="1" x14ac:dyDescent="0.2">
      <c r="B424" s="149"/>
      <c r="D424" s="143" t="s">
        <v>346</v>
      </c>
      <c r="E424" s="150"/>
      <c r="F424" s="151" t="s">
        <v>8533</v>
      </c>
      <c r="H424" s="152">
        <v>157.55000000000001</v>
      </c>
      <c r="L424" s="149"/>
      <c r="M424" s="153"/>
      <c r="T424" s="154"/>
      <c r="AT424" s="150" t="s">
        <v>346</v>
      </c>
      <c r="AU424" s="150" t="s">
        <v>90</v>
      </c>
      <c r="AV424" s="148" t="s">
        <v>90</v>
      </c>
      <c r="AW424" s="148" t="s">
        <v>33</v>
      </c>
      <c r="AX424" s="148" t="s">
        <v>87</v>
      </c>
      <c r="AY424" s="150" t="s">
        <v>337</v>
      </c>
    </row>
    <row r="425" spans="2:65" s="16" customFormat="1" ht="16.5" customHeight="1" x14ac:dyDescent="0.2">
      <c r="B425" s="17"/>
      <c r="C425" s="162">
        <v>89</v>
      </c>
      <c r="D425" s="162" t="s">
        <v>519</v>
      </c>
      <c r="E425" s="163" t="s">
        <v>3840</v>
      </c>
      <c r="F425" s="164" t="s">
        <v>3841</v>
      </c>
      <c r="G425" s="165" t="s">
        <v>724</v>
      </c>
      <c r="H425" s="166">
        <v>160.70099999999999</v>
      </c>
      <c r="I425" s="167"/>
      <c r="J425" s="168">
        <f>ROUND(I425*H425,2)</f>
        <v>0</v>
      </c>
      <c r="K425" s="164" t="s">
        <v>343</v>
      </c>
      <c r="L425" s="169"/>
      <c r="M425" s="170"/>
      <c r="N425" s="171" t="s">
        <v>45</v>
      </c>
      <c r="P425" s="137">
        <f>O425*H425</f>
        <v>0</v>
      </c>
      <c r="Q425" s="137">
        <v>5.6120000000000003E-2</v>
      </c>
      <c r="R425" s="137">
        <f>Q425*H425</f>
        <v>9.0185401200000008</v>
      </c>
      <c r="S425" s="137">
        <v>0</v>
      </c>
      <c r="T425" s="138">
        <f>S425*H425</f>
        <v>0</v>
      </c>
      <c r="AR425" s="139" t="s">
        <v>446</v>
      </c>
      <c r="AT425" s="139" t="s">
        <v>519</v>
      </c>
      <c r="AU425" s="139" t="s">
        <v>90</v>
      </c>
      <c r="AY425" s="2" t="s">
        <v>337</v>
      </c>
      <c r="BE425" s="140">
        <f>IF(N425="základní",J425,0)</f>
        <v>0</v>
      </c>
      <c r="BF425" s="140">
        <f>IF(N425="snížená",J425,0)</f>
        <v>0</v>
      </c>
      <c r="BG425" s="140">
        <f>IF(N425="zákl. přenesená",J425,0)</f>
        <v>0</v>
      </c>
      <c r="BH425" s="140">
        <f>IF(N425="sníž. přenesená",J425,0)</f>
        <v>0</v>
      </c>
      <c r="BI425" s="140">
        <f>IF(N425="nulová",J425,0)</f>
        <v>0</v>
      </c>
      <c r="BJ425" s="2" t="s">
        <v>87</v>
      </c>
      <c r="BK425" s="140">
        <f>ROUND(I425*H425,2)</f>
        <v>0</v>
      </c>
      <c r="BL425" s="2" t="s">
        <v>344</v>
      </c>
      <c r="BM425" s="139" t="s">
        <v>8534</v>
      </c>
    </row>
    <row r="426" spans="2:65" s="148" customFormat="1" x14ac:dyDescent="0.2">
      <c r="B426" s="149"/>
      <c r="D426" s="143" t="s">
        <v>346</v>
      </c>
      <c r="F426" s="151" t="s">
        <v>8535</v>
      </c>
      <c r="H426" s="152">
        <v>160.70099999999999</v>
      </c>
      <c r="L426" s="149"/>
      <c r="M426" s="153"/>
      <c r="T426" s="154"/>
      <c r="AT426" s="150" t="s">
        <v>346</v>
      </c>
      <c r="AU426" s="150" t="s">
        <v>90</v>
      </c>
      <c r="AV426" s="148" t="s">
        <v>90</v>
      </c>
      <c r="AW426" s="148" t="s">
        <v>3</v>
      </c>
      <c r="AX426" s="148" t="s">
        <v>87</v>
      </c>
      <c r="AY426" s="150" t="s">
        <v>337</v>
      </c>
    </row>
    <row r="427" spans="2:65" s="16" customFormat="1" ht="16.5" customHeight="1" x14ac:dyDescent="0.2">
      <c r="B427" s="17"/>
      <c r="C427" s="128">
        <v>90</v>
      </c>
      <c r="D427" s="128" t="s">
        <v>339</v>
      </c>
      <c r="E427" s="129" t="s">
        <v>8536</v>
      </c>
      <c r="F427" s="130" t="s">
        <v>8537</v>
      </c>
      <c r="G427" s="131" t="s">
        <v>724</v>
      </c>
      <c r="H427" s="132">
        <v>4.4000000000000004</v>
      </c>
      <c r="I427" s="133"/>
      <c r="J427" s="134">
        <f>ROUND(I427*H427,2)</f>
        <v>0</v>
      </c>
      <c r="K427" s="130" t="s">
        <v>343</v>
      </c>
      <c r="L427" s="17"/>
      <c r="M427" s="135"/>
      <c r="N427" s="136" t="s">
        <v>45</v>
      </c>
      <c r="P427" s="137">
        <f>O427*H427</f>
        <v>0</v>
      </c>
      <c r="Q427" s="137">
        <v>0.14066999999999999</v>
      </c>
      <c r="R427" s="137">
        <f>Q427*H427</f>
        <v>0.61894800000000005</v>
      </c>
      <c r="S427" s="137">
        <v>0</v>
      </c>
      <c r="T427" s="138">
        <f>S427*H427</f>
        <v>0</v>
      </c>
      <c r="AR427" s="139" t="s">
        <v>344</v>
      </c>
      <c r="AT427" s="139" t="s">
        <v>339</v>
      </c>
      <c r="AU427" s="139" t="s">
        <v>90</v>
      </c>
      <c r="AY427" s="2" t="s">
        <v>337</v>
      </c>
      <c r="BE427" s="140">
        <f>IF(N427="základní",J427,0)</f>
        <v>0</v>
      </c>
      <c r="BF427" s="140">
        <f>IF(N427="snížená",J427,0)</f>
        <v>0</v>
      </c>
      <c r="BG427" s="140">
        <f>IF(N427="zákl. přenesená",J427,0)</f>
        <v>0</v>
      </c>
      <c r="BH427" s="140">
        <f>IF(N427="sníž. přenesená",J427,0)</f>
        <v>0</v>
      </c>
      <c r="BI427" s="140">
        <f>IF(N427="nulová",J427,0)</f>
        <v>0</v>
      </c>
      <c r="BJ427" s="2" t="s">
        <v>87</v>
      </c>
      <c r="BK427" s="140">
        <f>ROUND(I427*H427,2)</f>
        <v>0</v>
      </c>
      <c r="BL427" s="2" t="s">
        <v>344</v>
      </c>
      <c r="BM427" s="139" t="s">
        <v>8538</v>
      </c>
    </row>
    <row r="428" spans="2:65" s="148" customFormat="1" x14ac:dyDescent="0.2">
      <c r="B428" s="149"/>
      <c r="D428" s="143" t="s">
        <v>346</v>
      </c>
      <c r="E428" s="150"/>
      <c r="F428" s="151" t="s">
        <v>8539</v>
      </c>
      <c r="H428" s="152">
        <v>4.4000000000000004</v>
      </c>
      <c r="L428" s="149"/>
      <c r="M428" s="153"/>
      <c r="T428" s="154"/>
      <c r="AT428" s="150" t="s">
        <v>346</v>
      </c>
      <c r="AU428" s="150" t="s">
        <v>90</v>
      </c>
      <c r="AV428" s="148" t="s">
        <v>90</v>
      </c>
      <c r="AW428" s="148" t="s">
        <v>33</v>
      </c>
      <c r="AX428" s="148" t="s">
        <v>87</v>
      </c>
      <c r="AY428" s="150" t="s">
        <v>337</v>
      </c>
    </row>
    <row r="429" spans="2:65" s="16" customFormat="1" ht="16.5" customHeight="1" x14ac:dyDescent="0.2">
      <c r="B429" s="17"/>
      <c r="C429" s="162">
        <v>91</v>
      </c>
      <c r="D429" s="162" t="s">
        <v>519</v>
      </c>
      <c r="E429" s="163" t="s">
        <v>8540</v>
      </c>
      <c r="F429" s="164" t="s">
        <v>8541</v>
      </c>
      <c r="G429" s="165" t="s">
        <v>724</v>
      </c>
      <c r="H429" s="166">
        <v>4.4880000000000004</v>
      </c>
      <c r="I429" s="167"/>
      <c r="J429" s="168">
        <f>ROUND(I429*H429,2)</f>
        <v>0</v>
      </c>
      <c r="K429" s="164" t="s">
        <v>343</v>
      </c>
      <c r="L429" s="169"/>
      <c r="M429" s="170"/>
      <c r="N429" s="171" t="s">
        <v>45</v>
      </c>
      <c r="P429" s="137">
        <f>O429*H429</f>
        <v>0</v>
      </c>
      <c r="Q429" s="137">
        <v>0.125</v>
      </c>
      <c r="R429" s="137">
        <f>Q429*H429</f>
        <v>0.56100000000000005</v>
      </c>
      <c r="S429" s="137">
        <v>0</v>
      </c>
      <c r="T429" s="138">
        <f>S429*H429</f>
        <v>0</v>
      </c>
      <c r="AR429" s="139" t="s">
        <v>446</v>
      </c>
      <c r="AT429" s="139" t="s">
        <v>519</v>
      </c>
      <c r="AU429" s="139" t="s">
        <v>90</v>
      </c>
      <c r="AY429" s="2" t="s">
        <v>337</v>
      </c>
      <c r="BE429" s="140">
        <f>IF(N429="základní",J429,0)</f>
        <v>0</v>
      </c>
      <c r="BF429" s="140">
        <f>IF(N429="snížená",J429,0)</f>
        <v>0</v>
      </c>
      <c r="BG429" s="140">
        <f>IF(N429="zákl. přenesená",J429,0)</f>
        <v>0</v>
      </c>
      <c r="BH429" s="140">
        <f>IF(N429="sníž. přenesená",J429,0)</f>
        <v>0</v>
      </c>
      <c r="BI429" s="140">
        <f>IF(N429="nulová",J429,0)</f>
        <v>0</v>
      </c>
      <c r="BJ429" s="2" t="s">
        <v>87</v>
      </c>
      <c r="BK429" s="140">
        <f>ROUND(I429*H429,2)</f>
        <v>0</v>
      </c>
      <c r="BL429" s="2" t="s">
        <v>344</v>
      </c>
      <c r="BM429" s="139" t="s">
        <v>8542</v>
      </c>
    </row>
    <row r="430" spans="2:65" s="148" customFormat="1" x14ac:dyDescent="0.2">
      <c r="B430" s="149"/>
      <c r="D430" s="143" t="s">
        <v>346</v>
      </c>
      <c r="F430" s="151" t="s">
        <v>8543</v>
      </c>
      <c r="H430" s="152">
        <v>4.4880000000000004</v>
      </c>
      <c r="L430" s="149"/>
      <c r="M430" s="153"/>
      <c r="T430" s="154"/>
      <c r="AT430" s="150" t="s">
        <v>346</v>
      </c>
      <c r="AU430" s="150" t="s">
        <v>90</v>
      </c>
      <c r="AV430" s="148" t="s">
        <v>90</v>
      </c>
      <c r="AW430" s="148" t="s">
        <v>3</v>
      </c>
      <c r="AX430" s="148" t="s">
        <v>87</v>
      </c>
      <c r="AY430" s="150" t="s">
        <v>337</v>
      </c>
    </row>
    <row r="431" spans="2:65" s="16" customFormat="1" ht="16.5" customHeight="1" x14ac:dyDescent="0.2">
      <c r="B431" s="17"/>
      <c r="C431" s="128">
        <v>92</v>
      </c>
      <c r="D431" s="128" t="s">
        <v>339</v>
      </c>
      <c r="E431" s="129" t="s">
        <v>8544</v>
      </c>
      <c r="F431" s="130" t="s">
        <v>8545</v>
      </c>
      <c r="G431" s="131" t="s">
        <v>724</v>
      </c>
      <c r="H431" s="132">
        <v>51.9</v>
      </c>
      <c r="I431" s="133"/>
      <c r="J431" s="134">
        <f>ROUND(I431*H431,2)</f>
        <v>0</v>
      </c>
      <c r="K431" s="130" t="s">
        <v>343</v>
      </c>
      <c r="L431" s="17"/>
      <c r="M431" s="135"/>
      <c r="N431" s="136" t="s">
        <v>45</v>
      </c>
      <c r="P431" s="137">
        <f>O431*H431</f>
        <v>0</v>
      </c>
      <c r="Q431" s="137">
        <v>0.10095</v>
      </c>
      <c r="R431" s="137">
        <f>Q431*H431</f>
        <v>5.2393049999999999</v>
      </c>
      <c r="S431" s="137">
        <v>0</v>
      </c>
      <c r="T431" s="138">
        <f>S431*H431</f>
        <v>0</v>
      </c>
      <c r="AR431" s="139" t="s">
        <v>344</v>
      </c>
      <c r="AT431" s="139" t="s">
        <v>339</v>
      </c>
      <c r="AU431" s="139" t="s">
        <v>90</v>
      </c>
      <c r="AY431" s="2" t="s">
        <v>337</v>
      </c>
      <c r="BE431" s="140">
        <f>IF(N431="základní",J431,0)</f>
        <v>0</v>
      </c>
      <c r="BF431" s="140">
        <f>IF(N431="snížená",J431,0)</f>
        <v>0</v>
      </c>
      <c r="BG431" s="140">
        <f>IF(N431="zákl. přenesená",J431,0)</f>
        <v>0</v>
      </c>
      <c r="BH431" s="140">
        <f>IF(N431="sníž. přenesená",J431,0)</f>
        <v>0</v>
      </c>
      <c r="BI431" s="140">
        <f>IF(N431="nulová",J431,0)</f>
        <v>0</v>
      </c>
      <c r="BJ431" s="2" t="s">
        <v>87</v>
      </c>
      <c r="BK431" s="140">
        <f>ROUND(I431*H431,2)</f>
        <v>0</v>
      </c>
      <c r="BL431" s="2" t="s">
        <v>344</v>
      </c>
      <c r="BM431" s="139" t="s">
        <v>8546</v>
      </c>
    </row>
    <row r="432" spans="2:65" s="148" customFormat="1" x14ac:dyDescent="0.2">
      <c r="B432" s="149"/>
      <c r="D432" s="143" t="s">
        <v>346</v>
      </c>
      <c r="E432" s="150"/>
      <c r="F432" s="151" t="s">
        <v>8547</v>
      </c>
      <c r="H432" s="152">
        <v>51.9</v>
      </c>
      <c r="L432" s="149"/>
      <c r="M432" s="153"/>
      <c r="T432" s="154"/>
      <c r="AT432" s="150" t="s">
        <v>346</v>
      </c>
      <c r="AU432" s="150" t="s">
        <v>90</v>
      </c>
      <c r="AV432" s="148" t="s">
        <v>90</v>
      </c>
      <c r="AW432" s="148" t="s">
        <v>33</v>
      </c>
      <c r="AX432" s="148" t="s">
        <v>87</v>
      </c>
      <c r="AY432" s="150" t="s">
        <v>337</v>
      </c>
    </row>
    <row r="433" spans="2:65" s="16" customFormat="1" ht="16.5" customHeight="1" x14ac:dyDescent="0.2">
      <c r="B433" s="17"/>
      <c r="C433" s="162">
        <v>93</v>
      </c>
      <c r="D433" s="162" t="s">
        <v>519</v>
      </c>
      <c r="E433" s="163" t="s">
        <v>8548</v>
      </c>
      <c r="F433" s="164" t="s">
        <v>8549</v>
      </c>
      <c r="G433" s="165" t="s">
        <v>724</v>
      </c>
      <c r="H433" s="166">
        <v>57.09</v>
      </c>
      <c r="I433" s="167"/>
      <c r="J433" s="168">
        <f>ROUND(I433*H433,2)</f>
        <v>0</v>
      </c>
      <c r="K433" s="164" t="s">
        <v>343</v>
      </c>
      <c r="L433" s="169"/>
      <c r="M433" s="170"/>
      <c r="N433" s="171" t="s">
        <v>45</v>
      </c>
      <c r="P433" s="137">
        <f>O433*H433</f>
        <v>0</v>
      </c>
      <c r="Q433" s="137">
        <v>2.8000000000000001E-2</v>
      </c>
      <c r="R433" s="137">
        <f>Q433*H433</f>
        <v>1.5985200000000002</v>
      </c>
      <c r="S433" s="137">
        <v>0</v>
      </c>
      <c r="T433" s="138">
        <f>S433*H433</f>
        <v>0</v>
      </c>
      <c r="AR433" s="139" t="s">
        <v>446</v>
      </c>
      <c r="AT433" s="139" t="s">
        <v>519</v>
      </c>
      <c r="AU433" s="139" t="s">
        <v>90</v>
      </c>
      <c r="AY433" s="2" t="s">
        <v>337</v>
      </c>
      <c r="BE433" s="140">
        <f>IF(N433="základní",J433,0)</f>
        <v>0</v>
      </c>
      <c r="BF433" s="140">
        <f>IF(N433="snížená",J433,0)</f>
        <v>0</v>
      </c>
      <c r="BG433" s="140">
        <f>IF(N433="zákl. přenesená",J433,0)</f>
        <v>0</v>
      </c>
      <c r="BH433" s="140">
        <f>IF(N433="sníž. přenesená",J433,0)</f>
        <v>0</v>
      </c>
      <c r="BI433" s="140">
        <f>IF(N433="nulová",J433,0)</f>
        <v>0</v>
      </c>
      <c r="BJ433" s="2" t="s">
        <v>87</v>
      </c>
      <c r="BK433" s="140">
        <f>ROUND(I433*H433,2)</f>
        <v>0</v>
      </c>
      <c r="BL433" s="2" t="s">
        <v>344</v>
      </c>
      <c r="BM433" s="139" t="s">
        <v>8550</v>
      </c>
    </row>
    <row r="434" spans="2:65" s="148" customFormat="1" x14ac:dyDescent="0.2">
      <c r="B434" s="149"/>
      <c r="D434" s="143" t="s">
        <v>346</v>
      </c>
      <c r="F434" s="151" t="s">
        <v>8551</v>
      </c>
      <c r="H434" s="152">
        <v>57.09</v>
      </c>
      <c r="L434" s="149"/>
      <c r="M434" s="153"/>
      <c r="T434" s="154"/>
      <c r="AT434" s="150" t="s">
        <v>346</v>
      </c>
      <c r="AU434" s="150" t="s">
        <v>90</v>
      </c>
      <c r="AV434" s="148" t="s">
        <v>90</v>
      </c>
      <c r="AW434" s="148" t="s">
        <v>3</v>
      </c>
      <c r="AX434" s="148" t="s">
        <v>87</v>
      </c>
      <c r="AY434" s="150" t="s">
        <v>337</v>
      </c>
    </row>
    <row r="435" spans="2:65" s="16" customFormat="1" ht="21.75" customHeight="1" x14ac:dyDescent="0.2">
      <c r="B435" s="17"/>
      <c r="C435" s="128">
        <v>94</v>
      </c>
      <c r="D435" s="128" t="s">
        <v>339</v>
      </c>
      <c r="E435" s="129" t="s">
        <v>8552</v>
      </c>
      <c r="F435" s="130" t="s">
        <v>8553</v>
      </c>
      <c r="G435" s="131" t="s">
        <v>724</v>
      </c>
      <c r="H435" s="132">
        <v>7.75</v>
      </c>
      <c r="I435" s="133"/>
      <c r="J435" s="134">
        <f>ROUND(I435*H435,2)</f>
        <v>0</v>
      </c>
      <c r="K435" s="130" t="s">
        <v>343</v>
      </c>
      <c r="L435" s="17"/>
      <c r="M435" s="135"/>
      <c r="N435" s="136" t="s">
        <v>45</v>
      </c>
      <c r="P435" s="137">
        <f>O435*H435</f>
        <v>0</v>
      </c>
      <c r="Q435" s="137">
        <v>5.9999999999999995E-4</v>
      </c>
      <c r="R435" s="137">
        <f>Q435*H435</f>
        <v>4.6499999999999996E-3</v>
      </c>
      <c r="S435" s="137">
        <v>0</v>
      </c>
      <c r="T435" s="138">
        <f>S435*H435</f>
        <v>0</v>
      </c>
      <c r="AR435" s="139" t="s">
        <v>344</v>
      </c>
      <c r="AT435" s="139" t="s">
        <v>339</v>
      </c>
      <c r="AU435" s="139" t="s">
        <v>90</v>
      </c>
      <c r="AY435" s="2" t="s">
        <v>337</v>
      </c>
      <c r="BE435" s="140">
        <f>IF(N435="základní",J435,0)</f>
        <v>0</v>
      </c>
      <c r="BF435" s="140">
        <f>IF(N435="snížená",J435,0)</f>
        <v>0</v>
      </c>
      <c r="BG435" s="140">
        <f>IF(N435="zákl. přenesená",J435,0)</f>
        <v>0</v>
      </c>
      <c r="BH435" s="140">
        <f>IF(N435="sníž. přenesená",J435,0)</f>
        <v>0</v>
      </c>
      <c r="BI435" s="140">
        <f>IF(N435="nulová",J435,0)</f>
        <v>0</v>
      </c>
      <c r="BJ435" s="2" t="s">
        <v>87</v>
      </c>
      <c r="BK435" s="140">
        <f>ROUND(I435*H435,2)</f>
        <v>0</v>
      </c>
      <c r="BL435" s="2" t="s">
        <v>344</v>
      </c>
      <c r="BM435" s="139" t="s">
        <v>8554</v>
      </c>
    </row>
    <row r="436" spans="2:65" s="148" customFormat="1" x14ac:dyDescent="0.2">
      <c r="B436" s="149"/>
      <c r="D436" s="143" t="s">
        <v>346</v>
      </c>
      <c r="E436" s="150"/>
      <c r="F436" s="151" t="s">
        <v>8555</v>
      </c>
      <c r="H436" s="152">
        <v>7.75</v>
      </c>
      <c r="L436" s="149"/>
      <c r="M436" s="153"/>
      <c r="T436" s="154"/>
      <c r="AT436" s="150" t="s">
        <v>346</v>
      </c>
      <c r="AU436" s="150" t="s">
        <v>90</v>
      </c>
      <c r="AV436" s="148" t="s">
        <v>90</v>
      </c>
      <c r="AW436" s="148" t="s">
        <v>33</v>
      </c>
      <c r="AX436" s="148" t="s">
        <v>87</v>
      </c>
      <c r="AY436" s="150" t="s">
        <v>337</v>
      </c>
    </row>
    <row r="437" spans="2:65" s="16" customFormat="1" ht="16.5" customHeight="1" x14ac:dyDescent="0.2">
      <c r="B437" s="17"/>
      <c r="C437" s="128">
        <v>95</v>
      </c>
      <c r="D437" s="128" t="s">
        <v>339</v>
      </c>
      <c r="E437" s="129" t="s">
        <v>5213</v>
      </c>
      <c r="F437" s="130" t="s">
        <v>5214</v>
      </c>
      <c r="G437" s="131" t="s">
        <v>724</v>
      </c>
      <c r="H437" s="132">
        <v>7.68</v>
      </c>
      <c r="I437" s="133"/>
      <c r="J437" s="134">
        <f>ROUND(I437*H437,2)</f>
        <v>0</v>
      </c>
      <c r="K437" s="130" t="s">
        <v>343</v>
      </c>
      <c r="L437" s="17"/>
      <c r="M437" s="135"/>
      <c r="N437" s="136" t="s">
        <v>45</v>
      </c>
      <c r="P437" s="137">
        <f>O437*H437</f>
        <v>0</v>
      </c>
      <c r="Q437" s="137">
        <v>0</v>
      </c>
      <c r="R437" s="137">
        <f>Q437*H437</f>
        <v>0</v>
      </c>
      <c r="S437" s="137">
        <v>0</v>
      </c>
      <c r="T437" s="138">
        <f>S437*H437</f>
        <v>0</v>
      </c>
      <c r="AR437" s="139" t="s">
        <v>344</v>
      </c>
      <c r="AT437" s="139" t="s">
        <v>339</v>
      </c>
      <c r="AU437" s="139" t="s">
        <v>90</v>
      </c>
      <c r="AY437" s="2" t="s">
        <v>337</v>
      </c>
      <c r="BE437" s="140">
        <f>IF(N437="základní",J437,0)</f>
        <v>0</v>
      </c>
      <c r="BF437" s="140">
        <f>IF(N437="snížená",J437,0)</f>
        <v>0</v>
      </c>
      <c r="BG437" s="140">
        <f>IF(N437="zákl. přenesená",J437,0)</f>
        <v>0</v>
      </c>
      <c r="BH437" s="140">
        <f>IF(N437="sníž. přenesená",J437,0)</f>
        <v>0</v>
      </c>
      <c r="BI437" s="140">
        <f>IF(N437="nulová",J437,0)</f>
        <v>0</v>
      </c>
      <c r="BJ437" s="2" t="s">
        <v>87</v>
      </c>
      <c r="BK437" s="140">
        <f>ROUND(I437*H437,2)</f>
        <v>0</v>
      </c>
      <c r="BL437" s="2" t="s">
        <v>344</v>
      </c>
      <c r="BM437" s="139" t="s">
        <v>8556</v>
      </c>
    </row>
    <row r="438" spans="2:65" s="141" customFormat="1" x14ac:dyDescent="0.2">
      <c r="B438" s="142"/>
      <c r="D438" s="143" t="s">
        <v>346</v>
      </c>
      <c r="E438" s="144"/>
      <c r="F438" s="145" t="s">
        <v>8557</v>
      </c>
      <c r="H438" s="144"/>
      <c r="L438" s="142"/>
      <c r="M438" s="146"/>
      <c r="T438" s="147"/>
      <c r="AT438" s="144" t="s">
        <v>346</v>
      </c>
      <c r="AU438" s="144" t="s">
        <v>90</v>
      </c>
      <c r="AV438" s="141" t="s">
        <v>87</v>
      </c>
      <c r="AW438" s="141" t="s">
        <v>33</v>
      </c>
      <c r="AX438" s="141" t="s">
        <v>80</v>
      </c>
      <c r="AY438" s="144" t="s">
        <v>337</v>
      </c>
    </row>
    <row r="439" spans="2:65" s="148" customFormat="1" x14ac:dyDescent="0.2">
      <c r="B439" s="149"/>
      <c r="D439" s="143" t="s">
        <v>346</v>
      </c>
      <c r="E439" s="150"/>
      <c r="F439" s="151" t="s">
        <v>8558</v>
      </c>
      <c r="H439" s="152">
        <v>3.75</v>
      </c>
      <c r="L439" s="149"/>
      <c r="M439" s="153"/>
      <c r="T439" s="154"/>
      <c r="AT439" s="150" t="s">
        <v>346</v>
      </c>
      <c r="AU439" s="150" t="s">
        <v>90</v>
      </c>
      <c r="AV439" s="148" t="s">
        <v>90</v>
      </c>
      <c r="AW439" s="148" t="s">
        <v>33</v>
      </c>
      <c r="AX439" s="148" t="s">
        <v>80</v>
      </c>
      <c r="AY439" s="150" t="s">
        <v>337</v>
      </c>
    </row>
    <row r="440" spans="2:65" s="141" customFormat="1" x14ac:dyDescent="0.2">
      <c r="B440" s="142"/>
      <c r="D440" s="143" t="s">
        <v>346</v>
      </c>
      <c r="E440" s="144"/>
      <c r="F440" s="145" t="s">
        <v>8559</v>
      </c>
      <c r="H440" s="144"/>
      <c r="L440" s="142"/>
      <c r="M440" s="146"/>
      <c r="T440" s="147"/>
      <c r="AT440" s="144" t="s">
        <v>346</v>
      </c>
      <c r="AU440" s="144" t="s">
        <v>90</v>
      </c>
      <c r="AV440" s="141" t="s">
        <v>87</v>
      </c>
      <c r="AW440" s="141" t="s">
        <v>33</v>
      </c>
      <c r="AX440" s="141" t="s">
        <v>80</v>
      </c>
      <c r="AY440" s="144" t="s">
        <v>337</v>
      </c>
    </row>
    <row r="441" spans="2:65" s="148" customFormat="1" x14ac:dyDescent="0.2">
      <c r="B441" s="149"/>
      <c r="D441" s="143" t="s">
        <v>346</v>
      </c>
      <c r="E441" s="150"/>
      <c r="F441" s="151" t="s">
        <v>8560</v>
      </c>
      <c r="H441" s="152">
        <v>3.93</v>
      </c>
      <c r="L441" s="149"/>
      <c r="M441" s="153"/>
      <c r="T441" s="154"/>
      <c r="AT441" s="150" t="s">
        <v>346</v>
      </c>
      <c r="AU441" s="150" t="s">
        <v>90</v>
      </c>
      <c r="AV441" s="148" t="s">
        <v>90</v>
      </c>
      <c r="AW441" s="148" t="s">
        <v>33</v>
      </c>
      <c r="AX441" s="148" t="s">
        <v>80</v>
      </c>
      <c r="AY441" s="150" t="s">
        <v>337</v>
      </c>
    </row>
    <row r="442" spans="2:65" s="155" customFormat="1" x14ac:dyDescent="0.2">
      <c r="B442" s="156"/>
      <c r="D442" s="143" t="s">
        <v>346</v>
      </c>
      <c r="E442" s="157"/>
      <c r="F442" s="158" t="s">
        <v>351</v>
      </c>
      <c r="H442" s="159">
        <v>7.68</v>
      </c>
      <c r="L442" s="156"/>
      <c r="M442" s="160"/>
      <c r="T442" s="161"/>
      <c r="AT442" s="157" t="s">
        <v>346</v>
      </c>
      <c r="AU442" s="157" t="s">
        <v>90</v>
      </c>
      <c r="AV442" s="155" t="s">
        <v>344</v>
      </c>
      <c r="AW442" s="155" t="s">
        <v>33</v>
      </c>
      <c r="AX442" s="155" t="s">
        <v>87</v>
      </c>
      <c r="AY442" s="157" t="s">
        <v>337</v>
      </c>
    </row>
    <row r="443" spans="2:65" s="16" customFormat="1" ht="16.5" customHeight="1" x14ac:dyDescent="0.2">
      <c r="B443" s="17"/>
      <c r="C443" s="128">
        <v>96</v>
      </c>
      <c r="D443" s="128" t="s">
        <v>339</v>
      </c>
      <c r="E443" s="129" t="s">
        <v>8561</v>
      </c>
      <c r="F443" s="130" t="s">
        <v>8562</v>
      </c>
      <c r="G443" s="131" t="s">
        <v>724</v>
      </c>
      <c r="H443" s="132">
        <v>21.75</v>
      </c>
      <c r="I443" s="133"/>
      <c r="J443" s="134">
        <f t="shared" ref="J443:J448" si="20">ROUND(I443*H443,2)</f>
        <v>0</v>
      </c>
      <c r="K443" s="130" t="s">
        <v>343</v>
      </c>
      <c r="L443" s="17"/>
      <c r="M443" s="135"/>
      <c r="N443" s="136" t="s">
        <v>45</v>
      </c>
      <c r="P443" s="137">
        <f t="shared" ref="P443:P448" si="21">O443*H443</f>
        <v>0</v>
      </c>
      <c r="Q443" s="137">
        <v>0.29221000000000003</v>
      </c>
      <c r="R443" s="137">
        <f t="shared" ref="R443:R448" si="22">Q443*H443</f>
        <v>6.3555675000000003</v>
      </c>
      <c r="S443" s="137">
        <v>0</v>
      </c>
      <c r="T443" s="138">
        <f t="shared" ref="T443:T448" si="23">S443*H443</f>
        <v>0</v>
      </c>
      <c r="AR443" s="139" t="s">
        <v>344</v>
      </c>
      <c r="AT443" s="139" t="s">
        <v>339</v>
      </c>
      <c r="AU443" s="139" t="s">
        <v>90</v>
      </c>
      <c r="AY443" s="2" t="s">
        <v>337</v>
      </c>
      <c r="BE443" s="140">
        <f t="shared" ref="BE443:BE448" si="24">IF(N443="základní",J443,0)</f>
        <v>0</v>
      </c>
      <c r="BF443" s="140">
        <f t="shared" ref="BF443:BF448" si="25">IF(N443="snížená",J443,0)</f>
        <v>0</v>
      </c>
      <c r="BG443" s="140">
        <f t="shared" ref="BG443:BG448" si="26">IF(N443="zákl. přenesená",J443,0)</f>
        <v>0</v>
      </c>
      <c r="BH443" s="140">
        <f t="shared" ref="BH443:BH448" si="27">IF(N443="sníž. přenesená",J443,0)</f>
        <v>0</v>
      </c>
      <c r="BI443" s="140">
        <f t="shared" ref="BI443:BI448" si="28">IF(N443="nulová",J443,0)</f>
        <v>0</v>
      </c>
      <c r="BJ443" s="2" t="s">
        <v>87</v>
      </c>
      <c r="BK443" s="140">
        <f t="shared" ref="BK443:BK448" si="29">ROUND(I443*H443,2)</f>
        <v>0</v>
      </c>
      <c r="BL443" s="2" t="s">
        <v>344</v>
      </c>
      <c r="BM443" s="139" t="s">
        <v>8563</v>
      </c>
    </row>
    <row r="444" spans="2:65" s="16" customFormat="1" ht="21.75" customHeight="1" x14ac:dyDescent="0.2">
      <c r="B444" s="17"/>
      <c r="C444" s="128">
        <v>97</v>
      </c>
      <c r="D444" s="128" t="s">
        <v>339</v>
      </c>
      <c r="E444" s="129" t="s">
        <v>8564</v>
      </c>
      <c r="F444" s="130" t="s">
        <v>8565</v>
      </c>
      <c r="G444" s="131" t="s">
        <v>449</v>
      </c>
      <c r="H444" s="132">
        <v>3</v>
      </c>
      <c r="I444" s="133"/>
      <c r="J444" s="134">
        <f t="shared" si="20"/>
        <v>0</v>
      </c>
      <c r="K444" s="130" t="s">
        <v>343</v>
      </c>
      <c r="L444" s="17"/>
      <c r="M444" s="135"/>
      <c r="N444" s="136" t="s">
        <v>45</v>
      </c>
      <c r="P444" s="137">
        <f t="shared" si="21"/>
        <v>0</v>
      </c>
      <c r="Q444" s="137">
        <v>0.37164000000000003</v>
      </c>
      <c r="R444" s="137">
        <f t="shared" si="22"/>
        <v>1.1149200000000001</v>
      </c>
      <c r="S444" s="137">
        <v>0</v>
      </c>
      <c r="T444" s="138">
        <f t="shared" si="23"/>
        <v>0</v>
      </c>
      <c r="AR444" s="139" t="s">
        <v>344</v>
      </c>
      <c r="AT444" s="139" t="s">
        <v>339</v>
      </c>
      <c r="AU444" s="139" t="s">
        <v>90</v>
      </c>
      <c r="AY444" s="2" t="s">
        <v>337</v>
      </c>
      <c r="BE444" s="140">
        <f t="shared" si="24"/>
        <v>0</v>
      </c>
      <c r="BF444" s="140">
        <f t="shared" si="25"/>
        <v>0</v>
      </c>
      <c r="BG444" s="140">
        <f t="shared" si="26"/>
        <v>0</v>
      </c>
      <c r="BH444" s="140">
        <f t="shared" si="27"/>
        <v>0</v>
      </c>
      <c r="BI444" s="140">
        <f t="shared" si="28"/>
        <v>0</v>
      </c>
      <c r="BJ444" s="2" t="s">
        <v>87</v>
      </c>
      <c r="BK444" s="140">
        <f t="shared" si="29"/>
        <v>0</v>
      </c>
      <c r="BL444" s="2" t="s">
        <v>344</v>
      </c>
      <c r="BM444" s="139" t="s">
        <v>8566</v>
      </c>
    </row>
    <row r="445" spans="2:65" s="16" customFormat="1" ht="24.2" customHeight="1" x14ac:dyDescent="0.2">
      <c r="B445" s="17"/>
      <c r="C445" s="162">
        <v>98</v>
      </c>
      <c r="D445" s="162" t="s">
        <v>519</v>
      </c>
      <c r="E445" s="163" t="s">
        <v>8567</v>
      </c>
      <c r="F445" s="164" t="s">
        <v>8568</v>
      </c>
      <c r="G445" s="165" t="s">
        <v>449</v>
      </c>
      <c r="H445" s="166">
        <v>3</v>
      </c>
      <c r="I445" s="167"/>
      <c r="J445" s="168">
        <f t="shared" si="20"/>
        <v>0</v>
      </c>
      <c r="K445" s="164" t="s">
        <v>343</v>
      </c>
      <c r="L445" s="169"/>
      <c r="M445" s="170"/>
      <c r="N445" s="171" t="s">
        <v>45</v>
      </c>
      <c r="P445" s="137">
        <f t="shared" si="21"/>
        <v>0</v>
      </c>
      <c r="Q445" s="137">
        <v>3.0000000000000001E-3</v>
      </c>
      <c r="R445" s="137">
        <f t="shared" si="22"/>
        <v>9.0000000000000011E-3</v>
      </c>
      <c r="S445" s="137">
        <v>0</v>
      </c>
      <c r="T445" s="138">
        <f t="shared" si="23"/>
        <v>0</v>
      </c>
      <c r="AR445" s="139" t="s">
        <v>446</v>
      </c>
      <c r="AT445" s="139" t="s">
        <v>519</v>
      </c>
      <c r="AU445" s="139" t="s">
        <v>90</v>
      </c>
      <c r="AY445" s="2" t="s">
        <v>337</v>
      </c>
      <c r="BE445" s="140">
        <f t="shared" si="24"/>
        <v>0</v>
      </c>
      <c r="BF445" s="140">
        <f t="shared" si="25"/>
        <v>0</v>
      </c>
      <c r="BG445" s="140">
        <f t="shared" si="26"/>
        <v>0</v>
      </c>
      <c r="BH445" s="140">
        <f t="shared" si="27"/>
        <v>0</v>
      </c>
      <c r="BI445" s="140">
        <f t="shared" si="28"/>
        <v>0</v>
      </c>
      <c r="BJ445" s="2" t="s">
        <v>87</v>
      </c>
      <c r="BK445" s="140">
        <f t="shared" si="29"/>
        <v>0</v>
      </c>
      <c r="BL445" s="2" t="s">
        <v>344</v>
      </c>
      <c r="BM445" s="139" t="s">
        <v>8569</v>
      </c>
    </row>
    <row r="446" spans="2:65" s="16" customFormat="1" ht="21.75" customHeight="1" x14ac:dyDescent="0.2">
      <c r="B446" s="17"/>
      <c r="C446" s="162">
        <v>99</v>
      </c>
      <c r="D446" s="162" t="s">
        <v>519</v>
      </c>
      <c r="E446" s="163" t="s">
        <v>8570</v>
      </c>
      <c r="F446" s="164" t="s">
        <v>8571</v>
      </c>
      <c r="G446" s="165" t="s">
        <v>724</v>
      </c>
      <c r="H446" s="166">
        <v>19</v>
      </c>
      <c r="I446" s="167"/>
      <c r="J446" s="168">
        <f t="shared" si="20"/>
        <v>0</v>
      </c>
      <c r="K446" s="164" t="s">
        <v>343</v>
      </c>
      <c r="L446" s="169"/>
      <c r="M446" s="170"/>
      <c r="N446" s="171" t="s">
        <v>45</v>
      </c>
      <c r="P446" s="137">
        <f t="shared" si="21"/>
        <v>0</v>
      </c>
      <c r="Q446" s="137">
        <v>9.2119999999999994E-2</v>
      </c>
      <c r="R446" s="137">
        <f t="shared" si="22"/>
        <v>1.7502799999999998</v>
      </c>
      <c r="S446" s="137">
        <v>0</v>
      </c>
      <c r="T446" s="138">
        <f t="shared" si="23"/>
        <v>0</v>
      </c>
      <c r="AR446" s="139" t="s">
        <v>446</v>
      </c>
      <c r="AT446" s="139" t="s">
        <v>519</v>
      </c>
      <c r="AU446" s="139" t="s">
        <v>90</v>
      </c>
      <c r="AY446" s="2" t="s">
        <v>337</v>
      </c>
      <c r="BE446" s="140">
        <f t="shared" si="24"/>
        <v>0</v>
      </c>
      <c r="BF446" s="140">
        <f t="shared" si="25"/>
        <v>0</v>
      </c>
      <c r="BG446" s="140">
        <f t="shared" si="26"/>
        <v>0</v>
      </c>
      <c r="BH446" s="140">
        <f t="shared" si="27"/>
        <v>0</v>
      </c>
      <c r="BI446" s="140">
        <f t="shared" si="28"/>
        <v>0</v>
      </c>
      <c r="BJ446" s="2" t="s">
        <v>87</v>
      </c>
      <c r="BK446" s="140">
        <f t="shared" si="29"/>
        <v>0</v>
      </c>
      <c r="BL446" s="2" t="s">
        <v>344</v>
      </c>
      <c r="BM446" s="139" t="s">
        <v>8572</v>
      </c>
    </row>
    <row r="447" spans="2:65" s="16" customFormat="1" ht="21.75" customHeight="1" x14ac:dyDescent="0.2">
      <c r="B447" s="17"/>
      <c r="C447" s="162">
        <v>100</v>
      </c>
      <c r="D447" s="162" t="s">
        <v>519</v>
      </c>
      <c r="E447" s="163" t="s">
        <v>8573</v>
      </c>
      <c r="F447" s="164" t="s">
        <v>8574</v>
      </c>
      <c r="G447" s="165" t="s">
        <v>724</v>
      </c>
      <c r="H447" s="166">
        <v>4</v>
      </c>
      <c r="I447" s="167"/>
      <c r="J447" s="168">
        <f t="shared" si="20"/>
        <v>0</v>
      </c>
      <c r="K447" s="164" t="s">
        <v>343</v>
      </c>
      <c r="L447" s="169"/>
      <c r="M447" s="170"/>
      <c r="N447" s="171" t="s">
        <v>45</v>
      </c>
      <c r="P447" s="137">
        <f t="shared" si="21"/>
        <v>0</v>
      </c>
      <c r="Q447" s="137">
        <v>6.6299999999999998E-2</v>
      </c>
      <c r="R447" s="137">
        <f t="shared" si="22"/>
        <v>0.26519999999999999</v>
      </c>
      <c r="S447" s="137">
        <v>0</v>
      </c>
      <c r="T447" s="138">
        <f t="shared" si="23"/>
        <v>0</v>
      </c>
      <c r="AR447" s="139" t="s">
        <v>446</v>
      </c>
      <c r="AT447" s="139" t="s">
        <v>519</v>
      </c>
      <c r="AU447" s="139" t="s">
        <v>90</v>
      </c>
      <c r="AY447" s="2" t="s">
        <v>337</v>
      </c>
      <c r="BE447" s="140">
        <f t="shared" si="24"/>
        <v>0</v>
      </c>
      <c r="BF447" s="140">
        <f t="shared" si="25"/>
        <v>0</v>
      </c>
      <c r="BG447" s="140">
        <f t="shared" si="26"/>
        <v>0</v>
      </c>
      <c r="BH447" s="140">
        <f t="shared" si="27"/>
        <v>0</v>
      </c>
      <c r="BI447" s="140">
        <f t="shared" si="28"/>
        <v>0</v>
      </c>
      <c r="BJ447" s="2" t="s">
        <v>87</v>
      </c>
      <c r="BK447" s="140">
        <f t="shared" si="29"/>
        <v>0</v>
      </c>
      <c r="BL447" s="2" t="s">
        <v>344</v>
      </c>
      <c r="BM447" s="139" t="s">
        <v>8575</v>
      </c>
    </row>
    <row r="448" spans="2:65" s="16" customFormat="1" ht="16.5" customHeight="1" x14ac:dyDescent="0.2">
      <c r="B448" s="17"/>
      <c r="C448" s="128">
        <v>101</v>
      </c>
      <c r="D448" s="128" t="s">
        <v>339</v>
      </c>
      <c r="E448" s="129" t="s">
        <v>8576</v>
      </c>
      <c r="F448" s="130" t="s">
        <v>8577</v>
      </c>
      <c r="G448" s="131" t="s">
        <v>724</v>
      </c>
      <c r="H448" s="132">
        <v>10</v>
      </c>
      <c r="I448" s="133"/>
      <c r="J448" s="134">
        <f t="shared" si="20"/>
        <v>0</v>
      </c>
      <c r="K448" s="130" t="s">
        <v>343</v>
      </c>
      <c r="L448" s="17"/>
      <c r="M448" s="135"/>
      <c r="N448" s="136" t="s">
        <v>45</v>
      </c>
      <c r="P448" s="137">
        <f t="shared" si="21"/>
        <v>0</v>
      </c>
      <c r="Q448" s="137">
        <v>0</v>
      </c>
      <c r="R448" s="137">
        <f t="shared" si="22"/>
        <v>0</v>
      </c>
      <c r="S448" s="137">
        <v>0.32400000000000001</v>
      </c>
      <c r="T448" s="138">
        <f t="shared" si="23"/>
        <v>3.24</v>
      </c>
      <c r="AR448" s="139" t="s">
        <v>344</v>
      </c>
      <c r="AT448" s="139" t="s">
        <v>339</v>
      </c>
      <c r="AU448" s="139" t="s">
        <v>90</v>
      </c>
      <c r="AY448" s="2" t="s">
        <v>337</v>
      </c>
      <c r="BE448" s="140">
        <f t="shared" si="24"/>
        <v>0</v>
      </c>
      <c r="BF448" s="140">
        <f t="shared" si="25"/>
        <v>0</v>
      </c>
      <c r="BG448" s="140">
        <f t="shared" si="26"/>
        <v>0</v>
      </c>
      <c r="BH448" s="140">
        <f t="shared" si="27"/>
        <v>0</v>
      </c>
      <c r="BI448" s="140">
        <f t="shared" si="28"/>
        <v>0</v>
      </c>
      <c r="BJ448" s="2" t="s">
        <v>87</v>
      </c>
      <c r="BK448" s="140">
        <f t="shared" si="29"/>
        <v>0</v>
      </c>
      <c r="BL448" s="2" t="s">
        <v>344</v>
      </c>
      <c r="BM448" s="139" t="s">
        <v>8578</v>
      </c>
    </row>
    <row r="449" spans="2:65" s="141" customFormat="1" x14ac:dyDescent="0.2">
      <c r="B449" s="142"/>
      <c r="D449" s="143" t="s">
        <v>346</v>
      </c>
      <c r="E449" s="144"/>
      <c r="F449" s="145" t="s">
        <v>8579</v>
      </c>
      <c r="H449" s="144"/>
      <c r="L449" s="142"/>
      <c r="M449" s="146"/>
      <c r="T449" s="147"/>
      <c r="AT449" s="144" t="s">
        <v>346</v>
      </c>
      <c r="AU449" s="144" t="s">
        <v>90</v>
      </c>
      <c r="AV449" s="141" t="s">
        <v>87</v>
      </c>
      <c r="AW449" s="141" t="s">
        <v>33</v>
      </c>
      <c r="AX449" s="141" t="s">
        <v>80</v>
      </c>
      <c r="AY449" s="144" t="s">
        <v>337</v>
      </c>
    </row>
    <row r="450" spans="2:65" s="148" customFormat="1" x14ac:dyDescent="0.2">
      <c r="B450" s="149"/>
      <c r="D450" s="143" t="s">
        <v>346</v>
      </c>
      <c r="E450" s="150"/>
      <c r="F450" s="151" t="s">
        <v>8580</v>
      </c>
      <c r="H450" s="152">
        <v>10</v>
      </c>
      <c r="L450" s="149"/>
      <c r="M450" s="153"/>
      <c r="T450" s="154"/>
      <c r="AT450" s="150" t="s">
        <v>346</v>
      </c>
      <c r="AU450" s="150" t="s">
        <v>90</v>
      </c>
      <c r="AV450" s="148" t="s">
        <v>90</v>
      </c>
      <c r="AW450" s="148" t="s">
        <v>33</v>
      </c>
      <c r="AX450" s="148" t="s">
        <v>87</v>
      </c>
      <c r="AY450" s="150" t="s">
        <v>337</v>
      </c>
    </row>
    <row r="451" spans="2:65" s="16" customFormat="1" ht="16.5" customHeight="1" x14ac:dyDescent="0.2">
      <c r="B451" s="17"/>
      <c r="C451" s="128">
        <v>102</v>
      </c>
      <c r="D451" s="128" t="s">
        <v>339</v>
      </c>
      <c r="E451" s="129" t="s">
        <v>8581</v>
      </c>
      <c r="F451" s="130" t="s">
        <v>8582</v>
      </c>
      <c r="G451" s="131" t="s">
        <v>342</v>
      </c>
      <c r="H451" s="132">
        <v>3.7080000000000002</v>
      </c>
      <c r="I451" s="133"/>
      <c r="J451" s="134">
        <f>ROUND(I451*H451,2)</f>
        <v>0</v>
      </c>
      <c r="K451" s="130" t="s">
        <v>343</v>
      </c>
      <c r="L451" s="17"/>
      <c r="M451" s="135"/>
      <c r="N451" s="136" t="s">
        <v>45</v>
      </c>
      <c r="P451" s="137">
        <f>O451*H451</f>
        <v>0</v>
      </c>
      <c r="Q451" s="137">
        <v>0</v>
      </c>
      <c r="R451" s="137">
        <f>Q451*H451</f>
        <v>0</v>
      </c>
      <c r="S451" s="137">
        <v>2.4</v>
      </c>
      <c r="T451" s="138">
        <f>S451*H451</f>
        <v>8.8992000000000004</v>
      </c>
      <c r="AR451" s="139" t="s">
        <v>344</v>
      </c>
      <c r="AT451" s="139" t="s">
        <v>339</v>
      </c>
      <c r="AU451" s="139" t="s">
        <v>90</v>
      </c>
      <c r="AY451" s="2" t="s">
        <v>337</v>
      </c>
      <c r="BE451" s="140">
        <f>IF(N451="základní",J451,0)</f>
        <v>0</v>
      </c>
      <c r="BF451" s="140">
        <f>IF(N451="snížená",J451,0)</f>
        <v>0</v>
      </c>
      <c r="BG451" s="140">
        <f>IF(N451="zákl. přenesená",J451,0)</f>
        <v>0</v>
      </c>
      <c r="BH451" s="140">
        <f>IF(N451="sníž. přenesená",J451,0)</f>
        <v>0</v>
      </c>
      <c r="BI451" s="140">
        <f>IF(N451="nulová",J451,0)</f>
        <v>0</v>
      </c>
      <c r="BJ451" s="2" t="s">
        <v>87</v>
      </c>
      <c r="BK451" s="140">
        <f>ROUND(I451*H451,2)</f>
        <v>0</v>
      </c>
      <c r="BL451" s="2" t="s">
        <v>344</v>
      </c>
      <c r="BM451" s="139" t="s">
        <v>8583</v>
      </c>
    </row>
    <row r="452" spans="2:65" s="141" customFormat="1" x14ac:dyDescent="0.2">
      <c r="B452" s="142"/>
      <c r="D452" s="143" t="s">
        <v>346</v>
      </c>
      <c r="E452" s="144"/>
      <c r="F452" s="145" t="s">
        <v>8584</v>
      </c>
      <c r="H452" s="144"/>
      <c r="L452" s="142"/>
      <c r="M452" s="146"/>
      <c r="T452" s="147"/>
      <c r="AT452" s="144" t="s">
        <v>346</v>
      </c>
      <c r="AU452" s="144" t="s">
        <v>90</v>
      </c>
      <c r="AV452" s="141" t="s">
        <v>87</v>
      </c>
      <c r="AW452" s="141" t="s">
        <v>33</v>
      </c>
      <c r="AX452" s="141" t="s">
        <v>80</v>
      </c>
      <c r="AY452" s="144" t="s">
        <v>337</v>
      </c>
    </row>
    <row r="453" spans="2:65" s="148" customFormat="1" x14ac:dyDescent="0.2">
      <c r="B453" s="149"/>
      <c r="D453" s="143" t="s">
        <v>346</v>
      </c>
      <c r="E453" s="150"/>
      <c r="F453" s="151" t="s">
        <v>8585</v>
      </c>
      <c r="H453" s="152">
        <v>2.52</v>
      </c>
      <c r="L453" s="149"/>
      <c r="M453" s="153"/>
      <c r="T453" s="154"/>
      <c r="AT453" s="150" t="s">
        <v>346</v>
      </c>
      <c r="AU453" s="150" t="s">
        <v>90</v>
      </c>
      <c r="AV453" s="148" t="s">
        <v>90</v>
      </c>
      <c r="AW453" s="148" t="s">
        <v>33</v>
      </c>
      <c r="AX453" s="148" t="s">
        <v>80</v>
      </c>
      <c r="AY453" s="150" t="s">
        <v>337</v>
      </c>
    </row>
    <row r="454" spans="2:65" s="141" customFormat="1" x14ac:dyDescent="0.2">
      <c r="B454" s="142"/>
      <c r="D454" s="143" t="s">
        <v>346</v>
      </c>
      <c r="E454" s="144"/>
      <c r="F454" s="145" t="s">
        <v>8586</v>
      </c>
      <c r="H454" s="144"/>
      <c r="L454" s="142"/>
      <c r="M454" s="146"/>
      <c r="T454" s="147"/>
      <c r="AT454" s="144" t="s">
        <v>346</v>
      </c>
      <c r="AU454" s="144" t="s">
        <v>90</v>
      </c>
      <c r="AV454" s="141" t="s">
        <v>87</v>
      </c>
      <c r="AW454" s="141" t="s">
        <v>33</v>
      </c>
      <c r="AX454" s="141" t="s">
        <v>80</v>
      </c>
      <c r="AY454" s="144" t="s">
        <v>337</v>
      </c>
    </row>
    <row r="455" spans="2:65" s="148" customFormat="1" x14ac:dyDescent="0.2">
      <c r="B455" s="149"/>
      <c r="D455" s="143" t="s">
        <v>346</v>
      </c>
      <c r="E455" s="150"/>
      <c r="F455" s="151" t="s">
        <v>8587</v>
      </c>
      <c r="H455" s="152">
        <v>1.1879999999999999</v>
      </c>
      <c r="L455" s="149"/>
      <c r="M455" s="153"/>
      <c r="T455" s="154"/>
      <c r="AT455" s="150" t="s">
        <v>346</v>
      </c>
      <c r="AU455" s="150" t="s">
        <v>90</v>
      </c>
      <c r="AV455" s="148" t="s">
        <v>90</v>
      </c>
      <c r="AW455" s="148" t="s">
        <v>33</v>
      </c>
      <c r="AX455" s="148" t="s">
        <v>80</v>
      </c>
      <c r="AY455" s="150" t="s">
        <v>337</v>
      </c>
    </row>
    <row r="456" spans="2:65" s="155" customFormat="1" x14ac:dyDescent="0.2">
      <c r="B456" s="156"/>
      <c r="D456" s="143" t="s">
        <v>346</v>
      </c>
      <c r="E456" s="157"/>
      <c r="F456" s="158" t="s">
        <v>351</v>
      </c>
      <c r="H456" s="159">
        <v>3.7080000000000002</v>
      </c>
      <c r="L456" s="156"/>
      <c r="M456" s="160"/>
      <c r="T456" s="161"/>
      <c r="AT456" s="157" t="s">
        <v>346</v>
      </c>
      <c r="AU456" s="157" t="s">
        <v>90</v>
      </c>
      <c r="AV456" s="155" t="s">
        <v>344</v>
      </c>
      <c r="AW456" s="155" t="s">
        <v>33</v>
      </c>
      <c r="AX456" s="155" t="s">
        <v>87</v>
      </c>
      <c r="AY456" s="157" t="s">
        <v>337</v>
      </c>
    </row>
    <row r="457" spans="2:65" s="16" customFormat="1" ht="16.5" customHeight="1" x14ac:dyDescent="0.2">
      <c r="B457" s="17"/>
      <c r="C457" s="128">
        <v>103</v>
      </c>
      <c r="D457" s="128" t="s">
        <v>339</v>
      </c>
      <c r="E457" s="129" t="s">
        <v>8588</v>
      </c>
      <c r="F457" s="130" t="s">
        <v>8589</v>
      </c>
      <c r="G457" s="131" t="s">
        <v>724</v>
      </c>
      <c r="H457" s="132">
        <v>45.5</v>
      </c>
      <c r="I457" s="133"/>
      <c r="J457" s="134">
        <f>ROUND(I457*H457,2)</f>
        <v>0</v>
      </c>
      <c r="K457" s="130" t="s">
        <v>343</v>
      </c>
      <c r="L457" s="17"/>
      <c r="M457" s="135"/>
      <c r="N457" s="136" t="s">
        <v>45</v>
      </c>
      <c r="P457" s="137">
        <f>O457*H457</f>
        <v>0</v>
      </c>
      <c r="Q457" s="137">
        <v>0</v>
      </c>
      <c r="R457" s="137">
        <f>Q457*H457</f>
        <v>0</v>
      </c>
      <c r="S457" s="137">
        <v>0.25</v>
      </c>
      <c r="T457" s="138">
        <f>S457*H457</f>
        <v>11.375</v>
      </c>
      <c r="AR457" s="139" t="s">
        <v>344</v>
      </c>
      <c r="AT457" s="139" t="s">
        <v>339</v>
      </c>
      <c r="AU457" s="139" t="s">
        <v>90</v>
      </c>
      <c r="AY457" s="2" t="s">
        <v>337</v>
      </c>
      <c r="BE457" s="140">
        <f>IF(N457="základní",J457,0)</f>
        <v>0</v>
      </c>
      <c r="BF457" s="140">
        <f>IF(N457="snížená",J457,0)</f>
        <v>0</v>
      </c>
      <c r="BG457" s="140">
        <f>IF(N457="zákl. přenesená",J457,0)</f>
        <v>0</v>
      </c>
      <c r="BH457" s="140">
        <f>IF(N457="sníž. přenesená",J457,0)</f>
        <v>0</v>
      </c>
      <c r="BI457" s="140">
        <f>IF(N457="nulová",J457,0)</f>
        <v>0</v>
      </c>
      <c r="BJ457" s="2" t="s">
        <v>87</v>
      </c>
      <c r="BK457" s="140">
        <f>ROUND(I457*H457,2)</f>
        <v>0</v>
      </c>
      <c r="BL457" s="2" t="s">
        <v>344</v>
      </c>
      <c r="BM457" s="139" t="s">
        <v>8590</v>
      </c>
    </row>
    <row r="458" spans="2:65" s="148" customFormat="1" x14ac:dyDescent="0.2">
      <c r="B458" s="149"/>
      <c r="D458" s="143" t="s">
        <v>346</v>
      </c>
      <c r="E458" s="150"/>
      <c r="F458" s="151" t="s">
        <v>8591</v>
      </c>
      <c r="H458" s="152">
        <v>45.5</v>
      </c>
      <c r="L458" s="149"/>
      <c r="M458" s="153"/>
      <c r="T458" s="154"/>
      <c r="AT458" s="150" t="s">
        <v>346</v>
      </c>
      <c r="AU458" s="150" t="s">
        <v>90</v>
      </c>
      <c r="AV458" s="148" t="s">
        <v>90</v>
      </c>
      <c r="AW458" s="148" t="s">
        <v>33</v>
      </c>
      <c r="AX458" s="148" t="s">
        <v>87</v>
      </c>
      <c r="AY458" s="150" t="s">
        <v>337</v>
      </c>
    </row>
    <row r="459" spans="2:65" s="116" customFormat="1" ht="22.9" customHeight="1" x14ac:dyDescent="0.2">
      <c r="B459" s="117"/>
      <c r="D459" s="118" t="s">
        <v>79</v>
      </c>
      <c r="E459" s="126" t="s">
        <v>4924</v>
      </c>
      <c r="F459" s="126" t="s">
        <v>4925</v>
      </c>
      <c r="J459" s="127">
        <f>BK459</f>
        <v>0</v>
      </c>
      <c r="L459" s="117"/>
      <c r="M459" s="121"/>
      <c r="P459" s="122">
        <f>SUM(P460:P476)</f>
        <v>0</v>
      </c>
      <c r="R459" s="122">
        <f>SUM(R460:R476)</f>
        <v>0</v>
      </c>
      <c r="T459" s="123">
        <f>SUM(T460:T476)</f>
        <v>0</v>
      </c>
      <c r="AR459" s="118" t="s">
        <v>87</v>
      </c>
      <c r="AT459" s="124" t="s">
        <v>79</v>
      </c>
      <c r="AU459" s="124" t="s">
        <v>87</v>
      </c>
      <c r="AY459" s="118" t="s">
        <v>337</v>
      </c>
      <c r="BK459" s="125">
        <f>SUM(BK460:BK476)</f>
        <v>0</v>
      </c>
    </row>
    <row r="460" spans="2:65" s="16" customFormat="1" ht="16.5" customHeight="1" x14ac:dyDescent="0.2">
      <c r="B460" s="17"/>
      <c r="C460" s="128">
        <v>104</v>
      </c>
      <c r="D460" s="128" t="s">
        <v>339</v>
      </c>
      <c r="E460" s="129" t="s">
        <v>8592</v>
      </c>
      <c r="F460" s="130" t="s">
        <v>8593</v>
      </c>
      <c r="G460" s="131" t="s">
        <v>990</v>
      </c>
      <c r="H460" s="132">
        <v>116.348</v>
      </c>
      <c r="I460" s="133"/>
      <c r="J460" s="134">
        <f>ROUND(I460*H460,2)</f>
        <v>0</v>
      </c>
      <c r="K460" s="130" t="s">
        <v>343</v>
      </c>
      <c r="L460" s="17"/>
      <c r="M460" s="135"/>
      <c r="N460" s="136" t="s">
        <v>45</v>
      </c>
      <c r="P460" s="137">
        <f>O460*H460</f>
        <v>0</v>
      </c>
      <c r="Q460" s="137">
        <v>0</v>
      </c>
      <c r="R460" s="137">
        <f>Q460*H460</f>
        <v>0</v>
      </c>
      <c r="S460" s="137">
        <v>0</v>
      </c>
      <c r="T460" s="138">
        <f>S460*H460</f>
        <v>0</v>
      </c>
      <c r="AR460" s="139" t="s">
        <v>496</v>
      </c>
      <c r="AT460" s="139" t="s">
        <v>339</v>
      </c>
      <c r="AU460" s="139" t="s">
        <v>90</v>
      </c>
      <c r="AY460" s="2" t="s">
        <v>337</v>
      </c>
      <c r="BE460" s="140">
        <f>IF(N460="základní",J460,0)</f>
        <v>0</v>
      </c>
      <c r="BF460" s="140">
        <f>IF(N460="snížená",J460,0)</f>
        <v>0</v>
      </c>
      <c r="BG460" s="140">
        <f>IF(N460="zákl. přenesená",J460,0)</f>
        <v>0</v>
      </c>
      <c r="BH460" s="140">
        <f>IF(N460="sníž. přenesená",J460,0)</f>
        <v>0</v>
      </c>
      <c r="BI460" s="140">
        <f>IF(N460="nulová",J460,0)</f>
        <v>0</v>
      </c>
      <c r="BJ460" s="2" t="s">
        <v>87</v>
      </c>
      <c r="BK460" s="140">
        <f>ROUND(I460*H460,2)</f>
        <v>0</v>
      </c>
      <c r="BL460" s="2" t="s">
        <v>496</v>
      </c>
      <c r="BM460" s="139" t="s">
        <v>8594</v>
      </c>
    </row>
    <row r="461" spans="2:65" s="16" customFormat="1" ht="16.5" customHeight="1" x14ac:dyDescent="0.2">
      <c r="B461" s="17"/>
      <c r="C461" s="128">
        <v>105</v>
      </c>
      <c r="D461" s="128" t="s">
        <v>339</v>
      </c>
      <c r="E461" s="129" t="s">
        <v>8595</v>
      </c>
      <c r="F461" s="130" t="s">
        <v>8596</v>
      </c>
      <c r="G461" s="131" t="s">
        <v>990</v>
      </c>
      <c r="H461" s="132">
        <v>2326.36</v>
      </c>
      <c r="I461" s="133"/>
      <c r="J461" s="134">
        <f>ROUND(I461*H461,2)</f>
        <v>0</v>
      </c>
      <c r="K461" s="130" t="s">
        <v>343</v>
      </c>
      <c r="L461" s="17"/>
      <c r="M461" s="135"/>
      <c r="N461" s="136" t="s">
        <v>45</v>
      </c>
      <c r="P461" s="137">
        <f>O461*H461</f>
        <v>0</v>
      </c>
      <c r="Q461" s="137">
        <v>0</v>
      </c>
      <c r="R461" s="137">
        <f>Q461*H461</f>
        <v>0</v>
      </c>
      <c r="S461" s="137">
        <v>0</v>
      </c>
      <c r="T461" s="138">
        <f>S461*H461</f>
        <v>0</v>
      </c>
      <c r="AR461" s="139" t="s">
        <v>344</v>
      </c>
      <c r="AT461" s="139" t="s">
        <v>339</v>
      </c>
      <c r="AU461" s="139" t="s">
        <v>90</v>
      </c>
      <c r="AY461" s="2" t="s">
        <v>337</v>
      </c>
      <c r="BE461" s="140">
        <f>IF(N461="základní",J461,0)</f>
        <v>0</v>
      </c>
      <c r="BF461" s="140">
        <f>IF(N461="snížená",J461,0)</f>
        <v>0</v>
      </c>
      <c r="BG461" s="140">
        <f>IF(N461="zákl. přenesená",J461,0)</f>
        <v>0</v>
      </c>
      <c r="BH461" s="140">
        <f>IF(N461="sníž. přenesená",J461,0)</f>
        <v>0</v>
      </c>
      <c r="BI461" s="140">
        <f>IF(N461="nulová",J461,0)</f>
        <v>0</v>
      </c>
      <c r="BJ461" s="2" t="s">
        <v>87</v>
      </c>
      <c r="BK461" s="140">
        <f>ROUND(I461*H461,2)</f>
        <v>0</v>
      </c>
      <c r="BL461" s="2" t="s">
        <v>344</v>
      </c>
      <c r="BM461" s="139" t="s">
        <v>8597</v>
      </c>
    </row>
    <row r="462" spans="2:65" s="148" customFormat="1" x14ac:dyDescent="0.2">
      <c r="B462" s="149"/>
      <c r="D462" s="143" t="s">
        <v>346</v>
      </c>
      <c r="E462" s="150"/>
      <c r="F462" s="151" t="s">
        <v>8598</v>
      </c>
      <c r="H462" s="152">
        <v>2326.36</v>
      </c>
      <c r="L462" s="149"/>
      <c r="M462" s="153"/>
      <c r="T462" s="154"/>
      <c r="AT462" s="150" t="s">
        <v>346</v>
      </c>
      <c r="AU462" s="150" t="s">
        <v>90</v>
      </c>
      <c r="AV462" s="148" t="s">
        <v>90</v>
      </c>
      <c r="AW462" s="148" t="s">
        <v>33</v>
      </c>
      <c r="AX462" s="148" t="s">
        <v>87</v>
      </c>
      <c r="AY462" s="150" t="s">
        <v>337</v>
      </c>
    </row>
    <row r="463" spans="2:65" s="16" customFormat="1" ht="16.5" customHeight="1" x14ac:dyDescent="0.2">
      <c r="B463" s="17"/>
      <c r="C463" s="128">
        <v>106</v>
      </c>
      <c r="D463" s="128" t="s">
        <v>339</v>
      </c>
      <c r="E463" s="129" t="s">
        <v>8599</v>
      </c>
      <c r="F463" s="130" t="s">
        <v>8600</v>
      </c>
      <c r="G463" s="131" t="s">
        <v>990</v>
      </c>
      <c r="H463" s="132">
        <v>116.348</v>
      </c>
      <c r="I463" s="133"/>
      <c r="J463" s="134">
        <f>ROUND(I463*H463,2)</f>
        <v>0</v>
      </c>
      <c r="K463" s="130" t="s">
        <v>343</v>
      </c>
      <c r="L463" s="17"/>
      <c r="M463" s="135"/>
      <c r="N463" s="136" t="s">
        <v>45</v>
      </c>
      <c r="P463" s="137">
        <f>O463*H463</f>
        <v>0</v>
      </c>
      <c r="Q463" s="137">
        <v>0</v>
      </c>
      <c r="R463" s="137">
        <f>Q463*H463</f>
        <v>0</v>
      </c>
      <c r="S463" s="137">
        <v>0</v>
      </c>
      <c r="T463" s="138">
        <f>S463*H463</f>
        <v>0</v>
      </c>
      <c r="AR463" s="139" t="s">
        <v>344</v>
      </c>
      <c r="AT463" s="139" t="s">
        <v>339</v>
      </c>
      <c r="AU463" s="139" t="s">
        <v>90</v>
      </c>
      <c r="AY463" s="2" t="s">
        <v>337</v>
      </c>
      <c r="BE463" s="140">
        <f>IF(N463="základní",J463,0)</f>
        <v>0</v>
      </c>
      <c r="BF463" s="140">
        <f>IF(N463="snížená",J463,0)</f>
        <v>0</v>
      </c>
      <c r="BG463" s="140">
        <f>IF(N463="zákl. přenesená",J463,0)</f>
        <v>0</v>
      </c>
      <c r="BH463" s="140">
        <f>IF(N463="sníž. přenesená",J463,0)</f>
        <v>0</v>
      </c>
      <c r="BI463" s="140">
        <f>IF(N463="nulová",J463,0)</f>
        <v>0</v>
      </c>
      <c r="BJ463" s="2" t="s">
        <v>87</v>
      </c>
      <c r="BK463" s="140">
        <f>ROUND(I463*H463,2)</f>
        <v>0</v>
      </c>
      <c r="BL463" s="2" t="s">
        <v>344</v>
      </c>
      <c r="BM463" s="139" t="s">
        <v>8601</v>
      </c>
    </row>
    <row r="464" spans="2:65" s="16" customFormat="1" ht="21.75" customHeight="1" x14ac:dyDescent="0.2">
      <c r="B464" s="17"/>
      <c r="C464" s="128">
        <v>107</v>
      </c>
      <c r="D464" s="128" t="s">
        <v>339</v>
      </c>
      <c r="E464" s="129" t="s">
        <v>8602</v>
      </c>
      <c r="F464" s="130" t="s">
        <v>8603</v>
      </c>
      <c r="G464" s="131" t="s">
        <v>990</v>
      </c>
      <c r="H464" s="132">
        <v>16.914999999999999</v>
      </c>
      <c r="I464" s="133"/>
      <c r="J464" s="134">
        <f>ROUND(I464*H464,2)</f>
        <v>0</v>
      </c>
      <c r="K464" s="130" t="s">
        <v>343</v>
      </c>
      <c r="L464" s="17"/>
      <c r="M464" s="135"/>
      <c r="N464" s="136" t="s">
        <v>45</v>
      </c>
      <c r="P464" s="137">
        <f>O464*H464</f>
        <v>0</v>
      </c>
      <c r="Q464" s="137">
        <v>0</v>
      </c>
      <c r="R464" s="137">
        <f>Q464*H464</f>
        <v>0</v>
      </c>
      <c r="S464" s="137">
        <v>0</v>
      </c>
      <c r="T464" s="138">
        <f>S464*H464</f>
        <v>0</v>
      </c>
      <c r="AR464" s="139" t="s">
        <v>344</v>
      </c>
      <c r="AT464" s="139" t="s">
        <v>339</v>
      </c>
      <c r="AU464" s="139" t="s">
        <v>90</v>
      </c>
      <c r="AY464" s="2" t="s">
        <v>337</v>
      </c>
      <c r="BE464" s="140">
        <f>IF(N464="základní",J464,0)</f>
        <v>0</v>
      </c>
      <c r="BF464" s="140">
        <f>IF(N464="snížená",J464,0)</f>
        <v>0</v>
      </c>
      <c r="BG464" s="140">
        <f>IF(N464="zákl. přenesená",J464,0)</f>
        <v>0</v>
      </c>
      <c r="BH464" s="140">
        <f>IF(N464="sníž. přenesená",J464,0)</f>
        <v>0</v>
      </c>
      <c r="BI464" s="140">
        <f>IF(N464="nulová",J464,0)</f>
        <v>0</v>
      </c>
      <c r="BJ464" s="2" t="s">
        <v>87</v>
      </c>
      <c r="BK464" s="140">
        <f>ROUND(I464*H464,2)</f>
        <v>0</v>
      </c>
      <c r="BL464" s="2" t="s">
        <v>344</v>
      </c>
      <c r="BM464" s="139" t="s">
        <v>8604</v>
      </c>
    </row>
    <row r="465" spans="2:65" s="16" customFormat="1" ht="21.75" customHeight="1" x14ac:dyDescent="0.2">
      <c r="B465" s="17"/>
      <c r="C465" s="128">
        <v>108</v>
      </c>
      <c r="D465" s="128" t="s">
        <v>339</v>
      </c>
      <c r="E465" s="129" t="s">
        <v>8605</v>
      </c>
      <c r="F465" s="130" t="s">
        <v>8606</v>
      </c>
      <c r="G465" s="131" t="s">
        <v>990</v>
      </c>
      <c r="H465" s="132">
        <v>8.8989999999999991</v>
      </c>
      <c r="I465" s="133"/>
      <c r="J465" s="134">
        <f>ROUND(I465*H465,2)</f>
        <v>0</v>
      </c>
      <c r="K465" s="130" t="s">
        <v>343</v>
      </c>
      <c r="L465" s="17"/>
      <c r="M465" s="135"/>
      <c r="N465" s="136" t="s">
        <v>45</v>
      </c>
      <c r="P465" s="137">
        <f>O465*H465</f>
        <v>0</v>
      </c>
      <c r="Q465" s="137">
        <v>0</v>
      </c>
      <c r="R465" s="137">
        <f>Q465*H465</f>
        <v>0</v>
      </c>
      <c r="S465" s="137">
        <v>0</v>
      </c>
      <c r="T465" s="138">
        <f>S465*H465</f>
        <v>0</v>
      </c>
      <c r="AR465" s="139" t="s">
        <v>344</v>
      </c>
      <c r="AT465" s="139" t="s">
        <v>339</v>
      </c>
      <c r="AU465" s="139" t="s">
        <v>90</v>
      </c>
      <c r="AY465" s="2" t="s">
        <v>337</v>
      </c>
      <c r="BE465" s="140">
        <f>IF(N465="základní",J465,0)</f>
        <v>0</v>
      </c>
      <c r="BF465" s="140">
        <f>IF(N465="snížená",J465,0)</f>
        <v>0</v>
      </c>
      <c r="BG465" s="140">
        <f>IF(N465="zákl. přenesená",J465,0)</f>
        <v>0</v>
      </c>
      <c r="BH465" s="140">
        <f>IF(N465="sníž. přenesená",J465,0)</f>
        <v>0</v>
      </c>
      <c r="BI465" s="140">
        <f>IF(N465="nulová",J465,0)</f>
        <v>0</v>
      </c>
      <c r="BJ465" s="2" t="s">
        <v>87</v>
      </c>
      <c r="BK465" s="140">
        <f>ROUND(I465*H465,2)</f>
        <v>0</v>
      </c>
      <c r="BL465" s="2" t="s">
        <v>344</v>
      </c>
      <c r="BM465" s="139" t="s">
        <v>8607</v>
      </c>
    </row>
    <row r="466" spans="2:65" s="16" customFormat="1" ht="21.75" customHeight="1" x14ac:dyDescent="0.2">
      <c r="B466" s="17"/>
      <c r="C466" s="128">
        <v>109</v>
      </c>
      <c r="D466" s="128" t="s">
        <v>339</v>
      </c>
      <c r="E466" s="129" t="s">
        <v>8608</v>
      </c>
      <c r="F466" s="130" t="s">
        <v>8609</v>
      </c>
      <c r="G466" s="131" t="s">
        <v>990</v>
      </c>
      <c r="H466" s="132">
        <v>90.534000000000006</v>
      </c>
      <c r="I466" s="133"/>
      <c r="J466" s="134">
        <f>ROUND(I466*H466,2)</f>
        <v>0</v>
      </c>
      <c r="K466" s="130" t="s">
        <v>343</v>
      </c>
      <c r="L466" s="17"/>
      <c r="M466" s="135"/>
      <c r="N466" s="136" t="s">
        <v>45</v>
      </c>
      <c r="P466" s="137">
        <f>O466*H466</f>
        <v>0</v>
      </c>
      <c r="Q466" s="137">
        <v>0</v>
      </c>
      <c r="R466" s="137">
        <f>Q466*H466</f>
        <v>0</v>
      </c>
      <c r="S466" s="137">
        <v>0</v>
      </c>
      <c r="T466" s="138">
        <f>S466*H466</f>
        <v>0</v>
      </c>
      <c r="AR466" s="139" t="s">
        <v>344</v>
      </c>
      <c r="AT466" s="139" t="s">
        <v>339</v>
      </c>
      <c r="AU466" s="139" t="s">
        <v>90</v>
      </c>
      <c r="AY466" s="2" t="s">
        <v>337</v>
      </c>
      <c r="BE466" s="140">
        <f>IF(N466="základní",J466,0)</f>
        <v>0</v>
      </c>
      <c r="BF466" s="140">
        <f>IF(N466="snížená",J466,0)</f>
        <v>0</v>
      </c>
      <c r="BG466" s="140">
        <f>IF(N466="zákl. přenesená",J466,0)</f>
        <v>0</v>
      </c>
      <c r="BH466" s="140">
        <f>IF(N466="sníž. přenesená",J466,0)</f>
        <v>0</v>
      </c>
      <c r="BI466" s="140">
        <f>IF(N466="nulová",J466,0)</f>
        <v>0</v>
      </c>
      <c r="BJ466" s="2" t="s">
        <v>87</v>
      </c>
      <c r="BK466" s="140">
        <f>ROUND(I466*H466,2)</f>
        <v>0</v>
      </c>
      <c r="BL466" s="2" t="s">
        <v>344</v>
      </c>
      <c r="BM466" s="139" t="s">
        <v>8610</v>
      </c>
    </row>
    <row r="467" spans="2:65" s="16" customFormat="1" ht="16.5" customHeight="1" x14ac:dyDescent="0.2">
      <c r="B467" s="17"/>
      <c r="C467" s="128">
        <v>110</v>
      </c>
      <c r="D467" s="128" t="s">
        <v>339</v>
      </c>
      <c r="E467" s="129" t="s">
        <v>8611</v>
      </c>
      <c r="F467" s="130" t="s">
        <v>8612</v>
      </c>
      <c r="G467" s="131" t="s">
        <v>990</v>
      </c>
      <c r="H467" s="132">
        <v>752.11199999999997</v>
      </c>
      <c r="I467" s="133"/>
      <c r="J467" s="134">
        <f>ROUND(I467*H467,2)</f>
        <v>0</v>
      </c>
      <c r="K467" s="130" t="s">
        <v>343</v>
      </c>
      <c r="L467" s="17"/>
      <c r="M467" s="135"/>
      <c r="N467" s="136" t="s">
        <v>45</v>
      </c>
      <c r="P467" s="137">
        <f>O467*H467</f>
        <v>0</v>
      </c>
      <c r="Q467" s="137">
        <v>0</v>
      </c>
      <c r="R467" s="137">
        <f>Q467*H467</f>
        <v>0</v>
      </c>
      <c r="S467" s="137">
        <v>0</v>
      </c>
      <c r="T467" s="138">
        <f>S467*H467</f>
        <v>0</v>
      </c>
      <c r="AR467" s="139" t="s">
        <v>344</v>
      </c>
      <c r="AT467" s="139" t="s">
        <v>339</v>
      </c>
      <c r="AU467" s="139" t="s">
        <v>90</v>
      </c>
      <c r="AY467" s="2" t="s">
        <v>337</v>
      </c>
      <c r="BE467" s="140">
        <f>IF(N467="základní",J467,0)</f>
        <v>0</v>
      </c>
      <c r="BF467" s="140">
        <f>IF(N467="snížená",J467,0)</f>
        <v>0</v>
      </c>
      <c r="BG467" s="140">
        <f>IF(N467="zákl. přenesená",J467,0)</f>
        <v>0</v>
      </c>
      <c r="BH467" s="140">
        <f>IF(N467="sníž. přenesená",J467,0)</f>
        <v>0</v>
      </c>
      <c r="BI467" s="140">
        <f>IF(N467="nulová",J467,0)</f>
        <v>0</v>
      </c>
      <c r="BJ467" s="2" t="s">
        <v>87</v>
      </c>
      <c r="BK467" s="140">
        <f>ROUND(I467*H467,2)</f>
        <v>0</v>
      </c>
      <c r="BL467" s="2" t="s">
        <v>344</v>
      </c>
      <c r="BM467" s="139" t="s">
        <v>8613</v>
      </c>
    </row>
    <row r="468" spans="2:65" s="141" customFormat="1" x14ac:dyDescent="0.2">
      <c r="B468" s="142"/>
      <c r="D468" s="143" t="s">
        <v>346</v>
      </c>
      <c r="E468" s="144"/>
      <c r="F468" s="145" t="s">
        <v>8614</v>
      </c>
      <c r="H468" s="144"/>
      <c r="L468" s="142"/>
      <c r="M468" s="146"/>
      <c r="T468" s="147"/>
      <c r="AT468" s="144" t="s">
        <v>346</v>
      </c>
      <c r="AU468" s="144" t="s">
        <v>90</v>
      </c>
      <c r="AV468" s="141" t="s">
        <v>87</v>
      </c>
      <c r="AW468" s="141" t="s">
        <v>33</v>
      </c>
      <c r="AX468" s="141" t="s">
        <v>80</v>
      </c>
      <c r="AY468" s="144" t="s">
        <v>337</v>
      </c>
    </row>
    <row r="469" spans="2:65" s="148" customFormat="1" x14ac:dyDescent="0.2">
      <c r="B469" s="149"/>
      <c r="D469" s="143" t="s">
        <v>346</v>
      </c>
      <c r="E469" s="150"/>
      <c r="F469" s="151" t="s">
        <v>8615</v>
      </c>
      <c r="H469" s="152">
        <v>898.95799999999997</v>
      </c>
      <c r="L469" s="149"/>
      <c r="M469" s="153"/>
      <c r="T469" s="154"/>
      <c r="AT469" s="150" t="s">
        <v>346</v>
      </c>
      <c r="AU469" s="150" t="s">
        <v>90</v>
      </c>
      <c r="AV469" s="148" t="s">
        <v>90</v>
      </c>
      <c r="AW469" s="148" t="s">
        <v>33</v>
      </c>
      <c r="AX469" s="148" t="s">
        <v>80</v>
      </c>
      <c r="AY469" s="150" t="s">
        <v>337</v>
      </c>
    </row>
    <row r="470" spans="2:65" s="141" customFormat="1" x14ac:dyDescent="0.2">
      <c r="B470" s="142"/>
      <c r="D470" s="143" t="s">
        <v>346</v>
      </c>
      <c r="E470" s="144"/>
      <c r="F470" s="145" t="s">
        <v>8616</v>
      </c>
      <c r="H470" s="144"/>
      <c r="L470" s="142"/>
      <c r="M470" s="146"/>
      <c r="T470" s="147"/>
      <c r="AT470" s="144" t="s">
        <v>346</v>
      </c>
      <c r="AU470" s="144" t="s">
        <v>90</v>
      </c>
      <c r="AV470" s="141" t="s">
        <v>87</v>
      </c>
      <c r="AW470" s="141" t="s">
        <v>33</v>
      </c>
      <c r="AX470" s="141" t="s">
        <v>80</v>
      </c>
      <c r="AY470" s="144" t="s">
        <v>337</v>
      </c>
    </row>
    <row r="471" spans="2:65" s="148" customFormat="1" x14ac:dyDescent="0.2">
      <c r="B471" s="149"/>
      <c r="D471" s="143" t="s">
        <v>346</v>
      </c>
      <c r="E471" s="150"/>
      <c r="F471" s="151" t="s">
        <v>8617</v>
      </c>
      <c r="H471" s="152">
        <v>-146.846</v>
      </c>
      <c r="L471" s="149"/>
      <c r="M471" s="153"/>
      <c r="T471" s="154"/>
      <c r="AT471" s="150" t="s">
        <v>346</v>
      </c>
      <c r="AU471" s="150" t="s">
        <v>90</v>
      </c>
      <c r="AV471" s="148" t="s">
        <v>90</v>
      </c>
      <c r="AW471" s="148" t="s">
        <v>33</v>
      </c>
      <c r="AX471" s="148" t="s">
        <v>80</v>
      </c>
      <c r="AY471" s="150" t="s">
        <v>337</v>
      </c>
    </row>
    <row r="472" spans="2:65" s="155" customFormat="1" x14ac:dyDescent="0.2">
      <c r="B472" s="156"/>
      <c r="D472" s="143" t="s">
        <v>346</v>
      </c>
      <c r="E472" s="157"/>
      <c r="F472" s="158" t="s">
        <v>351</v>
      </c>
      <c r="H472" s="159">
        <v>752.11199999999997</v>
      </c>
      <c r="L472" s="156"/>
      <c r="M472" s="160"/>
      <c r="T472" s="161"/>
      <c r="AT472" s="157" t="s">
        <v>346</v>
      </c>
      <c r="AU472" s="157" t="s">
        <v>90</v>
      </c>
      <c r="AV472" s="155" t="s">
        <v>344</v>
      </c>
      <c r="AW472" s="155" t="s">
        <v>33</v>
      </c>
      <c r="AX472" s="155" t="s">
        <v>87</v>
      </c>
      <c r="AY472" s="157" t="s">
        <v>337</v>
      </c>
    </row>
    <row r="473" spans="2:65" s="16" customFormat="1" ht="16.5" customHeight="1" x14ac:dyDescent="0.2">
      <c r="B473" s="17"/>
      <c r="C473" s="128">
        <v>111</v>
      </c>
      <c r="D473" s="128" t="s">
        <v>339</v>
      </c>
      <c r="E473" s="129" t="s">
        <v>8618</v>
      </c>
      <c r="F473" s="130" t="s">
        <v>8619</v>
      </c>
      <c r="G473" s="131" t="s">
        <v>990</v>
      </c>
      <c r="H473" s="132">
        <v>146.846</v>
      </c>
      <c r="I473" s="133"/>
      <c r="J473" s="134">
        <f>ROUND(I473*H473,2)</f>
        <v>0</v>
      </c>
      <c r="K473" s="130"/>
      <c r="L473" s="17"/>
      <c r="M473" s="135"/>
      <c r="N473" s="136" t="s">
        <v>45</v>
      </c>
      <c r="P473" s="137">
        <f>O473*H473</f>
        <v>0</v>
      </c>
      <c r="Q473" s="137">
        <v>0</v>
      </c>
      <c r="R473" s="137">
        <f>Q473*H473</f>
        <v>0</v>
      </c>
      <c r="S473" s="137">
        <v>0</v>
      </c>
      <c r="T473" s="138">
        <f>S473*H473</f>
        <v>0</v>
      </c>
      <c r="AR473" s="139" t="s">
        <v>344</v>
      </c>
      <c r="AT473" s="139" t="s">
        <v>339</v>
      </c>
      <c r="AU473" s="139" t="s">
        <v>90</v>
      </c>
      <c r="AY473" s="2" t="s">
        <v>337</v>
      </c>
      <c r="BE473" s="140">
        <f>IF(N473="základní",J473,0)</f>
        <v>0</v>
      </c>
      <c r="BF473" s="140">
        <f>IF(N473="snížená",J473,0)</f>
        <v>0</v>
      </c>
      <c r="BG473" s="140">
        <f>IF(N473="zákl. přenesená",J473,0)</f>
        <v>0</v>
      </c>
      <c r="BH473" s="140">
        <f>IF(N473="sníž. přenesená",J473,0)</f>
        <v>0</v>
      </c>
      <c r="BI473" s="140">
        <f>IF(N473="nulová",J473,0)</f>
        <v>0</v>
      </c>
      <c r="BJ473" s="2" t="s">
        <v>87</v>
      </c>
      <c r="BK473" s="140">
        <f>ROUND(I473*H473,2)</f>
        <v>0</v>
      </c>
      <c r="BL473" s="2" t="s">
        <v>344</v>
      </c>
      <c r="BM473" s="139" t="s">
        <v>8620</v>
      </c>
    </row>
    <row r="474" spans="2:65" s="148" customFormat="1" x14ac:dyDescent="0.2">
      <c r="B474" s="149"/>
      <c r="D474" s="143" t="s">
        <v>346</v>
      </c>
      <c r="E474" s="150"/>
      <c r="F474" s="151" t="s">
        <v>8621</v>
      </c>
      <c r="H474" s="152">
        <v>185.096</v>
      </c>
      <c r="L474" s="149"/>
      <c r="M474" s="153"/>
      <c r="T474" s="154"/>
      <c r="AT474" s="150" t="s">
        <v>346</v>
      </c>
      <c r="AU474" s="150" t="s">
        <v>90</v>
      </c>
      <c r="AV474" s="148" t="s">
        <v>90</v>
      </c>
      <c r="AW474" s="148" t="s">
        <v>33</v>
      </c>
      <c r="AX474" s="148" t="s">
        <v>80</v>
      </c>
      <c r="AY474" s="150" t="s">
        <v>337</v>
      </c>
    </row>
    <row r="475" spans="2:65" s="148" customFormat="1" x14ac:dyDescent="0.2">
      <c r="B475" s="149"/>
      <c r="D475" s="143" t="s">
        <v>346</v>
      </c>
      <c r="E475" s="150"/>
      <c r="F475" s="151" t="s">
        <v>8622</v>
      </c>
      <c r="H475" s="152">
        <v>-38.25</v>
      </c>
      <c r="L475" s="149"/>
      <c r="M475" s="153"/>
      <c r="T475" s="154"/>
      <c r="AT475" s="150" t="s">
        <v>346</v>
      </c>
      <c r="AU475" s="150" t="s">
        <v>90</v>
      </c>
      <c r="AV475" s="148" t="s">
        <v>90</v>
      </c>
      <c r="AW475" s="148" t="s">
        <v>33</v>
      </c>
      <c r="AX475" s="148" t="s">
        <v>80</v>
      </c>
      <c r="AY475" s="150" t="s">
        <v>337</v>
      </c>
    </row>
    <row r="476" spans="2:65" s="155" customFormat="1" x14ac:dyDescent="0.2">
      <c r="B476" s="156"/>
      <c r="D476" s="143" t="s">
        <v>346</v>
      </c>
      <c r="E476" s="157"/>
      <c r="F476" s="158" t="s">
        <v>351</v>
      </c>
      <c r="H476" s="159">
        <v>146.846</v>
      </c>
      <c r="L476" s="156"/>
      <c r="M476" s="160"/>
      <c r="T476" s="161"/>
      <c r="AT476" s="157" t="s">
        <v>346</v>
      </c>
      <c r="AU476" s="157" t="s">
        <v>90</v>
      </c>
      <c r="AV476" s="155" t="s">
        <v>344</v>
      </c>
      <c r="AW476" s="155" t="s">
        <v>33</v>
      </c>
      <c r="AX476" s="155" t="s">
        <v>87</v>
      </c>
      <c r="AY476" s="157" t="s">
        <v>337</v>
      </c>
    </row>
    <row r="477" spans="2:65" s="116" customFormat="1" ht="22.9" customHeight="1" x14ac:dyDescent="0.2">
      <c r="B477" s="117"/>
      <c r="D477" s="118" t="s">
        <v>79</v>
      </c>
      <c r="E477" s="126" t="s">
        <v>986</v>
      </c>
      <c r="F477" s="126" t="s">
        <v>987</v>
      </c>
      <c r="J477" s="127">
        <f>BK477</f>
        <v>0</v>
      </c>
      <c r="L477" s="117"/>
      <c r="M477" s="121"/>
      <c r="P477" s="122">
        <f>SUM(P478:P480)</f>
        <v>0</v>
      </c>
      <c r="R477" s="122">
        <f>SUM(R478:R480)</f>
        <v>0</v>
      </c>
      <c r="T477" s="123">
        <f>SUM(T478:T480)</f>
        <v>0</v>
      </c>
      <c r="AR477" s="118" t="s">
        <v>87</v>
      </c>
      <c r="AT477" s="124" t="s">
        <v>79</v>
      </c>
      <c r="AU477" s="124" t="s">
        <v>87</v>
      </c>
      <c r="AY477" s="118" t="s">
        <v>337</v>
      </c>
      <c r="BK477" s="125">
        <f>SUM(BK478:BK480)</f>
        <v>0</v>
      </c>
    </row>
    <row r="478" spans="2:65" s="16" customFormat="1" ht="16.5" customHeight="1" x14ac:dyDescent="0.2">
      <c r="B478" s="17"/>
      <c r="C478" s="128">
        <v>112</v>
      </c>
      <c r="D478" s="128" t="s">
        <v>339</v>
      </c>
      <c r="E478" s="129" t="s">
        <v>8623</v>
      </c>
      <c r="F478" s="130" t="s">
        <v>8624</v>
      </c>
      <c r="G478" s="131" t="s">
        <v>990</v>
      </c>
      <c r="H478" s="132">
        <v>725.77300000000002</v>
      </c>
      <c r="I478" s="133"/>
      <c r="J478" s="134">
        <f>ROUND(I478*H478,2)</f>
        <v>0</v>
      </c>
      <c r="K478" s="130" t="s">
        <v>343</v>
      </c>
      <c r="L478" s="17"/>
      <c r="M478" s="135"/>
      <c r="N478" s="136" t="s">
        <v>45</v>
      </c>
      <c r="P478" s="137">
        <f>O478*H478</f>
        <v>0</v>
      </c>
      <c r="Q478" s="137">
        <v>0</v>
      </c>
      <c r="R478" s="137">
        <f>Q478*H478</f>
        <v>0</v>
      </c>
      <c r="S478" s="137">
        <v>0</v>
      </c>
      <c r="T478" s="138">
        <f>S478*H478</f>
        <v>0</v>
      </c>
      <c r="AR478" s="139" t="s">
        <v>344</v>
      </c>
      <c r="AT478" s="139" t="s">
        <v>339</v>
      </c>
      <c r="AU478" s="139" t="s">
        <v>90</v>
      </c>
      <c r="AY478" s="2" t="s">
        <v>337</v>
      </c>
      <c r="BE478" s="140">
        <f>IF(N478="základní",J478,0)</f>
        <v>0</v>
      </c>
      <c r="BF478" s="140">
        <f>IF(N478="snížená",J478,0)</f>
        <v>0</v>
      </c>
      <c r="BG478" s="140">
        <f>IF(N478="zákl. přenesená",J478,0)</f>
        <v>0</v>
      </c>
      <c r="BH478" s="140">
        <f>IF(N478="sníž. přenesená",J478,0)</f>
        <v>0</v>
      </c>
      <c r="BI478" s="140">
        <f>IF(N478="nulová",J478,0)</f>
        <v>0</v>
      </c>
      <c r="BJ478" s="2" t="s">
        <v>87</v>
      </c>
      <c r="BK478" s="140">
        <f>ROUND(I478*H478,2)</f>
        <v>0</v>
      </c>
      <c r="BL478" s="2" t="s">
        <v>344</v>
      </c>
      <c r="BM478" s="139" t="s">
        <v>8625</v>
      </c>
    </row>
    <row r="479" spans="2:65" s="16" customFormat="1" ht="16.5" customHeight="1" x14ac:dyDescent="0.2">
      <c r="B479" s="17"/>
      <c r="C479" s="128">
        <v>113</v>
      </c>
      <c r="D479" s="128" t="s">
        <v>339</v>
      </c>
      <c r="E479" s="129" t="s">
        <v>8626</v>
      </c>
      <c r="F479" s="130" t="s">
        <v>8627</v>
      </c>
      <c r="G479" s="131" t="s">
        <v>990</v>
      </c>
      <c r="H479" s="132">
        <v>88.442999999999998</v>
      </c>
      <c r="I479" s="133"/>
      <c r="J479" s="134">
        <f>ROUND(I479*H479,2)</f>
        <v>0</v>
      </c>
      <c r="K479" s="130" t="s">
        <v>343</v>
      </c>
      <c r="L479" s="17"/>
      <c r="M479" s="135"/>
      <c r="N479" s="136" t="s">
        <v>45</v>
      </c>
      <c r="P479" s="137">
        <f>O479*H479</f>
        <v>0</v>
      </c>
      <c r="Q479" s="137">
        <v>0</v>
      </c>
      <c r="R479" s="137">
        <f>Q479*H479</f>
        <v>0</v>
      </c>
      <c r="S479" s="137">
        <v>0</v>
      </c>
      <c r="T479" s="138">
        <f>S479*H479</f>
        <v>0</v>
      </c>
      <c r="AR479" s="139" t="s">
        <v>344</v>
      </c>
      <c r="AT479" s="139" t="s">
        <v>339</v>
      </c>
      <c r="AU479" s="139" t="s">
        <v>90</v>
      </c>
      <c r="AY479" s="2" t="s">
        <v>337</v>
      </c>
      <c r="BE479" s="140">
        <f>IF(N479="základní",J479,0)</f>
        <v>0</v>
      </c>
      <c r="BF479" s="140">
        <f>IF(N479="snížená",J479,0)</f>
        <v>0</v>
      </c>
      <c r="BG479" s="140">
        <f>IF(N479="zákl. přenesená",J479,0)</f>
        <v>0</v>
      </c>
      <c r="BH479" s="140">
        <f>IF(N479="sníž. přenesená",J479,0)</f>
        <v>0</v>
      </c>
      <c r="BI479" s="140">
        <f>IF(N479="nulová",J479,0)</f>
        <v>0</v>
      </c>
      <c r="BJ479" s="2" t="s">
        <v>87</v>
      </c>
      <c r="BK479" s="140">
        <f>ROUND(I479*H479,2)</f>
        <v>0</v>
      </c>
      <c r="BL479" s="2" t="s">
        <v>344</v>
      </c>
      <c r="BM479" s="139" t="s">
        <v>8628</v>
      </c>
    </row>
    <row r="480" spans="2:65" s="148" customFormat="1" x14ac:dyDescent="0.2">
      <c r="B480" s="149"/>
      <c r="D480" s="143" t="s">
        <v>346</v>
      </c>
      <c r="E480" s="150"/>
      <c r="F480" s="151" t="s">
        <v>8629</v>
      </c>
      <c r="H480" s="152">
        <v>88.442999999999998</v>
      </c>
      <c r="L480" s="149"/>
      <c r="M480" s="153"/>
      <c r="T480" s="154"/>
      <c r="AT480" s="150" t="s">
        <v>346</v>
      </c>
      <c r="AU480" s="150" t="s">
        <v>90</v>
      </c>
      <c r="AV480" s="148" t="s">
        <v>90</v>
      </c>
      <c r="AW480" s="148" t="s">
        <v>33</v>
      </c>
      <c r="AX480" s="148" t="s">
        <v>87</v>
      </c>
      <c r="AY480" s="150" t="s">
        <v>337</v>
      </c>
    </row>
    <row r="481" spans="2:65" s="116" customFormat="1" ht="25.9" customHeight="1" x14ac:dyDescent="0.2">
      <c r="B481" s="117"/>
      <c r="D481" s="118" t="s">
        <v>79</v>
      </c>
      <c r="E481" s="119" t="s">
        <v>992</v>
      </c>
      <c r="F481" s="119" t="s">
        <v>993</v>
      </c>
      <c r="J481" s="120">
        <f>BK481</f>
        <v>0</v>
      </c>
      <c r="L481" s="117"/>
      <c r="M481" s="121"/>
      <c r="P481" s="122">
        <f>P482+P496</f>
        <v>0</v>
      </c>
      <c r="R481" s="122">
        <f>R482+R496</f>
        <v>1.4691620000000001</v>
      </c>
      <c r="T481" s="123">
        <f>T482+T496</f>
        <v>0</v>
      </c>
      <c r="AR481" s="118" t="s">
        <v>90</v>
      </c>
      <c r="AT481" s="124" t="s">
        <v>79</v>
      </c>
      <c r="AU481" s="124" t="s">
        <v>80</v>
      </c>
      <c r="AY481" s="118" t="s">
        <v>337</v>
      </c>
      <c r="BK481" s="125">
        <f>BK482+BK496</f>
        <v>0</v>
      </c>
    </row>
    <row r="482" spans="2:65" s="116" customFormat="1" ht="22.9" customHeight="1" x14ac:dyDescent="0.2">
      <c r="B482" s="117"/>
      <c r="D482" s="118" t="s">
        <v>79</v>
      </c>
      <c r="E482" s="126" t="s">
        <v>994</v>
      </c>
      <c r="F482" s="126" t="s">
        <v>995</v>
      </c>
      <c r="J482" s="127">
        <f>BK482</f>
        <v>0</v>
      </c>
      <c r="L482" s="117"/>
      <c r="M482" s="121"/>
      <c r="P482" s="122">
        <f>SUM(P483:P495)</f>
        <v>0</v>
      </c>
      <c r="R482" s="122">
        <f>SUM(R483:R495)</f>
        <v>0.10311200000000001</v>
      </c>
      <c r="T482" s="123">
        <f>SUM(T483:T495)</f>
        <v>0</v>
      </c>
      <c r="AR482" s="118" t="s">
        <v>90</v>
      </c>
      <c r="AT482" s="124" t="s">
        <v>79</v>
      </c>
      <c r="AU482" s="124" t="s">
        <v>87</v>
      </c>
      <c r="AY482" s="118" t="s">
        <v>337</v>
      </c>
      <c r="BK482" s="125">
        <f>SUM(BK483:BK495)</f>
        <v>0</v>
      </c>
    </row>
    <row r="483" spans="2:65" s="16" customFormat="1" ht="16.5" customHeight="1" x14ac:dyDescent="0.2">
      <c r="B483" s="17"/>
      <c r="C483" s="128">
        <v>114</v>
      </c>
      <c r="D483" s="128" t="s">
        <v>339</v>
      </c>
      <c r="E483" s="129" t="s">
        <v>8630</v>
      </c>
      <c r="F483" s="130" t="s">
        <v>8631</v>
      </c>
      <c r="G483" s="131" t="s">
        <v>425</v>
      </c>
      <c r="H483" s="132">
        <v>124.7</v>
      </c>
      <c r="I483" s="133"/>
      <c r="J483" s="134">
        <f>ROUND(I483*H483,2)</f>
        <v>0</v>
      </c>
      <c r="K483" s="130" t="s">
        <v>343</v>
      </c>
      <c r="L483" s="17"/>
      <c r="M483" s="135"/>
      <c r="N483" s="136" t="s">
        <v>45</v>
      </c>
      <c r="P483" s="137">
        <f>O483*H483</f>
        <v>0</v>
      </c>
      <c r="Q483" s="137">
        <v>8.0000000000000004E-4</v>
      </c>
      <c r="R483" s="137">
        <f>Q483*H483</f>
        <v>9.9760000000000001E-2</v>
      </c>
      <c r="S483" s="137">
        <v>0</v>
      </c>
      <c r="T483" s="138">
        <f>S483*H483</f>
        <v>0</v>
      </c>
      <c r="AR483" s="139" t="s">
        <v>496</v>
      </c>
      <c r="AT483" s="139" t="s">
        <v>339</v>
      </c>
      <c r="AU483" s="139" t="s">
        <v>90</v>
      </c>
      <c r="AY483" s="2" t="s">
        <v>337</v>
      </c>
      <c r="BE483" s="140">
        <f>IF(N483="základní",J483,0)</f>
        <v>0</v>
      </c>
      <c r="BF483" s="140">
        <f>IF(N483="snížená",J483,0)</f>
        <v>0</v>
      </c>
      <c r="BG483" s="140">
        <f>IF(N483="zákl. přenesená",J483,0)</f>
        <v>0</v>
      </c>
      <c r="BH483" s="140">
        <f>IF(N483="sníž. přenesená",J483,0)</f>
        <v>0</v>
      </c>
      <c r="BI483" s="140">
        <f>IF(N483="nulová",J483,0)</f>
        <v>0</v>
      </c>
      <c r="BJ483" s="2" t="s">
        <v>87</v>
      </c>
      <c r="BK483" s="140">
        <f>ROUND(I483*H483,2)</f>
        <v>0</v>
      </c>
      <c r="BL483" s="2" t="s">
        <v>496</v>
      </c>
      <c r="BM483" s="139" t="s">
        <v>8632</v>
      </c>
    </row>
    <row r="484" spans="2:65" s="141" customFormat="1" x14ac:dyDescent="0.2">
      <c r="B484" s="142"/>
      <c r="D484" s="143" t="s">
        <v>346</v>
      </c>
      <c r="E484" s="144"/>
      <c r="F484" s="145" t="s">
        <v>8633</v>
      </c>
      <c r="H484" s="144"/>
      <c r="L484" s="142"/>
      <c r="M484" s="146"/>
      <c r="T484" s="147"/>
      <c r="AT484" s="144" t="s">
        <v>346</v>
      </c>
      <c r="AU484" s="144" t="s">
        <v>90</v>
      </c>
      <c r="AV484" s="141" t="s">
        <v>87</v>
      </c>
      <c r="AW484" s="141" t="s">
        <v>33</v>
      </c>
      <c r="AX484" s="141" t="s">
        <v>80</v>
      </c>
      <c r="AY484" s="144" t="s">
        <v>337</v>
      </c>
    </row>
    <row r="485" spans="2:65" s="148" customFormat="1" x14ac:dyDescent="0.2">
      <c r="B485" s="149"/>
      <c r="D485" s="143" t="s">
        <v>346</v>
      </c>
      <c r="E485" s="150"/>
      <c r="F485" s="151" t="s">
        <v>8634</v>
      </c>
      <c r="H485" s="152">
        <v>117.5</v>
      </c>
      <c r="L485" s="149"/>
      <c r="M485" s="153"/>
      <c r="T485" s="154"/>
      <c r="AT485" s="150" t="s">
        <v>346</v>
      </c>
      <c r="AU485" s="150" t="s">
        <v>90</v>
      </c>
      <c r="AV485" s="148" t="s">
        <v>90</v>
      </c>
      <c r="AW485" s="148" t="s">
        <v>33</v>
      </c>
      <c r="AX485" s="148" t="s">
        <v>80</v>
      </c>
      <c r="AY485" s="150" t="s">
        <v>337</v>
      </c>
    </row>
    <row r="486" spans="2:65" s="141" customFormat="1" x14ac:dyDescent="0.2">
      <c r="B486" s="142"/>
      <c r="D486" s="143" t="s">
        <v>346</v>
      </c>
      <c r="E486" s="144"/>
      <c r="F486" s="145" t="s">
        <v>8635</v>
      </c>
      <c r="H486" s="144"/>
      <c r="L486" s="142"/>
      <c r="M486" s="146"/>
      <c r="T486" s="147"/>
      <c r="AT486" s="144" t="s">
        <v>346</v>
      </c>
      <c r="AU486" s="144" t="s">
        <v>90</v>
      </c>
      <c r="AV486" s="141" t="s">
        <v>87</v>
      </c>
      <c r="AW486" s="141" t="s">
        <v>33</v>
      </c>
      <c r="AX486" s="141" t="s">
        <v>80</v>
      </c>
      <c r="AY486" s="144" t="s">
        <v>337</v>
      </c>
    </row>
    <row r="487" spans="2:65" s="148" customFormat="1" x14ac:dyDescent="0.2">
      <c r="B487" s="149"/>
      <c r="D487" s="143" t="s">
        <v>346</v>
      </c>
      <c r="E487" s="150"/>
      <c r="F487" s="151" t="s">
        <v>8636</v>
      </c>
      <c r="H487" s="152">
        <v>7.2</v>
      </c>
      <c r="L487" s="149"/>
      <c r="M487" s="153"/>
      <c r="T487" s="154"/>
      <c r="AT487" s="150" t="s">
        <v>346</v>
      </c>
      <c r="AU487" s="150" t="s">
        <v>90</v>
      </c>
      <c r="AV487" s="148" t="s">
        <v>90</v>
      </c>
      <c r="AW487" s="148" t="s">
        <v>33</v>
      </c>
      <c r="AX487" s="148" t="s">
        <v>80</v>
      </c>
      <c r="AY487" s="150" t="s">
        <v>337</v>
      </c>
    </row>
    <row r="488" spans="2:65" s="155" customFormat="1" x14ac:dyDescent="0.2">
      <c r="B488" s="156"/>
      <c r="D488" s="143" t="s">
        <v>346</v>
      </c>
      <c r="E488" s="157"/>
      <c r="F488" s="158" t="s">
        <v>351</v>
      </c>
      <c r="H488" s="159">
        <v>124.7</v>
      </c>
      <c r="L488" s="156"/>
      <c r="M488" s="160"/>
      <c r="T488" s="161"/>
      <c r="AT488" s="157" t="s">
        <v>346</v>
      </c>
      <c r="AU488" s="157" t="s">
        <v>90</v>
      </c>
      <c r="AV488" s="155" t="s">
        <v>344</v>
      </c>
      <c r="AW488" s="155" t="s">
        <v>33</v>
      </c>
      <c r="AX488" s="155" t="s">
        <v>87</v>
      </c>
      <c r="AY488" s="157" t="s">
        <v>337</v>
      </c>
    </row>
    <row r="489" spans="2:65" s="16" customFormat="1" ht="16.5" customHeight="1" x14ac:dyDescent="0.2">
      <c r="B489" s="17"/>
      <c r="C489" s="128">
        <v>115</v>
      </c>
      <c r="D489" s="128" t="s">
        <v>339</v>
      </c>
      <c r="E489" s="129" t="s">
        <v>8637</v>
      </c>
      <c r="F489" s="130" t="s">
        <v>8638</v>
      </c>
      <c r="G489" s="131" t="s">
        <v>425</v>
      </c>
      <c r="H489" s="132">
        <v>7.2</v>
      </c>
      <c r="I489" s="133"/>
      <c r="J489" s="134">
        <f>ROUND(I489*H489,2)</f>
        <v>0</v>
      </c>
      <c r="K489" s="130" t="s">
        <v>343</v>
      </c>
      <c r="L489" s="17"/>
      <c r="M489" s="135"/>
      <c r="N489" s="136" t="s">
        <v>45</v>
      </c>
      <c r="P489" s="137">
        <f>O489*H489</f>
        <v>0</v>
      </c>
      <c r="Q489" s="137">
        <v>0</v>
      </c>
      <c r="R489" s="137">
        <f>Q489*H489</f>
        <v>0</v>
      </c>
      <c r="S489" s="137">
        <v>0</v>
      </c>
      <c r="T489" s="138">
        <f>S489*H489</f>
        <v>0</v>
      </c>
      <c r="AR489" s="139" t="s">
        <v>496</v>
      </c>
      <c r="AT489" s="139" t="s">
        <v>339</v>
      </c>
      <c r="AU489" s="139" t="s">
        <v>90</v>
      </c>
      <c r="AY489" s="2" t="s">
        <v>337</v>
      </c>
      <c r="BE489" s="140">
        <f>IF(N489="základní",J489,0)</f>
        <v>0</v>
      </c>
      <c r="BF489" s="140">
        <f>IF(N489="snížená",J489,0)</f>
        <v>0</v>
      </c>
      <c r="BG489" s="140">
        <f>IF(N489="zákl. přenesená",J489,0)</f>
        <v>0</v>
      </c>
      <c r="BH489" s="140">
        <f>IF(N489="sníž. přenesená",J489,0)</f>
        <v>0</v>
      </c>
      <c r="BI489" s="140">
        <f>IF(N489="nulová",J489,0)</f>
        <v>0</v>
      </c>
      <c r="BJ489" s="2" t="s">
        <v>87</v>
      </c>
      <c r="BK489" s="140">
        <f>ROUND(I489*H489,2)</f>
        <v>0</v>
      </c>
      <c r="BL489" s="2" t="s">
        <v>496</v>
      </c>
      <c r="BM489" s="139" t="s">
        <v>8639</v>
      </c>
    </row>
    <row r="490" spans="2:65" s="141" customFormat="1" x14ac:dyDescent="0.2">
      <c r="B490" s="142"/>
      <c r="D490" s="143" t="s">
        <v>346</v>
      </c>
      <c r="E490" s="144"/>
      <c r="F490" s="145" t="s">
        <v>8640</v>
      </c>
      <c r="H490" s="144"/>
      <c r="L490" s="142"/>
      <c r="M490" s="146"/>
      <c r="T490" s="147"/>
      <c r="AT490" s="144" t="s">
        <v>346</v>
      </c>
      <c r="AU490" s="144" t="s">
        <v>90</v>
      </c>
      <c r="AV490" s="141" t="s">
        <v>87</v>
      </c>
      <c r="AW490" s="141" t="s">
        <v>33</v>
      </c>
      <c r="AX490" s="141" t="s">
        <v>80</v>
      </c>
      <c r="AY490" s="144" t="s">
        <v>337</v>
      </c>
    </row>
    <row r="491" spans="2:65" s="148" customFormat="1" x14ac:dyDescent="0.2">
      <c r="B491" s="149"/>
      <c r="D491" s="143" t="s">
        <v>346</v>
      </c>
      <c r="E491" s="150"/>
      <c r="F491" s="151" t="s">
        <v>8636</v>
      </c>
      <c r="H491" s="152">
        <v>7.2</v>
      </c>
      <c r="L491" s="149"/>
      <c r="M491" s="153"/>
      <c r="T491" s="154"/>
      <c r="AT491" s="150" t="s">
        <v>346</v>
      </c>
      <c r="AU491" s="150" t="s">
        <v>90</v>
      </c>
      <c r="AV491" s="148" t="s">
        <v>90</v>
      </c>
      <c r="AW491" s="148" t="s">
        <v>33</v>
      </c>
      <c r="AX491" s="148" t="s">
        <v>87</v>
      </c>
      <c r="AY491" s="150" t="s">
        <v>337</v>
      </c>
    </row>
    <row r="492" spans="2:65" s="16" customFormat="1" ht="16.5" customHeight="1" x14ac:dyDescent="0.2">
      <c r="B492" s="17"/>
      <c r="C492" s="162">
        <v>116</v>
      </c>
      <c r="D492" s="162" t="s">
        <v>519</v>
      </c>
      <c r="E492" s="163" t="s">
        <v>8641</v>
      </c>
      <c r="F492" s="164" t="s">
        <v>8642</v>
      </c>
      <c r="G492" s="165" t="s">
        <v>535</v>
      </c>
      <c r="H492" s="166">
        <v>3.1</v>
      </c>
      <c r="I492" s="167"/>
      <c r="J492" s="168">
        <f>ROUND(I492*H492,2)</f>
        <v>0</v>
      </c>
      <c r="K492" s="164" t="s">
        <v>343</v>
      </c>
      <c r="L492" s="169"/>
      <c r="M492" s="170"/>
      <c r="N492" s="171" t="s">
        <v>45</v>
      </c>
      <c r="P492" s="137">
        <f>O492*H492</f>
        <v>0</v>
      </c>
      <c r="Q492" s="137">
        <v>1E-3</v>
      </c>
      <c r="R492" s="137">
        <f>Q492*H492</f>
        <v>3.1000000000000003E-3</v>
      </c>
      <c r="S492" s="137">
        <v>0</v>
      </c>
      <c r="T492" s="138">
        <f>S492*H492</f>
        <v>0</v>
      </c>
      <c r="AR492" s="139" t="s">
        <v>621</v>
      </c>
      <c r="AT492" s="139" t="s">
        <v>519</v>
      </c>
      <c r="AU492" s="139" t="s">
        <v>90</v>
      </c>
      <c r="AY492" s="2" t="s">
        <v>337</v>
      </c>
      <c r="BE492" s="140">
        <f>IF(N492="základní",J492,0)</f>
        <v>0</v>
      </c>
      <c r="BF492" s="140">
        <f>IF(N492="snížená",J492,0)</f>
        <v>0</v>
      </c>
      <c r="BG492" s="140">
        <f>IF(N492="zákl. přenesená",J492,0)</f>
        <v>0</v>
      </c>
      <c r="BH492" s="140">
        <f>IF(N492="sníž. přenesená",J492,0)</f>
        <v>0</v>
      </c>
      <c r="BI492" s="140">
        <f>IF(N492="nulová",J492,0)</f>
        <v>0</v>
      </c>
      <c r="BJ492" s="2" t="s">
        <v>87</v>
      </c>
      <c r="BK492" s="140">
        <f>ROUND(I492*H492,2)</f>
        <v>0</v>
      </c>
      <c r="BL492" s="2" t="s">
        <v>496</v>
      </c>
      <c r="BM492" s="139" t="s">
        <v>8643</v>
      </c>
    </row>
    <row r="493" spans="2:65" s="16" customFormat="1" ht="16.5" customHeight="1" x14ac:dyDescent="0.2">
      <c r="B493" s="17"/>
      <c r="C493" s="128">
        <v>117</v>
      </c>
      <c r="D493" s="128" t="s">
        <v>339</v>
      </c>
      <c r="E493" s="129" t="s">
        <v>8644</v>
      </c>
      <c r="F493" s="130" t="s">
        <v>8645</v>
      </c>
      <c r="G493" s="131" t="s">
        <v>724</v>
      </c>
      <c r="H493" s="132">
        <v>8</v>
      </c>
      <c r="I493" s="133"/>
      <c r="J493" s="134">
        <f>ROUND(I493*H493,2)</f>
        <v>0</v>
      </c>
      <c r="K493" s="130" t="s">
        <v>343</v>
      </c>
      <c r="L493" s="17"/>
      <c r="M493" s="135"/>
      <c r="N493" s="136" t="s">
        <v>45</v>
      </c>
      <c r="P493" s="137">
        <f>O493*H493</f>
        <v>0</v>
      </c>
      <c r="Q493" s="137">
        <v>0</v>
      </c>
      <c r="R493" s="137">
        <f>Q493*H493</f>
        <v>0</v>
      </c>
      <c r="S493" s="137">
        <v>0</v>
      </c>
      <c r="T493" s="138">
        <f>S493*H493</f>
        <v>0</v>
      </c>
      <c r="AR493" s="139" t="s">
        <v>496</v>
      </c>
      <c r="AT493" s="139" t="s">
        <v>339</v>
      </c>
      <c r="AU493" s="139" t="s">
        <v>90</v>
      </c>
      <c r="AY493" s="2" t="s">
        <v>337</v>
      </c>
      <c r="BE493" s="140">
        <f>IF(N493="základní",J493,0)</f>
        <v>0</v>
      </c>
      <c r="BF493" s="140">
        <f>IF(N493="snížená",J493,0)</f>
        <v>0</v>
      </c>
      <c r="BG493" s="140">
        <f>IF(N493="zákl. přenesená",J493,0)</f>
        <v>0</v>
      </c>
      <c r="BH493" s="140">
        <f>IF(N493="sníž. přenesená",J493,0)</f>
        <v>0</v>
      </c>
      <c r="BI493" s="140">
        <f>IF(N493="nulová",J493,0)</f>
        <v>0</v>
      </c>
      <c r="BJ493" s="2" t="s">
        <v>87</v>
      </c>
      <c r="BK493" s="140">
        <f>ROUND(I493*H493,2)</f>
        <v>0</v>
      </c>
      <c r="BL493" s="2" t="s">
        <v>496</v>
      </c>
      <c r="BM493" s="139" t="s">
        <v>8646</v>
      </c>
    </row>
    <row r="494" spans="2:65" s="16" customFormat="1" ht="16.5" customHeight="1" x14ac:dyDescent="0.2">
      <c r="B494" s="17"/>
      <c r="C494" s="162">
        <v>118</v>
      </c>
      <c r="D494" s="162" t="s">
        <v>519</v>
      </c>
      <c r="E494" s="163" t="s">
        <v>8647</v>
      </c>
      <c r="F494" s="164" t="s">
        <v>8648</v>
      </c>
      <c r="G494" s="165" t="s">
        <v>724</v>
      </c>
      <c r="H494" s="166">
        <v>8.4</v>
      </c>
      <c r="I494" s="167"/>
      <c r="J494" s="168">
        <f>ROUND(I494*H494,2)</f>
        <v>0</v>
      </c>
      <c r="K494" s="164" t="s">
        <v>343</v>
      </c>
      <c r="L494" s="169"/>
      <c r="M494" s="170"/>
      <c r="N494" s="171" t="s">
        <v>45</v>
      </c>
      <c r="P494" s="137">
        <f>O494*H494</f>
        <v>0</v>
      </c>
      <c r="Q494" s="137">
        <v>3.0000000000000001E-5</v>
      </c>
      <c r="R494" s="137">
        <f>Q494*H494</f>
        <v>2.52E-4</v>
      </c>
      <c r="S494" s="137">
        <v>0</v>
      </c>
      <c r="T494" s="138">
        <f>S494*H494</f>
        <v>0</v>
      </c>
      <c r="AR494" s="139" t="s">
        <v>621</v>
      </c>
      <c r="AT494" s="139" t="s">
        <v>519</v>
      </c>
      <c r="AU494" s="139" t="s">
        <v>90</v>
      </c>
      <c r="AY494" s="2" t="s">
        <v>337</v>
      </c>
      <c r="BE494" s="140">
        <f>IF(N494="základní",J494,0)</f>
        <v>0</v>
      </c>
      <c r="BF494" s="140">
        <f>IF(N494="snížená",J494,0)</f>
        <v>0</v>
      </c>
      <c r="BG494" s="140">
        <f>IF(N494="zákl. přenesená",J494,0)</f>
        <v>0</v>
      </c>
      <c r="BH494" s="140">
        <f>IF(N494="sníž. přenesená",J494,0)</f>
        <v>0</v>
      </c>
      <c r="BI494" s="140">
        <f>IF(N494="nulová",J494,0)</f>
        <v>0</v>
      </c>
      <c r="BJ494" s="2" t="s">
        <v>87</v>
      </c>
      <c r="BK494" s="140">
        <f>ROUND(I494*H494,2)</f>
        <v>0</v>
      </c>
      <c r="BL494" s="2" t="s">
        <v>496</v>
      </c>
      <c r="BM494" s="139" t="s">
        <v>8649</v>
      </c>
    </row>
    <row r="495" spans="2:65" s="148" customFormat="1" x14ac:dyDescent="0.2">
      <c r="B495" s="149"/>
      <c r="D495" s="143" t="s">
        <v>346</v>
      </c>
      <c r="F495" s="151" t="s">
        <v>8650</v>
      </c>
      <c r="H495" s="152">
        <v>8.4</v>
      </c>
      <c r="L495" s="149"/>
      <c r="M495" s="153"/>
      <c r="T495" s="154"/>
      <c r="AT495" s="150" t="s">
        <v>346</v>
      </c>
      <c r="AU495" s="150" t="s">
        <v>90</v>
      </c>
      <c r="AV495" s="148" t="s">
        <v>90</v>
      </c>
      <c r="AW495" s="148" t="s">
        <v>3</v>
      </c>
      <c r="AX495" s="148" t="s">
        <v>87</v>
      </c>
      <c r="AY495" s="150" t="s">
        <v>337</v>
      </c>
    </row>
    <row r="496" spans="2:65" s="116" customFormat="1" ht="22.9" customHeight="1" x14ac:dyDescent="0.2">
      <c r="B496" s="117"/>
      <c r="D496" s="118" t="s">
        <v>79</v>
      </c>
      <c r="E496" s="126" t="s">
        <v>2593</v>
      </c>
      <c r="F496" s="126" t="s">
        <v>2594</v>
      </c>
      <c r="J496" s="127">
        <f>BK496</f>
        <v>0</v>
      </c>
      <c r="L496" s="117"/>
      <c r="M496" s="121"/>
      <c r="P496" s="122">
        <f>SUM(P497:P503)</f>
        <v>0</v>
      </c>
      <c r="R496" s="122">
        <f>SUM(R497:R503)</f>
        <v>1.36605</v>
      </c>
      <c r="T496" s="123">
        <f>SUM(T497:T503)</f>
        <v>0</v>
      </c>
      <c r="AR496" s="118" t="s">
        <v>90</v>
      </c>
      <c r="AT496" s="124" t="s">
        <v>79</v>
      </c>
      <c r="AU496" s="124" t="s">
        <v>87</v>
      </c>
      <c r="AY496" s="118" t="s">
        <v>337</v>
      </c>
      <c r="BK496" s="125">
        <f>SUM(BK497:BK503)</f>
        <v>0</v>
      </c>
    </row>
    <row r="497" spans="2:65" s="16" customFormat="1" ht="16.5" customHeight="1" x14ac:dyDescent="0.2">
      <c r="B497" s="17"/>
      <c r="C497" s="128">
        <v>119</v>
      </c>
      <c r="D497" s="128" t="s">
        <v>339</v>
      </c>
      <c r="E497" s="129" t="s">
        <v>8651</v>
      </c>
      <c r="F497" s="130" t="s">
        <v>8652</v>
      </c>
      <c r="G497" s="131" t="s">
        <v>724</v>
      </c>
      <c r="H497" s="132">
        <v>26.75</v>
      </c>
      <c r="I497" s="133"/>
      <c r="J497" s="134">
        <f>ROUND(I497*H497,2)</f>
        <v>0</v>
      </c>
      <c r="K497" s="130" t="s">
        <v>343</v>
      </c>
      <c r="L497" s="17"/>
      <c r="M497" s="135"/>
      <c r="N497" s="136" t="s">
        <v>45</v>
      </c>
      <c r="P497" s="137">
        <f>O497*H497</f>
        <v>0</v>
      </c>
      <c r="Q497" s="137">
        <v>0</v>
      </c>
      <c r="R497" s="137">
        <f>Q497*H497</f>
        <v>0</v>
      </c>
      <c r="S497" s="137">
        <v>0</v>
      </c>
      <c r="T497" s="138">
        <f>S497*H497</f>
        <v>0</v>
      </c>
      <c r="AR497" s="139" t="s">
        <v>496</v>
      </c>
      <c r="AT497" s="139" t="s">
        <v>339</v>
      </c>
      <c r="AU497" s="139" t="s">
        <v>90</v>
      </c>
      <c r="AY497" s="2" t="s">
        <v>337</v>
      </c>
      <c r="BE497" s="140">
        <f>IF(N497="základní",J497,0)</f>
        <v>0</v>
      </c>
      <c r="BF497" s="140">
        <f>IF(N497="snížená",J497,0)</f>
        <v>0</v>
      </c>
      <c r="BG497" s="140">
        <f>IF(N497="zákl. přenesená",J497,0)</f>
        <v>0</v>
      </c>
      <c r="BH497" s="140">
        <f>IF(N497="sníž. přenesená",J497,0)</f>
        <v>0</v>
      </c>
      <c r="BI497" s="140">
        <f>IF(N497="nulová",J497,0)</f>
        <v>0</v>
      </c>
      <c r="BJ497" s="2" t="s">
        <v>87</v>
      </c>
      <c r="BK497" s="140">
        <f>ROUND(I497*H497,2)</f>
        <v>0</v>
      </c>
      <c r="BL497" s="2" t="s">
        <v>496</v>
      </c>
      <c r="BM497" s="139" t="s">
        <v>8653</v>
      </c>
    </row>
    <row r="498" spans="2:65" s="141" customFormat="1" x14ac:dyDescent="0.2">
      <c r="B498" s="142"/>
      <c r="D498" s="143" t="s">
        <v>346</v>
      </c>
      <c r="E498" s="144"/>
      <c r="F498" s="145" t="s">
        <v>8654</v>
      </c>
      <c r="H498" s="144"/>
      <c r="L498" s="142"/>
      <c r="M498" s="146"/>
      <c r="T498" s="147"/>
      <c r="AT498" s="144" t="s">
        <v>346</v>
      </c>
      <c r="AU498" s="144" t="s">
        <v>90</v>
      </c>
      <c r="AV498" s="141" t="s">
        <v>87</v>
      </c>
      <c r="AW498" s="141" t="s">
        <v>33</v>
      </c>
      <c r="AX498" s="141" t="s">
        <v>80</v>
      </c>
      <c r="AY498" s="144" t="s">
        <v>337</v>
      </c>
    </row>
    <row r="499" spans="2:65" s="148" customFormat="1" x14ac:dyDescent="0.2">
      <c r="B499" s="149"/>
      <c r="D499" s="143" t="s">
        <v>346</v>
      </c>
      <c r="E499" s="150"/>
      <c r="F499" s="151" t="s">
        <v>8655</v>
      </c>
      <c r="H499" s="152">
        <v>26.75</v>
      </c>
      <c r="L499" s="149"/>
      <c r="M499" s="153"/>
      <c r="T499" s="154"/>
      <c r="AT499" s="150" t="s">
        <v>346</v>
      </c>
      <c r="AU499" s="150" t="s">
        <v>90</v>
      </c>
      <c r="AV499" s="148" t="s">
        <v>90</v>
      </c>
      <c r="AW499" s="148" t="s">
        <v>33</v>
      </c>
      <c r="AX499" s="148" t="s">
        <v>87</v>
      </c>
      <c r="AY499" s="150" t="s">
        <v>337</v>
      </c>
    </row>
    <row r="500" spans="2:65" s="16" customFormat="1" ht="16.5" customHeight="1" x14ac:dyDescent="0.2">
      <c r="B500" s="17"/>
      <c r="C500" s="128">
        <v>120</v>
      </c>
      <c r="D500" s="128" t="s">
        <v>339</v>
      </c>
      <c r="E500" s="129" t="s">
        <v>8656</v>
      </c>
      <c r="F500" s="130" t="s">
        <v>8657</v>
      </c>
      <c r="G500" s="131" t="s">
        <v>449</v>
      </c>
      <c r="H500" s="132">
        <v>12</v>
      </c>
      <c r="I500" s="133"/>
      <c r="J500" s="134">
        <f>ROUND(I500*H500,2)</f>
        <v>0</v>
      </c>
      <c r="K500" s="130" t="s">
        <v>343</v>
      </c>
      <c r="L500" s="17"/>
      <c r="M500" s="135"/>
      <c r="N500" s="136" t="s">
        <v>45</v>
      </c>
      <c r="P500" s="137">
        <f>O500*H500</f>
        <v>0</v>
      </c>
      <c r="Q500" s="137">
        <v>1.4999999999999999E-4</v>
      </c>
      <c r="R500" s="137">
        <f>Q500*H500</f>
        <v>1.8E-3</v>
      </c>
      <c r="S500" s="137">
        <v>0</v>
      </c>
      <c r="T500" s="138">
        <f>S500*H500</f>
        <v>0</v>
      </c>
      <c r="AR500" s="139" t="s">
        <v>496</v>
      </c>
      <c r="AT500" s="139" t="s">
        <v>339</v>
      </c>
      <c r="AU500" s="139" t="s">
        <v>90</v>
      </c>
      <c r="AY500" s="2" t="s">
        <v>337</v>
      </c>
      <c r="BE500" s="140">
        <f>IF(N500="základní",J500,0)</f>
        <v>0</v>
      </c>
      <c r="BF500" s="140">
        <f>IF(N500="snížená",J500,0)</f>
        <v>0</v>
      </c>
      <c r="BG500" s="140">
        <f>IF(N500="zákl. přenesená",J500,0)</f>
        <v>0</v>
      </c>
      <c r="BH500" s="140">
        <f>IF(N500="sníž. přenesená",J500,0)</f>
        <v>0</v>
      </c>
      <c r="BI500" s="140">
        <f>IF(N500="nulová",J500,0)</f>
        <v>0</v>
      </c>
      <c r="BJ500" s="2" t="s">
        <v>87</v>
      </c>
      <c r="BK500" s="140">
        <f>ROUND(I500*H500,2)</f>
        <v>0</v>
      </c>
      <c r="BL500" s="2" t="s">
        <v>496</v>
      </c>
      <c r="BM500" s="139" t="s">
        <v>8658</v>
      </c>
    </row>
    <row r="501" spans="2:65" s="16" customFormat="1" ht="24.2" customHeight="1" x14ac:dyDescent="0.2">
      <c r="B501" s="17"/>
      <c r="C501" s="162">
        <v>121</v>
      </c>
      <c r="D501" s="162" t="s">
        <v>519</v>
      </c>
      <c r="E501" s="163" t="s">
        <v>8659</v>
      </c>
      <c r="F501" s="164" t="s">
        <v>8660</v>
      </c>
      <c r="G501" s="165" t="s">
        <v>724</v>
      </c>
      <c r="H501" s="166">
        <v>26.75</v>
      </c>
      <c r="I501" s="167"/>
      <c r="J501" s="168">
        <f>ROUND(I501*H501,2)</f>
        <v>0</v>
      </c>
      <c r="K501" s="164"/>
      <c r="L501" s="169"/>
      <c r="M501" s="170"/>
      <c r="N501" s="171" t="s">
        <v>45</v>
      </c>
      <c r="P501" s="137">
        <f>O501*H501</f>
        <v>0</v>
      </c>
      <c r="Q501" s="137">
        <v>5.0999999999999997E-2</v>
      </c>
      <c r="R501" s="137">
        <f>Q501*H501</f>
        <v>1.36425</v>
      </c>
      <c r="S501" s="137">
        <v>0</v>
      </c>
      <c r="T501" s="138">
        <f>S501*H501</f>
        <v>0</v>
      </c>
      <c r="AR501" s="139" t="s">
        <v>621</v>
      </c>
      <c r="AT501" s="139" t="s">
        <v>519</v>
      </c>
      <c r="AU501" s="139" t="s">
        <v>90</v>
      </c>
      <c r="AY501" s="2" t="s">
        <v>337</v>
      </c>
      <c r="BE501" s="140">
        <f>IF(N501="základní",J501,0)</f>
        <v>0</v>
      </c>
      <c r="BF501" s="140">
        <f>IF(N501="snížená",J501,0)</f>
        <v>0</v>
      </c>
      <c r="BG501" s="140">
        <f>IF(N501="zákl. přenesená",J501,0)</f>
        <v>0</v>
      </c>
      <c r="BH501" s="140">
        <f>IF(N501="sníž. přenesená",J501,0)</f>
        <v>0</v>
      </c>
      <c r="BI501" s="140">
        <f>IF(N501="nulová",J501,0)</f>
        <v>0</v>
      </c>
      <c r="BJ501" s="2" t="s">
        <v>87</v>
      </c>
      <c r="BK501" s="140">
        <f>ROUND(I501*H501,2)</f>
        <v>0</v>
      </c>
      <c r="BL501" s="2" t="s">
        <v>496</v>
      </c>
      <c r="BM501" s="139" t="s">
        <v>8661</v>
      </c>
    </row>
    <row r="502" spans="2:65" s="141" customFormat="1" x14ac:dyDescent="0.2">
      <c r="B502" s="142"/>
      <c r="D502" s="143" t="s">
        <v>346</v>
      </c>
      <c r="E502" s="144"/>
      <c r="F502" s="145" t="s">
        <v>8662</v>
      </c>
      <c r="H502" s="144"/>
      <c r="L502" s="142"/>
      <c r="M502" s="146"/>
      <c r="T502" s="147"/>
      <c r="AT502" s="144" t="s">
        <v>346</v>
      </c>
      <c r="AU502" s="144" t="s">
        <v>90</v>
      </c>
      <c r="AV502" s="141" t="s">
        <v>87</v>
      </c>
      <c r="AW502" s="141" t="s">
        <v>33</v>
      </c>
      <c r="AX502" s="141" t="s">
        <v>80</v>
      </c>
      <c r="AY502" s="144" t="s">
        <v>337</v>
      </c>
    </row>
    <row r="503" spans="2:65" s="148" customFormat="1" x14ac:dyDescent="0.2">
      <c r="B503" s="149"/>
      <c r="D503" s="143" t="s">
        <v>346</v>
      </c>
      <c r="E503" s="150"/>
      <c r="F503" s="151" t="s">
        <v>8655</v>
      </c>
      <c r="H503" s="152">
        <v>26.75</v>
      </c>
      <c r="L503" s="149"/>
      <c r="M503" s="153"/>
      <c r="T503" s="154"/>
      <c r="AT503" s="150" t="s">
        <v>346</v>
      </c>
      <c r="AU503" s="150" t="s">
        <v>90</v>
      </c>
      <c r="AV503" s="148" t="s">
        <v>90</v>
      </c>
      <c r="AW503" s="148" t="s">
        <v>33</v>
      </c>
      <c r="AX503" s="148" t="s">
        <v>87</v>
      </c>
      <c r="AY503" s="150" t="s">
        <v>337</v>
      </c>
    </row>
    <row r="504" spans="2:65" s="116" customFormat="1" ht="25.9" customHeight="1" x14ac:dyDescent="0.2">
      <c r="B504" s="117"/>
      <c r="D504" s="118" t="s">
        <v>79</v>
      </c>
      <c r="E504" s="119" t="s">
        <v>519</v>
      </c>
      <c r="F504" s="119" t="s">
        <v>8663</v>
      </c>
      <c r="J504" s="120">
        <f>BK504</f>
        <v>0</v>
      </c>
      <c r="L504" s="117"/>
      <c r="M504" s="121"/>
      <c r="P504" s="122">
        <f>P505</f>
        <v>0</v>
      </c>
      <c r="R504" s="122">
        <f>R505</f>
        <v>0.16850000000000001</v>
      </c>
      <c r="T504" s="123">
        <f>T505</f>
        <v>0</v>
      </c>
      <c r="AR504" s="118" t="s">
        <v>113</v>
      </c>
      <c r="AT504" s="124" t="s">
        <v>79</v>
      </c>
      <c r="AU504" s="124" t="s">
        <v>80</v>
      </c>
      <c r="AY504" s="118" t="s">
        <v>337</v>
      </c>
      <c r="BK504" s="125">
        <f>BK505</f>
        <v>0</v>
      </c>
    </row>
    <row r="505" spans="2:65" s="116" customFormat="1" ht="22.9" customHeight="1" x14ac:dyDescent="0.2">
      <c r="B505" s="117"/>
      <c r="D505" s="118" t="s">
        <v>79</v>
      </c>
      <c r="E505" s="126" t="s">
        <v>8664</v>
      </c>
      <c r="F505" s="126" t="s">
        <v>8665</v>
      </c>
      <c r="J505" s="127">
        <f>BK505</f>
        <v>0</v>
      </c>
      <c r="L505" s="117"/>
      <c r="M505" s="121"/>
      <c r="P505" s="122">
        <f>SUM(P506:P509)</f>
        <v>0</v>
      </c>
      <c r="R505" s="122">
        <f>SUM(R506:R509)</f>
        <v>0.16850000000000001</v>
      </c>
      <c r="T505" s="123">
        <f>SUM(T506:T509)</f>
        <v>0</v>
      </c>
      <c r="AR505" s="118" t="s">
        <v>113</v>
      </c>
      <c r="AT505" s="124" t="s">
        <v>79</v>
      </c>
      <c r="AU505" s="124" t="s">
        <v>87</v>
      </c>
      <c r="AY505" s="118" t="s">
        <v>337</v>
      </c>
      <c r="BK505" s="125">
        <f>SUM(BK506:BK509)</f>
        <v>0</v>
      </c>
    </row>
    <row r="506" spans="2:65" s="16" customFormat="1" ht="16.5" customHeight="1" x14ac:dyDescent="0.2">
      <c r="B506" s="17"/>
      <c r="C506" s="128">
        <v>122</v>
      </c>
      <c r="D506" s="128" t="s">
        <v>339</v>
      </c>
      <c r="E506" s="129" t="s">
        <v>8666</v>
      </c>
      <c r="F506" s="130" t="s">
        <v>8667</v>
      </c>
      <c r="G506" s="131" t="s">
        <v>724</v>
      </c>
      <c r="H506" s="132">
        <v>25</v>
      </c>
      <c r="I506" s="133"/>
      <c r="J506" s="134">
        <f>ROUND(I506*H506,2)</f>
        <v>0</v>
      </c>
      <c r="K506" s="130" t="s">
        <v>343</v>
      </c>
      <c r="L506" s="17"/>
      <c r="M506" s="135"/>
      <c r="N506" s="136" t="s">
        <v>45</v>
      </c>
      <c r="P506" s="137">
        <f>O506*H506</f>
        <v>0</v>
      </c>
      <c r="Q506" s="137">
        <v>0</v>
      </c>
      <c r="R506" s="137">
        <f>Q506*H506</f>
        <v>0</v>
      </c>
      <c r="S506" s="137">
        <v>0</v>
      </c>
      <c r="T506" s="138">
        <f>S506*H506</f>
        <v>0</v>
      </c>
      <c r="AR506" s="139" t="s">
        <v>850</v>
      </c>
      <c r="AT506" s="139" t="s">
        <v>339</v>
      </c>
      <c r="AU506" s="139" t="s">
        <v>90</v>
      </c>
      <c r="AY506" s="2" t="s">
        <v>337</v>
      </c>
      <c r="BE506" s="140">
        <f>IF(N506="základní",J506,0)</f>
        <v>0</v>
      </c>
      <c r="BF506" s="140">
        <f>IF(N506="snížená",J506,0)</f>
        <v>0</v>
      </c>
      <c r="BG506" s="140">
        <f>IF(N506="zákl. přenesená",J506,0)</f>
        <v>0</v>
      </c>
      <c r="BH506" s="140">
        <f>IF(N506="sníž. přenesená",J506,0)</f>
        <v>0</v>
      </c>
      <c r="BI506" s="140">
        <f>IF(N506="nulová",J506,0)</f>
        <v>0</v>
      </c>
      <c r="BJ506" s="2" t="s">
        <v>87</v>
      </c>
      <c r="BK506" s="140">
        <f>ROUND(I506*H506,2)</f>
        <v>0</v>
      </c>
      <c r="BL506" s="2" t="s">
        <v>850</v>
      </c>
      <c r="BM506" s="139" t="s">
        <v>8668</v>
      </c>
    </row>
    <row r="507" spans="2:65" s="141" customFormat="1" x14ac:dyDescent="0.2">
      <c r="B507" s="142"/>
      <c r="D507" s="143" t="s">
        <v>346</v>
      </c>
      <c r="E507" s="144"/>
      <c r="F507" s="145" t="s">
        <v>8669</v>
      </c>
      <c r="H507" s="144"/>
      <c r="L507" s="142"/>
      <c r="M507" s="146"/>
      <c r="T507" s="147"/>
      <c r="AT507" s="144" t="s">
        <v>346</v>
      </c>
      <c r="AU507" s="144" t="s">
        <v>90</v>
      </c>
      <c r="AV507" s="141" t="s">
        <v>87</v>
      </c>
      <c r="AW507" s="141" t="s">
        <v>33</v>
      </c>
      <c r="AX507" s="141" t="s">
        <v>80</v>
      </c>
      <c r="AY507" s="144" t="s">
        <v>337</v>
      </c>
    </row>
    <row r="508" spans="2:65" s="148" customFormat="1" x14ac:dyDescent="0.2">
      <c r="B508" s="149"/>
      <c r="D508" s="143" t="s">
        <v>346</v>
      </c>
      <c r="E508" s="150"/>
      <c r="F508" s="151" t="s">
        <v>8670</v>
      </c>
      <c r="H508" s="152">
        <v>25</v>
      </c>
      <c r="L508" s="149"/>
      <c r="M508" s="153"/>
      <c r="T508" s="154"/>
      <c r="AT508" s="150" t="s">
        <v>346</v>
      </c>
      <c r="AU508" s="150" t="s">
        <v>90</v>
      </c>
      <c r="AV508" s="148" t="s">
        <v>90</v>
      </c>
      <c r="AW508" s="148" t="s">
        <v>33</v>
      </c>
      <c r="AX508" s="148" t="s">
        <v>87</v>
      </c>
      <c r="AY508" s="150" t="s">
        <v>337</v>
      </c>
    </row>
    <row r="509" spans="2:65" s="16" customFormat="1" ht="16.5" customHeight="1" x14ac:dyDescent="0.2">
      <c r="B509" s="17"/>
      <c r="C509" s="162">
        <v>123</v>
      </c>
      <c r="D509" s="162" t="s">
        <v>519</v>
      </c>
      <c r="E509" s="163" t="s">
        <v>8671</v>
      </c>
      <c r="F509" s="164" t="s">
        <v>8672</v>
      </c>
      <c r="G509" s="165" t="s">
        <v>724</v>
      </c>
      <c r="H509" s="166">
        <v>25</v>
      </c>
      <c r="I509" s="167"/>
      <c r="J509" s="168">
        <f>ROUND(I509*H509,2)</f>
        <v>0</v>
      </c>
      <c r="K509" s="164" t="s">
        <v>343</v>
      </c>
      <c r="L509" s="169"/>
      <c r="M509" s="193"/>
      <c r="N509" s="194" t="s">
        <v>45</v>
      </c>
      <c r="O509" s="189"/>
      <c r="P509" s="190">
        <f>O509*H509</f>
        <v>0</v>
      </c>
      <c r="Q509" s="190">
        <v>6.7400000000000003E-3</v>
      </c>
      <c r="R509" s="190">
        <f>Q509*H509</f>
        <v>0.16850000000000001</v>
      </c>
      <c r="S509" s="190">
        <v>0</v>
      </c>
      <c r="T509" s="191">
        <f>S509*H509</f>
        <v>0</v>
      </c>
      <c r="AR509" s="139" t="s">
        <v>1439</v>
      </c>
      <c r="AT509" s="139" t="s">
        <v>519</v>
      </c>
      <c r="AU509" s="139" t="s">
        <v>90</v>
      </c>
      <c r="AY509" s="2" t="s">
        <v>337</v>
      </c>
      <c r="BE509" s="140">
        <f>IF(N509="základní",J509,0)</f>
        <v>0</v>
      </c>
      <c r="BF509" s="140">
        <f>IF(N509="snížená",J509,0)</f>
        <v>0</v>
      </c>
      <c r="BG509" s="140">
        <f>IF(N509="zákl. přenesená",J509,0)</f>
        <v>0</v>
      </c>
      <c r="BH509" s="140">
        <f>IF(N509="sníž. přenesená",J509,0)</f>
        <v>0</v>
      </c>
      <c r="BI509" s="140">
        <f>IF(N509="nulová",J509,0)</f>
        <v>0</v>
      </c>
      <c r="BJ509" s="2" t="s">
        <v>87</v>
      </c>
      <c r="BK509" s="140">
        <f>ROUND(I509*H509,2)</f>
        <v>0</v>
      </c>
      <c r="BL509" s="2" t="s">
        <v>1439</v>
      </c>
      <c r="BM509" s="139" t="s">
        <v>8673</v>
      </c>
    </row>
    <row r="510" spans="2:65" s="16" customFormat="1" ht="6.95" customHeight="1" x14ac:dyDescent="0.2">
      <c r="B510" s="30"/>
      <c r="C510" s="19"/>
      <c r="D510" s="19"/>
      <c r="E510" s="19"/>
      <c r="F510" s="19"/>
      <c r="G510" s="19"/>
      <c r="H510" s="19"/>
      <c r="I510" s="19"/>
      <c r="J510" s="19"/>
      <c r="K510" s="19"/>
      <c r="L510" s="17"/>
    </row>
  </sheetData>
  <sheetProtection algorithmName="SHA-512" hashValue="pYpOu0bFuqBLyHdzB0F9mmucj6fGauiel1YVYssmvz+6D5Ke3h0ubXRjZG8F2+63Xr8JBBaqRM554dlCku5rFA==" saltValue="fCGL5MmZd1jEUqO+pNO/Nw==" spinCount="100000" sheet="1" objects="1" scenarios="1" formatCells="0" formatColumns="0" formatRows="0" autoFilter="0"/>
  <autoFilter ref="C137:K509" xr:uid="{00000000-0009-0000-0000-000017000000}"/>
  <mergeCells count="9">
    <mergeCell ref="E87:H87"/>
    <mergeCell ref="E128:H128"/>
    <mergeCell ref="E130:H130"/>
    <mergeCell ref="L2:V2"/>
    <mergeCell ref="E7:H7"/>
    <mergeCell ref="E9:H9"/>
    <mergeCell ref="E18:H18"/>
    <mergeCell ref="E27:H27"/>
    <mergeCell ref="E85:H8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25"/>
  <dimension ref="B2:BM187"/>
  <sheetViews>
    <sheetView showGridLines="0" workbookViewId="0">
      <selection activeCell="F102" sqref="F102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4.332031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172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s="16" customFormat="1" ht="12" hidden="1" customHeight="1" x14ac:dyDescent="0.2">
      <c r="B8" s="17"/>
      <c r="D8" s="12" t="s">
        <v>190</v>
      </c>
      <c r="L8" s="17"/>
    </row>
    <row r="9" spans="2:46" s="16" customFormat="1" ht="16.5" hidden="1" customHeight="1" x14ac:dyDescent="0.2">
      <c r="B9" s="17"/>
      <c r="E9" s="309" t="s">
        <v>8674</v>
      </c>
      <c r="F9" s="309"/>
      <c r="G9" s="309"/>
      <c r="H9" s="309"/>
      <c r="L9" s="17"/>
    </row>
    <row r="10" spans="2:46" s="16" customFormat="1" hidden="1" x14ac:dyDescent="0.2">
      <c r="B10" s="17"/>
      <c r="L10" s="17"/>
    </row>
    <row r="11" spans="2:46" s="16" customFormat="1" ht="12" hidden="1" customHeight="1" x14ac:dyDescent="0.2">
      <c r="B11" s="17"/>
      <c r="D11" s="12" t="s">
        <v>17</v>
      </c>
      <c r="F11" s="10" t="s">
        <v>173</v>
      </c>
      <c r="I11" s="12" t="s">
        <v>18</v>
      </c>
      <c r="J11" s="10"/>
      <c r="L11" s="17"/>
    </row>
    <row r="12" spans="2:46" s="16" customFormat="1" ht="12" hidden="1" customHeight="1" x14ac:dyDescent="0.2">
      <c r="B12" s="17"/>
      <c r="D12" s="12" t="s">
        <v>19</v>
      </c>
      <c r="F12" s="10" t="s">
        <v>371</v>
      </c>
      <c r="I12" s="12" t="s">
        <v>21</v>
      </c>
      <c r="J12" s="38" t="str">
        <f>IF(Rekapitulace_stavby!AN8&lt;&gt;"",Rekapitulace_stavby!AN8,"")</f>
        <v/>
      </c>
      <c r="L12" s="17"/>
    </row>
    <row r="13" spans="2:46" s="16" customFormat="1" ht="10.9" hidden="1" customHeight="1" x14ac:dyDescent="0.2">
      <c r="B13" s="17"/>
      <c r="L13" s="17"/>
    </row>
    <row r="14" spans="2:46" s="16" customFormat="1" ht="12" hidden="1" customHeight="1" x14ac:dyDescent="0.2">
      <c r="B14" s="17"/>
      <c r="D14" s="12" t="s">
        <v>22</v>
      </c>
      <c r="I14" s="12" t="s">
        <v>23</v>
      </c>
      <c r="J14" s="10" t="str">
        <f>IF(Rekapitulace_stavby!AN10="","",Rekapitulace_stavby!AN10)</f>
        <v>00216208</v>
      </c>
      <c r="L14" s="17"/>
    </row>
    <row r="15" spans="2:46" s="16" customFormat="1" ht="18" hidden="1" customHeight="1" x14ac:dyDescent="0.2">
      <c r="B15" s="17"/>
      <c r="E15" s="10" t="str">
        <f>IF(Rekapitulace_stavby!E11="","",Rekapitulace_stavby!E11)</f>
        <v>Univerzita Karlova, Lékařská fakulta v Plzni</v>
      </c>
      <c r="I15" s="12" t="s">
        <v>26</v>
      </c>
      <c r="J15" s="10" t="str">
        <f>IF(Rekapitulace_stavby!AN11="","",Rekapitulace_stavby!AN11)</f>
        <v>CZ00216208</v>
      </c>
      <c r="L15" s="17"/>
    </row>
    <row r="16" spans="2:46" s="16" customFormat="1" ht="6.95" hidden="1" customHeight="1" x14ac:dyDescent="0.2">
      <c r="B16" s="17"/>
      <c r="L16" s="17"/>
    </row>
    <row r="17" spans="2:12" s="16" customFormat="1" ht="12" hidden="1" customHeight="1" x14ac:dyDescent="0.2">
      <c r="B17" s="17"/>
      <c r="D17" s="12" t="s">
        <v>28</v>
      </c>
      <c r="I17" s="12" t="s">
        <v>23</v>
      </c>
      <c r="J17" s="13">
        <f>Rekapitulace_stavby!AN13</f>
        <v>0</v>
      </c>
      <c r="L17" s="17"/>
    </row>
    <row r="18" spans="2:12" s="16" customFormat="1" ht="18" hidden="1" customHeight="1" x14ac:dyDescent="0.2">
      <c r="B18" s="17"/>
      <c r="E18" s="326">
        <f>Rekapitulace_stavby!E14</f>
        <v>0</v>
      </c>
      <c r="F18" s="326"/>
      <c r="G18" s="326"/>
      <c r="H18" s="326"/>
      <c r="I18" s="12" t="s">
        <v>26</v>
      </c>
      <c r="J18" s="13">
        <f>Rekapitulace_stavby!AN14</f>
        <v>0</v>
      </c>
      <c r="L18" s="17"/>
    </row>
    <row r="19" spans="2:12" s="16" customFormat="1" ht="6.95" hidden="1" customHeight="1" x14ac:dyDescent="0.2">
      <c r="B19" s="17"/>
      <c r="L19" s="17"/>
    </row>
    <row r="20" spans="2:12" s="16" customFormat="1" ht="12" hidden="1" customHeight="1" x14ac:dyDescent="0.2">
      <c r="B20" s="17"/>
      <c r="D20" s="12" t="s">
        <v>29</v>
      </c>
      <c r="I20" s="12" t="s">
        <v>23</v>
      </c>
      <c r="J20" s="10" t="str">
        <f>IF(Rekapitulace_stavby!AN16="","",Rekapitulace_stavby!AN16)</f>
        <v>48025721</v>
      </c>
      <c r="L20" s="17"/>
    </row>
    <row r="21" spans="2:12" s="16" customFormat="1" ht="18" hidden="1" customHeight="1" x14ac:dyDescent="0.2">
      <c r="B21" s="17"/>
      <c r="E21" s="10" t="str">
        <f>IF(Rekapitulace_stavby!E17="","",Rekapitulace_stavby!E17)</f>
        <v>MEPRO s.r.o.</v>
      </c>
      <c r="I21" s="12" t="s">
        <v>26</v>
      </c>
      <c r="J21" s="10" t="str">
        <f>IF(Rekapitulace_stavby!AN17="","",Rekapitulace_stavby!AN17)</f>
        <v>CZ48025721</v>
      </c>
      <c r="L21" s="17"/>
    </row>
    <row r="22" spans="2:12" s="16" customFormat="1" ht="6.95" hidden="1" customHeight="1" x14ac:dyDescent="0.2">
      <c r="B22" s="17"/>
      <c r="L22" s="17"/>
    </row>
    <row r="23" spans="2:12" s="16" customFormat="1" ht="12" hidden="1" customHeight="1" x14ac:dyDescent="0.2">
      <c r="B23" s="17"/>
      <c r="D23" s="12" t="s">
        <v>34</v>
      </c>
      <c r="I23" s="12" t="s">
        <v>23</v>
      </c>
      <c r="J23" s="10" t="str">
        <f>IF(Rekapitulace_stavby!AN19="","",Rekapitulace_stavby!AN19)</f>
        <v>25415751</v>
      </c>
      <c r="L23" s="17"/>
    </row>
    <row r="24" spans="2:12" s="16" customFormat="1" ht="18" hidden="1" customHeight="1" x14ac:dyDescent="0.2">
      <c r="B24" s="17"/>
      <c r="E24" s="10" t="str">
        <f>IF(Rekapitulace_stavby!E20="","",Rekapitulace_stavby!E20)</f>
        <v>Propos Liberec s.r.o.</v>
      </c>
      <c r="I24" s="12" t="s">
        <v>26</v>
      </c>
      <c r="J24" s="10" t="str">
        <f>IF(Rekapitulace_stavby!AN20="","",Rekapitulace_stavby!AN20)</f>
        <v>CZ25415751</v>
      </c>
      <c r="L24" s="17"/>
    </row>
    <row r="25" spans="2:12" s="16" customFormat="1" ht="6.95" hidden="1" customHeight="1" x14ac:dyDescent="0.2">
      <c r="B25" s="17"/>
      <c r="L25" s="17"/>
    </row>
    <row r="26" spans="2:12" s="16" customFormat="1" ht="12" hidden="1" customHeight="1" x14ac:dyDescent="0.2">
      <c r="B26" s="17"/>
      <c r="D26" s="12" t="s">
        <v>38</v>
      </c>
      <c r="L26" s="17"/>
    </row>
    <row r="27" spans="2:12" s="81" customFormat="1" ht="16.5" hidden="1" customHeight="1" x14ac:dyDescent="0.2">
      <c r="B27" s="82"/>
      <c r="E27" s="304"/>
      <c r="F27" s="304"/>
      <c r="G27" s="304"/>
      <c r="H27" s="304"/>
      <c r="L27" s="82"/>
    </row>
    <row r="28" spans="2:12" s="16" customFormat="1" ht="6.95" hidden="1" customHeight="1" x14ac:dyDescent="0.2">
      <c r="B28" s="17"/>
      <c r="L28" s="17"/>
    </row>
    <row r="29" spans="2:12" s="16" customFormat="1" ht="6.95" hidden="1" customHeight="1" x14ac:dyDescent="0.2">
      <c r="B29" s="17"/>
      <c r="D29" s="39"/>
      <c r="E29" s="39"/>
      <c r="F29" s="39"/>
      <c r="G29" s="39"/>
      <c r="H29" s="39"/>
      <c r="I29" s="39"/>
      <c r="J29" s="39"/>
      <c r="K29" s="39"/>
      <c r="L29" s="17"/>
    </row>
    <row r="30" spans="2:12" s="16" customFormat="1" ht="25.35" hidden="1" customHeight="1" x14ac:dyDescent="0.2">
      <c r="B30" s="17"/>
      <c r="D30" s="84" t="s">
        <v>40</v>
      </c>
      <c r="J30" s="52">
        <f>ROUND(J139, 2)</f>
        <v>0</v>
      </c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14.45" hidden="1" customHeight="1" x14ac:dyDescent="0.2">
      <c r="B32" s="17"/>
      <c r="F32" s="20" t="s">
        <v>42</v>
      </c>
      <c r="I32" s="20" t="s">
        <v>41</v>
      </c>
      <c r="J32" s="20" t="s">
        <v>43</v>
      </c>
      <c r="L32" s="17"/>
    </row>
    <row r="33" spans="2:12" s="16" customFormat="1" ht="14.45" hidden="1" customHeight="1" x14ac:dyDescent="0.2">
      <c r="B33" s="17"/>
      <c r="D33" s="85" t="s">
        <v>44</v>
      </c>
      <c r="E33" s="12" t="s">
        <v>45</v>
      </c>
      <c r="F33" s="73">
        <f>ROUND((SUM(BE139:BE186)),  2)</f>
        <v>0</v>
      </c>
      <c r="I33" s="86">
        <v>0.21</v>
      </c>
      <c r="J33" s="73">
        <f>ROUND(((SUM(BE139:BE186))*I33),  2)</f>
        <v>0</v>
      </c>
      <c r="L33" s="17"/>
    </row>
    <row r="34" spans="2:12" s="16" customFormat="1" ht="14.45" hidden="1" customHeight="1" x14ac:dyDescent="0.2">
      <c r="B34" s="17"/>
      <c r="E34" s="12" t="s">
        <v>46</v>
      </c>
      <c r="F34" s="73">
        <f>ROUND((SUM(BF139:BF186)),  2)</f>
        <v>0</v>
      </c>
      <c r="I34" s="86">
        <v>0.12</v>
      </c>
      <c r="J34" s="73">
        <f>ROUND(((SUM(BF139:BF186))*I34),  2)</f>
        <v>0</v>
      </c>
      <c r="L34" s="17"/>
    </row>
    <row r="35" spans="2:12" s="16" customFormat="1" ht="14.45" hidden="1" customHeight="1" x14ac:dyDescent="0.2">
      <c r="B35" s="17"/>
      <c r="E35" s="12" t="s">
        <v>47</v>
      </c>
      <c r="F35" s="73">
        <f>ROUND((SUM(BG139:BG186)),  2)</f>
        <v>0</v>
      </c>
      <c r="I35" s="86">
        <v>0.21</v>
      </c>
      <c r="J35" s="73">
        <f>0</f>
        <v>0</v>
      </c>
      <c r="L35" s="17"/>
    </row>
    <row r="36" spans="2:12" s="16" customFormat="1" ht="14.45" hidden="1" customHeight="1" x14ac:dyDescent="0.2">
      <c r="B36" s="17"/>
      <c r="E36" s="12" t="s">
        <v>48</v>
      </c>
      <c r="F36" s="73">
        <f>ROUND((SUM(BH139:BH186)),  2)</f>
        <v>0</v>
      </c>
      <c r="I36" s="86">
        <v>0.12</v>
      </c>
      <c r="J36" s="73">
        <f>0</f>
        <v>0</v>
      </c>
      <c r="L36" s="17"/>
    </row>
    <row r="37" spans="2:12" s="16" customFormat="1" ht="14.45" hidden="1" customHeight="1" x14ac:dyDescent="0.2">
      <c r="B37" s="17"/>
      <c r="E37" s="12" t="s">
        <v>49</v>
      </c>
      <c r="F37" s="73">
        <f>ROUND((SUM(BI139:BI186)),  2)</f>
        <v>0</v>
      </c>
      <c r="I37" s="86">
        <v>0</v>
      </c>
      <c r="J37" s="73">
        <f>0</f>
        <v>0</v>
      </c>
      <c r="L37" s="17"/>
    </row>
    <row r="38" spans="2:12" s="16" customFormat="1" ht="6.95" hidden="1" customHeight="1" x14ac:dyDescent="0.2">
      <c r="B38" s="17"/>
      <c r="L38" s="17"/>
    </row>
    <row r="39" spans="2:12" s="16" customFormat="1" ht="25.35" hidden="1" customHeight="1" x14ac:dyDescent="0.2">
      <c r="B39" s="17"/>
      <c r="C39" s="87"/>
      <c r="D39" s="88" t="s">
        <v>50</v>
      </c>
      <c r="E39" s="42"/>
      <c r="F39" s="42"/>
      <c r="G39" s="89" t="s">
        <v>51</v>
      </c>
      <c r="H39" s="90" t="s">
        <v>52</v>
      </c>
      <c r="I39" s="42"/>
      <c r="J39" s="91">
        <f>SUM(J30:J37)</f>
        <v>0</v>
      </c>
      <c r="K39" s="92"/>
      <c r="L39" s="17"/>
    </row>
    <row r="40" spans="2:12" s="16" customFormat="1" ht="14.45" hidden="1" customHeight="1" x14ac:dyDescent="0.2">
      <c r="B40" s="17"/>
      <c r="L40" s="17"/>
    </row>
    <row r="41" spans="2:12" ht="14.45" hidden="1" customHeight="1" x14ac:dyDescent="0.2">
      <c r="B41" s="5"/>
      <c r="L41" s="5"/>
    </row>
    <row r="42" spans="2:12" ht="14.45" hidden="1" customHeight="1" x14ac:dyDescent="0.2">
      <c r="B42" s="5"/>
      <c r="L42" s="5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47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47" s="16" customFormat="1" ht="24.95" customHeight="1" x14ac:dyDescent="0.2">
      <c r="B82" s="17"/>
      <c r="C82" s="6" t="s">
        <v>299</v>
      </c>
      <c r="L82" s="17"/>
    </row>
    <row r="83" spans="2:47" s="16" customFormat="1" ht="6.95" customHeight="1" x14ac:dyDescent="0.2">
      <c r="B83" s="17"/>
      <c r="L83" s="17"/>
    </row>
    <row r="84" spans="2:47" s="16" customFormat="1" ht="12" customHeight="1" x14ac:dyDescent="0.2">
      <c r="B84" s="17"/>
      <c r="C84" s="12" t="s">
        <v>15</v>
      </c>
      <c r="L84" s="17"/>
    </row>
    <row r="85" spans="2:47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47" s="16" customFormat="1" ht="12" customHeight="1" x14ac:dyDescent="0.2">
      <c r="B86" s="17"/>
      <c r="C86" s="12" t="s">
        <v>190</v>
      </c>
      <c r="L86" s="17"/>
    </row>
    <row r="87" spans="2:47" s="16" customFormat="1" ht="16.5" customHeight="1" x14ac:dyDescent="0.2">
      <c r="B87" s="17"/>
      <c r="E87" s="309" t="str">
        <f>E9</f>
        <v>SO 03 - Sadové úpravy</v>
      </c>
      <c r="F87" s="309"/>
      <c r="G87" s="309"/>
      <c r="H87" s="309"/>
      <c r="L87" s="17"/>
    </row>
    <row r="88" spans="2:47" s="16" customFormat="1" ht="6.95" customHeight="1" x14ac:dyDescent="0.2">
      <c r="B88" s="17"/>
      <c r="L88" s="17"/>
    </row>
    <row r="89" spans="2:47" s="16" customFormat="1" ht="12" customHeight="1" x14ac:dyDescent="0.2">
      <c r="B89" s="17"/>
      <c r="C89" s="12" t="s">
        <v>19</v>
      </c>
      <c r="F89" s="10" t="str">
        <f>F12</f>
        <v xml:space="preserve"> </v>
      </c>
      <c r="I89" s="12" t="s">
        <v>21</v>
      </c>
      <c r="J89" s="38" t="str">
        <f>IF(J12="","",J12)</f>
        <v/>
      </c>
      <c r="L89" s="17"/>
    </row>
    <row r="90" spans="2:47" s="16" customFormat="1" ht="6.95" customHeight="1" x14ac:dyDescent="0.2">
      <c r="B90" s="17"/>
      <c r="L90" s="17"/>
    </row>
    <row r="91" spans="2:47" s="16" customFormat="1" ht="15.2" customHeight="1" x14ac:dyDescent="0.2">
      <c r="B91" s="17"/>
      <c r="C91" s="12" t="s">
        <v>22</v>
      </c>
      <c r="F91" s="10" t="str">
        <f>E15</f>
        <v>Univerzita Karlova, Lékařská fakulta v Plzni</v>
      </c>
      <c r="I91" s="12" t="s">
        <v>29</v>
      </c>
      <c r="J91" s="15" t="str">
        <f>E21</f>
        <v>MEPRO s.r.o.</v>
      </c>
      <c r="L91" s="17"/>
    </row>
    <row r="92" spans="2:47" s="16" customFormat="1" ht="15.2" customHeight="1" x14ac:dyDescent="0.2">
      <c r="B92" s="17"/>
      <c r="C92" s="12" t="s">
        <v>28</v>
      </c>
      <c r="F92" s="10">
        <f>IF(E18="","",E18)</f>
        <v>0</v>
      </c>
      <c r="I92" s="12" t="s">
        <v>34</v>
      </c>
      <c r="J92" s="15" t="str">
        <f>E24</f>
        <v>Propos Liberec s.r.o.</v>
      </c>
      <c r="L92" s="17"/>
    </row>
    <row r="93" spans="2:47" s="16" customFormat="1" ht="10.35" customHeight="1" x14ac:dyDescent="0.2">
      <c r="B93" s="17"/>
      <c r="L93" s="17"/>
    </row>
    <row r="94" spans="2:47" s="16" customFormat="1" ht="29.25" customHeight="1" x14ac:dyDescent="0.2">
      <c r="B94" s="17"/>
      <c r="C94" s="95" t="s">
        <v>300</v>
      </c>
      <c r="D94" s="87"/>
      <c r="E94" s="87"/>
      <c r="F94" s="87"/>
      <c r="G94" s="87"/>
      <c r="H94" s="87"/>
      <c r="I94" s="87"/>
      <c r="J94" s="96" t="s">
        <v>301</v>
      </c>
      <c r="K94" s="87"/>
      <c r="L94" s="17"/>
    </row>
    <row r="95" spans="2:47" s="16" customFormat="1" ht="10.35" customHeight="1" x14ac:dyDescent="0.2">
      <c r="B95" s="17"/>
      <c r="L95" s="17"/>
    </row>
    <row r="96" spans="2:47" s="16" customFormat="1" ht="22.9" customHeight="1" x14ac:dyDescent="0.2">
      <c r="B96" s="17"/>
      <c r="C96" s="97" t="s">
        <v>302</v>
      </c>
      <c r="J96" s="52">
        <f>J139</f>
        <v>0</v>
      </c>
      <c r="L96" s="17"/>
      <c r="AU96" s="2" t="s">
        <v>303</v>
      </c>
    </row>
    <row r="97" spans="2:12" s="98" customFormat="1" ht="24.95" customHeight="1" x14ac:dyDescent="0.2">
      <c r="B97" s="99"/>
      <c r="D97" s="100" t="s">
        <v>8675</v>
      </c>
      <c r="E97" s="101"/>
      <c r="F97" s="101"/>
      <c r="G97" s="101"/>
      <c r="H97" s="101"/>
      <c r="I97" s="101"/>
      <c r="J97" s="102">
        <f>J140</f>
        <v>0</v>
      </c>
      <c r="L97" s="99"/>
    </row>
    <row r="98" spans="2:12" s="98" customFormat="1" ht="24.95" customHeight="1" x14ac:dyDescent="0.2">
      <c r="B98" s="99"/>
      <c r="D98" s="100" t="s">
        <v>8676</v>
      </c>
      <c r="E98" s="101"/>
      <c r="F98" s="101"/>
      <c r="G98" s="101"/>
      <c r="H98" s="101"/>
      <c r="I98" s="101"/>
      <c r="J98" s="102">
        <f>J159</f>
        <v>0</v>
      </c>
      <c r="L98" s="99"/>
    </row>
    <row r="99" spans="2:12" s="70" customFormat="1" ht="19.899999999999999" customHeight="1" x14ac:dyDescent="0.2">
      <c r="B99" s="103"/>
      <c r="D99" s="104" t="s">
        <v>8677</v>
      </c>
      <c r="E99" s="105"/>
      <c r="F99" s="105"/>
      <c r="G99" s="105"/>
      <c r="H99" s="105"/>
      <c r="I99" s="105"/>
      <c r="J99" s="106">
        <f>J160</f>
        <v>0</v>
      </c>
      <c r="L99" s="103"/>
    </row>
    <row r="100" spans="2:12" s="70" customFormat="1" ht="19.899999999999999" customHeight="1" x14ac:dyDescent="0.2">
      <c r="B100" s="103"/>
      <c r="D100" s="104" t="s">
        <v>8678</v>
      </c>
      <c r="E100" s="105"/>
      <c r="F100" s="105"/>
      <c r="G100" s="105"/>
      <c r="H100" s="105"/>
      <c r="I100" s="105"/>
      <c r="J100" s="106">
        <f>J170</f>
        <v>0</v>
      </c>
      <c r="L100" s="103"/>
    </row>
    <row r="101" spans="2:12" s="70" customFormat="1" ht="19.899999999999999" customHeight="1" x14ac:dyDescent="0.2">
      <c r="B101" s="103"/>
      <c r="D101" s="104" t="s">
        <v>8679</v>
      </c>
      <c r="E101" s="105"/>
      <c r="F101" s="105"/>
      <c r="G101" s="105"/>
      <c r="H101" s="105"/>
      <c r="I101" s="105"/>
      <c r="J101" s="106">
        <f>J174</f>
        <v>0</v>
      </c>
      <c r="L101" s="103"/>
    </row>
    <row r="102" spans="2:12" s="70" customFormat="1" ht="19.899999999999999" customHeight="1" x14ac:dyDescent="0.2">
      <c r="B102" s="103"/>
      <c r="D102" s="104" t="s">
        <v>8680</v>
      </c>
      <c r="E102" s="105"/>
      <c r="F102" s="105"/>
      <c r="G102" s="105"/>
      <c r="H102" s="105"/>
      <c r="I102" s="105"/>
      <c r="J102" s="106">
        <f>J177</f>
        <v>0</v>
      </c>
      <c r="L102" s="103"/>
    </row>
    <row r="103" spans="2:12" s="16" customFormat="1" ht="21.75" customHeight="1" x14ac:dyDescent="0.2">
      <c r="B103" s="17"/>
      <c r="L103" s="17"/>
    </row>
    <row r="104" spans="2:12" s="16" customFormat="1" ht="6.95" customHeight="1" x14ac:dyDescent="0.2">
      <c r="B104" s="30"/>
      <c r="C104" s="19"/>
      <c r="D104" s="19"/>
      <c r="E104" s="19"/>
      <c r="F104" s="19"/>
      <c r="G104" s="19"/>
      <c r="H104" s="19"/>
      <c r="I104" s="19"/>
      <c r="J104" s="19"/>
      <c r="K104" s="19"/>
      <c r="L104" s="17"/>
    </row>
    <row r="108" spans="2:12" ht="3" customHeight="1" x14ac:dyDescent="0.2"/>
    <row r="109" spans="2:12" ht="3" customHeight="1" x14ac:dyDescent="0.2"/>
    <row r="110" spans="2:12" ht="3" customHeight="1" x14ac:dyDescent="0.2"/>
    <row r="111" spans="2:12" ht="3" customHeight="1" x14ac:dyDescent="0.2"/>
    <row r="112" spans="2:12" ht="3" customHeight="1" x14ac:dyDescent="0.2"/>
    <row r="113" spans="2:12" ht="3" customHeight="1" x14ac:dyDescent="0.2"/>
    <row r="114" spans="2:12" ht="3" customHeight="1" x14ac:dyDescent="0.2"/>
    <row r="115" spans="2:12" ht="3" customHeight="1" x14ac:dyDescent="0.2"/>
    <row r="116" spans="2:12" ht="3" customHeight="1" x14ac:dyDescent="0.2"/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ht="3" customHeight="1" x14ac:dyDescent="0.2"/>
    <row r="122" spans="2:12" ht="3" customHeight="1" x14ac:dyDescent="0.2"/>
    <row r="123" spans="2:12" ht="3" customHeight="1" x14ac:dyDescent="0.2"/>
    <row r="124" spans="2:12" ht="3" customHeight="1" x14ac:dyDescent="0.2"/>
    <row r="125" spans="2:12" s="16" customFormat="1" ht="6.95" customHeight="1" x14ac:dyDescent="0.2">
      <c r="B125" s="31"/>
      <c r="C125" s="28"/>
      <c r="D125" s="28"/>
      <c r="E125" s="28"/>
      <c r="F125" s="28"/>
      <c r="G125" s="28"/>
      <c r="H125" s="28"/>
      <c r="I125" s="28"/>
      <c r="J125" s="28"/>
      <c r="K125" s="28"/>
      <c r="L125" s="17"/>
    </row>
    <row r="126" spans="2:12" s="16" customFormat="1" ht="24.95" customHeight="1" x14ac:dyDescent="0.2">
      <c r="B126" s="17"/>
      <c r="C126" s="6" t="s">
        <v>322</v>
      </c>
      <c r="L126" s="17"/>
    </row>
    <row r="127" spans="2:12" s="16" customFormat="1" ht="6.95" customHeight="1" x14ac:dyDescent="0.2">
      <c r="B127" s="17"/>
      <c r="L127" s="17"/>
    </row>
    <row r="128" spans="2:12" s="16" customFormat="1" ht="12" customHeight="1" x14ac:dyDescent="0.2">
      <c r="B128" s="17"/>
      <c r="C128" s="12" t="s">
        <v>15</v>
      </c>
      <c r="L128" s="17"/>
    </row>
    <row r="129" spans="2:65" s="16" customFormat="1" ht="16.5" customHeight="1" x14ac:dyDescent="0.2">
      <c r="B129" s="17"/>
      <c r="E129" s="325" t="str">
        <f>E7</f>
        <v>Rekonstrukce části Šafránkova pavilonu studentské koleje a nástavba jednoho patra</v>
      </c>
      <c r="F129" s="325"/>
      <c r="G129" s="325"/>
      <c r="H129" s="325"/>
      <c r="L129" s="17"/>
    </row>
    <row r="130" spans="2:65" s="16" customFormat="1" ht="12" customHeight="1" x14ac:dyDescent="0.2">
      <c r="B130" s="17"/>
      <c r="C130" s="12" t="s">
        <v>190</v>
      </c>
      <c r="L130" s="17"/>
    </row>
    <row r="131" spans="2:65" s="16" customFormat="1" ht="16.5" customHeight="1" x14ac:dyDescent="0.2">
      <c r="B131" s="17"/>
      <c r="E131" s="309" t="str">
        <f>E9</f>
        <v>SO 03 - Sadové úpravy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IF(J12="","",J12)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E15</f>
        <v>Univerzita Karlova, Lékařská fakulta v Plzni</v>
      </c>
      <c r="I135" s="12" t="s">
        <v>29</v>
      </c>
      <c r="J135" s="15" t="str">
        <f>E21</f>
        <v>MEPRO s.r.o.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IF(E18="","",E18)</f>
        <v>0</v>
      </c>
      <c r="I136" s="12" t="s">
        <v>34</v>
      </c>
      <c r="J136" s="304" t="str">
        <f>E24</f>
        <v>Propos Liberec s.r.o.</v>
      </c>
      <c r="K136" s="327"/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P140+P159</f>
        <v>0</v>
      </c>
      <c r="Q139" s="39"/>
      <c r="R139" s="113">
        <f>R140+R159</f>
        <v>0</v>
      </c>
      <c r="S139" s="39"/>
      <c r="T139" s="114">
        <f>T140+T159</f>
        <v>0</v>
      </c>
      <c r="AT139" s="2" t="s">
        <v>79</v>
      </c>
      <c r="AU139" s="2" t="s">
        <v>303</v>
      </c>
      <c r="BK139" s="115">
        <f>BK140+BK159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8681</v>
      </c>
      <c r="F140" s="119" t="s">
        <v>8682</v>
      </c>
      <c r="J140" s="120">
        <f>BK140</f>
        <v>0</v>
      </c>
      <c r="L140" s="117"/>
      <c r="M140" s="121"/>
      <c r="P140" s="122">
        <f>SUM(P141:P158)</f>
        <v>0</v>
      </c>
      <c r="R140" s="122">
        <f>SUM(R141:R158)</f>
        <v>0</v>
      </c>
      <c r="T140" s="123">
        <f>SUM(T141:T158)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SUM(BK141:BK158)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4804</v>
      </c>
      <c r="F141" s="130" t="s">
        <v>8683</v>
      </c>
      <c r="G141" s="131" t="s">
        <v>342</v>
      </c>
      <c r="H141" s="132">
        <v>2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90</v>
      </c>
    </row>
    <row r="142" spans="2:65" s="16" customFormat="1" ht="16.5" customHeight="1" x14ac:dyDescent="0.2">
      <c r="B142" s="17"/>
      <c r="C142" s="128">
        <v>2</v>
      </c>
      <c r="D142" s="128" t="s">
        <v>339</v>
      </c>
      <c r="E142" s="129" t="s">
        <v>4807</v>
      </c>
      <c r="F142" s="130" t="s">
        <v>8684</v>
      </c>
      <c r="G142" s="131" t="s">
        <v>425</v>
      </c>
      <c r="H142" s="132">
        <v>112.5</v>
      </c>
      <c r="I142" s="133"/>
      <c r="J142" s="134">
        <f>ROUND(I142*H142,2)</f>
        <v>0</v>
      </c>
      <c r="K142" s="130"/>
      <c r="L142" s="17"/>
      <c r="M142" s="135"/>
      <c r="N142" s="136" t="s">
        <v>45</v>
      </c>
      <c r="P142" s="137">
        <f>O142*H142</f>
        <v>0</v>
      </c>
      <c r="Q142" s="137">
        <v>0</v>
      </c>
      <c r="R142" s="137">
        <f>Q142*H142</f>
        <v>0</v>
      </c>
      <c r="S142" s="137">
        <v>0</v>
      </c>
      <c r="T142" s="138">
        <f>S142*H142</f>
        <v>0</v>
      </c>
      <c r="AR142" s="139" t="s">
        <v>344</v>
      </c>
      <c r="AT142" s="139" t="s">
        <v>339</v>
      </c>
      <c r="AU142" s="139" t="s">
        <v>87</v>
      </c>
      <c r="AY142" s="2" t="s">
        <v>337</v>
      </c>
      <c r="BE142" s="140">
        <f>IF(N142="základní",J142,0)</f>
        <v>0</v>
      </c>
      <c r="BF142" s="140">
        <f>IF(N142="snížená",J142,0)</f>
        <v>0</v>
      </c>
      <c r="BG142" s="140">
        <f>IF(N142="zákl. přenesená",J142,0)</f>
        <v>0</v>
      </c>
      <c r="BH142" s="140">
        <f>IF(N142="sníž. přenesená",J142,0)</f>
        <v>0</v>
      </c>
      <c r="BI142" s="140">
        <f>IF(N142="nulová",J142,0)</f>
        <v>0</v>
      </c>
      <c r="BJ142" s="2" t="s">
        <v>87</v>
      </c>
      <c r="BK142" s="140">
        <f>ROUND(I142*H142,2)</f>
        <v>0</v>
      </c>
      <c r="BL142" s="2" t="s">
        <v>344</v>
      </c>
      <c r="BM142" s="139" t="s">
        <v>344</v>
      </c>
    </row>
    <row r="143" spans="2:65" s="16" customFormat="1" ht="16.5" customHeight="1" x14ac:dyDescent="0.2">
      <c r="B143" s="17"/>
      <c r="C143" s="128">
        <v>3</v>
      </c>
      <c r="D143" s="128" t="s">
        <v>339</v>
      </c>
      <c r="E143" s="129" t="s">
        <v>8685</v>
      </c>
      <c r="F143" s="130" t="s">
        <v>8686</v>
      </c>
      <c r="G143" s="131" t="s">
        <v>425</v>
      </c>
      <c r="H143" s="132">
        <v>112.5</v>
      </c>
      <c r="I143" s="133"/>
      <c r="J143" s="134">
        <f>ROUND(I143*H143,2)</f>
        <v>0</v>
      </c>
      <c r="K143" s="130"/>
      <c r="L143" s="17"/>
      <c r="M143" s="135"/>
      <c r="N143" s="136" t="s">
        <v>45</v>
      </c>
      <c r="P143" s="137">
        <f>O143*H143</f>
        <v>0</v>
      </c>
      <c r="Q143" s="137">
        <v>0</v>
      </c>
      <c r="R143" s="137">
        <f>Q143*H143</f>
        <v>0</v>
      </c>
      <c r="S143" s="137">
        <v>0</v>
      </c>
      <c r="T143" s="138">
        <f>S143*H143</f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>IF(N143="základní",J143,0)</f>
        <v>0</v>
      </c>
      <c r="BF143" s="140">
        <f>IF(N143="snížená",J143,0)</f>
        <v>0</v>
      </c>
      <c r="BG143" s="140">
        <f>IF(N143="zákl. přenesená",J143,0)</f>
        <v>0</v>
      </c>
      <c r="BH143" s="140">
        <f>IF(N143="sníž. přenesená",J143,0)</f>
        <v>0</v>
      </c>
      <c r="BI143" s="140">
        <f>IF(N143="nulová",J143,0)</f>
        <v>0</v>
      </c>
      <c r="BJ143" s="2" t="s">
        <v>87</v>
      </c>
      <c r="BK143" s="140">
        <f>ROUND(I143*H143,2)</f>
        <v>0</v>
      </c>
      <c r="BL143" s="2" t="s">
        <v>344</v>
      </c>
      <c r="BM143" s="139" t="s">
        <v>430</v>
      </c>
    </row>
    <row r="144" spans="2:65" s="16" customFormat="1" ht="16.5" customHeight="1" x14ac:dyDescent="0.2">
      <c r="B144" s="17"/>
      <c r="C144" s="128">
        <v>4</v>
      </c>
      <c r="D144" s="128" t="s">
        <v>339</v>
      </c>
      <c r="E144" s="129" t="s">
        <v>8687</v>
      </c>
      <c r="F144" s="130" t="s">
        <v>8688</v>
      </c>
      <c r="G144" s="131" t="s">
        <v>425</v>
      </c>
      <c r="H144" s="132">
        <v>112.5</v>
      </c>
      <c r="I144" s="133"/>
      <c r="J144" s="134">
        <f>ROUND(I144*H144,2)</f>
        <v>0</v>
      </c>
      <c r="K144" s="130"/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</v>
      </c>
      <c r="T144" s="138">
        <f>S144*H144</f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344</v>
      </c>
      <c r="BM144" s="139" t="s">
        <v>446</v>
      </c>
    </row>
    <row r="145" spans="2:65" s="148" customFormat="1" x14ac:dyDescent="0.2">
      <c r="B145" s="149"/>
      <c r="D145" s="143" t="s">
        <v>346</v>
      </c>
      <c r="E145" s="150"/>
      <c r="F145" s="151" t="s">
        <v>8289</v>
      </c>
      <c r="H145" s="152">
        <v>112.5</v>
      </c>
      <c r="L145" s="149"/>
      <c r="M145" s="153"/>
      <c r="T145" s="154"/>
      <c r="AT145" s="150" t="s">
        <v>346</v>
      </c>
      <c r="AU145" s="150" t="s">
        <v>87</v>
      </c>
      <c r="AV145" s="148" t="s">
        <v>90</v>
      </c>
      <c r="AW145" s="148" t="s">
        <v>33</v>
      </c>
      <c r="AX145" s="148" t="s">
        <v>80</v>
      </c>
      <c r="AY145" s="150" t="s">
        <v>337</v>
      </c>
    </row>
    <row r="146" spans="2:65" s="141" customFormat="1" x14ac:dyDescent="0.2">
      <c r="B146" s="142"/>
      <c r="D146" s="143" t="s">
        <v>346</v>
      </c>
      <c r="E146" s="144"/>
      <c r="F146" s="145" t="s">
        <v>8689</v>
      </c>
      <c r="H146" s="144"/>
      <c r="L146" s="142"/>
      <c r="M146" s="146"/>
      <c r="T146" s="147"/>
      <c r="AT146" s="144" t="s">
        <v>346</v>
      </c>
      <c r="AU146" s="144" t="s">
        <v>87</v>
      </c>
      <c r="AV146" s="141" t="s">
        <v>87</v>
      </c>
      <c r="AW146" s="141" t="s">
        <v>33</v>
      </c>
      <c r="AX146" s="141" t="s">
        <v>80</v>
      </c>
      <c r="AY146" s="144" t="s">
        <v>337</v>
      </c>
    </row>
    <row r="147" spans="2:65" s="155" customFormat="1" x14ac:dyDescent="0.2">
      <c r="B147" s="156"/>
      <c r="D147" s="143" t="s">
        <v>346</v>
      </c>
      <c r="E147" s="157"/>
      <c r="F147" s="158" t="s">
        <v>351</v>
      </c>
      <c r="H147" s="159">
        <v>112.5</v>
      </c>
      <c r="L147" s="156"/>
      <c r="M147" s="160"/>
      <c r="T147" s="161"/>
      <c r="AT147" s="157" t="s">
        <v>346</v>
      </c>
      <c r="AU147" s="157" t="s">
        <v>87</v>
      </c>
      <c r="AV147" s="155" t="s">
        <v>344</v>
      </c>
      <c r="AW147" s="155" t="s">
        <v>33</v>
      </c>
      <c r="AX147" s="155" t="s">
        <v>87</v>
      </c>
      <c r="AY147" s="157" t="s">
        <v>337</v>
      </c>
    </row>
    <row r="148" spans="2:65" s="16" customFormat="1" ht="16.5" customHeight="1" x14ac:dyDescent="0.2">
      <c r="B148" s="17"/>
      <c r="C148" s="128">
        <v>5</v>
      </c>
      <c r="D148" s="128" t="s">
        <v>339</v>
      </c>
      <c r="E148" s="129" t="s">
        <v>8690</v>
      </c>
      <c r="F148" s="130" t="s">
        <v>8691</v>
      </c>
      <c r="G148" s="131" t="s">
        <v>425</v>
      </c>
      <c r="H148" s="132">
        <v>112.5</v>
      </c>
      <c r="I148" s="133"/>
      <c r="J148" s="134">
        <f t="shared" ref="J148:J155" si="0">ROUND(I148*H148,2)</f>
        <v>0</v>
      </c>
      <c r="K148" s="130"/>
      <c r="L148" s="17"/>
      <c r="M148" s="135"/>
      <c r="N148" s="136" t="s">
        <v>45</v>
      </c>
      <c r="P148" s="137">
        <f t="shared" ref="P148:P155" si="1">O148*H148</f>
        <v>0</v>
      </c>
      <c r="Q148" s="137">
        <v>0</v>
      </c>
      <c r="R148" s="137">
        <f t="shared" ref="R148:R155" si="2">Q148*H148</f>
        <v>0</v>
      </c>
      <c r="S148" s="137">
        <v>0</v>
      </c>
      <c r="T148" s="138">
        <f t="shared" ref="T148:T155" si="3">S148*H148</f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 t="shared" ref="BE148:BE155" si="4">IF(N148="základní",J148,0)</f>
        <v>0</v>
      </c>
      <c r="BF148" s="140">
        <f t="shared" ref="BF148:BF155" si="5">IF(N148="snížená",J148,0)</f>
        <v>0</v>
      </c>
      <c r="BG148" s="140">
        <f t="shared" ref="BG148:BG155" si="6">IF(N148="zákl. přenesená",J148,0)</f>
        <v>0</v>
      </c>
      <c r="BH148" s="140">
        <f t="shared" ref="BH148:BH155" si="7">IF(N148="sníž. přenesená",J148,0)</f>
        <v>0</v>
      </c>
      <c r="BI148" s="140">
        <f t="shared" ref="BI148:BI155" si="8">IF(N148="nulová",J148,0)</f>
        <v>0</v>
      </c>
      <c r="BJ148" s="2" t="s">
        <v>87</v>
      </c>
      <c r="BK148" s="140">
        <f t="shared" ref="BK148:BK155" si="9">ROUND(I148*H148,2)</f>
        <v>0</v>
      </c>
      <c r="BL148" s="2" t="s">
        <v>344</v>
      </c>
      <c r="BM148" s="139" t="s">
        <v>457</v>
      </c>
    </row>
    <row r="149" spans="2:65" s="16" customFormat="1" ht="16.5" customHeight="1" x14ac:dyDescent="0.2">
      <c r="B149" s="17"/>
      <c r="C149" s="128">
        <v>6</v>
      </c>
      <c r="D149" s="128" t="s">
        <v>339</v>
      </c>
      <c r="E149" s="129" t="s">
        <v>8692</v>
      </c>
      <c r="F149" s="130" t="s">
        <v>8693</v>
      </c>
      <c r="G149" s="131" t="s">
        <v>425</v>
      </c>
      <c r="H149" s="132">
        <v>112.5</v>
      </c>
      <c r="I149" s="133"/>
      <c r="J149" s="134">
        <f t="shared" si="0"/>
        <v>0</v>
      </c>
      <c r="K149" s="130"/>
      <c r="L149" s="17"/>
      <c r="M149" s="135"/>
      <c r="N149" s="136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344</v>
      </c>
      <c r="BM149" s="139" t="s">
        <v>7</v>
      </c>
    </row>
    <row r="150" spans="2:65" s="16" customFormat="1" ht="16.5" customHeight="1" x14ac:dyDescent="0.2">
      <c r="B150" s="17"/>
      <c r="C150" s="128">
        <v>7</v>
      </c>
      <c r="D150" s="128" t="s">
        <v>339</v>
      </c>
      <c r="E150" s="129" t="s">
        <v>8694</v>
      </c>
      <c r="F150" s="130" t="s">
        <v>8695</v>
      </c>
      <c r="G150" s="131" t="s">
        <v>425</v>
      </c>
      <c r="H150" s="132">
        <v>112.5</v>
      </c>
      <c r="I150" s="133"/>
      <c r="J150" s="134">
        <f t="shared" si="0"/>
        <v>0</v>
      </c>
      <c r="K150" s="130"/>
      <c r="L150" s="17"/>
      <c r="M150" s="135"/>
      <c r="N150" s="136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344</v>
      </c>
      <c r="BM150" s="139" t="s">
        <v>480</v>
      </c>
    </row>
    <row r="151" spans="2:65" s="16" customFormat="1" ht="16.5" customHeight="1" x14ac:dyDescent="0.2">
      <c r="B151" s="17"/>
      <c r="C151" s="128">
        <v>8</v>
      </c>
      <c r="D151" s="128" t="s">
        <v>339</v>
      </c>
      <c r="E151" s="129" t="s">
        <v>8696</v>
      </c>
      <c r="F151" s="130" t="s">
        <v>8697</v>
      </c>
      <c r="G151" s="131" t="s">
        <v>425</v>
      </c>
      <c r="H151" s="132">
        <v>112.5</v>
      </c>
      <c r="I151" s="133"/>
      <c r="J151" s="134">
        <f t="shared" si="0"/>
        <v>0</v>
      </c>
      <c r="K151" s="130"/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344</v>
      </c>
      <c r="AT151" s="139" t="s">
        <v>339</v>
      </c>
      <c r="AU151" s="139" t="s">
        <v>87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344</v>
      </c>
      <c r="BM151" s="139" t="s">
        <v>496</v>
      </c>
    </row>
    <row r="152" spans="2:65" s="16" customFormat="1" ht="16.5" customHeight="1" x14ac:dyDescent="0.2">
      <c r="B152" s="17"/>
      <c r="C152" s="128">
        <v>9</v>
      </c>
      <c r="D152" s="128" t="s">
        <v>339</v>
      </c>
      <c r="E152" s="129" t="s">
        <v>8698</v>
      </c>
      <c r="F152" s="130" t="s">
        <v>8699</v>
      </c>
      <c r="G152" s="131" t="s">
        <v>425</v>
      </c>
      <c r="H152" s="132">
        <v>112.5</v>
      </c>
      <c r="I152" s="133"/>
      <c r="J152" s="134">
        <f t="shared" si="0"/>
        <v>0</v>
      </c>
      <c r="K152" s="130"/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344</v>
      </c>
      <c r="BM152" s="139" t="s">
        <v>2547</v>
      </c>
    </row>
    <row r="153" spans="2:65" s="16" customFormat="1" ht="16.5" customHeight="1" x14ac:dyDescent="0.2">
      <c r="B153" s="17"/>
      <c r="C153" s="128">
        <v>10</v>
      </c>
      <c r="D153" s="128" t="s">
        <v>339</v>
      </c>
      <c r="E153" s="129" t="s">
        <v>8700</v>
      </c>
      <c r="F153" s="130" t="s">
        <v>8701</v>
      </c>
      <c r="G153" s="131" t="s">
        <v>990</v>
      </c>
      <c r="H153" s="132">
        <v>10</v>
      </c>
      <c r="I153" s="133"/>
      <c r="J153" s="134">
        <f t="shared" si="0"/>
        <v>0</v>
      </c>
      <c r="K153" s="130"/>
      <c r="L153" s="17"/>
      <c r="M153" s="135"/>
      <c r="N153" s="136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</v>
      </c>
      <c r="T153" s="138">
        <f t="shared" si="3"/>
        <v>0</v>
      </c>
      <c r="AR153" s="139" t="s">
        <v>344</v>
      </c>
      <c r="AT153" s="139" t="s">
        <v>339</v>
      </c>
      <c r="AU153" s="139" t="s">
        <v>87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344</v>
      </c>
      <c r="BM153" s="139" t="s">
        <v>532</v>
      </c>
    </row>
    <row r="154" spans="2:65" s="16" customFormat="1" ht="16.5" customHeight="1" x14ac:dyDescent="0.2">
      <c r="B154" s="17"/>
      <c r="C154" s="128">
        <v>11</v>
      </c>
      <c r="D154" s="128" t="s">
        <v>339</v>
      </c>
      <c r="E154" s="129" t="s">
        <v>8702</v>
      </c>
      <c r="F154" s="130" t="s">
        <v>8703</v>
      </c>
      <c r="G154" s="131" t="s">
        <v>8704</v>
      </c>
      <c r="H154" s="132">
        <v>0.1</v>
      </c>
      <c r="I154" s="133"/>
      <c r="J154" s="134">
        <f t="shared" si="0"/>
        <v>0</v>
      </c>
      <c r="K154" s="130"/>
      <c r="L154" s="17"/>
      <c r="M154" s="135"/>
      <c r="N154" s="136" t="s">
        <v>45</v>
      </c>
      <c r="P154" s="137">
        <f t="shared" si="1"/>
        <v>0</v>
      </c>
      <c r="Q154" s="137">
        <v>0</v>
      </c>
      <c r="R154" s="137">
        <f t="shared" si="2"/>
        <v>0</v>
      </c>
      <c r="S154" s="137">
        <v>0</v>
      </c>
      <c r="T154" s="138">
        <f t="shared" si="3"/>
        <v>0</v>
      </c>
      <c r="AR154" s="139" t="s">
        <v>344</v>
      </c>
      <c r="AT154" s="139" t="s">
        <v>339</v>
      </c>
      <c r="AU154" s="139" t="s">
        <v>87</v>
      </c>
      <c r="AY154" s="2" t="s">
        <v>337</v>
      </c>
      <c r="BE154" s="140">
        <f t="shared" si="4"/>
        <v>0</v>
      </c>
      <c r="BF154" s="140">
        <f t="shared" si="5"/>
        <v>0</v>
      </c>
      <c r="BG154" s="140">
        <f t="shared" si="6"/>
        <v>0</v>
      </c>
      <c r="BH154" s="140">
        <f t="shared" si="7"/>
        <v>0</v>
      </c>
      <c r="BI154" s="140">
        <f t="shared" si="8"/>
        <v>0</v>
      </c>
      <c r="BJ154" s="2" t="s">
        <v>87</v>
      </c>
      <c r="BK154" s="140">
        <f t="shared" si="9"/>
        <v>0</v>
      </c>
      <c r="BL154" s="2" t="s">
        <v>344</v>
      </c>
      <c r="BM154" s="139" t="s">
        <v>543</v>
      </c>
    </row>
    <row r="155" spans="2:65" s="16" customFormat="1" ht="16.5" customHeight="1" x14ac:dyDescent="0.2">
      <c r="B155" s="17"/>
      <c r="C155" s="128">
        <v>12</v>
      </c>
      <c r="D155" s="128" t="s">
        <v>339</v>
      </c>
      <c r="E155" s="129" t="s">
        <v>8705</v>
      </c>
      <c r="F155" s="130" t="s">
        <v>8706</v>
      </c>
      <c r="G155" s="131" t="s">
        <v>535</v>
      </c>
      <c r="H155" s="132">
        <v>5.625</v>
      </c>
      <c r="I155" s="133"/>
      <c r="J155" s="134">
        <f t="shared" si="0"/>
        <v>0</v>
      </c>
      <c r="K155" s="130"/>
      <c r="L155" s="17"/>
      <c r="M155" s="135"/>
      <c r="N155" s="136" t="s">
        <v>45</v>
      </c>
      <c r="P155" s="137">
        <f t="shared" si="1"/>
        <v>0</v>
      </c>
      <c r="Q155" s="137">
        <v>0</v>
      </c>
      <c r="R155" s="137">
        <f t="shared" si="2"/>
        <v>0</v>
      </c>
      <c r="S155" s="137">
        <v>0</v>
      </c>
      <c r="T155" s="138">
        <f t="shared" si="3"/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 t="shared" si="4"/>
        <v>0</v>
      </c>
      <c r="BF155" s="140">
        <f t="shared" si="5"/>
        <v>0</v>
      </c>
      <c r="BG155" s="140">
        <f t="shared" si="6"/>
        <v>0</v>
      </c>
      <c r="BH155" s="140">
        <f t="shared" si="7"/>
        <v>0</v>
      </c>
      <c r="BI155" s="140">
        <f t="shared" si="8"/>
        <v>0</v>
      </c>
      <c r="BJ155" s="2" t="s">
        <v>87</v>
      </c>
      <c r="BK155" s="140">
        <f t="shared" si="9"/>
        <v>0</v>
      </c>
      <c r="BL155" s="2" t="s">
        <v>344</v>
      </c>
      <c r="BM155" s="139" t="s">
        <v>569</v>
      </c>
    </row>
    <row r="156" spans="2:65" s="148" customFormat="1" x14ac:dyDescent="0.2">
      <c r="B156" s="149"/>
      <c r="D156" s="143" t="s">
        <v>346</v>
      </c>
      <c r="E156" s="150"/>
      <c r="F156" s="151" t="s">
        <v>8707</v>
      </c>
      <c r="H156" s="152">
        <v>5.625</v>
      </c>
      <c r="L156" s="149"/>
      <c r="M156" s="153"/>
      <c r="T156" s="154"/>
      <c r="AT156" s="150" t="s">
        <v>346</v>
      </c>
      <c r="AU156" s="150" t="s">
        <v>87</v>
      </c>
      <c r="AV156" s="148" t="s">
        <v>90</v>
      </c>
      <c r="AW156" s="148" t="s">
        <v>33</v>
      </c>
      <c r="AX156" s="148" t="s">
        <v>87</v>
      </c>
      <c r="AY156" s="150" t="s">
        <v>337</v>
      </c>
    </row>
    <row r="157" spans="2:65" s="16" customFormat="1" ht="16.5" customHeight="1" x14ac:dyDescent="0.2">
      <c r="B157" s="17"/>
      <c r="C157" s="128">
        <v>13</v>
      </c>
      <c r="D157" s="128" t="s">
        <v>339</v>
      </c>
      <c r="E157" s="129" t="s">
        <v>8708</v>
      </c>
      <c r="F157" s="130" t="s">
        <v>8709</v>
      </c>
      <c r="G157" s="131" t="s">
        <v>535</v>
      </c>
      <c r="H157" s="132">
        <v>2.8130000000000002</v>
      </c>
      <c r="I157" s="133"/>
      <c r="J157" s="134">
        <f>ROUND(I157*H157,2)</f>
        <v>0</v>
      </c>
      <c r="K157" s="130"/>
      <c r="L157" s="17"/>
      <c r="M157" s="135"/>
      <c r="N157" s="136" t="s">
        <v>45</v>
      </c>
      <c r="P157" s="137">
        <f>O157*H157</f>
        <v>0</v>
      </c>
      <c r="Q157" s="137">
        <v>0</v>
      </c>
      <c r="R157" s="137">
        <f>Q157*H157</f>
        <v>0</v>
      </c>
      <c r="S157" s="137">
        <v>0</v>
      </c>
      <c r="T157" s="138">
        <f>S157*H157</f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>IF(N157="základní",J157,0)</f>
        <v>0</v>
      </c>
      <c r="BF157" s="140">
        <f>IF(N157="snížená",J157,0)</f>
        <v>0</v>
      </c>
      <c r="BG157" s="140">
        <f>IF(N157="zákl. přenesená",J157,0)</f>
        <v>0</v>
      </c>
      <c r="BH157" s="140">
        <f>IF(N157="sníž. přenesená",J157,0)</f>
        <v>0</v>
      </c>
      <c r="BI157" s="140">
        <f>IF(N157="nulová",J157,0)</f>
        <v>0</v>
      </c>
      <c r="BJ157" s="2" t="s">
        <v>87</v>
      </c>
      <c r="BK157" s="140">
        <f>ROUND(I157*H157,2)</f>
        <v>0</v>
      </c>
      <c r="BL157" s="2" t="s">
        <v>344</v>
      </c>
      <c r="BM157" s="139" t="s">
        <v>577</v>
      </c>
    </row>
    <row r="158" spans="2:65" s="148" customFormat="1" x14ac:dyDescent="0.2">
      <c r="B158" s="149"/>
      <c r="D158" s="143" t="s">
        <v>346</v>
      </c>
      <c r="E158" s="150"/>
      <c r="F158" s="151" t="s">
        <v>8710</v>
      </c>
      <c r="H158" s="152">
        <v>2.8130000000000002</v>
      </c>
      <c r="L158" s="149"/>
      <c r="M158" s="153"/>
      <c r="T158" s="154"/>
      <c r="AT158" s="150" t="s">
        <v>346</v>
      </c>
      <c r="AU158" s="150" t="s">
        <v>87</v>
      </c>
      <c r="AV158" s="148" t="s">
        <v>90</v>
      </c>
      <c r="AW158" s="148" t="s">
        <v>33</v>
      </c>
      <c r="AX158" s="148" t="s">
        <v>87</v>
      </c>
      <c r="AY158" s="150" t="s">
        <v>337</v>
      </c>
    </row>
    <row r="159" spans="2:65" s="116" customFormat="1" ht="25.9" customHeight="1" x14ac:dyDescent="0.2">
      <c r="B159" s="117"/>
      <c r="D159" s="118" t="s">
        <v>79</v>
      </c>
      <c r="E159" s="119" t="s">
        <v>8711</v>
      </c>
      <c r="F159" s="119" t="s">
        <v>8712</v>
      </c>
      <c r="J159" s="120">
        <f>BK159</f>
        <v>0</v>
      </c>
      <c r="L159" s="117"/>
      <c r="M159" s="121"/>
      <c r="P159" s="122">
        <f>P160+P170+P174+P177</f>
        <v>0</v>
      </c>
      <c r="R159" s="122">
        <f>R160+R170+R174+R177</f>
        <v>0</v>
      </c>
      <c r="T159" s="123">
        <f>T160+T170+T174+T177</f>
        <v>0</v>
      </c>
      <c r="AR159" s="118" t="s">
        <v>87</v>
      </c>
      <c r="AT159" s="124" t="s">
        <v>79</v>
      </c>
      <c r="AU159" s="124" t="s">
        <v>80</v>
      </c>
      <c r="AY159" s="118" t="s">
        <v>337</v>
      </c>
      <c r="BK159" s="125">
        <f>BK160+BK170+BK174+BK177</f>
        <v>0</v>
      </c>
    </row>
    <row r="160" spans="2:65" s="116" customFormat="1" ht="22.9" customHeight="1" x14ac:dyDescent="0.2">
      <c r="B160" s="117"/>
      <c r="D160" s="118" t="s">
        <v>79</v>
      </c>
      <c r="E160" s="126" t="s">
        <v>8713</v>
      </c>
      <c r="F160" s="126" t="s">
        <v>8714</v>
      </c>
      <c r="J160" s="127">
        <f>BK160</f>
        <v>0</v>
      </c>
      <c r="L160" s="117"/>
      <c r="M160" s="121"/>
      <c r="P160" s="122">
        <f>SUM(P161:P169)</f>
        <v>0</v>
      </c>
      <c r="R160" s="122">
        <f>SUM(R161:R169)</f>
        <v>0</v>
      </c>
      <c r="T160" s="123">
        <f>SUM(T161:T169)</f>
        <v>0</v>
      </c>
      <c r="AR160" s="118" t="s">
        <v>87</v>
      </c>
      <c r="AT160" s="124" t="s">
        <v>79</v>
      </c>
      <c r="AU160" s="124" t="s">
        <v>87</v>
      </c>
      <c r="AY160" s="118" t="s">
        <v>337</v>
      </c>
      <c r="BK160" s="125">
        <f>SUM(BK161:BK169)</f>
        <v>0</v>
      </c>
    </row>
    <row r="161" spans="2:65" s="16" customFormat="1" ht="16.5" customHeight="1" x14ac:dyDescent="0.2">
      <c r="B161" s="17"/>
      <c r="C161" s="128">
        <v>14</v>
      </c>
      <c r="D161" s="128" t="s">
        <v>339</v>
      </c>
      <c r="E161" s="129" t="s">
        <v>8715</v>
      </c>
      <c r="F161" s="130" t="s">
        <v>8716</v>
      </c>
      <c r="G161" s="131" t="s">
        <v>4460</v>
      </c>
      <c r="H161" s="132">
        <v>3</v>
      </c>
      <c r="I161" s="133"/>
      <c r="J161" s="134">
        <f t="shared" ref="J161:J169" si="10">ROUND(I161*H161,2)</f>
        <v>0</v>
      </c>
      <c r="K161" s="130"/>
      <c r="L161" s="17"/>
      <c r="M161" s="135"/>
      <c r="N161" s="136" t="s">
        <v>45</v>
      </c>
      <c r="P161" s="137">
        <f t="shared" ref="P161:P169" si="11">O161*H161</f>
        <v>0</v>
      </c>
      <c r="Q161" s="137">
        <v>0</v>
      </c>
      <c r="R161" s="137">
        <f t="shared" ref="R161:R169" si="12">Q161*H161</f>
        <v>0</v>
      </c>
      <c r="S161" s="137">
        <v>0</v>
      </c>
      <c r="T161" s="138">
        <f t="shared" ref="T161:T169" si="13">S161*H161</f>
        <v>0</v>
      </c>
      <c r="AR161" s="139" t="s">
        <v>344</v>
      </c>
      <c r="AT161" s="139" t="s">
        <v>339</v>
      </c>
      <c r="AU161" s="139" t="s">
        <v>90</v>
      </c>
      <c r="AY161" s="2" t="s">
        <v>337</v>
      </c>
      <c r="BE161" s="140">
        <f t="shared" ref="BE161:BE169" si="14">IF(N161="základní",J161,0)</f>
        <v>0</v>
      </c>
      <c r="BF161" s="140">
        <f t="shared" ref="BF161:BF169" si="15">IF(N161="snížená",J161,0)</f>
        <v>0</v>
      </c>
      <c r="BG161" s="140">
        <f t="shared" ref="BG161:BG169" si="16">IF(N161="zákl. přenesená",J161,0)</f>
        <v>0</v>
      </c>
      <c r="BH161" s="140">
        <f t="shared" ref="BH161:BH169" si="17">IF(N161="sníž. přenesená",J161,0)</f>
        <v>0</v>
      </c>
      <c r="BI161" s="140">
        <f t="shared" ref="BI161:BI169" si="18">IF(N161="nulová",J161,0)</f>
        <v>0</v>
      </c>
      <c r="BJ161" s="2" t="s">
        <v>87</v>
      </c>
      <c r="BK161" s="140">
        <f t="shared" ref="BK161:BK169" si="19">ROUND(I161*H161,2)</f>
        <v>0</v>
      </c>
      <c r="BL161" s="2" t="s">
        <v>344</v>
      </c>
      <c r="BM161" s="139" t="s">
        <v>591</v>
      </c>
    </row>
    <row r="162" spans="2:65" s="16" customFormat="1" ht="16.5" customHeight="1" x14ac:dyDescent="0.2">
      <c r="B162" s="17"/>
      <c r="C162" s="128">
        <v>15</v>
      </c>
      <c r="D162" s="128" t="s">
        <v>339</v>
      </c>
      <c r="E162" s="129" t="s">
        <v>8717</v>
      </c>
      <c r="F162" s="130" t="s">
        <v>8718</v>
      </c>
      <c r="G162" s="131" t="s">
        <v>4460</v>
      </c>
      <c r="H162" s="132">
        <v>3</v>
      </c>
      <c r="I162" s="133"/>
      <c r="J162" s="134">
        <f t="shared" si="10"/>
        <v>0</v>
      </c>
      <c r="K162" s="130"/>
      <c r="L162" s="17"/>
      <c r="M162" s="135"/>
      <c r="N162" s="136" t="s">
        <v>45</v>
      </c>
      <c r="P162" s="137">
        <f t="shared" si="11"/>
        <v>0</v>
      </c>
      <c r="Q162" s="137">
        <v>0</v>
      </c>
      <c r="R162" s="137">
        <f t="shared" si="12"/>
        <v>0</v>
      </c>
      <c r="S162" s="137">
        <v>0</v>
      </c>
      <c r="T162" s="138">
        <f t="shared" si="13"/>
        <v>0</v>
      </c>
      <c r="AR162" s="139" t="s">
        <v>344</v>
      </c>
      <c r="AT162" s="139" t="s">
        <v>339</v>
      </c>
      <c r="AU162" s="139" t="s">
        <v>90</v>
      </c>
      <c r="AY162" s="2" t="s">
        <v>337</v>
      </c>
      <c r="BE162" s="140">
        <f t="shared" si="14"/>
        <v>0</v>
      </c>
      <c r="BF162" s="140">
        <f t="shared" si="15"/>
        <v>0</v>
      </c>
      <c r="BG162" s="140">
        <f t="shared" si="16"/>
        <v>0</v>
      </c>
      <c r="BH162" s="140">
        <f t="shared" si="17"/>
        <v>0</v>
      </c>
      <c r="BI162" s="140">
        <f t="shared" si="18"/>
        <v>0</v>
      </c>
      <c r="BJ162" s="2" t="s">
        <v>87</v>
      </c>
      <c r="BK162" s="140">
        <f t="shared" si="19"/>
        <v>0</v>
      </c>
      <c r="BL162" s="2" t="s">
        <v>344</v>
      </c>
      <c r="BM162" s="139" t="s">
        <v>614</v>
      </c>
    </row>
    <row r="163" spans="2:65" s="16" customFormat="1" ht="16.5" customHeight="1" x14ac:dyDescent="0.2">
      <c r="B163" s="17"/>
      <c r="C163" s="128">
        <v>16</v>
      </c>
      <c r="D163" s="128" t="s">
        <v>339</v>
      </c>
      <c r="E163" s="129" t="s">
        <v>8719</v>
      </c>
      <c r="F163" s="130" t="s">
        <v>8720</v>
      </c>
      <c r="G163" s="131" t="s">
        <v>425</v>
      </c>
      <c r="H163" s="132">
        <v>3</v>
      </c>
      <c r="I163" s="133"/>
      <c r="J163" s="134">
        <f t="shared" si="10"/>
        <v>0</v>
      </c>
      <c r="K163" s="130"/>
      <c r="L163" s="17"/>
      <c r="M163" s="135"/>
      <c r="N163" s="136" t="s">
        <v>45</v>
      </c>
      <c r="P163" s="137">
        <f t="shared" si="11"/>
        <v>0</v>
      </c>
      <c r="Q163" s="137">
        <v>0</v>
      </c>
      <c r="R163" s="137">
        <f t="shared" si="12"/>
        <v>0</v>
      </c>
      <c r="S163" s="137">
        <v>0</v>
      </c>
      <c r="T163" s="138">
        <f t="shared" si="13"/>
        <v>0</v>
      </c>
      <c r="AR163" s="139" t="s">
        <v>344</v>
      </c>
      <c r="AT163" s="139" t="s">
        <v>339</v>
      </c>
      <c r="AU163" s="139" t="s">
        <v>90</v>
      </c>
      <c r="AY163" s="2" t="s">
        <v>337</v>
      </c>
      <c r="BE163" s="140">
        <f t="shared" si="14"/>
        <v>0</v>
      </c>
      <c r="BF163" s="140">
        <f t="shared" si="15"/>
        <v>0</v>
      </c>
      <c r="BG163" s="140">
        <f t="shared" si="16"/>
        <v>0</v>
      </c>
      <c r="BH163" s="140">
        <f t="shared" si="17"/>
        <v>0</v>
      </c>
      <c r="BI163" s="140">
        <f t="shared" si="18"/>
        <v>0</v>
      </c>
      <c r="BJ163" s="2" t="s">
        <v>87</v>
      </c>
      <c r="BK163" s="140">
        <f t="shared" si="19"/>
        <v>0</v>
      </c>
      <c r="BL163" s="2" t="s">
        <v>344</v>
      </c>
      <c r="BM163" s="139" t="s">
        <v>621</v>
      </c>
    </row>
    <row r="164" spans="2:65" s="16" customFormat="1" ht="16.5" customHeight="1" x14ac:dyDescent="0.2">
      <c r="B164" s="17"/>
      <c r="C164" s="128">
        <v>17</v>
      </c>
      <c r="D164" s="128" t="s">
        <v>339</v>
      </c>
      <c r="E164" s="129" t="s">
        <v>8721</v>
      </c>
      <c r="F164" s="130" t="s">
        <v>8722</v>
      </c>
      <c r="G164" s="131" t="s">
        <v>4460</v>
      </c>
      <c r="H164" s="132">
        <v>3</v>
      </c>
      <c r="I164" s="133"/>
      <c r="J164" s="134">
        <f t="shared" si="10"/>
        <v>0</v>
      </c>
      <c r="K164" s="130"/>
      <c r="L164" s="17"/>
      <c r="M164" s="135"/>
      <c r="N164" s="136" t="s">
        <v>45</v>
      </c>
      <c r="P164" s="137">
        <f t="shared" si="11"/>
        <v>0</v>
      </c>
      <c r="Q164" s="137">
        <v>0</v>
      </c>
      <c r="R164" s="137">
        <f t="shared" si="12"/>
        <v>0</v>
      </c>
      <c r="S164" s="137">
        <v>0</v>
      </c>
      <c r="T164" s="138">
        <f t="shared" si="13"/>
        <v>0</v>
      </c>
      <c r="AR164" s="139" t="s">
        <v>344</v>
      </c>
      <c r="AT164" s="139" t="s">
        <v>339</v>
      </c>
      <c r="AU164" s="139" t="s">
        <v>90</v>
      </c>
      <c r="AY164" s="2" t="s">
        <v>337</v>
      </c>
      <c r="BE164" s="140">
        <f t="shared" si="14"/>
        <v>0</v>
      </c>
      <c r="BF164" s="140">
        <f t="shared" si="15"/>
        <v>0</v>
      </c>
      <c r="BG164" s="140">
        <f t="shared" si="16"/>
        <v>0</v>
      </c>
      <c r="BH164" s="140">
        <f t="shared" si="17"/>
        <v>0</v>
      </c>
      <c r="BI164" s="140">
        <f t="shared" si="18"/>
        <v>0</v>
      </c>
      <c r="BJ164" s="2" t="s">
        <v>87</v>
      </c>
      <c r="BK164" s="140">
        <f t="shared" si="19"/>
        <v>0</v>
      </c>
      <c r="BL164" s="2" t="s">
        <v>344</v>
      </c>
      <c r="BM164" s="139" t="s">
        <v>637</v>
      </c>
    </row>
    <row r="165" spans="2:65" s="16" customFormat="1" ht="16.5" customHeight="1" x14ac:dyDescent="0.2">
      <c r="B165" s="17"/>
      <c r="C165" s="128">
        <v>18</v>
      </c>
      <c r="D165" s="128" t="s">
        <v>339</v>
      </c>
      <c r="E165" s="129" t="s">
        <v>8723</v>
      </c>
      <c r="F165" s="130" t="s">
        <v>8724</v>
      </c>
      <c r="G165" s="131" t="s">
        <v>4460</v>
      </c>
      <c r="H165" s="132">
        <v>3</v>
      </c>
      <c r="I165" s="133"/>
      <c r="J165" s="134">
        <f t="shared" si="10"/>
        <v>0</v>
      </c>
      <c r="K165" s="130"/>
      <c r="L165" s="17"/>
      <c r="M165" s="135"/>
      <c r="N165" s="136" t="s">
        <v>45</v>
      </c>
      <c r="P165" s="137">
        <f t="shared" si="11"/>
        <v>0</v>
      </c>
      <c r="Q165" s="137">
        <v>0</v>
      </c>
      <c r="R165" s="137">
        <f t="shared" si="12"/>
        <v>0</v>
      </c>
      <c r="S165" s="137">
        <v>0</v>
      </c>
      <c r="T165" s="138">
        <f t="shared" si="13"/>
        <v>0</v>
      </c>
      <c r="AR165" s="139" t="s">
        <v>344</v>
      </c>
      <c r="AT165" s="139" t="s">
        <v>339</v>
      </c>
      <c r="AU165" s="139" t="s">
        <v>90</v>
      </c>
      <c r="AY165" s="2" t="s">
        <v>337</v>
      </c>
      <c r="BE165" s="140">
        <f t="shared" si="14"/>
        <v>0</v>
      </c>
      <c r="BF165" s="140">
        <f t="shared" si="15"/>
        <v>0</v>
      </c>
      <c r="BG165" s="140">
        <f t="shared" si="16"/>
        <v>0</v>
      </c>
      <c r="BH165" s="140">
        <f t="shared" si="17"/>
        <v>0</v>
      </c>
      <c r="BI165" s="140">
        <f t="shared" si="18"/>
        <v>0</v>
      </c>
      <c r="BJ165" s="2" t="s">
        <v>87</v>
      </c>
      <c r="BK165" s="140">
        <f t="shared" si="19"/>
        <v>0</v>
      </c>
      <c r="BL165" s="2" t="s">
        <v>344</v>
      </c>
      <c r="BM165" s="139" t="s">
        <v>646</v>
      </c>
    </row>
    <row r="166" spans="2:65" s="16" customFormat="1" ht="16.5" customHeight="1" x14ac:dyDescent="0.2">
      <c r="B166" s="17"/>
      <c r="C166" s="128">
        <v>19</v>
      </c>
      <c r="D166" s="128" t="s">
        <v>339</v>
      </c>
      <c r="E166" s="129" t="s">
        <v>8725</v>
      </c>
      <c r="F166" s="130" t="s">
        <v>8726</v>
      </c>
      <c r="G166" s="131" t="s">
        <v>4460</v>
      </c>
      <c r="H166" s="132">
        <v>3</v>
      </c>
      <c r="I166" s="133"/>
      <c r="J166" s="134">
        <f t="shared" si="10"/>
        <v>0</v>
      </c>
      <c r="K166" s="130"/>
      <c r="L166" s="17"/>
      <c r="M166" s="135"/>
      <c r="N166" s="136" t="s">
        <v>45</v>
      </c>
      <c r="P166" s="137">
        <f t="shared" si="11"/>
        <v>0</v>
      </c>
      <c r="Q166" s="137">
        <v>0</v>
      </c>
      <c r="R166" s="137">
        <f t="shared" si="12"/>
        <v>0</v>
      </c>
      <c r="S166" s="137">
        <v>0</v>
      </c>
      <c r="T166" s="138">
        <f t="shared" si="13"/>
        <v>0</v>
      </c>
      <c r="AR166" s="139" t="s">
        <v>344</v>
      </c>
      <c r="AT166" s="139" t="s">
        <v>339</v>
      </c>
      <c r="AU166" s="139" t="s">
        <v>90</v>
      </c>
      <c r="AY166" s="2" t="s">
        <v>337</v>
      </c>
      <c r="BE166" s="140">
        <f t="shared" si="14"/>
        <v>0</v>
      </c>
      <c r="BF166" s="140">
        <f t="shared" si="15"/>
        <v>0</v>
      </c>
      <c r="BG166" s="140">
        <f t="shared" si="16"/>
        <v>0</v>
      </c>
      <c r="BH166" s="140">
        <f t="shared" si="17"/>
        <v>0</v>
      </c>
      <c r="BI166" s="140">
        <f t="shared" si="18"/>
        <v>0</v>
      </c>
      <c r="BJ166" s="2" t="s">
        <v>87</v>
      </c>
      <c r="BK166" s="140">
        <f t="shared" si="19"/>
        <v>0</v>
      </c>
      <c r="BL166" s="2" t="s">
        <v>344</v>
      </c>
      <c r="BM166" s="139" t="s">
        <v>658</v>
      </c>
    </row>
    <row r="167" spans="2:65" s="16" customFormat="1" ht="16.5" customHeight="1" x14ac:dyDescent="0.2">
      <c r="B167" s="17"/>
      <c r="C167" s="128">
        <v>20</v>
      </c>
      <c r="D167" s="128" t="s">
        <v>339</v>
      </c>
      <c r="E167" s="129" t="s">
        <v>8727</v>
      </c>
      <c r="F167" s="130" t="s">
        <v>8728</v>
      </c>
      <c r="G167" s="131" t="s">
        <v>4460</v>
      </c>
      <c r="H167" s="132">
        <v>3</v>
      </c>
      <c r="I167" s="133"/>
      <c r="J167" s="134">
        <f t="shared" si="10"/>
        <v>0</v>
      </c>
      <c r="K167" s="130"/>
      <c r="L167" s="17"/>
      <c r="M167" s="135"/>
      <c r="N167" s="136" t="s">
        <v>45</v>
      </c>
      <c r="P167" s="137">
        <f t="shared" si="11"/>
        <v>0</v>
      </c>
      <c r="Q167" s="137">
        <v>0</v>
      </c>
      <c r="R167" s="137">
        <f t="shared" si="12"/>
        <v>0</v>
      </c>
      <c r="S167" s="137">
        <v>0</v>
      </c>
      <c r="T167" s="138">
        <f t="shared" si="13"/>
        <v>0</v>
      </c>
      <c r="AR167" s="139" t="s">
        <v>344</v>
      </c>
      <c r="AT167" s="139" t="s">
        <v>339</v>
      </c>
      <c r="AU167" s="139" t="s">
        <v>90</v>
      </c>
      <c r="AY167" s="2" t="s">
        <v>337</v>
      </c>
      <c r="BE167" s="140">
        <f t="shared" si="14"/>
        <v>0</v>
      </c>
      <c r="BF167" s="140">
        <f t="shared" si="15"/>
        <v>0</v>
      </c>
      <c r="BG167" s="140">
        <f t="shared" si="16"/>
        <v>0</v>
      </c>
      <c r="BH167" s="140">
        <f t="shared" si="17"/>
        <v>0</v>
      </c>
      <c r="BI167" s="140">
        <f t="shared" si="18"/>
        <v>0</v>
      </c>
      <c r="BJ167" s="2" t="s">
        <v>87</v>
      </c>
      <c r="BK167" s="140">
        <f t="shared" si="19"/>
        <v>0</v>
      </c>
      <c r="BL167" s="2" t="s">
        <v>344</v>
      </c>
      <c r="BM167" s="139" t="s">
        <v>685</v>
      </c>
    </row>
    <row r="168" spans="2:65" s="16" customFormat="1" ht="16.5" customHeight="1" x14ac:dyDescent="0.2">
      <c r="B168" s="17"/>
      <c r="C168" s="128">
        <v>21</v>
      </c>
      <c r="D168" s="128" t="s">
        <v>339</v>
      </c>
      <c r="E168" s="129" t="s">
        <v>8729</v>
      </c>
      <c r="F168" s="130" t="s">
        <v>8730</v>
      </c>
      <c r="G168" s="131" t="s">
        <v>4460</v>
      </c>
      <c r="H168" s="132">
        <v>3</v>
      </c>
      <c r="I168" s="133"/>
      <c r="J168" s="134">
        <f t="shared" si="10"/>
        <v>0</v>
      </c>
      <c r="K168" s="130"/>
      <c r="L168" s="17"/>
      <c r="M168" s="135"/>
      <c r="N168" s="136" t="s">
        <v>45</v>
      </c>
      <c r="P168" s="137">
        <f t="shared" si="11"/>
        <v>0</v>
      </c>
      <c r="Q168" s="137">
        <v>0</v>
      </c>
      <c r="R168" s="137">
        <f t="shared" si="12"/>
        <v>0</v>
      </c>
      <c r="S168" s="137">
        <v>0</v>
      </c>
      <c r="T168" s="138">
        <f t="shared" si="13"/>
        <v>0</v>
      </c>
      <c r="AR168" s="139" t="s">
        <v>344</v>
      </c>
      <c r="AT168" s="139" t="s">
        <v>339</v>
      </c>
      <c r="AU168" s="139" t="s">
        <v>90</v>
      </c>
      <c r="AY168" s="2" t="s">
        <v>337</v>
      </c>
      <c r="BE168" s="140">
        <f t="shared" si="14"/>
        <v>0</v>
      </c>
      <c r="BF168" s="140">
        <f t="shared" si="15"/>
        <v>0</v>
      </c>
      <c r="BG168" s="140">
        <f t="shared" si="16"/>
        <v>0</v>
      </c>
      <c r="BH168" s="140">
        <f t="shared" si="17"/>
        <v>0</v>
      </c>
      <c r="BI168" s="140">
        <f t="shared" si="18"/>
        <v>0</v>
      </c>
      <c r="BJ168" s="2" t="s">
        <v>87</v>
      </c>
      <c r="BK168" s="140">
        <f t="shared" si="19"/>
        <v>0</v>
      </c>
      <c r="BL168" s="2" t="s">
        <v>344</v>
      </c>
      <c r="BM168" s="139" t="s">
        <v>699</v>
      </c>
    </row>
    <row r="169" spans="2:65" s="16" customFormat="1" ht="16.5" customHeight="1" x14ac:dyDescent="0.2">
      <c r="B169" s="17"/>
      <c r="C169" s="128">
        <v>22</v>
      </c>
      <c r="D169" s="128" t="s">
        <v>339</v>
      </c>
      <c r="E169" s="129" t="s">
        <v>8731</v>
      </c>
      <c r="F169" s="130" t="s">
        <v>8732</v>
      </c>
      <c r="G169" s="131" t="s">
        <v>425</v>
      </c>
      <c r="H169" s="132">
        <v>3</v>
      </c>
      <c r="I169" s="133"/>
      <c r="J169" s="134">
        <f t="shared" si="10"/>
        <v>0</v>
      </c>
      <c r="K169" s="130"/>
      <c r="L169" s="17"/>
      <c r="M169" s="135"/>
      <c r="N169" s="136" t="s">
        <v>45</v>
      </c>
      <c r="P169" s="137">
        <f t="shared" si="11"/>
        <v>0</v>
      </c>
      <c r="Q169" s="137">
        <v>0</v>
      </c>
      <c r="R169" s="137">
        <f t="shared" si="12"/>
        <v>0</v>
      </c>
      <c r="S169" s="137">
        <v>0</v>
      </c>
      <c r="T169" s="138">
        <f t="shared" si="13"/>
        <v>0</v>
      </c>
      <c r="AR169" s="139" t="s">
        <v>344</v>
      </c>
      <c r="AT169" s="139" t="s">
        <v>339</v>
      </c>
      <c r="AU169" s="139" t="s">
        <v>90</v>
      </c>
      <c r="AY169" s="2" t="s">
        <v>337</v>
      </c>
      <c r="BE169" s="140">
        <f t="shared" si="14"/>
        <v>0</v>
      </c>
      <c r="BF169" s="140">
        <f t="shared" si="15"/>
        <v>0</v>
      </c>
      <c r="BG169" s="140">
        <f t="shared" si="16"/>
        <v>0</v>
      </c>
      <c r="BH169" s="140">
        <f t="shared" si="17"/>
        <v>0</v>
      </c>
      <c r="BI169" s="140">
        <f t="shared" si="18"/>
        <v>0</v>
      </c>
      <c r="BJ169" s="2" t="s">
        <v>87</v>
      </c>
      <c r="BK169" s="140">
        <f t="shared" si="19"/>
        <v>0</v>
      </c>
      <c r="BL169" s="2" t="s">
        <v>344</v>
      </c>
      <c r="BM169" s="139" t="s">
        <v>708</v>
      </c>
    </row>
    <row r="170" spans="2:65" s="116" customFormat="1" ht="22.9" customHeight="1" x14ac:dyDescent="0.2">
      <c r="B170" s="117"/>
      <c r="D170" s="118" t="s">
        <v>79</v>
      </c>
      <c r="E170" s="126" t="s">
        <v>8733</v>
      </c>
      <c r="F170" s="126" t="s">
        <v>8734</v>
      </c>
      <c r="J170" s="127">
        <f>BK170</f>
        <v>0</v>
      </c>
      <c r="L170" s="117"/>
      <c r="M170" s="121"/>
      <c r="P170" s="122">
        <f>SUM(P171:P173)</f>
        <v>0</v>
      </c>
      <c r="R170" s="122">
        <f>SUM(R171:R173)</f>
        <v>0</v>
      </c>
      <c r="T170" s="123">
        <f>SUM(T171:T173)</f>
        <v>0</v>
      </c>
      <c r="AR170" s="118" t="s">
        <v>87</v>
      </c>
      <c r="AT170" s="124" t="s">
        <v>79</v>
      </c>
      <c r="AU170" s="124" t="s">
        <v>87</v>
      </c>
      <c r="AY170" s="118" t="s">
        <v>337</v>
      </c>
      <c r="BK170" s="125">
        <f>SUM(BK171:BK173)</f>
        <v>0</v>
      </c>
    </row>
    <row r="171" spans="2:65" s="16" customFormat="1" ht="16.5" customHeight="1" x14ac:dyDescent="0.2">
      <c r="B171" s="17"/>
      <c r="C171" s="128">
        <v>23</v>
      </c>
      <c r="D171" s="128" t="s">
        <v>339</v>
      </c>
      <c r="E171" s="129" t="s">
        <v>8735</v>
      </c>
      <c r="F171" s="130" t="s">
        <v>8736</v>
      </c>
      <c r="G171" s="131" t="s">
        <v>342</v>
      </c>
      <c r="H171" s="132">
        <v>0.9</v>
      </c>
      <c r="I171" s="133"/>
      <c r="J171" s="134">
        <f>ROUND(I171*H171,2)</f>
        <v>0</v>
      </c>
      <c r="K171" s="130"/>
      <c r="L171" s="17"/>
      <c r="M171" s="135"/>
      <c r="N171" s="136" t="s">
        <v>45</v>
      </c>
      <c r="P171" s="137">
        <f>O171*H171</f>
        <v>0</v>
      </c>
      <c r="Q171" s="137">
        <v>0</v>
      </c>
      <c r="R171" s="137">
        <f>Q171*H171</f>
        <v>0</v>
      </c>
      <c r="S171" s="137">
        <v>0</v>
      </c>
      <c r="T171" s="138">
        <f>S171*H171</f>
        <v>0</v>
      </c>
      <c r="AR171" s="139" t="s">
        <v>344</v>
      </c>
      <c r="AT171" s="139" t="s">
        <v>339</v>
      </c>
      <c r="AU171" s="139" t="s">
        <v>90</v>
      </c>
      <c r="AY171" s="2" t="s">
        <v>337</v>
      </c>
      <c r="BE171" s="140">
        <f>IF(N171="základní",J171,0)</f>
        <v>0</v>
      </c>
      <c r="BF171" s="140">
        <f>IF(N171="snížená",J171,0)</f>
        <v>0</v>
      </c>
      <c r="BG171" s="140">
        <f>IF(N171="zákl. přenesená",J171,0)</f>
        <v>0</v>
      </c>
      <c r="BH171" s="140">
        <f>IF(N171="sníž. přenesená",J171,0)</f>
        <v>0</v>
      </c>
      <c r="BI171" s="140">
        <f>IF(N171="nulová",J171,0)</f>
        <v>0</v>
      </c>
      <c r="BJ171" s="2" t="s">
        <v>87</v>
      </c>
      <c r="BK171" s="140">
        <f>ROUND(I171*H171,2)</f>
        <v>0</v>
      </c>
      <c r="BL171" s="2" t="s">
        <v>344</v>
      </c>
      <c r="BM171" s="139" t="s">
        <v>733</v>
      </c>
    </row>
    <row r="172" spans="2:65" s="16" customFormat="1" ht="16.5" customHeight="1" x14ac:dyDescent="0.2">
      <c r="B172" s="17"/>
      <c r="C172" s="128">
        <v>24</v>
      </c>
      <c r="D172" s="128" t="s">
        <v>339</v>
      </c>
      <c r="E172" s="129" t="s">
        <v>8737</v>
      </c>
      <c r="F172" s="130" t="s">
        <v>8738</v>
      </c>
      <c r="G172" s="131" t="s">
        <v>4460</v>
      </c>
      <c r="H172" s="132">
        <v>3</v>
      </c>
      <c r="I172" s="133"/>
      <c r="J172" s="134">
        <f>ROUND(I172*H172,2)</f>
        <v>0</v>
      </c>
      <c r="K172" s="130"/>
      <c r="L172" s="17"/>
      <c r="M172" s="135"/>
      <c r="N172" s="136" t="s">
        <v>45</v>
      </c>
      <c r="P172" s="137">
        <f>O172*H172</f>
        <v>0</v>
      </c>
      <c r="Q172" s="137">
        <v>0</v>
      </c>
      <c r="R172" s="137">
        <f>Q172*H172</f>
        <v>0</v>
      </c>
      <c r="S172" s="137">
        <v>0</v>
      </c>
      <c r="T172" s="138">
        <f>S172*H172</f>
        <v>0</v>
      </c>
      <c r="AR172" s="139" t="s">
        <v>344</v>
      </c>
      <c r="AT172" s="139" t="s">
        <v>339</v>
      </c>
      <c r="AU172" s="139" t="s">
        <v>90</v>
      </c>
      <c r="AY172" s="2" t="s">
        <v>337</v>
      </c>
      <c r="BE172" s="140">
        <f>IF(N172="základní",J172,0)</f>
        <v>0</v>
      </c>
      <c r="BF172" s="140">
        <f>IF(N172="snížená",J172,0)</f>
        <v>0</v>
      </c>
      <c r="BG172" s="140">
        <f>IF(N172="zákl. přenesená",J172,0)</f>
        <v>0</v>
      </c>
      <c r="BH172" s="140">
        <f>IF(N172="sníž. přenesená",J172,0)</f>
        <v>0</v>
      </c>
      <c r="BI172" s="140">
        <f>IF(N172="nulová",J172,0)</f>
        <v>0</v>
      </c>
      <c r="BJ172" s="2" t="s">
        <v>87</v>
      </c>
      <c r="BK172" s="140">
        <f>ROUND(I172*H172,2)</f>
        <v>0</v>
      </c>
      <c r="BL172" s="2" t="s">
        <v>344</v>
      </c>
      <c r="BM172" s="139" t="s">
        <v>748</v>
      </c>
    </row>
    <row r="173" spans="2:65" s="16" customFormat="1" ht="16.5" customHeight="1" x14ac:dyDescent="0.2">
      <c r="B173" s="17"/>
      <c r="C173" s="128">
        <v>25</v>
      </c>
      <c r="D173" s="128" t="s">
        <v>339</v>
      </c>
      <c r="E173" s="129" t="s">
        <v>8700</v>
      </c>
      <c r="F173" s="130" t="s">
        <v>8701</v>
      </c>
      <c r="G173" s="131" t="s">
        <v>990</v>
      </c>
      <c r="H173" s="132">
        <v>11</v>
      </c>
      <c r="I173" s="133"/>
      <c r="J173" s="134">
        <f>ROUND(I173*H173,2)</f>
        <v>0</v>
      </c>
      <c r="K173" s="130"/>
      <c r="L173" s="17"/>
      <c r="M173" s="135"/>
      <c r="N173" s="136" t="s">
        <v>45</v>
      </c>
      <c r="P173" s="137">
        <f>O173*H173</f>
        <v>0</v>
      </c>
      <c r="Q173" s="137">
        <v>0</v>
      </c>
      <c r="R173" s="137">
        <f>Q173*H173</f>
        <v>0</v>
      </c>
      <c r="S173" s="137">
        <v>0</v>
      </c>
      <c r="T173" s="138">
        <f>S173*H173</f>
        <v>0</v>
      </c>
      <c r="AR173" s="139" t="s">
        <v>344</v>
      </c>
      <c r="AT173" s="139" t="s">
        <v>339</v>
      </c>
      <c r="AU173" s="139" t="s">
        <v>90</v>
      </c>
      <c r="AY173" s="2" t="s">
        <v>337</v>
      </c>
      <c r="BE173" s="140">
        <f>IF(N173="základní",J173,0)</f>
        <v>0</v>
      </c>
      <c r="BF173" s="140">
        <f>IF(N173="snížená",J173,0)</f>
        <v>0</v>
      </c>
      <c r="BG173" s="140">
        <f>IF(N173="zákl. přenesená",J173,0)</f>
        <v>0</v>
      </c>
      <c r="BH173" s="140">
        <f>IF(N173="sníž. přenesená",J173,0)</f>
        <v>0</v>
      </c>
      <c r="BI173" s="140">
        <f>IF(N173="nulová",J173,0)</f>
        <v>0</v>
      </c>
      <c r="BJ173" s="2" t="s">
        <v>87</v>
      </c>
      <c r="BK173" s="140">
        <f>ROUND(I173*H173,2)</f>
        <v>0</v>
      </c>
      <c r="BL173" s="2" t="s">
        <v>344</v>
      </c>
      <c r="BM173" s="139" t="s">
        <v>762</v>
      </c>
    </row>
    <row r="174" spans="2:65" s="116" customFormat="1" ht="22.9" customHeight="1" x14ac:dyDescent="0.2">
      <c r="B174" s="117"/>
      <c r="D174" s="118" t="s">
        <v>79</v>
      </c>
      <c r="E174" s="126" t="s">
        <v>8739</v>
      </c>
      <c r="F174" s="126" t="s">
        <v>8740</v>
      </c>
      <c r="J174" s="127">
        <f>BK174</f>
        <v>0</v>
      </c>
      <c r="L174" s="117"/>
      <c r="M174" s="121"/>
      <c r="P174" s="122">
        <f>SUM(P175:P176)</f>
        <v>0</v>
      </c>
      <c r="R174" s="122">
        <f>SUM(R175:R176)</f>
        <v>0</v>
      </c>
      <c r="T174" s="123">
        <f>SUM(T175:T176)</f>
        <v>0</v>
      </c>
      <c r="AR174" s="118" t="s">
        <v>87</v>
      </c>
      <c r="AT174" s="124" t="s">
        <v>79</v>
      </c>
      <c r="AU174" s="124" t="s">
        <v>87</v>
      </c>
      <c r="AY174" s="118" t="s">
        <v>337</v>
      </c>
      <c r="BK174" s="125">
        <f>SUM(BK175:BK176)</f>
        <v>0</v>
      </c>
    </row>
    <row r="175" spans="2:65" s="16" customFormat="1" ht="16.5" customHeight="1" x14ac:dyDescent="0.2">
      <c r="B175" s="17"/>
      <c r="C175" s="128">
        <v>26</v>
      </c>
      <c r="D175" s="128" t="s">
        <v>339</v>
      </c>
      <c r="E175" s="129" t="s">
        <v>8741</v>
      </c>
      <c r="F175" s="130" t="s">
        <v>8742</v>
      </c>
      <c r="G175" s="131" t="s">
        <v>4460</v>
      </c>
      <c r="H175" s="132">
        <v>2</v>
      </c>
      <c r="I175" s="133"/>
      <c r="J175" s="134">
        <f>ROUND(I175*H175,2)</f>
        <v>0</v>
      </c>
      <c r="K175" s="130"/>
      <c r="L175" s="17"/>
      <c r="M175" s="135"/>
      <c r="N175" s="136" t="s">
        <v>45</v>
      </c>
      <c r="P175" s="137">
        <f>O175*H175</f>
        <v>0</v>
      </c>
      <c r="Q175" s="137">
        <v>0</v>
      </c>
      <c r="R175" s="137">
        <f>Q175*H175</f>
        <v>0</v>
      </c>
      <c r="S175" s="137">
        <v>0</v>
      </c>
      <c r="T175" s="138">
        <f>S175*H175</f>
        <v>0</v>
      </c>
      <c r="AR175" s="139" t="s">
        <v>344</v>
      </c>
      <c r="AT175" s="139" t="s">
        <v>339</v>
      </c>
      <c r="AU175" s="139" t="s">
        <v>90</v>
      </c>
      <c r="AY175" s="2" t="s">
        <v>337</v>
      </c>
      <c r="BE175" s="140">
        <f>IF(N175="základní",J175,0)</f>
        <v>0</v>
      </c>
      <c r="BF175" s="140">
        <f>IF(N175="snížená",J175,0)</f>
        <v>0</v>
      </c>
      <c r="BG175" s="140">
        <f>IF(N175="zákl. přenesená",J175,0)</f>
        <v>0</v>
      </c>
      <c r="BH175" s="140">
        <f>IF(N175="sníž. přenesená",J175,0)</f>
        <v>0</v>
      </c>
      <c r="BI175" s="140">
        <f>IF(N175="nulová",J175,0)</f>
        <v>0</v>
      </c>
      <c r="BJ175" s="2" t="s">
        <v>87</v>
      </c>
      <c r="BK175" s="140">
        <f>ROUND(I175*H175,2)</f>
        <v>0</v>
      </c>
      <c r="BL175" s="2" t="s">
        <v>344</v>
      </c>
      <c r="BM175" s="139" t="s">
        <v>774</v>
      </c>
    </row>
    <row r="176" spans="2:65" s="16" customFormat="1" ht="16.5" customHeight="1" x14ac:dyDescent="0.2">
      <c r="B176" s="17"/>
      <c r="C176" s="128">
        <v>27</v>
      </c>
      <c r="D176" s="128" t="s">
        <v>339</v>
      </c>
      <c r="E176" s="129" t="s">
        <v>8743</v>
      </c>
      <c r="F176" s="130" t="s">
        <v>8744</v>
      </c>
      <c r="G176" s="131" t="s">
        <v>4460</v>
      </c>
      <c r="H176" s="132">
        <v>1</v>
      </c>
      <c r="I176" s="133"/>
      <c r="J176" s="134">
        <f>ROUND(I176*H176,2)</f>
        <v>0</v>
      </c>
      <c r="K176" s="130"/>
      <c r="L176" s="17"/>
      <c r="M176" s="135"/>
      <c r="N176" s="136" t="s">
        <v>45</v>
      </c>
      <c r="P176" s="137">
        <f>O176*H176</f>
        <v>0</v>
      </c>
      <c r="Q176" s="137">
        <v>0</v>
      </c>
      <c r="R176" s="137">
        <f>Q176*H176</f>
        <v>0</v>
      </c>
      <c r="S176" s="137">
        <v>0</v>
      </c>
      <c r="T176" s="138">
        <f>S176*H176</f>
        <v>0</v>
      </c>
      <c r="AR176" s="139" t="s">
        <v>344</v>
      </c>
      <c r="AT176" s="139" t="s">
        <v>339</v>
      </c>
      <c r="AU176" s="139" t="s">
        <v>90</v>
      </c>
      <c r="AY176" s="2" t="s">
        <v>337</v>
      </c>
      <c r="BE176" s="140">
        <f>IF(N176="základní",J176,0)</f>
        <v>0</v>
      </c>
      <c r="BF176" s="140">
        <f>IF(N176="snížená",J176,0)</f>
        <v>0</v>
      </c>
      <c r="BG176" s="140">
        <f>IF(N176="zákl. přenesená",J176,0)</f>
        <v>0</v>
      </c>
      <c r="BH176" s="140">
        <f>IF(N176="sníž. přenesená",J176,0)</f>
        <v>0</v>
      </c>
      <c r="BI176" s="140">
        <f>IF(N176="nulová",J176,0)</f>
        <v>0</v>
      </c>
      <c r="BJ176" s="2" t="s">
        <v>87</v>
      </c>
      <c r="BK176" s="140">
        <f>ROUND(I176*H176,2)</f>
        <v>0</v>
      </c>
      <c r="BL176" s="2" t="s">
        <v>344</v>
      </c>
      <c r="BM176" s="139" t="s">
        <v>788</v>
      </c>
    </row>
    <row r="177" spans="2:65" s="116" customFormat="1" ht="22.9" customHeight="1" x14ac:dyDescent="0.2">
      <c r="B177" s="117"/>
      <c r="D177" s="118" t="s">
        <v>79</v>
      </c>
      <c r="E177" s="126" t="s">
        <v>8745</v>
      </c>
      <c r="F177" s="126" t="s">
        <v>8746</v>
      </c>
      <c r="J177" s="127">
        <f>BK177</f>
        <v>0</v>
      </c>
      <c r="L177" s="117"/>
      <c r="M177" s="121"/>
      <c r="P177" s="122">
        <f>SUM(P178:P186)</f>
        <v>0</v>
      </c>
      <c r="R177" s="122">
        <f>SUM(R178:R186)</f>
        <v>0</v>
      </c>
      <c r="T177" s="123">
        <f>SUM(T178:T186)</f>
        <v>0</v>
      </c>
      <c r="AR177" s="118" t="s">
        <v>87</v>
      </c>
      <c r="AT177" s="124" t="s">
        <v>79</v>
      </c>
      <c r="AU177" s="124" t="s">
        <v>87</v>
      </c>
      <c r="AY177" s="118" t="s">
        <v>337</v>
      </c>
      <c r="BK177" s="125">
        <f>SUM(BK178:BK186)</f>
        <v>0</v>
      </c>
    </row>
    <row r="178" spans="2:65" s="16" customFormat="1" ht="16.5" customHeight="1" x14ac:dyDescent="0.2">
      <c r="B178" s="17"/>
      <c r="C178" s="128">
        <v>28</v>
      </c>
      <c r="D178" s="128" t="s">
        <v>339</v>
      </c>
      <c r="E178" s="129" t="s">
        <v>8747</v>
      </c>
      <c r="F178" s="130" t="s">
        <v>8748</v>
      </c>
      <c r="G178" s="131" t="s">
        <v>535</v>
      </c>
      <c r="H178" s="132">
        <v>0.3</v>
      </c>
      <c r="I178" s="133"/>
      <c r="J178" s="134">
        <f t="shared" ref="J178:J186" si="20">ROUND(I178*H178,2)</f>
        <v>0</v>
      </c>
      <c r="K178" s="130"/>
      <c r="L178" s="17"/>
      <c r="M178" s="135"/>
      <c r="N178" s="136" t="s">
        <v>45</v>
      </c>
      <c r="P178" s="137">
        <f t="shared" ref="P178:P186" si="21">O178*H178</f>
        <v>0</v>
      </c>
      <c r="Q178" s="137">
        <v>0</v>
      </c>
      <c r="R178" s="137">
        <f t="shared" ref="R178:R186" si="22">Q178*H178</f>
        <v>0</v>
      </c>
      <c r="S178" s="137">
        <v>0</v>
      </c>
      <c r="T178" s="138">
        <f t="shared" ref="T178:T186" si="23">S178*H178</f>
        <v>0</v>
      </c>
      <c r="AR178" s="139" t="s">
        <v>344</v>
      </c>
      <c r="AT178" s="139" t="s">
        <v>339</v>
      </c>
      <c r="AU178" s="139" t="s">
        <v>90</v>
      </c>
      <c r="AY178" s="2" t="s">
        <v>337</v>
      </c>
      <c r="BE178" s="140">
        <f t="shared" ref="BE178:BE186" si="24">IF(N178="základní",J178,0)</f>
        <v>0</v>
      </c>
      <c r="BF178" s="140">
        <f t="shared" ref="BF178:BF186" si="25">IF(N178="snížená",J178,0)</f>
        <v>0</v>
      </c>
      <c r="BG178" s="140">
        <f t="shared" ref="BG178:BG186" si="26">IF(N178="zákl. přenesená",J178,0)</f>
        <v>0</v>
      </c>
      <c r="BH178" s="140">
        <f t="shared" ref="BH178:BH186" si="27">IF(N178="sníž. přenesená",J178,0)</f>
        <v>0</v>
      </c>
      <c r="BI178" s="140">
        <f t="shared" ref="BI178:BI186" si="28">IF(N178="nulová",J178,0)</f>
        <v>0</v>
      </c>
      <c r="BJ178" s="2" t="s">
        <v>87</v>
      </c>
      <c r="BK178" s="140">
        <f t="shared" ref="BK178:BK186" si="29">ROUND(I178*H178,2)</f>
        <v>0</v>
      </c>
      <c r="BL178" s="2" t="s">
        <v>344</v>
      </c>
      <c r="BM178" s="139" t="s">
        <v>797</v>
      </c>
    </row>
    <row r="179" spans="2:65" s="16" customFormat="1" ht="16.5" customHeight="1" x14ac:dyDescent="0.2">
      <c r="B179" s="17"/>
      <c r="C179" s="128">
        <v>29</v>
      </c>
      <c r="D179" s="128" t="s">
        <v>339</v>
      </c>
      <c r="E179" s="129" t="s">
        <v>8749</v>
      </c>
      <c r="F179" s="130" t="s">
        <v>8750</v>
      </c>
      <c r="G179" s="131" t="s">
        <v>535</v>
      </c>
      <c r="H179" s="132">
        <v>0.6</v>
      </c>
      <c r="I179" s="133"/>
      <c r="J179" s="134">
        <f t="shared" si="20"/>
        <v>0</v>
      </c>
      <c r="K179" s="130"/>
      <c r="L179" s="17"/>
      <c r="M179" s="135"/>
      <c r="N179" s="136" t="s">
        <v>45</v>
      </c>
      <c r="P179" s="137">
        <f t="shared" si="21"/>
        <v>0</v>
      </c>
      <c r="Q179" s="137">
        <v>0</v>
      </c>
      <c r="R179" s="137">
        <f t="shared" si="22"/>
        <v>0</v>
      </c>
      <c r="S179" s="137">
        <v>0</v>
      </c>
      <c r="T179" s="138">
        <f t="shared" si="23"/>
        <v>0</v>
      </c>
      <c r="AR179" s="139" t="s">
        <v>344</v>
      </c>
      <c r="AT179" s="139" t="s">
        <v>339</v>
      </c>
      <c r="AU179" s="139" t="s">
        <v>90</v>
      </c>
      <c r="AY179" s="2" t="s">
        <v>337</v>
      </c>
      <c r="BE179" s="140">
        <f t="shared" si="24"/>
        <v>0</v>
      </c>
      <c r="BF179" s="140">
        <f t="shared" si="25"/>
        <v>0</v>
      </c>
      <c r="BG179" s="140">
        <f t="shared" si="26"/>
        <v>0</v>
      </c>
      <c r="BH179" s="140">
        <f t="shared" si="27"/>
        <v>0</v>
      </c>
      <c r="BI179" s="140">
        <f t="shared" si="28"/>
        <v>0</v>
      </c>
      <c r="BJ179" s="2" t="s">
        <v>87</v>
      </c>
      <c r="BK179" s="140">
        <f t="shared" si="29"/>
        <v>0</v>
      </c>
      <c r="BL179" s="2" t="s">
        <v>344</v>
      </c>
      <c r="BM179" s="139" t="s">
        <v>807</v>
      </c>
    </row>
    <row r="180" spans="2:65" s="16" customFormat="1" ht="16.5" customHeight="1" x14ac:dyDescent="0.2">
      <c r="B180" s="17"/>
      <c r="C180" s="128">
        <v>30</v>
      </c>
      <c r="D180" s="128" t="s">
        <v>339</v>
      </c>
      <c r="E180" s="129" t="s">
        <v>8751</v>
      </c>
      <c r="F180" s="130" t="s">
        <v>8752</v>
      </c>
      <c r="G180" s="131" t="s">
        <v>342</v>
      </c>
      <c r="H180" s="132">
        <v>2.4</v>
      </c>
      <c r="I180" s="133"/>
      <c r="J180" s="134">
        <f t="shared" si="20"/>
        <v>0</v>
      </c>
      <c r="K180" s="130"/>
      <c r="L180" s="17"/>
      <c r="M180" s="135"/>
      <c r="N180" s="136" t="s">
        <v>45</v>
      </c>
      <c r="P180" s="137">
        <f t="shared" si="21"/>
        <v>0</v>
      </c>
      <c r="Q180" s="137">
        <v>0</v>
      </c>
      <c r="R180" s="137">
        <f t="shared" si="22"/>
        <v>0</v>
      </c>
      <c r="S180" s="137">
        <v>0</v>
      </c>
      <c r="T180" s="138">
        <f t="shared" si="23"/>
        <v>0</v>
      </c>
      <c r="AR180" s="139" t="s">
        <v>344</v>
      </c>
      <c r="AT180" s="139" t="s">
        <v>339</v>
      </c>
      <c r="AU180" s="139" t="s">
        <v>90</v>
      </c>
      <c r="AY180" s="2" t="s">
        <v>337</v>
      </c>
      <c r="BE180" s="140">
        <f t="shared" si="24"/>
        <v>0</v>
      </c>
      <c r="BF180" s="140">
        <f t="shared" si="25"/>
        <v>0</v>
      </c>
      <c r="BG180" s="140">
        <f t="shared" si="26"/>
        <v>0</v>
      </c>
      <c r="BH180" s="140">
        <f t="shared" si="27"/>
        <v>0</v>
      </c>
      <c r="BI180" s="140">
        <f t="shared" si="28"/>
        <v>0</v>
      </c>
      <c r="BJ180" s="2" t="s">
        <v>87</v>
      </c>
      <c r="BK180" s="140">
        <f t="shared" si="29"/>
        <v>0</v>
      </c>
      <c r="BL180" s="2" t="s">
        <v>344</v>
      </c>
      <c r="BM180" s="139" t="s">
        <v>818</v>
      </c>
    </row>
    <row r="181" spans="2:65" s="16" customFormat="1" ht="16.5" customHeight="1" x14ac:dyDescent="0.2">
      <c r="B181" s="17"/>
      <c r="C181" s="128">
        <v>31</v>
      </c>
      <c r="D181" s="128" t="s">
        <v>339</v>
      </c>
      <c r="E181" s="129" t="s">
        <v>8753</v>
      </c>
      <c r="F181" s="130" t="s">
        <v>8724</v>
      </c>
      <c r="G181" s="131" t="s">
        <v>4460</v>
      </c>
      <c r="H181" s="132">
        <v>3</v>
      </c>
      <c r="I181" s="133"/>
      <c r="J181" s="134">
        <f t="shared" si="20"/>
        <v>0</v>
      </c>
      <c r="K181" s="130"/>
      <c r="L181" s="17"/>
      <c r="M181" s="135"/>
      <c r="N181" s="136" t="s">
        <v>45</v>
      </c>
      <c r="P181" s="137">
        <f t="shared" si="21"/>
        <v>0</v>
      </c>
      <c r="Q181" s="137">
        <v>0</v>
      </c>
      <c r="R181" s="137">
        <f t="shared" si="22"/>
        <v>0</v>
      </c>
      <c r="S181" s="137">
        <v>0</v>
      </c>
      <c r="T181" s="138">
        <f t="shared" si="23"/>
        <v>0</v>
      </c>
      <c r="AR181" s="139" t="s">
        <v>344</v>
      </c>
      <c r="AT181" s="139" t="s">
        <v>339</v>
      </c>
      <c r="AU181" s="139" t="s">
        <v>90</v>
      </c>
      <c r="AY181" s="2" t="s">
        <v>337</v>
      </c>
      <c r="BE181" s="140">
        <f t="shared" si="24"/>
        <v>0</v>
      </c>
      <c r="BF181" s="140">
        <f t="shared" si="25"/>
        <v>0</v>
      </c>
      <c r="BG181" s="140">
        <f t="shared" si="26"/>
        <v>0</v>
      </c>
      <c r="BH181" s="140">
        <f t="shared" si="27"/>
        <v>0</v>
      </c>
      <c r="BI181" s="140">
        <f t="shared" si="28"/>
        <v>0</v>
      </c>
      <c r="BJ181" s="2" t="s">
        <v>87</v>
      </c>
      <c r="BK181" s="140">
        <f t="shared" si="29"/>
        <v>0</v>
      </c>
      <c r="BL181" s="2" t="s">
        <v>344</v>
      </c>
      <c r="BM181" s="139" t="s">
        <v>829</v>
      </c>
    </row>
    <row r="182" spans="2:65" s="16" customFormat="1" ht="16.5" customHeight="1" x14ac:dyDescent="0.2">
      <c r="B182" s="17"/>
      <c r="C182" s="128">
        <v>32</v>
      </c>
      <c r="D182" s="128" t="s">
        <v>339</v>
      </c>
      <c r="E182" s="129" t="s">
        <v>8754</v>
      </c>
      <c r="F182" s="130" t="s">
        <v>8755</v>
      </c>
      <c r="G182" s="131" t="s">
        <v>4460</v>
      </c>
      <c r="H182" s="132">
        <v>3</v>
      </c>
      <c r="I182" s="133"/>
      <c r="J182" s="134">
        <f t="shared" si="20"/>
        <v>0</v>
      </c>
      <c r="K182" s="130"/>
      <c r="L182" s="17"/>
      <c r="M182" s="135"/>
      <c r="N182" s="136" t="s">
        <v>45</v>
      </c>
      <c r="P182" s="137">
        <f t="shared" si="21"/>
        <v>0</v>
      </c>
      <c r="Q182" s="137">
        <v>0</v>
      </c>
      <c r="R182" s="137">
        <f t="shared" si="22"/>
        <v>0</v>
      </c>
      <c r="S182" s="137">
        <v>0</v>
      </c>
      <c r="T182" s="138">
        <f t="shared" si="23"/>
        <v>0</v>
      </c>
      <c r="AR182" s="139" t="s">
        <v>344</v>
      </c>
      <c r="AT182" s="139" t="s">
        <v>339</v>
      </c>
      <c r="AU182" s="139" t="s">
        <v>90</v>
      </c>
      <c r="AY182" s="2" t="s">
        <v>337</v>
      </c>
      <c r="BE182" s="140">
        <f t="shared" si="24"/>
        <v>0</v>
      </c>
      <c r="BF182" s="140">
        <f t="shared" si="25"/>
        <v>0</v>
      </c>
      <c r="BG182" s="140">
        <f t="shared" si="26"/>
        <v>0</v>
      </c>
      <c r="BH182" s="140">
        <f t="shared" si="27"/>
        <v>0</v>
      </c>
      <c r="BI182" s="140">
        <f t="shared" si="28"/>
        <v>0</v>
      </c>
      <c r="BJ182" s="2" t="s">
        <v>87</v>
      </c>
      <c r="BK182" s="140">
        <f t="shared" si="29"/>
        <v>0</v>
      </c>
      <c r="BL182" s="2" t="s">
        <v>344</v>
      </c>
      <c r="BM182" s="139" t="s">
        <v>850</v>
      </c>
    </row>
    <row r="183" spans="2:65" s="16" customFormat="1" ht="16.5" customHeight="1" x14ac:dyDescent="0.2">
      <c r="B183" s="17"/>
      <c r="C183" s="128">
        <v>33</v>
      </c>
      <c r="D183" s="128" t="s">
        <v>339</v>
      </c>
      <c r="E183" s="129" t="s">
        <v>8756</v>
      </c>
      <c r="F183" s="130" t="s">
        <v>8757</v>
      </c>
      <c r="G183" s="131" t="s">
        <v>342</v>
      </c>
      <c r="H183" s="132">
        <v>1</v>
      </c>
      <c r="I183" s="133"/>
      <c r="J183" s="134">
        <f t="shared" si="20"/>
        <v>0</v>
      </c>
      <c r="K183" s="130"/>
      <c r="L183" s="17"/>
      <c r="M183" s="135"/>
      <c r="N183" s="136" t="s">
        <v>45</v>
      </c>
      <c r="P183" s="137">
        <f t="shared" si="21"/>
        <v>0</v>
      </c>
      <c r="Q183" s="137">
        <v>0</v>
      </c>
      <c r="R183" s="137">
        <f t="shared" si="22"/>
        <v>0</v>
      </c>
      <c r="S183" s="137">
        <v>0</v>
      </c>
      <c r="T183" s="138">
        <f t="shared" si="23"/>
        <v>0</v>
      </c>
      <c r="AR183" s="139" t="s">
        <v>344</v>
      </c>
      <c r="AT183" s="139" t="s">
        <v>339</v>
      </c>
      <c r="AU183" s="139" t="s">
        <v>90</v>
      </c>
      <c r="AY183" s="2" t="s">
        <v>337</v>
      </c>
      <c r="BE183" s="140">
        <f t="shared" si="24"/>
        <v>0</v>
      </c>
      <c r="BF183" s="140">
        <f t="shared" si="25"/>
        <v>0</v>
      </c>
      <c r="BG183" s="140">
        <f t="shared" si="26"/>
        <v>0</v>
      </c>
      <c r="BH183" s="140">
        <f t="shared" si="27"/>
        <v>0</v>
      </c>
      <c r="BI183" s="140">
        <f t="shared" si="28"/>
        <v>0</v>
      </c>
      <c r="BJ183" s="2" t="s">
        <v>87</v>
      </c>
      <c r="BK183" s="140">
        <f t="shared" si="29"/>
        <v>0</v>
      </c>
      <c r="BL183" s="2" t="s">
        <v>344</v>
      </c>
      <c r="BM183" s="139" t="s">
        <v>3442</v>
      </c>
    </row>
    <row r="184" spans="2:65" s="16" customFormat="1" ht="16.5" customHeight="1" x14ac:dyDescent="0.2">
      <c r="B184" s="17"/>
      <c r="C184" s="128">
        <v>34</v>
      </c>
      <c r="D184" s="128" t="s">
        <v>339</v>
      </c>
      <c r="E184" s="129" t="s">
        <v>8758</v>
      </c>
      <c r="F184" s="130" t="s">
        <v>8759</v>
      </c>
      <c r="G184" s="131" t="s">
        <v>4460</v>
      </c>
      <c r="H184" s="132">
        <v>9</v>
      </c>
      <c r="I184" s="133"/>
      <c r="J184" s="134">
        <f t="shared" si="20"/>
        <v>0</v>
      </c>
      <c r="K184" s="130"/>
      <c r="L184" s="17"/>
      <c r="M184" s="135"/>
      <c r="N184" s="136" t="s">
        <v>45</v>
      </c>
      <c r="P184" s="137">
        <f t="shared" si="21"/>
        <v>0</v>
      </c>
      <c r="Q184" s="137">
        <v>0</v>
      </c>
      <c r="R184" s="137">
        <f t="shared" si="22"/>
        <v>0</v>
      </c>
      <c r="S184" s="137">
        <v>0</v>
      </c>
      <c r="T184" s="138">
        <f t="shared" si="23"/>
        <v>0</v>
      </c>
      <c r="AR184" s="139" t="s">
        <v>344</v>
      </c>
      <c r="AT184" s="139" t="s">
        <v>339</v>
      </c>
      <c r="AU184" s="139" t="s">
        <v>90</v>
      </c>
      <c r="AY184" s="2" t="s">
        <v>337</v>
      </c>
      <c r="BE184" s="140">
        <f t="shared" si="24"/>
        <v>0</v>
      </c>
      <c r="BF184" s="140">
        <f t="shared" si="25"/>
        <v>0</v>
      </c>
      <c r="BG184" s="140">
        <f t="shared" si="26"/>
        <v>0</v>
      </c>
      <c r="BH184" s="140">
        <f t="shared" si="27"/>
        <v>0</v>
      </c>
      <c r="BI184" s="140">
        <f t="shared" si="28"/>
        <v>0</v>
      </c>
      <c r="BJ184" s="2" t="s">
        <v>87</v>
      </c>
      <c r="BK184" s="140">
        <f t="shared" si="29"/>
        <v>0</v>
      </c>
      <c r="BL184" s="2" t="s">
        <v>344</v>
      </c>
      <c r="BM184" s="139" t="s">
        <v>870</v>
      </c>
    </row>
    <row r="185" spans="2:65" s="16" customFormat="1" ht="16.5" customHeight="1" x14ac:dyDescent="0.2">
      <c r="B185" s="17"/>
      <c r="C185" s="128">
        <v>35</v>
      </c>
      <c r="D185" s="128" t="s">
        <v>339</v>
      </c>
      <c r="E185" s="129" t="s">
        <v>8760</v>
      </c>
      <c r="F185" s="130" t="s">
        <v>8761</v>
      </c>
      <c r="G185" s="131" t="s">
        <v>4460</v>
      </c>
      <c r="H185" s="132">
        <v>27</v>
      </c>
      <c r="I185" s="133"/>
      <c r="J185" s="134">
        <f t="shared" si="20"/>
        <v>0</v>
      </c>
      <c r="K185" s="130"/>
      <c r="L185" s="17"/>
      <c r="M185" s="135"/>
      <c r="N185" s="136" t="s">
        <v>45</v>
      </c>
      <c r="P185" s="137">
        <f t="shared" si="21"/>
        <v>0</v>
      </c>
      <c r="Q185" s="137">
        <v>0</v>
      </c>
      <c r="R185" s="137">
        <f t="shared" si="22"/>
        <v>0</v>
      </c>
      <c r="S185" s="137">
        <v>0</v>
      </c>
      <c r="T185" s="138">
        <f t="shared" si="23"/>
        <v>0</v>
      </c>
      <c r="AR185" s="139" t="s">
        <v>344</v>
      </c>
      <c r="AT185" s="139" t="s">
        <v>339</v>
      </c>
      <c r="AU185" s="139" t="s">
        <v>90</v>
      </c>
      <c r="AY185" s="2" t="s">
        <v>337</v>
      </c>
      <c r="BE185" s="140">
        <f t="shared" si="24"/>
        <v>0</v>
      </c>
      <c r="BF185" s="140">
        <f t="shared" si="25"/>
        <v>0</v>
      </c>
      <c r="BG185" s="140">
        <f t="shared" si="26"/>
        <v>0</v>
      </c>
      <c r="BH185" s="140">
        <f t="shared" si="27"/>
        <v>0</v>
      </c>
      <c r="BI185" s="140">
        <f t="shared" si="28"/>
        <v>0</v>
      </c>
      <c r="BJ185" s="2" t="s">
        <v>87</v>
      </c>
      <c r="BK185" s="140">
        <f t="shared" si="29"/>
        <v>0</v>
      </c>
      <c r="BL185" s="2" t="s">
        <v>344</v>
      </c>
      <c r="BM185" s="139" t="s">
        <v>943</v>
      </c>
    </row>
    <row r="186" spans="2:65" s="16" customFormat="1" ht="16.5" customHeight="1" x14ac:dyDescent="0.2">
      <c r="B186" s="17"/>
      <c r="C186" s="128">
        <v>36</v>
      </c>
      <c r="D186" s="128" t="s">
        <v>339</v>
      </c>
      <c r="E186" s="129" t="s">
        <v>8762</v>
      </c>
      <c r="F186" s="130" t="s">
        <v>8763</v>
      </c>
      <c r="G186" s="131" t="s">
        <v>4460</v>
      </c>
      <c r="H186" s="132">
        <v>3</v>
      </c>
      <c r="I186" s="133"/>
      <c r="J186" s="134">
        <f t="shared" si="20"/>
        <v>0</v>
      </c>
      <c r="K186" s="130"/>
      <c r="L186" s="17"/>
      <c r="M186" s="187"/>
      <c r="N186" s="188" t="s">
        <v>45</v>
      </c>
      <c r="O186" s="189"/>
      <c r="P186" s="190">
        <f t="shared" si="21"/>
        <v>0</v>
      </c>
      <c r="Q186" s="190">
        <v>0</v>
      </c>
      <c r="R186" s="190">
        <f t="shared" si="22"/>
        <v>0</v>
      </c>
      <c r="S186" s="190">
        <v>0</v>
      </c>
      <c r="T186" s="191">
        <f t="shared" si="23"/>
        <v>0</v>
      </c>
      <c r="AR186" s="139" t="s">
        <v>344</v>
      </c>
      <c r="AT186" s="139" t="s">
        <v>339</v>
      </c>
      <c r="AU186" s="139" t="s">
        <v>90</v>
      </c>
      <c r="AY186" s="2" t="s">
        <v>337</v>
      </c>
      <c r="BE186" s="140">
        <f t="shared" si="24"/>
        <v>0</v>
      </c>
      <c r="BF186" s="140">
        <f t="shared" si="25"/>
        <v>0</v>
      </c>
      <c r="BG186" s="140">
        <f t="shared" si="26"/>
        <v>0</v>
      </c>
      <c r="BH186" s="140">
        <f t="shared" si="27"/>
        <v>0</v>
      </c>
      <c r="BI186" s="140">
        <f t="shared" si="28"/>
        <v>0</v>
      </c>
      <c r="BJ186" s="2" t="s">
        <v>87</v>
      </c>
      <c r="BK186" s="140">
        <f t="shared" si="29"/>
        <v>0</v>
      </c>
      <c r="BL186" s="2" t="s">
        <v>344</v>
      </c>
      <c r="BM186" s="139" t="s">
        <v>950</v>
      </c>
    </row>
    <row r="187" spans="2:65" s="16" customFormat="1" ht="6.95" customHeight="1" x14ac:dyDescent="0.2">
      <c r="B187" s="30"/>
      <c r="C187" s="19"/>
      <c r="D187" s="19"/>
      <c r="E187" s="19"/>
      <c r="F187" s="19"/>
      <c r="G187" s="19"/>
      <c r="H187" s="19"/>
      <c r="I187" s="19"/>
      <c r="J187" s="19"/>
      <c r="K187" s="19"/>
      <c r="L187" s="17"/>
    </row>
  </sheetData>
  <sheetProtection algorithmName="SHA-512" hashValue="YKpG9pkuMCBMu8V8DQPAGHkSJwBjx+EN7omRDH4V8gZZZfWF562DnKOS3BKMHJbaDTYCpFCKAs0RuJD8ICuiEg==" saltValue="vKJgyfnlmBXVvZE1QbLEXw==" spinCount="100000" sheet="1" objects="1" scenarios="1" formatCells="0" formatColumns="0" formatRows="0" autoFilter="0"/>
  <autoFilter ref="C138:K186" xr:uid="{00000000-0009-0000-0000-000018000000}"/>
  <mergeCells count="10">
    <mergeCell ref="J136:K136"/>
    <mergeCell ref="E87:H87"/>
    <mergeCell ref="E129:H129"/>
    <mergeCell ref="E131:H131"/>
    <mergeCell ref="L2:V2"/>
    <mergeCell ref="E7:H7"/>
    <mergeCell ref="E9:H9"/>
    <mergeCell ref="E18:H18"/>
    <mergeCell ref="E27:H27"/>
    <mergeCell ref="E85:H8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6"/>
  <dimension ref="B2:BM188"/>
  <sheetViews>
    <sheetView showGridLines="0" workbookViewId="0">
      <selection activeCell="F107" sqref="F107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4.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176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s="16" customFormat="1" ht="12" hidden="1" customHeight="1" x14ac:dyDescent="0.2">
      <c r="B8" s="17"/>
      <c r="D8" s="12" t="s">
        <v>190</v>
      </c>
      <c r="L8" s="17"/>
    </row>
    <row r="9" spans="2:46" s="16" customFormat="1" ht="16.5" hidden="1" customHeight="1" x14ac:dyDescent="0.2">
      <c r="B9" s="17"/>
      <c r="E9" s="309" t="s">
        <v>6756</v>
      </c>
      <c r="F9" s="309"/>
      <c r="G9" s="309"/>
      <c r="H9" s="309"/>
      <c r="L9" s="17"/>
    </row>
    <row r="10" spans="2:46" s="16" customFormat="1" hidden="1" x14ac:dyDescent="0.2">
      <c r="B10" s="17"/>
      <c r="L10" s="17"/>
    </row>
    <row r="11" spans="2:46" s="16" customFormat="1" ht="12" hidden="1" customHeight="1" x14ac:dyDescent="0.2">
      <c r="B11" s="17"/>
      <c r="D11" s="12" t="s">
        <v>17</v>
      </c>
      <c r="F11" s="10"/>
      <c r="I11" s="12" t="s">
        <v>18</v>
      </c>
      <c r="J11" s="10"/>
      <c r="L11" s="17"/>
    </row>
    <row r="12" spans="2:46" s="16" customFormat="1" ht="12" hidden="1" customHeight="1" x14ac:dyDescent="0.2">
      <c r="B12" s="17"/>
      <c r="D12" s="12" t="s">
        <v>19</v>
      </c>
      <c r="F12" s="10" t="s">
        <v>8764</v>
      </c>
      <c r="I12" s="12" t="s">
        <v>21</v>
      </c>
      <c r="J12" s="38" t="str">
        <f>IF(Rekapitulace_stavby!AN8&lt;&gt;"",Rekapitulace_stavby!AN8,"")</f>
        <v/>
      </c>
      <c r="L12" s="17"/>
    </row>
    <row r="13" spans="2:46" s="16" customFormat="1" ht="10.9" hidden="1" customHeight="1" x14ac:dyDescent="0.2">
      <c r="B13" s="17"/>
      <c r="L13" s="17"/>
    </row>
    <row r="14" spans="2:46" s="16" customFormat="1" ht="12" hidden="1" customHeight="1" x14ac:dyDescent="0.2">
      <c r="B14" s="17"/>
      <c r="D14" s="12" t="s">
        <v>22</v>
      </c>
      <c r="I14" s="12" t="s">
        <v>23</v>
      </c>
      <c r="J14" s="10" t="s">
        <v>8765</v>
      </c>
      <c r="L14" s="17"/>
    </row>
    <row r="15" spans="2:46" s="16" customFormat="1" ht="18" hidden="1" customHeight="1" x14ac:dyDescent="0.2">
      <c r="B15" s="17"/>
      <c r="E15" s="10" t="s">
        <v>8766</v>
      </c>
      <c r="I15" s="12" t="s">
        <v>26</v>
      </c>
      <c r="J15" s="10" t="s">
        <v>8767</v>
      </c>
      <c r="L15" s="17"/>
    </row>
    <row r="16" spans="2:46" s="16" customFormat="1" ht="6.95" hidden="1" customHeight="1" x14ac:dyDescent="0.2">
      <c r="B16" s="17"/>
      <c r="L16" s="17"/>
    </row>
    <row r="17" spans="2:12" s="16" customFormat="1" ht="12" hidden="1" customHeight="1" x14ac:dyDescent="0.2">
      <c r="B17" s="17"/>
      <c r="D17" s="12" t="s">
        <v>28</v>
      </c>
      <c r="I17" s="12" t="s">
        <v>23</v>
      </c>
      <c r="J17" s="13">
        <f>Rekapitulace_stavby!AN13</f>
        <v>0</v>
      </c>
      <c r="L17" s="17"/>
    </row>
    <row r="18" spans="2:12" s="16" customFormat="1" ht="18" hidden="1" customHeight="1" x14ac:dyDescent="0.2">
      <c r="B18" s="17"/>
      <c r="E18" s="326">
        <f>Rekapitulace_stavby!E14</f>
        <v>0</v>
      </c>
      <c r="F18" s="326"/>
      <c r="G18" s="326"/>
      <c r="H18" s="326"/>
      <c r="I18" s="12" t="s">
        <v>26</v>
      </c>
      <c r="J18" s="13">
        <f>Rekapitulace_stavby!AN14</f>
        <v>0</v>
      </c>
      <c r="L18" s="17"/>
    </row>
    <row r="19" spans="2:12" s="16" customFormat="1" ht="6.95" hidden="1" customHeight="1" x14ac:dyDescent="0.2">
      <c r="B19" s="17"/>
      <c r="L19" s="17"/>
    </row>
    <row r="20" spans="2:12" s="16" customFormat="1" ht="12" hidden="1" customHeight="1" x14ac:dyDescent="0.2">
      <c r="B20" s="17"/>
      <c r="D20" s="12" t="s">
        <v>29</v>
      </c>
      <c r="I20" s="12" t="s">
        <v>23</v>
      </c>
      <c r="J20" s="10" t="str">
        <f>IF(Rekapitulace_stavby!AN16="","",Rekapitulace_stavby!AN16)</f>
        <v>48025721</v>
      </c>
      <c r="L20" s="17"/>
    </row>
    <row r="21" spans="2:12" s="16" customFormat="1" ht="18" hidden="1" customHeight="1" x14ac:dyDescent="0.2">
      <c r="B21" s="17"/>
      <c r="E21" s="10" t="str">
        <f>IF(Rekapitulace_stavby!E17="","",Rekapitulace_stavby!E17)</f>
        <v>MEPRO s.r.o.</v>
      </c>
      <c r="I21" s="12" t="s">
        <v>26</v>
      </c>
      <c r="J21" s="10" t="str">
        <f>IF(Rekapitulace_stavby!AN17="","",Rekapitulace_stavby!AN17)</f>
        <v>CZ48025721</v>
      </c>
      <c r="L21" s="17"/>
    </row>
    <row r="22" spans="2:12" s="16" customFormat="1" ht="6.95" hidden="1" customHeight="1" x14ac:dyDescent="0.2">
      <c r="B22" s="17"/>
      <c r="L22" s="17"/>
    </row>
    <row r="23" spans="2:12" s="16" customFormat="1" ht="12" hidden="1" customHeight="1" x14ac:dyDescent="0.2">
      <c r="B23" s="17"/>
      <c r="D23" s="12" t="s">
        <v>34</v>
      </c>
      <c r="I23" s="12" t="s">
        <v>23</v>
      </c>
      <c r="J23" s="10" t="str">
        <f>IF(Rekapitulace_stavby!AN19="","",Rekapitulace_stavby!AN19)</f>
        <v>25415751</v>
      </c>
      <c r="L23" s="17"/>
    </row>
    <row r="24" spans="2:12" s="16" customFormat="1" ht="18" hidden="1" customHeight="1" x14ac:dyDescent="0.2">
      <c r="B24" s="17"/>
      <c r="E24" s="10" t="str">
        <f>IF(Rekapitulace_stavby!E20="","",Rekapitulace_stavby!E20)</f>
        <v>Propos Liberec s.r.o.</v>
      </c>
      <c r="I24" s="12" t="s">
        <v>26</v>
      </c>
      <c r="J24" s="10" t="str">
        <f>IF(Rekapitulace_stavby!AN20="","",Rekapitulace_stavby!AN20)</f>
        <v>CZ25415751</v>
      </c>
      <c r="L24" s="17"/>
    </row>
    <row r="25" spans="2:12" s="16" customFormat="1" ht="6.95" hidden="1" customHeight="1" x14ac:dyDescent="0.2">
      <c r="B25" s="17"/>
      <c r="L25" s="17"/>
    </row>
    <row r="26" spans="2:12" s="16" customFormat="1" ht="12" hidden="1" customHeight="1" x14ac:dyDescent="0.2">
      <c r="B26" s="17"/>
      <c r="D26" s="12" t="s">
        <v>38</v>
      </c>
      <c r="L26" s="17"/>
    </row>
    <row r="27" spans="2:12" s="81" customFormat="1" ht="47.25" hidden="1" customHeight="1" x14ac:dyDescent="0.2">
      <c r="B27" s="82"/>
      <c r="E27" s="304" t="s">
        <v>8768</v>
      </c>
      <c r="F27" s="304"/>
      <c r="G27" s="304"/>
      <c r="H27" s="304"/>
      <c r="L27" s="82"/>
    </row>
    <row r="28" spans="2:12" s="16" customFormat="1" ht="6.95" hidden="1" customHeight="1" x14ac:dyDescent="0.2">
      <c r="B28" s="17"/>
      <c r="L28" s="17"/>
    </row>
    <row r="29" spans="2:12" s="16" customFormat="1" ht="6.95" hidden="1" customHeight="1" x14ac:dyDescent="0.2">
      <c r="B29" s="17"/>
      <c r="D29" s="39"/>
      <c r="E29" s="39"/>
      <c r="F29" s="39"/>
      <c r="G29" s="39"/>
      <c r="H29" s="39"/>
      <c r="I29" s="39"/>
      <c r="J29" s="39"/>
      <c r="K29" s="39"/>
      <c r="L29" s="17"/>
    </row>
    <row r="30" spans="2:12" s="16" customFormat="1" ht="25.35" hidden="1" customHeight="1" x14ac:dyDescent="0.2">
      <c r="B30" s="17"/>
      <c r="D30" s="84" t="s">
        <v>40</v>
      </c>
      <c r="J30" s="52">
        <f>ROUND(J138, 2)</f>
        <v>0</v>
      </c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14.45" hidden="1" customHeight="1" x14ac:dyDescent="0.2">
      <c r="B32" s="17"/>
      <c r="F32" s="20" t="s">
        <v>42</v>
      </c>
      <c r="I32" s="20" t="s">
        <v>41</v>
      </c>
      <c r="J32" s="20" t="s">
        <v>43</v>
      </c>
      <c r="L32" s="17"/>
    </row>
    <row r="33" spans="2:12" s="16" customFormat="1" ht="14.45" hidden="1" customHeight="1" x14ac:dyDescent="0.2">
      <c r="B33" s="17"/>
      <c r="D33" s="85" t="s">
        <v>44</v>
      </c>
      <c r="E33" s="12" t="s">
        <v>45</v>
      </c>
      <c r="F33" s="73">
        <f>ROUND((SUM(BE138:BE187)),  2)</f>
        <v>0</v>
      </c>
      <c r="I33" s="86">
        <v>0.21</v>
      </c>
      <c r="J33" s="73">
        <f>ROUND(((SUM(BE138:BE187))*I33),  2)</f>
        <v>0</v>
      </c>
      <c r="L33" s="17"/>
    </row>
    <row r="34" spans="2:12" s="16" customFormat="1" ht="14.45" hidden="1" customHeight="1" x14ac:dyDescent="0.2">
      <c r="B34" s="17"/>
      <c r="E34" s="12" t="s">
        <v>46</v>
      </c>
      <c r="F34" s="73">
        <f>ROUND((SUM(BF138:BF187)),  2)</f>
        <v>0</v>
      </c>
      <c r="I34" s="86">
        <v>0.12</v>
      </c>
      <c r="J34" s="73">
        <f>ROUND(((SUM(BF138:BF187))*I34),  2)</f>
        <v>0</v>
      </c>
      <c r="L34" s="17"/>
    </row>
    <row r="35" spans="2:12" s="16" customFormat="1" ht="14.45" hidden="1" customHeight="1" x14ac:dyDescent="0.2">
      <c r="B35" s="17"/>
      <c r="E35" s="12" t="s">
        <v>47</v>
      </c>
      <c r="F35" s="73">
        <f>ROUND((SUM(BG138:BG187)),  2)</f>
        <v>0</v>
      </c>
      <c r="I35" s="86">
        <v>0.21</v>
      </c>
      <c r="J35" s="73">
        <f>0</f>
        <v>0</v>
      </c>
      <c r="L35" s="17"/>
    </row>
    <row r="36" spans="2:12" s="16" customFormat="1" ht="14.45" hidden="1" customHeight="1" x14ac:dyDescent="0.2">
      <c r="B36" s="17"/>
      <c r="E36" s="12" t="s">
        <v>48</v>
      </c>
      <c r="F36" s="73">
        <f>ROUND((SUM(BH138:BH187)),  2)</f>
        <v>0</v>
      </c>
      <c r="I36" s="86">
        <v>0.12</v>
      </c>
      <c r="J36" s="73">
        <f>0</f>
        <v>0</v>
      </c>
      <c r="L36" s="17"/>
    </row>
    <row r="37" spans="2:12" s="16" customFormat="1" ht="14.45" hidden="1" customHeight="1" x14ac:dyDescent="0.2">
      <c r="B37" s="17"/>
      <c r="E37" s="12" t="s">
        <v>49</v>
      </c>
      <c r="F37" s="73">
        <f>ROUND((SUM(BI138:BI187)),  2)</f>
        <v>0</v>
      </c>
      <c r="I37" s="86">
        <v>0</v>
      </c>
      <c r="J37" s="73">
        <f>0</f>
        <v>0</v>
      </c>
      <c r="L37" s="17"/>
    </row>
    <row r="38" spans="2:12" s="16" customFormat="1" ht="6.95" hidden="1" customHeight="1" x14ac:dyDescent="0.2">
      <c r="B38" s="17"/>
      <c r="L38" s="17"/>
    </row>
    <row r="39" spans="2:12" s="16" customFormat="1" ht="25.35" hidden="1" customHeight="1" x14ac:dyDescent="0.2">
      <c r="B39" s="17"/>
      <c r="C39" s="87"/>
      <c r="D39" s="88" t="s">
        <v>50</v>
      </c>
      <c r="E39" s="42"/>
      <c r="F39" s="42"/>
      <c r="G39" s="89" t="s">
        <v>51</v>
      </c>
      <c r="H39" s="90" t="s">
        <v>52</v>
      </c>
      <c r="I39" s="42"/>
      <c r="J39" s="91">
        <f>SUM(J30:J37)</f>
        <v>0</v>
      </c>
      <c r="K39" s="92"/>
      <c r="L39" s="17"/>
    </row>
    <row r="40" spans="2:12" s="16" customFormat="1" ht="14.45" hidden="1" customHeight="1" x14ac:dyDescent="0.2">
      <c r="B40" s="17"/>
      <c r="L40" s="17"/>
    </row>
    <row r="41" spans="2:12" ht="14.45" hidden="1" customHeight="1" x14ac:dyDescent="0.2">
      <c r="B41" s="5"/>
      <c r="L41" s="5"/>
    </row>
    <row r="42" spans="2:12" ht="14.45" hidden="1" customHeight="1" x14ac:dyDescent="0.2">
      <c r="B42" s="5"/>
      <c r="L42" s="5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47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47" s="16" customFormat="1" ht="24.95" customHeight="1" x14ac:dyDescent="0.2">
      <c r="B82" s="17"/>
      <c r="C82" s="6" t="s">
        <v>299</v>
      </c>
      <c r="L82" s="17"/>
    </row>
    <row r="83" spans="2:47" s="16" customFormat="1" ht="6.95" customHeight="1" x14ac:dyDescent="0.2">
      <c r="B83" s="17"/>
      <c r="L83" s="17"/>
    </row>
    <row r="84" spans="2:47" s="16" customFormat="1" ht="12" customHeight="1" x14ac:dyDescent="0.2">
      <c r="B84" s="17"/>
      <c r="C84" s="12" t="s">
        <v>15</v>
      </c>
      <c r="L84" s="17"/>
    </row>
    <row r="85" spans="2:47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47" s="16" customFormat="1" ht="12" customHeight="1" x14ac:dyDescent="0.2">
      <c r="B86" s="17"/>
      <c r="C86" s="12" t="s">
        <v>190</v>
      </c>
      <c r="L86" s="17"/>
    </row>
    <row r="87" spans="2:47" s="16" customFormat="1" ht="16.5" customHeight="1" x14ac:dyDescent="0.2">
      <c r="B87" s="17"/>
      <c r="E87" s="309" t="str">
        <f>E9</f>
        <v>VRN - Vedlejší rozpočtové náklady</v>
      </c>
      <c r="F87" s="309"/>
      <c r="G87" s="309"/>
      <c r="H87" s="309"/>
      <c r="L87" s="17"/>
    </row>
    <row r="88" spans="2:47" s="16" customFormat="1" ht="6.95" customHeight="1" x14ac:dyDescent="0.2">
      <c r="B88" s="17"/>
      <c r="L88" s="17"/>
    </row>
    <row r="89" spans="2:47" s="16" customFormat="1" ht="12" customHeight="1" x14ac:dyDescent="0.2">
      <c r="B89" s="17"/>
      <c r="C89" s="12" t="s">
        <v>19</v>
      </c>
      <c r="F89" s="10" t="str">
        <f>F12</f>
        <v>Stod</v>
      </c>
      <c r="I89" s="12" t="s">
        <v>21</v>
      </c>
      <c r="J89" s="38" t="str">
        <f>IF(J12="","",J12)</f>
        <v/>
      </c>
      <c r="L89" s="17"/>
    </row>
    <row r="90" spans="2:47" s="16" customFormat="1" ht="6.95" customHeight="1" x14ac:dyDescent="0.2">
      <c r="B90" s="17"/>
      <c r="L90" s="17"/>
    </row>
    <row r="91" spans="2:47" s="16" customFormat="1" ht="15.2" customHeight="1" x14ac:dyDescent="0.2">
      <c r="B91" s="17"/>
      <c r="C91" s="12" t="s">
        <v>22</v>
      </c>
      <c r="F91" s="10" t="str">
        <f>E15</f>
        <v>Město Stod</v>
      </c>
      <c r="I91" s="12" t="s">
        <v>29</v>
      </c>
      <c r="J91" s="15" t="str">
        <f>E21</f>
        <v>MEPRO s.r.o.</v>
      </c>
      <c r="L91" s="17"/>
    </row>
    <row r="92" spans="2:47" s="16" customFormat="1" ht="15.2" customHeight="1" x14ac:dyDescent="0.2">
      <c r="B92" s="17"/>
      <c r="C92" s="12" t="s">
        <v>28</v>
      </c>
      <c r="F92" s="10">
        <f>IF(E18="","",E18)</f>
        <v>0</v>
      </c>
      <c r="I92" s="12" t="s">
        <v>34</v>
      </c>
      <c r="J92" s="15" t="str">
        <f>E24</f>
        <v>Propos Liberec s.r.o.</v>
      </c>
      <c r="L92" s="17"/>
    </row>
    <row r="93" spans="2:47" s="16" customFormat="1" ht="10.35" customHeight="1" x14ac:dyDescent="0.2">
      <c r="B93" s="17"/>
      <c r="L93" s="17"/>
    </row>
    <row r="94" spans="2:47" s="16" customFormat="1" ht="29.25" customHeight="1" x14ac:dyDescent="0.2">
      <c r="B94" s="17"/>
      <c r="C94" s="95" t="s">
        <v>300</v>
      </c>
      <c r="D94" s="87"/>
      <c r="E94" s="87"/>
      <c r="F94" s="87"/>
      <c r="G94" s="87"/>
      <c r="H94" s="87"/>
      <c r="I94" s="87"/>
      <c r="J94" s="96" t="s">
        <v>301</v>
      </c>
      <c r="K94" s="87"/>
      <c r="L94" s="17"/>
    </row>
    <row r="95" spans="2:47" s="16" customFormat="1" ht="10.35" customHeight="1" x14ac:dyDescent="0.2">
      <c r="B95" s="17"/>
      <c r="L95" s="17"/>
    </row>
    <row r="96" spans="2:47" s="16" customFormat="1" ht="22.9" customHeight="1" x14ac:dyDescent="0.2">
      <c r="B96" s="17"/>
      <c r="C96" s="97" t="s">
        <v>302</v>
      </c>
      <c r="J96" s="52">
        <f>J138</f>
        <v>0</v>
      </c>
      <c r="L96" s="17"/>
      <c r="AU96" s="2" t="s">
        <v>303</v>
      </c>
    </row>
    <row r="97" spans="2:12" s="98" customFormat="1" ht="24.95" customHeight="1" x14ac:dyDescent="0.2">
      <c r="B97" s="99"/>
      <c r="D97" s="100" t="s">
        <v>6756</v>
      </c>
      <c r="E97" s="101"/>
      <c r="F97" s="101"/>
      <c r="G97" s="101"/>
      <c r="H97" s="101"/>
      <c r="I97" s="101"/>
      <c r="J97" s="102">
        <f>J139</f>
        <v>0</v>
      </c>
      <c r="L97" s="99"/>
    </row>
    <row r="98" spans="2:12" s="70" customFormat="1" ht="19.899999999999999" customHeight="1" x14ac:dyDescent="0.2">
      <c r="B98" s="103"/>
      <c r="D98" s="104" t="s">
        <v>8769</v>
      </c>
      <c r="E98" s="105"/>
      <c r="F98" s="105"/>
      <c r="G98" s="105"/>
      <c r="H98" s="105"/>
      <c r="I98" s="105"/>
      <c r="J98" s="106">
        <f>J140</f>
        <v>0</v>
      </c>
      <c r="L98" s="103"/>
    </row>
    <row r="99" spans="2:12" s="70" customFormat="1" ht="19.899999999999999" customHeight="1" x14ac:dyDescent="0.2">
      <c r="B99" s="103"/>
      <c r="D99" s="104" t="s">
        <v>8770</v>
      </c>
      <c r="E99" s="105"/>
      <c r="F99" s="105"/>
      <c r="G99" s="105"/>
      <c r="H99" s="105"/>
      <c r="I99" s="105"/>
      <c r="J99" s="106">
        <f>J153</f>
        <v>0</v>
      </c>
      <c r="L99" s="103"/>
    </row>
    <row r="100" spans="2:12" s="70" customFormat="1" ht="19.899999999999999" customHeight="1" x14ac:dyDescent="0.2">
      <c r="B100" s="103"/>
      <c r="D100" s="104" t="s">
        <v>6757</v>
      </c>
      <c r="E100" s="105"/>
      <c r="F100" s="105"/>
      <c r="G100" s="105"/>
      <c r="H100" s="105"/>
      <c r="I100" s="105"/>
      <c r="J100" s="106">
        <f>J165</f>
        <v>0</v>
      </c>
      <c r="L100" s="103"/>
    </row>
    <row r="101" spans="2:12" s="70" customFormat="1" ht="19.899999999999999" customHeight="1" x14ac:dyDescent="0.2">
      <c r="B101" s="103"/>
      <c r="D101" s="104" t="s">
        <v>8771</v>
      </c>
      <c r="E101" s="105"/>
      <c r="F101" s="105"/>
      <c r="G101" s="105"/>
      <c r="H101" s="105"/>
      <c r="I101" s="105"/>
      <c r="J101" s="106">
        <f>J179</f>
        <v>0</v>
      </c>
      <c r="L101" s="103"/>
    </row>
    <row r="102" spans="2:12" s="70" customFormat="1" ht="19.899999999999999" customHeight="1" x14ac:dyDescent="0.2">
      <c r="B102" s="103"/>
      <c r="D102" s="104" t="s">
        <v>6758</v>
      </c>
      <c r="E102" s="105"/>
      <c r="F102" s="105"/>
      <c r="G102" s="105"/>
      <c r="H102" s="105"/>
      <c r="I102" s="105"/>
      <c r="J102" s="106">
        <f>J182</f>
        <v>0</v>
      </c>
      <c r="L102" s="103"/>
    </row>
    <row r="103" spans="2:12" s="16" customFormat="1" ht="21.75" customHeight="1" x14ac:dyDescent="0.2">
      <c r="B103" s="17"/>
      <c r="L103" s="17"/>
    </row>
    <row r="104" spans="2:12" s="16" customFormat="1" ht="6.95" customHeight="1" x14ac:dyDescent="0.2">
      <c r="B104" s="30"/>
      <c r="C104" s="19"/>
      <c r="D104" s="19"/>
      <c r="E104" s="19"/>
      <c r="F104" s="19"/>
      <c r="G104" s="19"/>
      <c r="H104" s="19"/>
      <c r="I104" s="19"/>
      <c r="J104" s="19"/>
      <c r="K104" s="19"/>
      <c r="L104" s="17"/>
    </row>
    <row r="108" spans="2:12" ht="3" customHeight="1" x14ac:dyDescent="0.2"/>
    <row r="109" spans="2:12" ht="3" customHeight="1" x14ac:dyDescent="0.2"/>
    <row r="110" spans="2:12" ht="3" customHeight="1" x14ac:dyDescent="0.2"/>
    <row r="111" spans="2:12" ht="3" customHeight="1" x14ac:dyDescent="0.2"/>
    <row r="112" spans="2:12" ht="3" customHeight="1" x14ac:dyDescent="0.2"/>
    <row r="113" spans="2:12" ht="3" customHeight="1" x14ac:dyDescent="0.2"/>
    <row r="114" spans="2:12" ht="3" customHeight="1" x14ac:dyDescent="0.2"/>
    <row r="115" spans="2:12" ht="3" customHeight="1" x14ac:dyDescent="0.2"/>
    <row r="116" spans="2:12" ht="3" customHeight="1" x14ac:dyDescent="0.2"/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ht="3" customHeight="1" x14ac:dyDescent="0.2"/>
    <row r="122" spans="2:12" ht="3" customHeight="1" x14ac:dyDescent="0.2"/>
    <row r="123" spans="2:12" ht="3" customHeight="1" x14ac:dyDescent="0.2"/>
    <row r="124" spans="2:12" s="16" customFormat="1" ht="6.95" customHeight="1" x14ac:dyDescent="0.2">
      <c r="B124" s="31"/>
      <c r="C124" s="28"/>
      <c r="D124" s="28"/>
      <c r="E124" s="28"/>
      <c r="F124" s="28"/>
      <c r="G124" s="28"/>
      <c r="H124" s="28"/>
      <c r="I124" s="28"/>
      <c r="J124" s="28"/>
      <c r="K124" s="28"/>
      <c r="L124" s="17"/>
    </row>
    <row r="125" spans="2:12" s="16" customFormat="1" ht="24.95" customHeight="1" x14ac:dyDescent="0.2">
      <c r="B125" s="17"/>
      <c r="C125" s="6" t="s">
        <v>322</v>
      </c>
      <c r="L125" s="17"/>
    </row>
    <row r="126" spans="2:12" s="16" customFormat="1" ht="6.95" customHeight="1" x14ac:dyDescent="0.2">
      <c r="B126" s="17"/>
      <c r="L126" s="17"/>
    </row>
    <row r="127" spans="2:12" s="16" customFormat="1" ht="12" customHeight="1" x14ac:dyDescent="0.2">
      <c r="B127" s="17"/>
      <c r="C127" s="12" t="s">
        <v>15</v>
      </c>
      <c r="L127" s="17"/>
    </row>
    <row r="128" spans="2:12" s="16" customFormat="1" ht="16.5" customHeight="1" x14ac:dyDescent="0.2">
      <c r="B128" s="17"/>
      <c r="E128" s="325" t="str">
        <f>E7</f>
        <v>Rekonstrukce části Šafránkova pavilonu studentské koleje a nástavba jednoho patra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190</v>
      </c>
      <c r="L129" s="17"/>
    </row>
    <row r="130" spans="2:65" s="16" customFormat="1" ht="16.5" customHeight="1" x14ac:dyDescent="0.2">
      <c r="B130" s="17"/>
      <c r="E130" s="309" t="str">
        <f>E9</f>
        <v>VRN - Vedlejší rozpočtové náklady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">
        <v>20</v>
      </c>
      <c r="I132" s="12" t="s">
        <v>21</v>
      </c>
      <c r="J132" s="38" t="str">
        <f>IF(J12="","",J12)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">
        <v>25</v>
      </c>
      <c r="I134" s="12" t="s">
        <v>29</v>
      </c>
      <c r="J134" s="15" t="str">
        <f>E21</f>
        <v>MEPRO s.r.o.</v>
      </c>
      <c r="L134" s="17"/>
    </row>
    <row r="135" spans="2:65" s="16" customFormat="1" ht="15.2" customHeight="1" x14ac:dyDescent="0.2">
      <c r="B135" s="17"/>
      <c r="C135" s="12" t="s">
        <v>28</v>
      </c>
      <c r="F135" s="286">
        <f>IF(E18="","",E18)</f>
        <v>0</v>
      </c>
      <c r="I135" s="12" t="s">
        <v>34</v>
      </c>
      <c r="J135" s="304" t="str">
        <f>E24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</f>
        <v>0</v>
      </c>
      <c r="Q138" s="39"/>
      <c r="R138" s="113">
        <f>R139</f>
        <v>0</v>
      </c>
      <c r="S138" s="39"/>
      <c r="T138" s="114">
        <f>T139</f>
        <v>0</v>
      </c>
      <c r="AT138" s="2" t="s">
        <v>79</v>
      </c>
      <c r="AU138" s="2" t="s">
        <v>303</v>
      </c>
      <c r="BK138" s="115">
        <f>BK139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174</v>
      </c>
      <c r="F139" s="119" t="s">
        <v>175</v>
      </c>
      <c r="J139" s="120">
        <f>BK139</f>
        <v>0</v>
      </c>
      <c r="L139" s="117"/>
      <c r="M139" s="121"/>
      <c r="P139" s="122">
        <f>P140+P153+P165+P179+P182</f>
        <v>0</v>
      </c>
      <c r="R139" s="122">
        <f>R140+R153+R165+R179+R182</f>
        <v>0</v>
      </c>
      <c r="T139" s="123">
        <f>T140+T153+T165+T179+T182</f>
        <v>0</v>
      </c>
      <c r="AR139" s="118" t="s">
        <v>422</v>
      </c>
      <c r="AT139" s="124" t="s">
        <v>79</v>
      </c>
      <c r="AU139" s="124" t="s">
        <v>80</v>
      </c>
      <c r="AY139" s="118" t="s">
        <v>337</v>
      </c>
      <c r="BK139" s="125">
        <f>BK140+BK153+BK165+BK179+BK182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8772</v>
      </c>
      <c r="F140" s="126" t="s">
        <v>8773</v>
      </c>
      <c r="J140" s="127">
        <f>BK140</f>
        <v>0</v>
      </c>
      <c r="L140" s="117"/>
      <c r="M140" s="121"/>
      <c r="P140" s="122">
        <f>SUM(P141:P152)</f>
        <v>0</v>
      </c>
      <c r="R140" s="122">
        <f>SUM(R141:R152)</f>
        <v>0</v>
      </c>
      <c r="T140" s="123">
        <f>SUM(T141:T152)</f>
        <v>0</v>
      </c>
      <c r="AR140" s="118" t="s">
        <v>422</v>
      </c>
      <c r="AT140" s="124" t="s">
        <v>79</v>
      </c>
      <c r="AU140" s="124" t="s">
        <v>87</v>
      </c>
      <c r="AY140" s="118" t="s">
        <v>337</v>
      </c>
      <c r="BK140" s="125">
        <f>SUM(BK141:BK152)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8774</v>
      </c>
      <c r="F141" s="130" t="s">
        <v>8775</v>
      </c>
      <c r="G141" s="131" t="s">
        <v>8776</v>
      </c>
      <c r="H141" s="132">
        <v>1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8137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8137</v>
      </c>
      <c r="BM141" s="139" t="s">
        <v>8777</v>
      </c>
    </row>
    <row r="142" spans="2:65" s="16" customFormat="1" ht="16.5" customHeight="1" x14ac:dyDescent="0.2">
      <c r="B142" s="17"/>
      <c r="C142" s="128">
        <v>2</v>
      </c>
      <c r="D142" s="128" t="s">
        <v>339</v>
      </c>
      <c r="E142" s="129" t="s">
        <v>8778</v>
      </c>
      <c r="F142" s="130" t="s">
        <v>8779</v>
      </c>
      <c r="G142" s="131" t="s">
        <v>8776</v>
      </c>
      <c r="H142" s="132">
        <v>1</v>
      </c>
      <c r="I142" s="133"/>
      <c r="J142" s="134">
        <f>ROUND(I142*H142,2)</f>
        <v>0</v>
      </c>
      <c r="K142" s="130" t="s">
        <v>343</v>
      </c>
      <c r="L142" s="17"/>
      <c r="M142" s="135"/>
      <c r="N142" s="136" t="s">
        <v>45</v>
      </c>
      <c r="P142" s="137">
        <f>O142*H142</f>
        <v>0</v>
      </c>
      <c r="Q142" s="137">
        <v>0</v>
      </c>
      <c r="R142" s="137">
        <f>Q142*H142</f>
        <v>0</v>
      </c>
      <c r="S142" s="137">
        <v>0</v>
      </c>
      <c r="T142" s="138">
        <f>S142*H142</f>
        <v>0</v>
      </c>
      <c r="AR142" s="139" t="s">
        <v>8137</v>
      </c>
      <c r="AT142" s="139" t="s">
        <v>339</v>
      </c>
      <c r="AU142" s="139" t="s">
        <v>90</v>
      </c>
      <c r="AY142" s="2" t="s">
        <v>337</v>
      </c>
      <c r="BE142" s="140">
        <f>IF(N142="základní",J142,0)</f>
        <v>0</v>
      </c>
      <c r="BF142" s="140">
        <f>IF(N142="snížená",J142,0)</f>
        <v>0</v>
      </c>
      <c r="BG142" s="140">
        <f>IF(N142="zákl. přenesená",J142,0)</f>
        <v>0</v>
      </c>
      <c r="BH142" s="140">
        <f>IF(N142="sníž. přenesená",J142,0)</f>
        <v>0</v>
      </c>
      <c r="BI142" s="140">
        <f>IF(N142="nulová",J142,0)</f>
        <v>0</v>
      </c>
      <c r="BJ142" s="2" t="s">
        <v>87</v>
      </c>
      <c r="BK142" s="140">
        <f>ROUND(I142*H142,2)</f>
        <v>0</v>
      </c>
      <c r="BL142" s="2" t="s">
        <v>8137</v>
      </c>
      <c r="BM142" s="139" t="s">
        <v>8780</v>
      </c>
    </row>
    <row r="143" spans="2:65" s="141" customFormat="1" x14ac:dyDescent="0.2">
      <c r="B143" s="142"/>
      <c r="D143" s="143" t="s">
        <v>346</v>
      </c>
      <c r="E143" s="144"/>
      <c r="F143" s="145" t="s">
        <v>8781</v>
      </c>
      <c r="H143" s="144"/>
      <c r="L143" s="142"/>
      <c r="M143" s="146"/>
      <c r="T143" s="147"/>
      <c r="AT143" s="144" t="s">
        <v>346</v>
      </c>
      <c r="AU143" s="144" t="s">
        <v>90</v>
      </c>
      <c r="AV143" s="141" t="s">
        <v>87</v>
      </c>
      <c r="AW143" s="141" t="s">
        <v>33</v>
      </c>
      <c r="AX143" s="141" t="s">
        <v>80</v>
      </c>
      <c r="AY143" s="144" t="s">
        <v>337</v>
      </c>
    </row>
    <row r="144" spans="2:65" s="148" customFormat="1" x14ac:dyDescent="0.2">
      <c r="B144" s="149"/>
      <c r="D144" s="143" t="s">
        <v>346</v>
      </c>
      <c r="E144" s="150"/>
      <c r="F144" s="151" t="s">
        <v>87</v>
      </c>
      <c r="H144" s="152">
        <v>1</v>
      </c>
      <c r="L144" s="149"/>
      <c r="M144" s="153"/>
      <c r="T144" s="154"/>
      <c r="AT144" s="150" t="s">
        <v>346</v>
      </c>
      <c r="AU144" s="150" t="s">
        <v>90</v>
      </c>
      <c r="AV144" s="148" t="s">
        <v>90</v>
      </c>
      <c r="AW144" s="148" t="s">
        <v>33</v>
      </c>
      <c r="AX144" s="148" t="s">
        <v>87</v>
      </c>
      <c r="AY144" s="150" t="s">
        <v>337</v>
      </c>
    </row>
    <row r="145" spans="2:65" s="16" customFormat="1" ht="16.5" customHeight="1" x14ac:dyDescent="0.2">
      <c r="B145" s="17"/>
      <c r="C145" s="128">
        <v>3</v>
      </c>
      <c r="D145" s="128" t="s">
        <v>339</v>
      </c>
      <c r="E145" s="129" t="s">
        <v>8782</v>
      </c>
      <c r="F145" s="130" t="s">
        <v>8783</v>
      </c>
      <c r="G145" s="131" t="s">
        <v>8776</v>
      </c>
      <c r="H145" s="132">
        <v>1</v>
      </c>
      <c r="I145" s="133"/>
      <c r="J145" s="134">
        <f t="shared" ref="J145:J152" si="0">ROUND(I145*H145,2)</f>
        <v>0</v>
      </c>
      <c r="K145" s="130" t="s">
        <v>343</v>
      </c>
      <c r="L145" s="17"/>
      <c r="M145" s="135"/>
      <c r="N145" s="136" t="s">
        <v>45</v>
      </c>
      <c r="P145" s="137">
        <f t="shared" ref="P145:P152" si="1">O145*H145</f>
        <v>0</v>
      </c>
      <c r="Q145" s="137">
        <v>0</v>
      </c>
      <c r="R145" s="137">
        <f t="shared" ref="R145:R152" si="2">Q145*H145</f>
        <v>0</v>
      </c>
      <c r="S145" s="137">
        <v>0</v>
      </c>
      <c r="T145" s="138">
        <f t="shared" ref="T145:T152" si="3">S145*H145</f>
        <v>0</v>
      </c>
      <c r="AR145" s="139" t="s">
        <v>8137</v>
      </c>
      <c r="AT145" s="139" t="s">
        <v>339</v>
      </c>
      <c r="AU145" s="139" t="s">
        <v>90</v>
      </c>
      <c r="AY145" s="2" t="s">
        <v>337</v>
      </c>
      <c r="BE145" s="140">
        <f t="shared" ref="BE145:BE152" si="4">IF(N145="základní",J145,0)</f>
        <v>0</v>
      </c>
      <c r="BF145" s="140">
        <f t="shared" ref="BF145:BF152" si="5">IF(N145="snížená",J145,0)</f>
        <v>0</v>
      </c>
      <c r="BG145" s="140">
        <f t="shared" ref="BG145:BG152" si="6">IF(N145="zákl. přenesená",J145,0)</f>
        <v>0</v>
      </c>
      <c r="BH145" s="140">
        <f t="shared" ref="BH145:BH152" si="7">IF(N145="sníž. přenesená",J145,0)</f>
        <v>0</v>
      </c>
      <c r="BI145" s="140">
        <f t="shared" ref="BI145:BI152" si="8">IF(N145="nulová",J145,0)</f>
        <v>0</v>
      </c>
      <c r="BJ145" s="2" t="s">
        <v>87</v>
      </c>
      <c r="BK145" s="140">
        <f t="shared" ref="BK145:BK152" si="9">ROUND(I145*H145,2)</f>
        <v>0</v>
      </c>
      <c r="BL145" s="2" t="s">
        <v>8137</v>
      </c>
      <c r="BM145" s="139" t="s">
        <v>8784</v>
      </c>
    </row>
    <row r="146" spans="2:65" s="16" customFormat="1" ht="16.5" customHeight="1" x14ac:dyDescent="0.2">
      <c r="B146" s="17"/>
      <c r="C146" s="128">
        <v>4</v>
      </c>
      <c r="D146" s="128" t="s">
        <v>339</v>
      </c>
      <c r="E146" s="129" t="s">
        <v>8785</v>
      </c>
      <c r="F146" s="130" t="s">
        <v>8786</v>
      </c>
      <c r="G146" s="131" t="s">
        <v>8776</v>
      </c>
      <c r="H146" s="132">
        <v>1</v>
      </c>
      <c r="I146" s="133"/>
      <c r="J146" s="134">
        <f t="shared" si="0"/>
        <v>0</v>
      </c>
      <c r="K146" s="130" t="s">
        <v>343</v>
      </c>
      <c r="L146" s="17"/>
      <c r="M146" s="135"/>
      <c r="N146" s="136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8137</v>
      </c>
      <c r="AT146" s="139" t="s">
        <v>339</v>
      </c>
      <c r="AU146" s="139" t="s">
        <v>90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8137</v>
      </c>
      <c r="BM146" s="139" t="s">
        <v>8787</v>
      </c>
    </row>
    <row r="147" spans="2:65" s="16" customFormat="1" ht="16.5" customHeight="1" x14ac:dyDescent="0.2">
      <c r="B147" s="17"/>
      <c r="C147" s="128">
        <v>5</v>
      </c>
      <c r="D147" s="128" t="s">
        <v>339</v>
      </c>
      <c r="E147" s="129" t="s">
        <v>8788</v>
      </c>
      <c r="F147" s="130" t="s">
        <v>8789</v>
      </c>
      <c r="G147" s="131" t="s">
        <v>8776</v>
      </c>
      <c r="H147" s="132">
        <v>1</v>
      </c>
      <c r="I147" s="133"/>
      <c r="J147" s="134">
        <f t="shared" si="0"/>
        <v>0</v>
      </c>
      <c r="K147" s="130" t="s">
        <v>343</v>
      </c>
      <c r="L147" s="17"/>
      <c r="M147" s="135"/>
      <c r="N147" s="136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AR147" s="139" t="s">
        <v>8137</v>
      </c>
      <c r="AT147" s="139" t="s">
        <v>339</v>
      </c>
      <c r="AU147" s="139" t="s">
        <v>90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8137</v>
      </c>
      <c r="BM147" s="139" t="s">
        <v>8790</v>
      </c>
    </row>
    <row r="148" spans="2:65" s="16" customFormat="1" ht="16.5" customHeight="1" x14ac:dyDescent="0.2">
      <c r="B148" s="17"/>
      <c r="C148" s="128"/>
      <c r="D148" s="128"/>
      <c r="E148" s="129"/>
      <c r="F148" s="145" t="s">
        <v>9246</v>
      </c>
      <c r="G148" s="131"/>
      <c r="H148" s="132"/>
      <c r="I148" s="133"/>
      <c r="J148" s="134"/>
      <c r="K148" s="130"/>
      <c r="L148" s="17"/>
      <c r="M148" s="135"/>
      <c r="N148" s="136"/>
      <c r="P148" s="137"/>
      <c r="Q148" s="137"/>
      <c r="R148" s="137"/>
      <c r="S148" s="137"/>
      <c r="T148" s="138"/>
      <c r="AR148" s="139"/>
      <c r="AT148" s="139"/>
      <c r="AU148" s="139"/>
      <c r="AY148" s="2"/>
      <c r="BE148" s="140"/>
      <c r="BF148" s="140"/>
      <c r="BG148" s="140"/>
      <c r="BH148" s="140"/>
      <c r="BI148" s="140"/>
      <c r="BJ148" s="2"/>
      <c r="BK148" s="140"/>
      <c r="BL148" s="2"/>
      <c r="BM148" s="139"/>
    </row>
    <row r="149" spans="2:65" s="16" customFormat="1" ht="16.5" customHeight="1" x14ac:dyDescent="0.2">
      <c r="B149" s="17"/>
      <c r="C149" s="128">
        <v>6</v>
      </c>
      <c r="D149" s="128" t="s">
        <v>339</v>
      </c>
      <c r="E149" s="129" t="s">
        <v>8791</v>
      </c>
      <c r="F149" s="130" t="s">
        <v>8792</v>
      </c>
      <c r="G149" s="131" t="s">
        <v>8776</v>
      </c>
      <c r="H149" s="132">
        <v>1</v>
      </c>
      <c r="I149" s="133"/>
      <c r="J149" s="134">
        <f t="shared" si="0"/>
        <v>0</v>
      </c>
      <c r="K149" s="130" t="s">
        <v>343</v>
      </c>
      <c r="L149" s="17"/>
      <c r="M149" s="135"/>
      <c r="N149" s="136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8137</v>
      </c>
      <c r="AT149" s="139" t="s">
        <v>339</v>
      </c>
      <c r="AU149" s="139" t="s">
        <v>90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8137</v>
      </c>
      <c r="BM149" s="139" t="s">
        <v>8793</v>
      </c>
    </row>
    <row r="150" spans="2:65" s="16" customFormat="1" ht="16.5" customHeight="1" x14ac:dyDescent="0.2">
      <c r="B150" s="17"/>
      <c r="C150" s="128">
        <v>7</v>
      </c>
      <c r="D150" s="128" t="s">
        <v>339</v>
      </c>
      <c r="E150" s="129" t="s">
        <v>8794</v>
      </c>
      <c r="F150" s="130" t="s">
        <v>8795</v>
      </c>
      <c r="G150" s="131" t="s">
        <v>8776</v>
      </c>
      <c r="H150" s="132">
        <v>1</v>
      </c>
      <c r="I150" s="133"/>
      <c r="J150" s="134">
        <f t="shared" si="0"/>
        <v>0</v>
      </c>
      <c r="K150" s="130"/>
      <c r="L150" s="17"/>
      <c r="M150" s="135"/>
      <c r="N150" s="136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8137</v>
      </c>
      <c r="AT150" s="139" t="s">
        <v>339</v>
      </c>
      <c r="AU150" s="139" t="s">
        <v>90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8137</v>
      </c>
      <c r="BM150" s="139" t="s">
        <v>8796</v>
      </c>
    </row>
    <row r="151" spans="2:65" s="16" customFormat="1" ht="16.5" customHeight="1" x14ac:dyDescent="0.2">
      <c r="B151" s="17"/>
      <c r="C151" s="128">
        <v>8</v>
      </c>
      <c r="D151" s="128" t="s">
        <v>339</v>
      </c>
      <c r="E151" s="129" t="s">
        <v>8797</v>
      </c>
      <c r="F151" s="130" t="s">
        <v>8798</v>
      </c>
      <c r="G151" s="131" t="s">
        <v>8776</v>
      </c>
      <c r="H151" s="132">
        <v>1</v>
      </c>
      <c r="I151" s="133"/>
      <c r="J151" s="134">
        <f t="shared" si="0"/>
        <v>0</v>
      </c>
      <c r="K151" s="130"/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8137</v>
      </c>
      <c r="AT151" s="139" t="s">
        <v>339</v>
      </c>
      <c r="AU151" s="139" t="s">
        <v>90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8137</v>
      </c>
      <c r="BM151" s="139" t="s">
        <v>8799</v>
      </c>
    </row>
    <row r="152" spans="2:65" s="16" customFormat="1" ht="44.25" customHeight="1" x14ac:dyDescent="0.2">
      <c r="B152" s="17"/>
      <c r="C152" s="128">
        <v>9</v>
      </c>
      <c r="D152" s="128" t="s">
        <v>339</v>
      </c>
      <c r="E152" s="129" t="s">
        <v>8800</v>
      </c>
      <c r="F152" s="145" t="s">
        <v>9243</v>
      </c>
      <c r="G152" s="131" t="s">
        <v>8776</v>
      </c>
      <c r="H152" s="132">
        <v>1</v>
      </c>
      <c r="I152" s="133"/>
      <c r="J152" s="134">
        <f t="shared" si="0"/>
        <v>0</v>
      </c>
      <c r="K152" s="130"/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8137</v>
      </c>
      <c r="AT152" s="139" t="s">
        <v>339</v>
      </c>
      <c r="AU152" s="139" t="s">
        <v>90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8137</v>
      </c>
      <c r="BM152" s="139" t="s">
        <v>8801</v>
      </c>
    </row>
    <row r="153" spans="2:65" s="116" customFormat="1" ht="22.9" customHeight="1" x14ac:dyDescent="0.2">
      <c r="B153" s="117"/>
      <c r="D153" s="118" t="s">
        <v>79</v>
      </c>
      <c r="E153" s="126" t="s">
        <v>8802</v>
      </c>
      <c r="F153" s="126" t="s">
        <v>8803</v>
      </c>
      <c r="J153" s="127">
        <f>BK153</f>
        <v>0</v>
      </c>
      <c r="L153" s="117"/>
      <c r="M153" s="121"/>
      <c r="P153" s="122">
        <f>SUM(P154:P164)</f>
        <v>0</v>
      </c>
      <c r="R153" s="122">
        <f>SUM(R154:R164)</f>
        <v>0</v>
      </c>
      <c r="T153" s="123">
        <f>SUM(T154:T164)</f>
        <v>0</v>
      </c>
      <c r="AR153" s="118" t="s">
        <v>422</v>
      </c>
      <c r="AT153" s="124" t="s">
        <v>79</v>
      </c>
      <c r="AU153" s="124" t="s">
        <v>87</v>
      </c>
      <c r="AY153" s="118" t="s">
        <v>337</v>
      </c>
      <c r="BK153" s="125">
        <f>SUM(BK154:BK164)</f>
        <v>0</v>
      </c>
    </row>
    <row r="154" spans="2:65" s="16" customFormat="1" ht="16.5" customHeight="1" x14ac:dyDescent="0.2">
      <c r="B154" s="17"/>
      <c r="C154" s="128">
        <v>10</v>
      </c>
      <c r="D154" s="128" t="s">
        <v>339</v>
      </c>
      <c r="E154" s="129" t="s">
        <v>8804</v>
      </c>
      <c r="F154" s="130" t="s">
        <v>8805</v>
      </c>
      <c r="G154" s="131" t="s">
        <v>8776</v>
      </c>
      <c r="H154" s="132">
        <v>1</v>
      </c>
      <c r="I154" s="133"/>
      <c r="J154" s="134">
        <f>ROUND(I154*H154,2)</f>
        <v>0</v>
      </c>
      <c r="K154" s="130" t="s">
        <v>343</v>
      </c>
      <c r="L154" s="17"/>
      <c r="M154" s="135"/>
      <c r="N154" s="136" t="s">
        <v>45</v>
      </c>
      <c r="P154" s="137">
        <f>O154*H154</f>
        <v>0</v>
      </c>
      <c r="Q154" s="137">
        <v>0</v>
      </c>
      <c r="R154" s="137">
        <f>Q154*H154</f>
        <v>0</v>
      </c>
      <c r="S154" s="137">
        <v>0</v>
      </c>
      <c r="T154" s="138">
        <f>S154*H154</f>
        <v>0</v>
      </c>
      <c r="AR154" s="139" t="s">
        <v>8137</v>
      </c>
      <c r="AT154" s="139" t="s">
        <v>339</v>
      </c>
      <c r="AU154" s="139" t="s">
        <v>90</v>
      </c>
      <c r="AY154" s="2" t="s">
        <v>337</v>
      </c>
      <c r="BE154" s="140">
        <f>IF(N154="základní",J154,0)</f>
        <v>0</v>
      </c>
      <c r="BF154" s="140">
        <f>IF(N154="snížená",J154,0)</f>
        <v>0</v>
      </c>
      <c r="BG154" s="140">
        <f>IF(N154="zákl. přenesená",J154,0)</f>
        <v>0</v>
      </c>
      <c r="BH154" s="140">
        <f>IF(N154="sníž. přenesená",J154,0)</f>
        <v>0</v>
      </c>
      <c r="BI154" s="140">
        <f>IF(N154="nulová",J154,0)</f>
        <v>0</v>
      </c>
      <c r="BJ154" s="2" t="s">
        <v>87</v>
      </c>
      <c r="BK154" s="140">
        <f>ROUND(I154*H154,2)</f>
        <v>0</v>
      </c>
      <c r="BL154" s="2" t="s">
        <v>8137</v>
      </c>
      <c r="BM154" s="139" t="s">
        <v>8806</v>
      </c>
    </row>
    <row r="155" spans="2:65" s="141" customFormat="1" x14ac:dyDescent="0.2">
      <c r="B155" s="142"/>
      <c r="D155" s="143" t="s">
        <v>346</v>
      </c>
      <c r="E155" s="144"/>
      <c r="F155" s="145" t="s">
        <v>8807</v>
      </c>
      <c r="H155" s="144"/>
      <c r="L155" s="142"/>
      <c r="M155" s="146"/>
      <c r="T155" s="147"/>
      <c r="AT155" s="144" t="s">
        <v>346</v>
      </c>
      <c r="AU155" s="144" t="s">
        <v>90</v>
      </c>
      <c r="AV155" s="141" t="s">
        <v>87</v>
      </c>
      <c r="AW155" s="141" t="s">
        <v>33</v>
      </c>
      <c r="AX155" s="141" t="s">
        <v>80</v>
      </c>
      <c r="AY155" s="144" t="s">
        <v>337</v>
      </c>
    </row>
    <row r="156" spans="2:65" s="141" customFormat="1" ht="22.5" x14ac:dyDescent="0.2">
      <c r="B156" s="142"/>
      <c r="D156" s="143" t="s">
        <v>346</v>
      </c>
      <c r="E156" s="144"/>
      <c r="F156" s="145" t="s">
        <v>8808</v>
      </c>
      <c r="H156" s="144"/>
      <c r="L156" s="142"/>
      <c r="M156" s="146"/>
      <c r="T156" s="147"/>
      <c r="AT156" s="144" t="s">
        <v>346</v>
      </c>
      <c r="AU156" s="144" t="s">
        <v>90</v>
      </c>
      <c r="AV156" s="141" t="s">
        <v>87</v>
      </c>
      <c r="AW156" s="141" t="s">
        <v>33</v>
      </c>
      <c r="AX156" s="141" t="s">
        <v>80</v>
      </c>
      <c r="AY156" s="144" t="s">
        <v>337</v>
      </c>
    </row>
    <row r="157" spans="2:65" s="148" customFormat="1" x14ac:dyDescent="0.2">
      <c r="B157" s="149"/>
      <c r="D157" s="143" t="s">
        <v>346</v>
      </c>
      <c r="E157" s="150"/>
      <c r="F157" s="151" t="s">
        <v>87</v>
      </c>
      <c r="H157" s="152">
        <v>1</v>
      </c>
      <c r="L157" s="149"/>
      <c r="M157" s="153"/>
      <c r="T157" s="154"/>
      <c r="AT157" s="150" t="s">
        <v>346</v>
      </c>
      <c r="AU157" s="150" t="s">
        <v>90</v>
      </c>
      <c r="AV157" s="148" t="s">
        <v>90</v>
      </c>
      <c r="AW157" s="148" t="s">
        <v>33</v>
      </c>
      <c r="AX157" s="148" t="s">
        <v>87</v>
      </c>
      <c r="AY157" s="150" t="s">
        <v>337</v>
      </c>
    </row>
    <row r="158" spans="2:65" s="16" customFormat="1" ht="16.5" customHeight="1" x14ac:dyDescent="0.2">
      <c r="B158" s="17"/>
      <c r="C158" s="128">
        <v>11</v>
      </c>
      <c r="D158" s="128" t="s">
        <v>339</v>
      </c>
      <c r="E158" s="129" t="s">
        <v>8809</v>
      </c>
      <c r="F158" s="130" t="s">
        <v>8810</v>
      </c>
      <c r="G158" s="131" t="s">
        <v>8776</v>
      </c>
      <c r="H158" s="132">
        <v>1</v>
      </c>
      <c r="I158" s="133"/>
      <c r="J158" s="134">
        <f>ROUND(I158*H158,2)</f>
        <v>0</v>
      </c>
      <c r="K158" s="130" t="s">
        <v>343</v>
      </c>
      <c r="L158" s="17"/>
      <c r="M158" s="135"/>
      <c r="N158" s="136" t="s">
        <v>45</v>
      </c>
      <c r="P158" s="137">
        <f>O158*H158</f>
        <v>0</v>
      </c>
      <c r="Q158" s="137">
        <v>0</v>
      </c>
      <c r="R158" s="137">
        <f>Q158*H158</f>
        <v>0</v>
      </c>
      <c r="S158" s="137">
        <v>0</v>
      </c>
      <c r="T158" s="138">
        <f>S158*H158</f>
        <v>0</v>
      </c>
      <c r="AR158" s="139" t="s">
        <v>8137</v>
      </c>
      <c r="AT158" s="139" t="s">
        <v>339</v>
      </c>
      <c r="AU158" s="139" t="s">
        <v>90</v>
      </c>
      <c r="AY158" s="2" t="s">
        <v>337</v>
      </c>
      <c r="BE158" s="140">
        <f>IF(N158="základní",J158,0)</f>
        <v>0</v>
      </c>
      <c r="BF158" s="140">
        <f>IF(N158="snížená",J158,0)</f>
        <v>0</v>
      </c>
      <c r="BG158" s="140">
        <f>IF(N158="zákl. přenesená",J158,0)</f>
        <v>0</v>
      </c>
      <c r="BH158" s="140">
        <f>IF(N158="sníž. přenesená",J158,0)</f>
        <v>0</v>
      </c>
      <c r="BI158" s="140">
        <f>IF(N158="nulová",J158,0)</f>
        <v>0</v>
      </c>
      <c r="BJ158" s="2" t="s">
        <v>87</v>
      </c>
      <c r="BK158" s="140">
        <f>ROUND(I158*H158,2)</f>
        <v>0</v>
      </c>
      <c r="BL158" s="2" t="s">
        <v>8137</v>
      </c>
      <c r="BM158" s="139" t="s">
        <v>8811</v>
      </c>
    </row>
    <row r="159" spans="2:65" s="16" customFormat="1" ht="16.5" customHeight="1" x14ac:dyDescent="0.2">
      <c r="B159" s="17"/>
      <c r="C159" s="128">
        <v>12</v>
      </c>
      <c r="D159" s="128" t="s">
        <v>339</v>
      </c>
      <c r="E159" s="129" t="s">
        <v>8812</v>
      </c>
      <c r="F159" s="130" t="s">
        <v>8813</v>
      </c>
      <c r="G159" s="131" t="s">
        <v>8776</v>
      </c>
      <c r="H159" s="132">
        <v>1</v>
      </c>
      <c r="I159" s="133"/>
      <c r="J159" s="134">
        <f>ROUND(I159*H159,2)</f>
        <v>0</v>
      </c>
      <c r="K159" s="130" t="s">
        <v>343</v>
      </c>
      <c r="L159" s="17"/>
      <c r="M159" s="135"/>
      <c r="N159" s="136" t="s">
        <v>45</v>
      </c>
      <c r="P159" s="137">
        <f>O159*H159</f>
        <v>0</v>
      </c>
      <c r="Q159" s="137">
        <v>0</v>
      </c>
      <c r="R159" s="137">
        <f>Q159*H159</f>
        <v>0</v>
      </c>
      <c r="S159" s="137">
        <v>0</v>
      </c>
      <c r="T159" s="138">
        <f>S159*H159</f>
        <v>0</v>
      </c>
      <c r="AR159" s="139" t="s">
        <v>8137</v>
      </c>
      <c r="AT159" s="139" t="s">
        <v>339</v>
      </c>
      <c r="AU159" s="139" t="s">
        <v>90</v>
      </c>
      <c r="AY159" s="2" t="s">
        <v>337</v>
      </c>
      <c r="BE159" s="140">
        <f>IF(N159="základní",J159,0)</f>
        <v>0</v>
      </c>
      <c r="BF159" s="140">
        <f>IF(N159="snížená",J159,0)</f>
        <v>0</v>
      </c>
      <c r="BG159" s="140">
        <f>IF(N159="zákl. přenesená",J159,0)</f>
        <v>0</v>
      </c>
      <c r="BH159" s="140">
        <f>IF(N159="sníž. přenesená",J159,0)</f>
        <v>0</v>
      </c>
      <c r="BI159" s="140">
        <f>IF(N159="nulová",J159,0)</f>
        <v>0</v>
      </c>
      <c r="BJ159" s="2" t="s">
        <v>87</v>
      </c>
      <c r="BK159" s="140">
        <f>ROUND(I159*H159,2)</f>
        <v>0</v>
      </c>
      <c r="BL159" s="2" t="s">
        <v>8137</v>
      </c>
      <c r="BM159" s="139" t="s">
        <v>8814</v>
      </c>
    </row>
    <row r="160" spans="2:65" s="141" customFormat="1" x14ac:dyDescent="0.2">
      <c r="B160" s="142"/>
      <c r="D160" s="143" t="s">
        <v>346</v>
      </c>
      <c r="E160" s="144"/>
      <c r="F160" s="145" t="s">
        <v>8815</v>
      </c>
      <c r="H160" s="144"/>
      <c r="L160" s="142"/>
      <c r="M160" s="146"/>
      <c r="T160" s="147"/>
      <c r="AT160" s="144" t="s">
        <v>346</v>
      </c>
      <c r="AU160" s="144" t="s">
        <v>90</v>
      </c>
      <c r="AV160" s="141" t="s">
        <v>87</v>
      </c>
      <c r="AW160" s="141" t="s">
        <v>33</v>
      </c>
      <c r="AX160" s="141" t="s">
        <v>80</v>
      </c>
      <c r="AY160" s="144" t="s">
        <v>337</v>
      </c>
    </row>
    <row r="161" spans="2:65" s="148" customFormat="1" x14ac:dyDescent="0.2">
      <c r="B161" s="149"/>
      <c r="D161" s="143" t="s">
        <v>346</v>
      </c>
      <c r="E161" s="150"/>
      <c r="F161" s="151" t="s">
        <v>87</v>
      </c>
      <c r="H161" s="152">
        <v>1</v>
      </c>
      <c r="L161" s="149"/>
      <c r="M161" s="153"/>
      <c r="T161" s="154"/>
      <c r="AT161" s="150" t="s">
        <v>346</v>
      </c>
      <c r="AU161" s="150" t="s">
        <v>90</v>
      </c>
      <c r="AV161" s="148" t="s">
        <v>90</v>
      </c>
      <c r="AW161" s="148" t="s">
        <v>33</v>
      </c>
      <c r="AX161" s="148" t="s">
        <v>87</v>
      </c>
      <c r="AY161" s="150" t="s">
        <v>337</v>
      </c>
    </row>
    <row r="162" spans="2:65" s="16" customFormat="1" ht="16.5" customHeight="1" x14ac:dyDescent="0.2">
      <c r="B162" s="17"/>
      <c r="C162" s="128">
        <v>13</v>
      </c>
      <c r="D162" s="128" t="s">
        <v>339</v>
      </c>
      <c r="E162" s="129" t="s">
        <v>8816</v>
      </c>
      <c r="F162" s="130" t="s">
        <v>8817</v>
      </c>
      <c r="G162" s="131" t="s">
        <v>8776</v>
      </c>
      <c r="H162" s="132">
        <v>1</v>
      </c>
      <c r="I162" s="133"/>
      <c r="J162" s="134">
        <f>ROUND(I162*H162,2)</f>
        <v>0</v>
      </c>
      <c r="K162" s="130" t="s">
        <v>343</v>
      </c>
      <c r="L162" s="17"/>
      <c r="M162" s="135"/>
      <c r="N162" s="136" t="s">
        <v>45</v>
      </c>
      <c r="P162" s="137">
        <f>O162*H162</f>
        <v>0</v>
      </c>
      <c r="Q162" s="137">
        <v>0</v>
      </c>
      <c r="R162" s="137">
        <f>Q162*H162</f>
        <v>0</v>
      </c>
      <c r="S162" s="137">
        <v>0</v>
      </c>
      <c r="T162" s="138">
        <f>S162*H162</f>
        <v>0</v>
      </c>
      <c r="AR162" s="139" t="s">
        <v>8137</v>
      </c>
      <c r="AT162" s="139" t="s">
        <v>339</v>
      </c>
      <c r="AU162" s="139" t="s">
        <v>90</v>
      </c>
      <c r="AY162" s="2" t="s">
        <v>337</v>
      </c>
      <c r="BE162" s="140">
        <f>IF(N162="základní",J162,0)</f>
        <v>0</v>
      </c>
      <c r="BF162" s="140">
        <f>IF(N162="snížená",J162,0)</f>
        <v>0</v>
      </c>
      <c r="BG162" s="140">
        <f>IF(N162="zákl. přenesená",J162,0)</f>
        <v>0</v>
      </c>
      <c r="BH162" s="140">
        <f>IF(N162="sníž. přenesená",J162,0)</f>
        <v>0</v>
      </c>
      <c r="BI162" s="140">
        <f>IF(N162="nulová",J162,0)</f>
        <v>0</v>
      </c>
      <c r="BJ162" s="2" t="s">
        <v>87</v>
      </c>
      <c r="BK162" s="140">
        <f>ROUND(I162*H162,2)</f>
        <v>0</v>
      </c>
      <c r="BL162" s="2" t="s">
        <v>8137</v>
      </c>
      <c r="BM162" s="139" t="s">
        <v>8818</v>
      </c>
    </row>
    <row r="163" spans="2:65" s="141" customFormat="1" x14ac:dyDescent="0.2">
      <c r="B163" s="142"/>
      <c r="D163" s="143" t="s">
        <v>346</v>
      </c>
      <c r="E163" s="144"/>
      <c r="F163" s="145" t="s">
        <v>8819</v>
      </c>
      <c r="H163" s="144"/>
      <c r="L163" s="142"/>
      <c r="M163" s="146"/>
      <c r="T163" s="147"/>
      <c r="AT163" s="144" t="s">
        <v>346</v>
      </c>
      <c r="AU163" s="144" t="s">
        <v>90</v>
      </c>
      <c r="AV163" s="141" t="s">
        <v>87</v>
      </c>
      <c r="AW163" s="141" t="s">
        <v>33</v>
      </c>
      <c r="AX163" s="141" t="s">
        <v>80</v>
      </c>
      <c r="AY163" s="144" t="s">
        <v>337</v>
      </c>
    </row>
    <row r="164" spans="2:65" s="148" customFormat="1" x14ac:dyDescent="0.2">
      <c r="B164" s="149"/>
      <c r="D164" s="143" t="s">
        <v>346</v>
      </c>
      <c r="E164" s="150"/>
      <c r="F164" s="151" t="s">
        <v>87</v>
      </c>
      <c r="H164" s="152">
        <v>1</v>
      </c>
      <c r="L164" s="149"/>
      <c r="M164" s="153"/>
      <c r="T164" s="154"/>
      <c r="AT164" s="150" t="s">
        <v>346</v>
      </c>
      <c r="AU164" s="150" t="s">
        <v>90</v>
      </c>
      <c r="AV164" s="148" t="s">
        <v>90</v>
      </c>
      <c r="AW164" s="148" t="s">
        <v>33</v>
      </c>
      <c r="AX164" s="148" t="s">
        <v>87</v>
      </c>
      <c r="AY164" s="150" t="s">
        <v>337</v>
      </c>
    </row>
    <row r="165" spans="2:65" s="116" customFormat="1" ht="22.9" customHeight="1" x14ac:dyDescent="0.2">
      <c r="B165" s="117"/>
      <c r="D165" s="118" t="s">
        <v>79</v>
      </c>
      <c r="E165" s="126" t="s">
        <v>6826</v>
      </c>
      <c r="F165" s="126" t="s">
        <v>6827</v>
      </c>
      <c r="J165" s="127">
        <f>BK165</f>
        <v>0</v>
      </c>
      <c r="L165" s="117"/>
      <c r="M165" s="121"/>
      <c r="P165" s="122">
        <f>SUM(P166:P178)</f>
        <v>0</v>
      </c>
      <c r="R165" s="122">
        <f>SUM(R166:R178)</f>
        <v>0</v>
      </c>
      <c r="T165" s="123">
        <f>SUM(T166:T178)</f>
        <v>0</v>
      </c>
      <c r="AR165" s="118" t="s">
        <v>422</v>
      </c>
      <c r="AT165" s="124" t="s">
        <v>79</v>
      </c>
      <c r="AU165" s="124" t="s">
        <v>87</v>
      </c>
      <c r="AY165" s="118" t="s">
        <v>337</v>
      </c>
      <c r="BK165" s="125">
        <f>SUM(BK166:BK178)</f>
        <v>0</v>
      </c>
    </row>
    <row r="166" spans="2:65" s="16" customFormat="1" ht="16.5" customHeight="1" x14ac:dyDescent="0.2">
      <c r="B166" s="17"/>
      <c r="C166" s="128">
        <v>14</v>
      </c>
      <c r="D166" s="128" t="s">
        <v>339</v>
      </c>
      <c r="E166" s="129" t="s">
        <v>8820</v>
      </c>
      <c r="F166" s="130" t="s">
        <v>8821</v>
      </c>
      <c r="G166" s="131" t="s">
        <v>8776</v>
      </c>
      <c r="H166" s="132">
        <v>1</v>
      </c>
      <c r="I166" s="133"/>
      <c r="J166" s="134">
        <f>ROUND(I166*H166,2)</f>
        <v>0</v>
      </c>
      <c r="K166" s="130"/>
      <c r="L166" s="17"/>
      <c r="M166" s="135"/>
      <c r="N166" s="136" t="s">
        <v>45</v>
      </c>
      <c r="P166" s="137">
        <f>O166*H166</f>
        <v>0</v>
      </c>
      <c r="Q166" s="137">
        <v>0</v>
      </c>
      <c r="R166" s="137">
        <f>Q166*H166</f>
        <v>0</v>
      </c>
      <c r="S166" s="137">
        <v>0</v>
      </c>
      <c r="T166" s="138">
        <f>S166*H166</f>
        <v>0</v>
      </c>
      <c r="AR166" s="139" t="s">
        <v>8137</v>
      </c>
      <c r="AT166" s="139" t="s">
        <v>339</v>
      </c>
      <c r="AU166" s="139" t="s">
        <v>90</v>
      </c>
      <c r="AY166" s="2" t="s">
        <v>337</v>
      </c>
      <c r="BE166" s="140">
        <f>IF(N166="základní",J166,0)</f>
        <v>0</v>
      </c>
      <c r="BF166" s="140">
        <f>IF(N166="snížená",J166,0)</f>
        <v>0</v>
      </c>
      <c r="BG166" s="140">
        <f>IF(N166="zákl. přenesená",J166,0)</f>
        <v>0</v>
      </c>
      <c r="BH166" s="140">
        <f>IF(N166="sníž. přenesená",J166,0)</f>
        <v>0</v>
      </c>
      <c r="BI166" s="140">
        <f>IF(N166="nulová",J166,0)</f>
        <v>0</v>
      </c>
      <c r="BJ166" s="2" t="s">
        <v>87</v>
      </c>
      <c r="BK166" s="140">
        <f>ROUND(I166*H166,2)</f>
        <v>0</v>
      </c>
      <c r="BL166" s="2" t="s">
        <v>8137</v>
      </c>
      <c r="BM166" s="139" t="s">
        <v>8822</v>
      </c>
    </row>
    <row r="167" spans="2:65" s="16" customFormat="1" ht="16.5" customHeight="1" x14ac:dyDescent="0.2">
      <c r="B167" s="17"/>
      <c r="C167" s="128">
        <v>15</v>
      </c>
      <c r="D167" s="128" t="s">
        <v>339</v>
      </c>
      <c r="E167" s="129" t="s">
        <v>8823</v>
      </c>
      <c r="F167" s="130" t="s">
        <v>8824</v>
      </c>
      <c r="G167" s="131" t="s">
        <v>8776</v>
      </c>
      <c r="H167" s="132">
        <v>1</v>
      </c>
      <c r="I167" s="133"/>
      <c r="J167" s="134">
        <f>ROUND(I167*H167,2)</f>
        <v>0</v>
      </c>
      <c r="K167" s="130" t="s">
        <v>343</v>
      </c>
      <c r="L167" s="17"/>
      <c r="M167" s="135"/>
      <c r="N167" s="136" t="s">
        <v>45</v>
      </c>
      <c r="P167" s="137">
        <f>O167*H167</f>
        <v>0</v>
      </c>
      <c r="Q167" s="137">
        <v>0</v>
      </c>
      <c r="R167" s="137">
        <f>Q167*H167</f>
        <v>0</v>
      </c>
      <c r="S167" s="137">
        <v>0</v>
      </c>
      <c r="T167" s="138">
        <f>S167*H167</f>
        <v>0</v>
      </c>
      <c r="AR167" s="139" t="s">
        <v>8137</v>
      </c>
      <c r="AT167" s="139" t="s">
        <v>339</v>
      </c>
      <c r="AU167" s="139" t="s">
        <v>90</v>
      </c>
      <c r="AY167" s="2" t="s">
        <v>337</v>
      </c>
      <c r="BE167" s="140">
        <f>IF(N167="základní",J167,0)</f>
        <v>0</v>
      </c>
      <c r="BF167" s="140">
        <f>IF(N167="snížená",J167,0)</f>
        <v>0</v>
      </c>
      <c r="BG167" s="140">
        <f>IF(N167="zákl. přenesená",J167,0)</f>
        <v>0</v>
      </c>
      <c r="BH167" s="140">
        <f>IF(N167="sníž. přenesená",J167,0)</f>
        <v>0</v>
      </c>
      <c r="BI167" s="140">
        <f>IF(N167="nulová",J167,0)</f>
        <v>0</v>
      </c>
      <c r="BJ167" s="2" t="s">
        <v>87</v>
      </c>
      <c r="BK167" s="140">
        <f>ROUND(I167*H167,2)</f>
        <v>0</v>
      </c>
      <c r="BL167" s="2" t="s">
        <v>8137</v>
      </c>
      <c r="BM167" s="139" t="s">
        <v>8825</v>
      </c>
    </row>
    <row r="168" spans="2:65" s="141" customFormat="1" x14ac:dyDescent="0.2">
      <c r="B168" s="142"/>
      <c r="D168" s="143" t="s">
        <v>346</v>
      </c>
      <c r="E168" s="144"/>
      <c r="F168" s="145" t="s">
        <v>8826</v>
      </c>
      <c r="H168" s="144"/>
      <c r="L168" s="142"/>
      <c r="M168" s="146"/>
      <c r="T168" s="147"/>
      <c r="AT168" s="144" t="s">
        <v>346</v>
      </c>
      <c r="AU168" s="144" t="s">
        <v>90</v>
      </c>
      <c r="AV168" s="141" t="s">
        <v>87</v>
      </c>
      <c r="AW168" s="141" t="s">
        <v>33</v>
      </c>
      <c r="AX168" s="141" t="s">
        <v>80</v>
      </c>
      <c r="AY168" s="144" t="s">
        <v>337</v>
      </c>
    </row>
    <row r="169" spans="2:65" s="141" customFormat="1" ht="22.5" x14ac:dyDescent="0.2">
      <c r="B169" s="142"/>
      <c r="D169" s="143" t="s">
        <v>346</v>
      </c>
      <c r="E169" s="144"/>
      <c r="F169" s="145" t="s">
        <v>8827</v>
      </c>
      <c r="H169" s="144"/>
      <c r="L169" s="142"/>
      <c r="M169" s="146"/>
      <c r="T169" s="147"/>
      <c r="AT169" s="144" t="s">
        <v>346</v>
      </c>
      <c r="AU169" s="144" t="s">
        <v>90</v>
      </c>
      <c r="AV169" s="141" t="s">
        <v>87</v>
      </c>
      <c r="AW169" s="141" t="s">
        <v>33</v>
      </c>
      <c r="AX169" s="141" t="s">
        <v>80</v>
      </c>
      <c r="AY169" s="144" t="s">
        <v>337</v>
      </c>
    </row>
    <row r="170" spans="2:65" s="141" customFormat="1" x14ac:dyDescent="0.2">
      <c r="B170" s="142"/>
      <c r="D170" s="143" t="s">
        <v>346</v>
      </c>
      <c r="E170" s="144"/>
      <c r="F170" s="145" t="s">
        <v>8828</v>
      </c>
      <c r="H170" s="144"/>
      <c r="L170" s="142"/>
      <c r="M170" s="146"/>
      <c r="T170" s="147"/>
      <c r="AT170" s="144" t="s">
        <v>346</v>
      </c>
      <c r="AU170" s="144" t="s">
        <v>90</v>
      </c>
      <c r="AV170" s="141" t="s">
        <v>87</v>
      </c>
      <c r="AW170" s="141" t="s">
        <v>33</v>
      </c>
      <c r="AX170" s="141" t="s">
        <v>80</v>
      </c>
      <c r="AY170" s="144" t="s">
        <v>337</v>
      </c>
    </row>
    <row r="171" spans="2:65" s="148" customFormat="1" x14ac:dyDescent="0.2">
      <c r="B171" s="149"/>
      <c r="D171" s="143" t="s">
        <v>346</v>
      </c>
      <c r="E171" s="150"/>
      <c r="F171" s="151" t="s">
        <v>87</v>
      </c>
      <c r="H171" s="152">
        <v>1</v>
      </c>
      <c r="L171" s="149"/>
      <c r="M171" s="153"/>
      <c r="T171" s="154"/>
      <c r="AT171" s="150" t="s">
        <v>346</v>
      </c>
      <c r="AU171" s="150" t="s">
        <v>90</v>
      </c>
      <c r="AV171" s="148" t="s">
        <v>90</v>
      </c>
      <c r="AW171" s="148" t="s">
        <v>33</v>
      </c>
      <c r="AX171" s="148" t="s">
        <v>87</v>
      </c>
      <c r="AY171" s="150" t="s">
        <v>337</v>
      </c>
    </row>
    <row r="172" spans="2:65" s="16" customFormat="1" ht="16.5" customHeight="1" x14ac:dyDescent="0.2">
      <c r="B172" s="17"/>
      <c r="C172" s="128">
        <v>16</v>
      </c>
      <c r="D172" s="128" t="s">
        <v>339</v>
      </c>
      <c r="E172" s="129" t="s">
        <v>8829</v>
      </c>
      <c r="F172" s="130" t="s">
        <v>8830</v>
      </c>
      <c r="G172" s="131" t="s">
        <v>8776</v>
      </c>
      <c r="H172" s="132">
        <v>1</v>
      </c>
      <c r="I172" s="133"/>
      <c r="J172" s="134">
        <f>ROUND(I172*H172,2)</f>
        <v>0</v>
      </c>
      <c r="K172" s="130" t="s">
        <v>343</v>
      </c>
      <c r="L172" s="17"/>
      <c r="M172" s="135"/>
      <c r="N172" s="136" t="s">
        <v>45</v>
      </c>
      <c r="P172" s="137">
        <f>O172*H172</f>
        <v>0</v>
      </c>
      <c r="Q172" s="137">
        <v>0</v>
      </c>
      <c r="R172" s="137">
        <f>Q172*H172</f>
        <v>0</v>
      </c>
      <c r="S172" s="137">
        <v>0</v>
      </c>
      <c r="T172" s="138">
        <f>S172*H172</f>
        <v>0</v>
      </c>
      <c r="AR172" s="139" t="s">
        <v>8137</v>
      </c>
      <c r="AT172" s="139" t="s">
        <v>339</v>
      </c>
      <c r="AU172" s="139" t="s">
        <v>90</v>
      </c>
      <c r="AY172" s="2" t="s">
        <v>337</v>
      </c>
      <c r="BE172" s="140">
        <f>IF(N172="základní",J172,0)</f>
        <v>0</v>
      </c>
      <c r="BF172" s="140">
        <f>IF(N172="snížená",J172,0)</f>
        <v>0</v>
      </c>
      <c r="BG172" s="140">
        <f>IF(N172="zákl. přenesená",J172,0)</f>
        <v>0</v>
      </c>
      <c r="BH172" s="140">
        <f>IF(N172="sníž. přenesená",J172,0)</f>
        <v>0</v>
      </c>
      <c r="BI172" s="140">
        <f>IF(N172="nulová",J172,0)</f>
        <v>0</v>
      </c>
      <c r="BJ172" s="2" t="s">
        <v>87</v>
      </c>
      <c r="BK172" s="140">
        <f>ROUND(I172*H172,2)</f>
        <v>0</v>
      </c>
      <c r="BL172" s="2" t="s">
        <v>8137</v>
      </c>
      <c r="BM172" s="139" t="s">
        <v>8831</v>
      </c>
    </row>
    <row r="173" spans="2:65" s="16" customFormat="1" ht="16.5" customHeight="1" x14ac:dyDescent="0.2">
      <c r="B173" s="17"/>
      <c r="C173" s="128">
        <v>17</v>
      </c>
      <c r="D173" s="128" t="s">
        <v>339</v>
      </c>
      <c r="E173" s="129" t="s">
        <v>8832</v>
      </c>
      <c r="F173" s="130" t="s">
        <v>8833</v>
      </c>
      <c r="G173" s="131" t="s">
        <v>8776</v>
      </c>
      <c r="H173" s="132">
        <v>1</v>
      </c>
      <c r="I173" s="133"/>
      <c r="J173" s="134">
        <f>ROUND(I173*H173,2)</f>
        <v>0</v>
      </c>
      <c r="K173" s="130" t="s">
        <v>343</v>
      </c>
      <c r="L173" s="17"/>
      <c r="M173" s="135"/>
      <c r="N173" s="136" t="s">
        <v>45</v>
      </c>
      <c r="P173" s="137">
        <f>O173*H173</f>
        <v>0</v>
      </c>
      <c r="Q173" s="137">
        <v>0</v>
      </c>
      <c r="R173" s="137">
        <f>Q173*H173</f>
        <v>0</v>
      </c>
      <c r="S173" s="137">
        <v>0</v>
      </c>
      <c r="T173" s="138">
        <f>S173*H173</f>
        <v>0</v>
      </c>
      <c r="AR173" s="139" t="s">
        <v>8137</v>
      </c>
      <c r="AT173" s="139" t="s">
        <v>339</v>
      </c>
      <c r="AU173" s="139" t="s">
        <v>90</v>
      </c>
      <c r="AY173" s="2" t="s">
        <v>337</v>
      </c>
      <c r="BE173" s="140">
        <f>IF(N173="základní",J173,0)</f>
        <v>0</v>
      </c>
      <c r="BF173" s="140">
        <f>IF(N173="snížená",J173,0)</f>
        <v>0</v>
      </c>
      <c r="BG173" s="140">
        <f>IF(N173="zákl. přenesená",J173,0)</f>
        <v>0</v>
      </c>
      <c r="BH173" s="140">
        <f>IF(N173="sníž. přenesená",J173,0)</f>
        <v>0</v>
      </c>
      <c r="BI173" s="140">
        <f>IF(N173="nulová",J173,0)</f>
        <v>0</v>
      </c>
      <c r="BJ173" s="2" t="s">
        <v>87</v>
      </c>
      <c r="BK173" s="140">
        <f>ROUND(I173*H173,2)</f>
        <v>0</v>
      </c>
      <c r="BL173" s="2" t="s">
        <v>8137</v>
      </c>
      <c r="BM173" s="139" t="s">
        <v>8834</v>
      </c>
    </row>
    <row r="174" spans="2:65" s="141" customFormat="1" x14ac:dyDescent="0.2">
      <c r="B174" s="142"/>
      <c r="D174" s="143" t="s">
        <v>346</v>
      </c>
      <c r="E174" s="144"/>
      <c r="F174" s="145" t="s">
        <v>8835</v>
      </c>
      <c r="H174" s="144"/>
      <c r="L174" s="142"/>
      <c r="M174" s="146"/>
      <c r="T174" s="147"/>
      <c r="AT174" s="144" t="s">
        <v>346</v>
      </c>
      <c r="AU174" s="144" t="s">
        <v>90</v>
      </c>
      <c r="AV174" s="141" t="s">
        <v>87</v>
      </c>
      <c r="AW174" s="141" t="s">
        <v>33</v>
      </c>
      <c r="AX174" s="141" t="s">
        <v>80</v>
      </c>
      <c r="AY174" s="144" t="s">
        <v>337</v>
      </c>
    </row>
    <row r="175" spans="2:65" s="148" customFormat="1" x14ac:dyDescent="0.2">
      <c r="B175" s="149"/>
      <c r="D175" s="143" t="s">
        <v>346</v>
      </c>
      <c r="E175" s="150"/>
      <c r="F175" s="151" t="s">
        <v>87</v>
      </c>
      <c r="H175" s="152">
        <v>1</v>
      </c>
      <c r="L175" s="149"/>
      <c r="M175" s="153"/>
      <c r="T175" s="154"/>
      <c r="AT175" s="150" t="s">
        <v>346</v>
      </c>
      <c r="AU175" s="150" t="s">
        <v>90</v>
      </c>
      <c r="AV175" s="148" t="s">
        <v>90</v>
      </c>
      <c r="AW175" s="148" t="s">
        <v>33</v>
      </c>
      <c r="AX175" s="148" t="s">
        <v>87</v>
      </c>
      <c r="AY175" s="150" t="s">
        <v>337</v>
      </c>
    </row>
    <row r="176" spans="2:65" s="16" customFormat="1" ht="16.5" customHeight="1" x14ac:dyDescent="0.2">
      <c r="B176" s="17"/>
      <c r="C176" s="128">
        <v>18</v>
      </c>
      <c r="D176" s="128" t="s">
        <v>339</v>
      </c>
      <c r="E176" s="129" t="s">
        <v>8836</v>
      </c>
      <c r="F176" s="130" t="s">
        <v>8837</v>
      </c>
      <c r="G176" s="131" t="s">
        <v>8776</v>
      </c>
      <c r="H176" s="132">
        <v>1</v>
      </c>
      <c r="I176" s="133"/>
      <c r="J176" s="134">
        <f>ROUND(I176*H176,2)</f>
        <v>0</v>
      </c>
      <c r="K176" s="130" t="s">
        <v>343</v>
      </c>
      <c r="L176" s="17"/>
      <c r="M176" s="135"/>
      <c r="N176" s="136" t="s">
        <v>45</v>
      </c>
      <c r="P176" s="137">
        <f>O176*H176</f>
        <v>0</v>
      </c>
      <c r="Q176" s="137">
        <v>0</v>
      </c>
      <c r="R176" s="137">
        <f>Q176*H176</f>
        <v>0</v>
      </c>
      <c r="S176" s="137">
        <v>0</v>
      </c>
      <c r="T176" s="138">
        <f>S176*H176</f>
        <v>0</v>
      </c>
      <c r="AR176" s="139" t="s">
        <v>8137</v>
      </c>
      <c r="AT176" s="139" t="s">
        <v>339</v>
      </c>
      <c r="AU176" s="139" t="s">
        <v>90</v>
      </c>
      <c r="AY176" s="2" t="s">
        <v>337</v>
      </c>
      <c r="BE176" s="140">
        <f>IF(N176="základní",J176,0)</f>
        <v>0</v>
      </c>
      <c r="BF176" s="140">
        <f>IF(N176="snížená",J176,0)</f>
        <v>0</v>
      </c>
      <c r="BG176" s="140">
        <f>IF(N176="zákl. přenesená",J176,0)</f>
        <v>0</v>
      </c>
      <c r="BH176" s="140">
        <f>IF(N176="sníž. přenesená",J176,0)</f>
        <v>0</v>
      </c>
      <c r="BI176" s="140">
        <f>IF(N176="nulová",J176,0)</f>
        <v>0</v>
      </c>
      <c r="BJ176" s="2" t="s">
        <v>87</v>
      </c>
      <c r="BK176" s="140">
        <f>ROUND(I176*H176,2)</f>
        <v>0</v>
      </c>
      <c r="BL176" s="2" t="s">
        <v>8137</v>
      </c>
      <c r="BM176" s="139" t="s">
        <v>8838</v>
      </c>
    </row>
    <row r="177" spans="2:65" s="141" customFormat="1" x14ac:dyDescent="0.2">
      <c r="B177" s="142"/>
      <c r="D177" s="143" t="s">
        <v>346</v>
      </c>
      <c r="E177" s="144"/>
      <c r="F177" s="145" t="s">
        <v>8839</v>
      </c>
      <c r="H177" s="144"/>
      <c r="L177" s="142"/>
      <c r="M177" s="146"/>
      <c r="T177" s="147"/>
      <c r="AT177" s="144" t="s">
        <v>346</v>
      </c>
      <c r="AU177" s="144" t="s">
        <v>90</v>
      </c>
      <c r="AV177" s="141" t="s">
        <v>87</v>
      </c>
      <c r="AW177" s="141" t="s">
        <v>33</v>
      </c>
      <c r="AX177" s="141" t="s">
        <v>80</v>
      </c>
      <c r="AY177" s="144" t="s">
        <v>337</v>
      </c>
    </row>
    <row r="178" spans="2:65" s="148" customFormat="1" x14ac:dyDescent="0.2">
      <c r="B178" s="149"/>
      <c r="D178" s="143" t="s">
        <v>346</v>
      </c>
      <c r="E178" s="150"/>
      <c r="F178" s="151" t="s">
        <v>87</v>
      </c>
      <c r="H178" s="152">
        <v>1</v>
      </c>
      <c r="L178" s="149"/>
      <c r="M178" s="153"/>
      <c r="T178" s="154"/>
      <c r="AT178" s="150" t="s">
        <v>346</v>
      </c>
      <c r="AU178" s="150" t="s">
        <v>90</v>
      </c>
      <c r="AV178" s="148" t="s">
        <v>90</v>
      </c>
      <c r="AW178" s="148" t="s">
        <v>33</v>
      </c>
      <c r="AX178" s="148" t="s">
        <v>87</v>
      </c>
      <c r="AY178" s="150" t="s">
        <v>337</v>
      </c>
    </row>
    <row r="179" spans="2:65" s="116" customFormat="1" ht="22.9" customHeight="1" x14ac:dyDescent="0.2">
      <c r="B179" s="117"/>
      <c r="D179" s="118" t="s">
        <v>79</v>
      </c>
      <c r="E179" s="126" t="s">
        <v>8840</v>
      </c>
      <c r="F179" s="126" t="s">
        <v>8841</v>
      </c>
      <c r="J179" s="127">
        <f>BK179</f>
        <v>0</v>
      </c>
      <c r="L179" s="117"/>
      <c r="M179" s="121"/>
      <c r="P179" s="122">
        <f>SUM(P180:P181)</f>
        <v>0</v>
      </c>
      <c r="R179" s="122">
        <f>SUM(R180:R181)</f>
        <v>0</v>
      </c>
      <c r="T179" s="123">
        <f>SUM(T180:T181)</f>
        <v>0</v>
      </c>
      <c r="AR179" s="118" t="s">
        <v>422</v>
      </c>
      <c r="AT179" s="124" t="s">
        <v>79</v>
      </c>
      <c r="AU179" s="124" t="s">
        <v>87</v>
      </c>
      <c r="AY179" s="118" t="s">
        <v>337</v>
      </c>
      <c r="BK179" s="125">
        <f>SUM(BK180:BK181)</f>
        <v>0</v>
      </c>
    </row>
    <row r="180" spans="2:65" s="16" customFormat="1" ht="16.5" customHeight="1" x14ac:dyDescent="0.2">
      <c r="B180" s="17"/>
      <c r="C180" s="128">
        <v>19</v>
      </c>
      <c r="D180" s="128" t="s">
        <v>339</v>
      </c>
      <c r="E180" s="129" t="s">
        <v>8842</v>
      </c>
      <c r="F180" s="130" t="s">
        <v>8843</v>
      </c>
      <c r="G180" s="131" t="s">
        <v>8776</v>
      </c>
      <c r="H180" s="132">
        <v>1</v>
      </c>
      <c r="I180" s="133"/>
      <c r="J180" s="134">
        <f>ROUND(I180*H180,2)</f>
        <v>0</v>
      </c>
      <c r="K180" s="130" t="s">
        <v>343</v>
      </c>
      <c r="L180" s="17"/>
      <c r="M180" s="135"/>
      <c r="N180" s="136" t="s">
        <v>45</v>
      </c>
      <c r="P180" s="137">
        <f>O180*H180</f>
        <v>0</v>
      </c>
      <c r="Q180" s="137">
        <v>0</v>
      </c>
      <c r="R180" s="137">
        <f>Q180*H180</f>
        <v>0</v>
      </c>
      <c r="S180" s="137">
        <v>0</v>
      </c>
      <c r="T180" s="138">
        <f>S180*H180</f>
        <v>0</v>
      </c>
      <c r="AR180" s="139" t="s">
        <v>8137</v>
      </c>
      <c r="AT180" s="139" t="s">
        <v>339</v>
      </c>
      <c r="AU180" s="139" t="s">
        <v>90</v>
      </c>
      <c r="AY180" s="2" t="s">
        <v>337</v>
      </c>
      <c r="BE180" s="140">
        <f>IF(N180="základní",J180,0)</f>
        <v>0</v>
      </c>
      <c r="BF180" s="140">
        <f>IF(N180="snížená",J180,0)</f>
        <v>0</v>
      </c>
      <c r="BG180" s="140">
        <f>IF(N180="zákl. přenesená",J180,0)</f>
        <v>0</v>
      </c>
      <c r="BH180" s="140">
        <f>IF(N180="sníž. přenesená",J180,0)</f>
        <v>0</v>
      </c>
      <c r="BI180" s="140">
        <f>IF(N180="nulová",J180,0)</f>
        <v>0</v>
      </c>
      <c r="BJ180" s="2" t="s">
        <v>87</v>
      </c>
      <c r="BK180" s="140">
        <f>ROUND(I180*H180,2)</f>
        <v>0</v>
      </c>
      <c r="BL180" s="2" t="s">
        <v>8137</v>
      </c>
      <c r="BM180" s="139" t="s">
        <v>8844</v>
      </c>
    </row>
    <row r="181" spans="2:65" s="16" customFormat="1" ht="16.5" customHeight="1" x14ac:dyDescent="0.2">
      <c r="B181" s="17"/>
      <c r="C181" s="128">
        <v>20</v>
      </c>
      <c r="D181" s="128" t="s">
        <v>339</v>
      </c>
      <c r="E181" s="129" t="s">
        <v>8845</v>
      </c>
      <c r="F181" s="130" t="s">
        <v>8846</v>
      </c>
      <c r="G181" s="131" t="s">
        <v>8776</v>
      </c>
      <c r="H181" s="132">
        <v>1</v>
      </c>
      <c r="I181" s="133"/>
      <c r="J181" s="134">
        <f>ROUND(I181*H181,2)</f>
        <v>0</v>
      </c>
      <c r="K181" s="130" t="s">
        <v>343</v>
      </c>
      <c r="L181" s="17"/>
      <c r="M181" s="135"/>
      <c r="N181" s="136" t="s">
        <v>45</v>
      </c>
      <c r="P181" s="137">
        <f>O181*H181</f>
        <v>0</v>
      </c>
      <c r="Q181" s="137">
        <v>0</v>
      </c>
      <c r="R181" s="137">
        <f>Q181*H181</f>
        <v>0</v>
      </c>
      <c r="S181" s="137">
        <v>0</v>
      </c>
      <c r="T181" s="138">
        <f>S181*H181</f>
        <v>0</v>
      </c>
      <c r="AR181" s="139" t="s">
        <v>8137</v>
      </c>
      <c r="AT181" s="139" t="s">
        <v>339</v>
      </c>
      <c r="AU181" s="139" t="s">
        <v>90</v>
      </c>
      <c r="AY181" s="2" t="s">
        <v>337</v>
      </c>
      <c r="BE181" s="140">
        <f>IF(N181="základní",J181,0)</f>
        <v>0</v>
      </c>
      <c r="BF181" s="140">
        <f>IF(N181="snížená",J181,0)</f>
        <v>0</v>
      </c>
      <c r="BG181" s="140">
        <f>IF(N181="zákl. přenesená",J181,0)</f>
        <v>0</v>
      </c>
      <c r="BH181" s="140">
        <f>IF(N181="sníž. přenesená",J181,0)</f>
        <v>0</v>
      </c>
      <c r="BI181" s="140">
        <f>IF(N181="nulová",J181,0)</f>
        <v>0</v>
      </c>
      <c r="BJ181" s="2" t="s">
        <v>87</v>
      </c>
      <c r="BK181" s="140">
        <f>ROUND(I181*H181,2)</f>
        <v>0</v>
      </c>
      <c r="BL181" s="2" t="s">
        <v>8137</v>
      </c>
      <c r="BM181" s="139" t="s">
        <v>8847</v>
      </c>
    </row>
    <row r="182" spans="2:65" s="116" customFormat="1" ht="22.9" customHeight="1" x14ac:dyDescent="0.2">
      <c r="B182" s="117"/>
      <c r="D182" s="118" t="s">
        <v>79</v>
      </c>
      <c r="E182" s="126" t="s">
        <v>6321</v>
      </c>
      <c r="F182" s="126" t="s">
        <v>6322</v>
      </c>
      <c r="J182" s="127">
        <f>BK182</f>
        <v>0</v>
      </c>
      <c r="L182" s="117"/>
      <c r="M182" s="121"/>
      <c r="P182" s="122">
        <f>SUM(P183:P187)</f>
        <v>0</v>
      </c>
      <c r="R182" s="122">
        <f>SUM(R183:R187)</f>
        <v>0</v>
      </c>
      <c r="T182" s="123">
        <f>SUM(T183:T187)</f>
        <v>0</v>
      </c>
      <c r="AR182" s="118" t="s">
        <v>422</v>
      </c>
      <c r="AT182" s="124" t="s">
        <v>79</v>
      </c>
      <c r="AU182" s="124" t="s">
        <v>87</v>
      </c>
      <c r="AY182" s="118" t="s">
        <v>337</v>
      </c>
      <c r="BK182" s="125">
        <f>SUM(BK183:BK187)</f>
        <v>0</v>
      </c>
    </row>
    <row r="183" spans="2:65" s="16" customFormat="1" ht="16.5" customHeight="1" x14ac:dyDescent="0.2">
      <c r="B183" s="17"/>
      <c r="C183" s="128">
        <v>21</v>
      </c>
      <c r="D183" s="128" t="s">
        <v>339</v>
      </c>
      <c r="E183" s="129" t="s">
        <v>8848</v>
      </c>
      <c r="F183" s="130" t="s">
        <v>8849</v>
      </c>
      <c r="G183" s="131" t="s">
        <v>8776</v>
      </c>
      <c r="H183" s="132">
        <v>1</v>
      </c>
      <c r="I183" s="133"/>
      <c r="J183" s="134">
        <f>ROUND(I183*H183,2)</f>
        <v>0</v>
      </c>
      <c r="K183" s="130"/>
      <c r="L183" s="17"/>
      <c r="M183" s="135"/>
      <c r="N183" s="136" t="s">
        <v>45</v>
      </c>
      <c r="P183" s="137">
        <f>O183*H183</f>
        <v>0</v>
      </c>
      <c r="Q183" s="137">
        <v>0</v>
      </c>
      <c r="R183" s="137">
        <f>Q183*H183</f>
        <v>0</v>
      </c>
      <c r="S183" s="137">
        <v>0</v>
      </c>
      <c r="T183" s="138">
        <f>S183*H183</f>
        <v>0</v>
      </c>
      <c r="AR183" s="139" t="s">
        <v>8137</v>
      </c>
      <c r="AT183" s="139" t="s">
        <v>339</v>
      </c>
      <c r="AU183" s="139" t="s">
        <v>90</v>
      </c>
      <c r="AY183" s="2" t="s">
        <v>337</v>
      </c>
      <c r="BE183" s="140">
        <f>IF(N183="základní",J183,0)</f>
        <v>0</v>
      </c>
      <c r="BF183" s="140">
        <f>IF(N183="snížená",J183,0)</f>
        <v>0</v>
      </c>
      <c r="BG183" s="140">
        <f>IF(N183="zákl. přenesená",J183,0)</f>
        <v>0</v>
      </c>
      <c r="BH183" s="140">
        <f>IF(N183="sníž. přenesená",J183,0)</f>
        <v>0</v>
      </c>
      <c r="BI183" s="140">
        <f>IF(N183="nulová",J183,0)</f>
        <v>0</v>
      </c>
      <c r="BJ183" s="2" t="s">
        <v>87</v>
      </c>
      <c r="BK183" s="140">
        <f>ROUND(I183*H183,2)</f>
        <v>0</v>
      </c>
      <c r="BL183" s="2" t="s">
        <v>8137</v>
      </c>
      <c r="BM183" s="139" t="s">
        <v>8850</v>
      </c>
    </row>
    <row r="184" spans="2:65" s="141" customFormat="1" ht="22.5" x14ac:dyDescent="0.2">
      <c r="B184" s="142"/>
      <c r="D184" s="143" t="s">
        <v>346</v>
      </c>
      <c r="E184" s="144"/>
      <c r="F184" s="145" t="s">
        <v>8851</v>
      </c>
      <c r="H184" s="144"/>
      <c r="L184" s="142"/>
      <c r="M184" s="146"/>
      <c r="T184" s="147"/>
      <c r="AT184" s="144" t="s">
        <v>346</v>
      </c>
      <c r="AU184" s="144" t="s">
        <v>90</v>
      </c>
      <c r="AV184" s="141" t="s">
        <v>87</v>
      </c>
      <c r="AW184" s="141" t="s">
        <v>33</v>
      </c>
      <c r="AX184" s="141" t="s">
        <v>80</v>
      </c>
      <c r="AY184" s="144" t="s">
        <v>337</v>
      </c>
    </row>
    <row r="185" spans="2:65" s="141" customFormat="1" ht="22.5" x14ac:dyDescent="0.2">
      <c r="B185" s="142"/>
      <c r="D185" s="143" t="s">
        <v>346</v>
      </c>
      <c r="E185" s="144"/>
      <c r="F185" s="145" t="s">
        <v>8852</v>
      </c>
      <c r="H185" s="144"/>
      <c r="L185" s="142"/>
      <c r="M185" s="146"/>
      <c r="T185" s="147"/>
      <c r="AT185" s="144" t="s">
        <v>346</v>
      </c>
      <c r="AU185" s="144" t="s">
        <v>90</v>
      </c>
      <c r="AV185" s="141" t="s">
        <v>87</v>
      </c>
      <c r="AW185" s="141" t="s">
        <v>33</v>
      </c>
      <c r="AX185" s="141" t="s">
        <v>80</v>
      </c>
      <c r="AY185" s="144" t="s">
        <v>337</v>
      </c>
    </row>
    <row r="186" spans="2:65" s="148" customFormat="1" x14ac:dyDescent="0.2">
      <c r="B186" s="149"/>
      <c r="D186" s="143" t="s">
        <v>346</v>
      </c>
      <c r="E186" s="150"/>
      <c r="F186" s="151" t="s">
        <v>87</v>
      </c>
      <c r="H186" s="152">
        <v>1</v>
      </c>
      <c r="L186" s="149"/>
      <c r="M186" s="153"/>
      <c r="T186" s="154"/>
      <c r="AT186" s="150" t="s">
        <v>346</v>
      </c>
      <c r="AU186" s="150" t="s">
        <v>90</v>
      </c>
      <c r="AV186" s="148" t="s">
        <v>90</v>
      </c>
      <c r="AW186" s="148" t="s">
        <v>33</v>
      </c>
      <c r="AX186" s="148" t="s">
        <v>87</v>
      </c>
      <c r="AY186" s="150" t="s">
        <v>337</v>
      </c>
    </row>
    <row r="187" spans="2:65" s="16" customFormat="1" ht="16.5" customHeight="1" x14ac:dyDescent="0.2">
      <c r="B187" s="17"/>
      <c r="C187" s="128">
        <v>22</v>
      </c>
      <c r="D187" s="128" t="s">
        <v>339</v>
      </c>
      <c r="E187" s="129" t="s">
        <v>8853</v>
      </c>
      <c r="F187" s="130" t="s">
        <v>8854</v>
      </c>
      <c r="G187" s="131" t="s">
        <v>8776</v>
      </c>
      <c r="H187" s="132">
        <v>1</v>
      </c>
      <c r="I187" s="133"/>
      <c r="J187" s="134">
        <f>ROUND(I187*H187,2)</f>
        <v>0</v>
      </c>
      <c r="K187" s="130" t="s">
        <v>343</v>
      </c>
      <c r="L187" s="17"/>
      <c r="M187" s="187"/>
      <c r="N187" s="188" t="s">
        <v>45</v>
      </c>
      <c r="O187" s="189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AR187" s="139" t="s">
        <v>8137</v>
      </c>
      <c r="AT187" s="139" t="s">
        <v>339</v>
      </c>
      <c r="AU187" s="139" t="s">
        <v>90</v>
      </c>
      <c r="AY187" s="2" t="s">
        <v>337</v>
      </c>
      <c r="BE187" s="140">
        <f>IF(N187="základní",J187,0)</f>
        <v>0</v>
      </c>
      <c r="BF187" s="140">
        <f>IF(N187="snížená",J187,0)</f>
        <v>0</v>
      </c>
      <c r="BG187" s="140">
        <f>IF(N187="zákl. přenesená",J187,0)</f>
        <v>0</v>
      </c>
      <c r="BH187" s="140">
        <f>IF(N187="sníž. přenesená",J187,0)</f>
        <v>0</v>
      </c>
      <c r="BI187" s="140">
        <f>IF(N187="nulová",J187,0)</f>
        <v>0</v>
      </c>
      <c r="BJ187" s="2" t="s">
        <v>87</v>
      </c>
      <c r="BK187" s="140">
        <f>ROUND(I187*H187,2)</f>
        <v>0</v>
      </c>
      <c r="BL187" s="2" t="s">
        <v>8137</v>
      </c>
      <c r="BM187" s="139" t="s">
        <v>8855</v>
      </c>
    </row>
    <row r="188" spans="2:65" s="16" customFormat="1" ht="6.95" customHeight="1" x14ac:dyDescent="0.2">
      <c r="B188" s="30"/>
      <c r="C188" s="19"/>
      <c r="D188" s="19"/>
      <c r="E188" s="19"/>
      <c r="F188" s="19"/>
      <c r="G188" s="19"/>
      <c r="H188" s="19"/>
      <c r="I188" s="19"/>
      <c r="J188" s="19"/>
      <c r="K188" s="19"/>
      <c r="L188" s="17"/>
    </row>
  </sheetData>
  <sheetProtection algorithmName="SHA-512" hashValue="15dRmcQTfJJq03QNfA2lD9PBZj6JpLDrJ4HmDZ3vHGeOzmvHi65uauaaca+HKW/nIzsTEssht2kEzKPAkf513Q==" saltValue="RQbqtozwIfqmGxbB0+muxw==" spinCount="100000" sheet="1" objects="1" scenarios="1" formatCells="0" formatColumns="0" formatRows="0" autoFilter="0"/>
  <autoFilter ref="C137:K187" xr:uid="{00000000-0009-0000-0000-000019000000}"/>
  <mergeCells count="10">
    <mergeCell ref="J135:K135"/>
    <mergeCell ref="E87:H87"/>
    <mergeCell ref="E128:H128"/>
    <mergeCell ref="E130:H130"/>
    <mergeCell ref="L2:V2"/>
    <mergeCell ref="E7:H7"/>
    <mergeCell ref="E9:H9"/>
    <mergeCell ref="E18:H18"/>
    <mergeCell ref="E27:H27"/>
    <mergeCell ref="E85:H8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7"/>
  <dimension ref="B1:H3552"/>
  <sheetViews>
    <sheetView workbookViewId="0"/>
  </sheetViews>
  <sheetFormatPr defaultColWidth="8.5" defaultRowHeight="11.25" x14ac:dyDescent="0.2"/>
  <cols>
    <col min="1" max="1" width="7.6640625" customWidth="1"/>
    <col min="2" max="2" width="1.6640625" customWidth="1"/>
    <col min="3" max="3" width="23.33203125" customWidth="1"/>
    <col min="4" max="4" width="122.1640625" customWidth="1"/>
    <col min="5" max="5" width="12.33203125" customWidth="1"/>
    <col min="6" max="6" width="18.6640625" customWidth="1"/>
    <col min="7" max="7" width="1.6640625" customWidth="1"/>
    <col min="8" max="8" width="7.6640625" customWidth="1"/>
    <col min="9" max="9" width="8.5" customWidth="1"/>
  </cols>
  <sheetData>
    <row r="1" spans="2:8" ht="11.25" customHeight="1" x14ac:dyDescent="0.2"/>
    <row r="2" spans="2:8" ht="36.950000000000003" customHeight="1" x14ac:dyDescent="0.2"/>
    <row r="3" spans="2:8" ht="6.95" customHeight="1" x14ac:dyDescent="0.2">
      <c r="B3" s="3"/>
      <c r="C3" s="4"/>
      <c r="D3" s="4"/>
      <c r="E3" s="4"/>
      <c r="F3" s="4"/>
      <c r="G3" s="4"/>
      <c r="H3" s="5"/>
    </row>
    <row r="4" spans="2:8" ht="24.95" customHeight="1" x14ac:dyDescent="0.2">
      <c r="B4" s="5"/>
      <c r="C4" s="6" t="s">
        <v>8856</v>
      </c>
      <c r="H4" s="5"/>
    </row>
    <row r="5" spans="2:8" ht="12" customHeight="1" x14ac:dyDescent="0.2">
      <c r="B5" s="5"/>
      <c r="C5" s="9" t="s">
        <v>12</v>
      </c>
      <c r="D5" s="304" t="s">
        <v>13</v>
      </c>
      <c r="E5" s="304"/>
      <c r="F5" s="304"/>
      <c r="H5" s="5"/>
    </row>
    <row r="6" spans="2:8" ht="36.950000000000003" customHeight="1" x14ac:dyDescent="0.2">
      <c r="B6" s="5"/>
      <c r="C6" s="11" t="s">
        <v>15</v>
      </c>
      <c r="D6" s="302" t="s">
        <v>16</v>
      </c>
      <c r="E6" s="302"/>
      <c r="F6" s="302"/>
      <c r="H6" s="5"/>
    </row>
    <row r="7" spans="2:8" ht="16.5" customHeight="1" x14ac:dyDescent="0.2">
      <c r="B7" s="5"/>
      <c r="C7" s="12" t="s">
        <v>21</v>
      </c>
      <c r="D7" s="38" t="str">
        <f>IF(Rekapitulace_stavby!AN8&lt;&gt;"",Rekapitulace_stavby!AN8,"")</f>
        <v/>
      </c>
      <c r="H7" s="5"/>
    </row>
    <row r="8" spans="2:8" s="16" customFormat="1" ht="10.9" customHeight="1" x14ac:dyDescent="0.2">
      <c r="B8" s="17"/>
      <c r="H8" s="17"/>
    </row>
    <row r="9" spans="2:8" s="107" customFormat="1" ht="29.25" customHeight="1" x14ac:dyDescent="0.2">
      <c r="B9" s="108"/>
      <c r="C9" s="109" t="s">
        <v>61</v>
      </c>
      <c r="D9" s="110" t="s">
        <v>62</v>
      </c>
      <c r="E9" s="110" t="s">
        <v>324</v>
      </c>
      <c r="F9" s="111" t="s">
        <v>8857</v>
      </c>
      <c r="H9" s="108"/>
    </row>
    <row r="10" spans="2:8" s="16" customFormat="1" ht="26.45" customHeight="1" x14ac:dyDescent="0.2">
      <c r="B10" s="17"/>
      <c r="C10" s="195" t="s">
        <v>8858</v>
      </c>
      <c r="D10" s="195" t="s">
        <v>93</v>
      </c>
      <c r="H10" s="17"/>
    </row>
    <row r="11" spans="2:8" s="16" customFormat="1" ht="16.899999999999999" customHeight="1" x14ac:dyDescent="0.2">
      <c r="B11" s="17"/>
      <c r="C11" s="196" t="s">
        <v>177</v>
      </c>
      <c r="D11" s="197"/>
      <c r="E11" s="198"/>
      <c r="F11" s="199">
        <v>815.17</v>
      </c>
      <c r="H11" s="17"/>
    </row>
    <row r="12" spans="2:8" s="16" customFormat="1" ht="16.899999999999999" customHeight="1" x14ac:dyDescent="0.2">
      <c r="B12" s="17"/>
      <c r="C12" s="83"/>
      <c r="D12" s="83" t="s">
        <v>1687</v>
      </c>
      <c r="E12" s="2"/>
      <c r="F12" s="200">
        <v>0</v>
      </c>
      <c r="H12" s="17"/>
    </row>
    <row r="13" spans="2:8" s="16" customFormat="1" ht="16.899999999999999" customHeight="1" x14ac:dyDescent="0.2">
      <c r="B13" s="17"/>
      <c r="C13" s="83"/>
      <c r="D13" s="83" t="s">
        <v>1688</v>
      </c>
      <c r="E13" s="2"/>
      <c r="F13" s="200">
        <v>0</v>
      </c>
      <c r="H13" s="17"/>
    </row>
    <row r="14" spans="2:8" s="16" customFormat="1" ht="16.899999999999999" customHeight="1" x14ac:dyDescent="0.2">
      <c r="B14" s="17"/>
      <c r="C14" s="83"/>
      <c r="D14" s="83" t="s">
        <v>1689</v>
      </c>
      <c r="E14" s="2"/>
      <c r="F14" s="200">
        <v>900.49</v>
      </c>
      <c r="H14" s="17"/>
    </row>
    <row r="15" spans="2:8" s="16" customFormat="1" ht="16.899999999999999" customHeight="1" x14ac:dyDescent="0.2">
      <c r="B15" s="17"/>
      <c r="C15" s="83"/>
      <c r="D15" s="83"/>
      <c r="E15" s="2"/>
      <c r="F15" s="200">
        <v>0</v>
      </c>
      <c r="H15" s="17"/>
    </row>
    <row r="16" spans="2:8" s="16" customFormat="1" ht="16.899999999999999" customHeight="1" x14ac:dyDescent="0.2">
      <c r="B16" s="17"/>
      <c r="C16" s="83"/>
      <c r="D16" s="83" t="s">
        <v>1690</v>
      </c>
      <c r="E16" s="2"/>
      <c r="F16" s="200">
        <v>0</v>
      </c>
      <c r="H16" s="17"/>
    </row>
    <row r="17" spans="2:8" s="16" customFormat="1" ht="16.899999999999999" customHeight="1" x14ac:dyDescent="0.2">
      <c r="B17" s="17"/>
      <c r="C17" s="83"/>
      <c r="D17" s="83" t="s">
        <v>1691</v>
      </c>
      <c r="E17" s="2"/>
      <c r="F17" s="200">
        <v>-85.32</v>
      </c>
      <c r="H17" s="17"/>
    </row>
    <row r="18" spans="2:8" s="16" customFormat="1" ht="16.899999999999999" customHeight="1" x14ac:dyDescent="0.2">
      <c r="B18" s="17"/>
      <c r="C18" s="83" t="s">
        <v>177</v>
      </c>
      <c r="D18" s="83" t="s">
        <v>609</v>
      </c>
      <c r="E18" s="2"/>
      <c r="F18" s="200">
        <v>815.17</v>
      </c>
      <c r="H18" s="17"/>
    </row>
    <row r="19" spans="2:8" s="16" customFormat="1" ht="16.899999999999999" customHeight="1" x14ac:dyDescent="0.2">
      <c r="B19" s="17"/>
      <c r="C19" s="201" t="s">
        <v>8859</v>
      </c>
      <c r="H19" s="17"/>
    </row>
    <row r="20" spans="2:8" s="16" customFormat="1" ht="16.899999999999999" customHeight="1" x14ac:dyDescent="0.2">
      <c r="B20" s="17"/>
      <c r="C20" s="83" t="s">
        <v>1684</v>
      </c>
      <c r="D20" s="83" t="s">
        <v>1685</v>
      </c>
      <c r="E20" s="2" t="s">
        <v>425</v>
      </c>
      <c r="F20" s="200">
        <v>815.17</v>
      </c>
      <c r="H20" s="17"/>
    </row>
    <row r="21" spans="2:8" s="16" customFormat="1" ht="16.899999999999999" customHeight="1" x14ac:dyDescent="0.2">
      <c r="B21" s="17"/>
      <c r="C21" s="83" t="s">
        <v>1542</v>
      </c>
      <c r="D21" s="83" t="s">
        <v>1543</v>
      </c>
      <c r="E21" s="2" t="s">
        <v>425</v>
      </c>
      <c r="F21" s="200">
        <v>1303.3820000000001</v>
      </c>
      <c r="H21" s="17"/>
    </row>
    <row r="22" spans="2:8" s="16" customFormat="1" ht="16.899999999999999" customHeight="1" x14ac:dyDescent="0.2">
      <c r="B22" s="17"/>
      <c r="C22" s="83" t="s">
        <v>1548</v>
      </c>
      <c r="D22" s="83" t="s">
        <v>1549</v>
      </c>
      <c r="E22" s="2" t="s">
        <v>425</v>
      </c>
      <c r="F22" s="200">
        <v>1493.7349999999999</v>
      </c>
      <c r="H22" s="17"/>
    </row>
    <row r="23" spans="2:8" s="16" customFormat="1" ht="22.5" x14ac:dyDescent="0.2">
      <c r="B23" s="17"/>
      <c r="C23" s="83" t="s">
        <v>1692</v>
      </c>
      <c r="D23" s="83" t="s">
        <v>1693</v>
      </c>
      <c r="E23" s="2" t="s">
        <v>425</v>
      </c>
      <c r="F23" s="200">
        <v>1089.528</v>
      </c>
      <c r="H23" s="17"/>
    </row>
    <row r="24" spans="2:8" s="16" customFormat="1" ht="16.899999999999999" customHeight="1" x14ac:dyDescent="0.2">
      <c r="B24" s="17"/>
      <c r="C24" s="196" t="s">
        <v>179</v>
      </c>
      <c r="D24" s="197"/>
      <c r="E24" s="198"/>
      <c r="F24" s="199">
        <v>854.62699999999995</v>
      </c>
      <c r="H24" s="17"/>
    </row>
    <row r="25" spans="2:8" s="16" customFormat="1" ht="16.899999999999999" customHeight="1" x14ac:dyDescent="0.2">
      <c r="B25" s="17"/>
      <c r="C25" s="83"/>
      <c r="D25" s="83" t="s">
        <v>1583</v>
      </c>
      <c r="E25" s="2"/>
      <c r="F25" s="200">
        <v>0</v>
      </c>
      <c r="H25" s="17"/>
    </row>
    <row r="26" spans="2:8" s="16" customFormat="1" ht="16.899999999999999" customHeight="1" x14ac:dyDescent="0.2">
      <c r="B26" s="17"/>
      <c r="C26" s="83"/>
      <c r="D26" s="83" t="s">
        <v>1584</v>
      </c>
      <c r="E26" s="2"/>
      <c r="F26" s="200">
        <v>0</v>
      </c>
      <c r="H26" s="17"/>
    </row>
    <row r="27" spans="2:8" s="16" customFormat="1" ht="16.899999999999999" customHeight="1" x14ac:dyDescent="0.2">
      <c r="B27" s="17"/>
      <c r="C27" s="83"/>
      <c r="D27" s="83" t="s">
        <v>1585</v>
      </c>
      <c r="E27" s="2"/>
      <c r="F27" s="200">
        <v>23.8</v>
      </c>
      <c r="H27" s="17"/>
    </row>
    <row r="28" spans="2:8" s="16" customFormat="1" ht="16.899999999999999" customHeight="1" x14ac:dyDescent="0.2">
      <c r="B28" s="17"/>
      <c r="C28" s="83"/>
      <c r="D28" s="83" t="s">
        <v>1586</v>
      </c>
      <c r="E28" s="2"/>
      <c r="F28" s="200">
        <v>-1</v>
      </c>
      <c r="H28" s="17"/>
    </row>
    <row r="29" spans="2:8" s="16" customFormat="1" ht="16.899999999999999" customHeight="1" x14ac:dyDescent="0.2">
      <c r="B29" s="17"/>
      <c r="C29" s="83"/>
      <c r="D29" s="83" t="s">
        <v>1587</v>
      </c>
      <c r="E29" s="2"/>
      <c r="F29" s="200">
        <v>7.15</v>
      </c>
      <c r="H29" s="17"/>
    </row>
    <row r="30" spans="2:8" s="16" customFormat="1" ht="16.899999999999999" customHeight="1" x14ac:dyDescent="0.2">
      <c r="B30" s="17"/>
      <c r="C30" s="83"/>
      <c r="D30" s="83" t="s">
        <v>1588</v>
      </c>
      <c r="E30" s="2"/>
      <c r="F30" s="200">
        <v>-0.9</v>
      </c>
      <c r="H30" s="17"/>
    </row>
    <row r="31" spans="2:8" s="16" customFormat="1" ht="16.899999999999999" customHeight="1" x14ac:dyDescent="0.2">
      <c r="B31" s="17"/>
      <c r="C31" s="83"/>
      <c r="D31" s="83" t="s">
        <v>1589</v>
      </c>
      <c r="E31" s="2"/>
      <c r="F31" s="200">
        <v>18.75</v>
      </c>
      <c r="H31" s="17"/>
    </row>
    <row r="32" spans="2:8" s="16" customFormat="1" ht="16.899999999999999" customHeight="1" x14ac:dyDescent="0.2">
      <c r="B32" s="17"/>
      <c r="C32" s="83"/>
      <c r="D32" s="83" t="s">
        <v>1590</v>
      </c>
      <c r="E32" s="2"/>
      <c r="F32" s="200">
        <v>-1.6</v>
      </c>
      <c r="H32" s="17"/>
    </row>
    <row r="33" spans="2:8" s="16" customFormat="1" ht="16.899999999999999" customHeight="1" x14ac:dyDescent="0.2">
      <c r="B33" s="17"/>
      <c r="C33" s="83"/>
      <c r="D33" s="83" t="s">
        <v>1591</v>
      </c>
      <c r="E33" s="2"/>
      <c r="F33" s="200">
        <v>101.74</v>
      </c>
      <c r="H33" s="17"/>
    </row>
    <row r="34" spans="2:8" s="16" customFormat="1" ht="16.899999999999999" customHeight="1" x14ac:dyDescent="0.2">
      <c r="B34" s="17"/>
      <c r="C34" s="83"/>
      <c r="D34" s="83" t="s">
        <v>1592</v>
      </c>
      <c r="E34" s="2"/>
      <c r="F34" s="200">
        <v>-11.9</v>
      </c>
      <c r="H34" s="17"/>
    </row>
    <row r="35" spans="2:8" s="16" customFormat="1" ht="16.899999999999999" customHeight="1" x14ac:dyDescent="0.2">
      <c r="B35" s="17"/>
      <c r="C35" s="83"/>
      <c r="D35" s="83" t="s">
        <v>1593</v>
      </c>
      <c r="E35" s="2"/>
      <c r="F35" s="200">
        <v>27.7</v>
      </c>
      <c r="H35" s="17"/>
    </row>
    <row r="36" spans="2:8" s="16" customFormat="1" ht="16.899999999999999" customHeight="1" x14ac:dyDescent="0.2">
      <c r="B36" s="17"/>
      <c r="C36" s="83"/>
      <c r="D36" s="83" t="s">
        <v>1594</v>
      </c>
      <c r="E36" s="2"/>
      <c r="F36" s="200">
        <v>-1.6</v>
      </c>
      <c r="H36" s="17"/>
    </row>
    <row r="37" spans="2:8" s="16" customFormat="1" ht="16.899999999999999" customHeight="1" x14ac:dyDescent="0.2">
      <c r="B37" s="17"/>
      <c r="C37" s="83"/>
      <c r="D37" s="83" t="s">
        <v>1595</v>
      </c>
      <c r="E37" s="2"/>
      <c r="F37" s="200">
        <v>-5.0999999999999996</v>
      </c>
      <c r="H37" s="17"/>
    </row>
    <row r="38" spans="2:8" s="16" customFormat="1" ht="16.899999999999999" customHeight="1" x14ac:dyDescent="0.2">
      <c r="B38" s="17"/>
      <c r="C38" s="83"/>
      <c r="D38" s="83" t="s">
        <v>1596</v>
      </c>
      <c r="E38" s="2"/>
      <c r="F38" s="200">
        <v>16.2</v>
      </c>
      <c r="H38" s="17"/>
    </row>
    <row r="39" spans="2:8" s="16" customFormat="1" ht="16.899999999999999" customHeight="1" x14ac:dyDescent="0.2">
      <c r="B39" s="17"/>
      <c r="C39" s="83"/>
      <c r="D39" s="83" t="s">
        <v>1597</v>
      </c>
      <c r="E39" s="2"/>
      <c r="F39" s="200">
        <v>-5.4660000000000002</v>
      </c>
      <c r="H39" s="17"/>
    </row>
    <row r="40" spans="2:8" s="16" customFormat="1" ht="16.899999999999999" customHeight="1" x14ac:dyDescent="0.2">
      <c r="B40" s="17"/>
      <c r="C40" s="83"/>
      <c r="D40" s="83" t="s">
        <v>1598</v>
      </c>
      <c r="E40" s="2"/>
      <c r="F40" s="200">
        <v>72.900000000000006</v>
      </c>
      <c r="H40" s="17"/>
    </row>
    <row r="41" spans="2:8" s="16" customFormat="1" ht="16.899999999999999" customHeight="1" x14ac:dyDescent="0.2">
      <c r="B41" s="17"/>
      <c r="C41" s="83"/>
      <c r="D41" s="83" t="s">
        <v>1599</v>
      </c>
      <c r="E41" s="2"/>
      <c r="F41" s="200">
        <v>-5.8</v>
      </c>
      <c r="H41" s="17"/>
    </row>
    <row r="42" spans="2:8" s="16" customFormat="1" ht="16.899999999999999" customHeight="1" x14ac:dyDescent="0.2">
      <c r="B42" s="17"/>
      <c r="C42" s="83"/>
      <c r="D42" s="83" t="s">
        <v>1600</v>
      </c>
      <c r="E42" s="2"/>
      <c r="F42" s="200">
        <v>20.149999999999999</v>
      </c>
      <c r="H42" s="17"/>
    </row>
    <row r="43" spans="2:8" s="16" customFormat="1" ht="16.899999999999999" customHeight="1" x14ac:dyDescent="0.2">
      <c r="B43" s="17"/>
      <c r="C43" s="83"/>
      <c r="D43" s="83" t="s">
        <v>1601</v>
      </c>
      <c r="E43" s="2"/>
      <c r="F43" s="200">
        <v>-0.8</v>
      </c>
      <c r="H43" s="17"/>
    </row>
    <row r="44" spans="2:8" s="16" customFormat="1" ht="16.899999999999999" customHeight="1" x14ac:dyDescent="0.2">
      <c r="B44" s="17"/>
      <c r="C44" s="83"/>
      <c r="D44" s="83" t="s">
        <v>1602</v>
      </c>
      <c r="E44" s="2"/>
      <c r="F44" s="200">
        <v>20.5</v>
      </c>
      <c r="H44" s="17"/>
    </row>
    <row r="45" spans="2:8" s="16" customFormat="1" ht="16.899999999999999" customHeight="1" x14ac:dyDescent="0.2">
      <c r="B45" s="17"/>
      <c r="C45" s="83"/>
      <c r="D45" s="83" t="s">
        <v>1603</v>
      </c>
      <c r="E45" s="2"/>
      <c r="F45" s="200">
        <v>-4.5</v>
      </c>
      <c r="H45" s="17"/>
    </row>
    <row r="46" spans="2:8" s="16" customFormat="1" ht="16.899999999999999" customHeight="1" x14ac:dyDescent="0.2">
      <c r="B46" s="17"/>
      <c r="C46" s="83"/>
      <c r="D46" s="83" t="s">
        <v>1604</v>
      </c>
      <c r="E46" s="2"/>
      <c r="F46" s="200">
        <v>-5.7</v>
      </c>
      <c r="H46" s="17"/>
    </row>
    <row r="47" spans="2:8" s="16" customFormat="1" ht="16.899999999999999" customHeight="1" x14ac:dyDescent="0.2">
      <c r="B47" s="17"/>
      <c r="C47" s="83"/>
      <c r="D47" s="83" t="s">
        <v>1605</v>
      </c>
      <c r="E47" s="2"/>
      <c r="F47" s="200">
        <v>32.21</v>
      </c>
      <c r="H47" s="17"/>
    </row>
    <row r="48" spans="2:8" s="16" customFormat="1" ht="16.899999999999999" customHeight="1" x14ac:dyDescent="0.2">
      <c r="B48" s="17"/>
      <c r="C48" s="83"/>
      <c r="D48" s="83" t="s">
        <v>1606</v>
      </c>
      <c r="E48" s="2"/>
      <c r="F48" s="200">
        <v>-1.4</v>
      </c>
      <c r="H48" s="17"/>
    </row>
    <row r="49" spans="2:8" s="16" customFormat="1" ht="16.899999999999999" customHeight="1" x14ac:dyDescent="0.2">
      <c r="B49" s="17"/>
      <c r="C49" s="83"/>
      <c r="D49" s="83" t="s">
        <v>1607</v>
      </c>
      <c r="E49" s="2"/>
      <c r="F49" s="200">
        <v>19.61</v>
      </c>
      <c r="H49" s="17"/>
    </row>
    <row r="50" spans="2:8" s="16" customFormat="1" ht="16.899999999999999" customHeight="1" x14ac:dyDescent="0.2">
      <c r="B50" s="17"/>
      <c r="C50" s="83"/>
      <c r="D50" s="83" t="s">
        <v>1606</v>
      </c>
      <c r="E50" s="2"/>
      <c r="F50" s="200">
        <v>-1.4</v>
      </c>
      <c r="H50" s="17"/>
    </row>
    <row r="51" spans="2:8" s="16" customFormat="1" ht="16.899999999999999" customHeight="1" x14ac:dyDescent="0.2">
      <c r="B51" s="17"/>
      <c r="C51" s="83"/>
      <c r="D51" s="83" t="s">
        <v>1608</v>
      </c>
      <c r="E51" s="2"/>
      <c r="F51" s="200">
        <v>-6</v>
      </c>
      <c r="H51" s="17"/>
    </row>
    <row r="52" spans="2:8" s="16" customFormat="1" ht="16.899999999999999" customHeight="1" x14ac:dyDescent="0.2">
      <c r="B52" s="17"/>
      <c r="C52" s="83"/>
      <c r="D52" s="83" t="s">
        <v>1609</v>
      </c>
      <c r="E52" s="2"/>
      <c r="F52" s="200">
        <v>25.975000000000001</v>
      </c>
      <c r="H52" s="17"/>
    </row>
    <row r="53" spans="2:8" s="16" customFormat="1" ht="16.899999999999999" customHeight="1" x14ac:dyDescent="0.2">
      <c r="B53" s="17"/>
      <c r="C53" s="83"/>
      <c r="D53" s="83" t="s">
        <v>1610</v>
      </c>
      <c r="E53" s="2"/>
      <c r="F53" s="200">
        <v>-2.6</v>
      </c>
      <c r="H53" s="17"/>
    </row>
    <row r="54" spans="2:8" s="16" customFormat="1" ht="16.899999999999999" customHeight="1" x14ac:dyDescent="0.2">
      <c r="B54" s="17"/>
      <c r="C54" s="83"/>
      <c r="D54" s="83" t="s">
        <v>1604</v>
      </c>
      <c r="E54" s="2"/>
      <c r="F54" s="200">
        <v>-5.7</v>
      </c>
      <c r="H54" s="17"/>
    </row>
    <row r="55" spans="2:8" s="16" customFormat="1" ht="16.899999999999999" customHeight="1" x14ac:dyDescent="0.2">
      <c r="B55" s="17"/>
      <c r="C55" s="83"/>
      <c r="D55" s="83" t="s">
        <v>1611</v>
      </c>
      <c r="E55" s="2"/>
      <c r="F55" s="200">
        <v>15.4</v>
      </c>
      <c r="H55" s="17"/>
    </row>
    <row r="56" spans="2:8" s="16" customFormat="1" ht="16.899999999999999" customHeight="1" x14ac:dyDescent="0.2">
      <c r="B56" s="17"/>
      <c r="C56" s="83"/>
      <c r="D56" s="83" t="s">
        <v>1612</v>
      </c>
      <c r="E56" s="2"/>
      <c r="F56" s="200">
        <v>-4.5999999999999996</v>
      </c>
      <c r="H56" s="17"/>
    </row>
    <row r="57" spans="2:8" s="16" customFormat="1" ht="16.899999999999999" customHeight="1" x14ac:dyDescent="0.2">
      <c r="B57" s="17"/>
      <c r="C57" s="83"/>
      <c r="D57" s="83" t="s">
        <v>1613</v>
      </c>
      <c r="E57" s="2"/>
      <c r="F57" s="200">
        <v>72.381</v>
      </c>
      <c r="H57" s="17"/>
    </row>
    <row r="58" spans="2:8" s="16" customFormat="1" ht="16.899999999999999" customHeight="1" x14ac:dyDescent="0.2">
      <c r="B58" s="17"/>
      <c r="C58" s="83"/>
      <c r="D58" s="83" t="s">
        <v>1614</v>
      </c>
      <c r="E58" s="2"/>
      <c r="F58" s="200">
        <v>-6.6</v>
      </c>
      <c r="H58" s="17"/>
    </row>
    <row r="59" spans="2:8" s="16" customFormat="1" ht="16.899999999999999" customHeight="1" x14ac:dyDescent="0.2">
      <c r="B59" s="17"/>
      <c r="C59" s="83"/>
      <c r="D59" s="83" t="s">
        <v>1615</v>
      </c>
      <c r="E59" s="2"/>
      <c r="F59" s="200">
        <v>20.149999999999999</v>
      </c>
      <c r="H59" s="17"/>
    </row>
    <row r="60" spans="2:8" s="16" customFormat="1" ht="16.899999999999999" customHeight="1" x14ac:dyDescent="0.2">
      <c r="B60" s="17"/>
      <c r="C60" s="83"/>
      <c r="D60" s="83" t="s">
        <v>1601</v>
      </c>
      <c r="E60" s="2"/>
      <c r="F60" s="200">
        <v>-0.8</v>
      </c>
      <c r="H60" s="17"/>
    </row>
    <row r="61" spans="2:8" s="16" customFormat="1" ht="16.899999999999999" customHeight="1" x14ac:dyDescent="0.2">
      <c r="B61" s="17"/>
      <c r="C61" s="83"/>
      <c r="D61" s="83" t="s">
        <v>1616</v>
      </c>
      <c r="E61" s="2"/>
      <c r="F61" s="200">
        <v>15.66</v>
      </c>
      <c r="H61" s="17"/>
    </row>
    <row r="62" spans="2:8" s="16" customFormat="1" ht="16.899999999999999" customHeight="1" x14ac:dyDescent="0.2">
      <c r="B62" s="17"/>
      <c r="C62" s="83"/>
      <c r="D62" s="83" t="s">
        <v>1617</v>
      </c>
      <c r="E62" s="2"/>
      <c r="F62" s="200">
        <v>-5</v>
      </c>
      <c r="H62" s="17"/>
    </row>
    <row r="63" spans="2:8" s="16" customFormat="1" ht="16.899999999999999" customHeight="1" x14ac:dyDescent="0.2">
      <c r="B63" s="17"/>
      <c r="C63" s="83"/>
      <c r="D63" s="83" t="s">
        <v>1618</v>
      </c>
      <c r="E63" s="2"/>
      <c r="F63" s="200">
        <v>19.41</v>
      </c>
      <c r="H63" s="17"/>
    </row>
    <row r="64" spans="2:8" s="16" customFormat="1" ht="16.899999999999999" customHeight="1" x14ac:dyDescent="0.2">
      <c r="B64" s="17"/>
      <c r="C64" s="83"/>
      <c r="D64" s="83" t="s">
        <v>1606</v>
      </c>
      <c r="E64" s="2"/>
      <c r="F64" s="200">
        <v>-1.4</v>
      </c>
      <c r="H64" s="17"/>
    </row>
    <row r="65" spans="2:8" s="16" customFormat="1" ht="16.899999999999999" customHeight="1" x14ac:dyDescent="0.2">
      <c r="B65" s="17"/>
      <c r="C65" s="83"/>
      <c r="D65" s="83" t="s">
        <v>1608</v>
      </c>
      <c r="E65" s="2"/>
      <c r="F65" s="200">
        <v>-6</v>
      </c>
      <c r="H65" s="17"/>
    </row>
    <row r="66" spans="2:8" s="16" customFormat="1" ht="16.899999999999999" customHeight="1" x14ac:dyDescent="0.2">
      <c r="B66" s="17"/>
      <c r="C66" s="83"/>
      <c r="D66" s="83" t="s">
        <v>1619</v>
      </c>
      <c r="E66" s="2"/>
      <c r="F66" s="200">
        <v>25.975000000000001</v>
      </c>
      <c r="H66" s="17"/>
    </row>
    <row r="67" spans="2:8" s="16" customFormat="1" ht="16.899999999999999" customHeight="1" x14ac:dyDescent="0.2">
      <c r="B67" s="17"/>
      <c r="C67" s="83"/>
      <c r="D67" s="83" t="s">
        <v>1620</v>
      </c>
      <c r="E67" s="2"/>
      <c r="F67" s="200">
        <v>1</v>
      </c>
      <c r="H67" s="17"/>
    </row>
    <row r="68" spans="2:8" s="16" customFormat="1" ht="16.899999999999999" customHeight="1" x14ac:dyDescent="0.2">
      <c r="B68" s="17"/>
      <c r="C68" s="83"/>
      <c r="D68" s="83" t="s">
        <v>1604</v>
      </c>
      <c r="E68" s="2"/>
      <c r="F68" s="200">
        <v>-5.7</v>
      </c>
      <c r="H68" s="17"/>
    </row>
    <row r="69" spans="2:8" s="16" customFormat="1" ht="16.899999999999999" customHeight="1" x14ac:dyDescent="0.2">
      <c r="B69" s="17"/>
      <c r="C69" s="83"/>
      <c r="D69" s="83" t="s">
        <v>1621</v>
      </c>
      <c r="E69" s="2"/>
      <c r="F69" s="200">
        <v>15.4</v>
      </c>
      <c r="H69" s="17"/>
    </row>
    <row r="70" spans="2:8" s="16" customFormat="1" ht="16.899999999999999" customHeight="1" x14ac:dyDescent="0.2">
      <c r="B70" s="17"/>
      <c r="C70" s="83"/>
      <c r="D70" s="83" t="s">
        <v>1612</v>
      </c>
      <c r="E70" s="2"/>
      <c r="F70" s="200">
        <v>-4.5999999999999996</v>
      </c>
      <c r="H70" s="17"/>
    </row>
    <row r="71" spans="2:8" s="16" customFormat="1" ht="16.899999999999999" customHeight="1" x14ac:dyDescent="0.2">
      <c r="B71" s="17"/>
      <c r="C71" s="83"/>
      <c r="D71" s="83" t="s">
        <v>1622</v>
      </c>
      <c r="E71" s="2"/>
      <c r="F71" s="200">
        <v>72.381</v>
      </c>
      <c r="H71" s="17"/>
    </row>
    <row r="72" spans="2:8" s="16" customFormat="1" ht="16.899999999999999" customHeight="1" x14ac:dyDescent="0.2">
      <c r="B72" s="17"/>
      <c r="C72" s="83"/>
      <c r="D72" s="83" t="s">
        <v>1614</v>
      </c>
      <c r="E72" s="2"/>
      <c r="F72" s="200">
        <v>-6.6</v>
      </c>
      <c r="H72" s="17"/>
    </row>
    <row r="73" spans="2:8" s="16" customFormat="1" ht="16.899999999999999" customHeight="1" x14ac:dyDescent="0.2">
      <c r="B73" s="17"/>
      <c r="C73" s="83"/>
      <c r="D73" s="83" t="s">
        <v>1623</v>
      </c>
      <c r="E73" s="2"/>
      <c r="F73" s="200">
        <v>20.149999999999999</v>
      </c>
      <c r="H73" s="17"/>
    </row>
    <row r="74" spans="2:8" s="16" customFormat="1" ht="16.899999999999999" customHeight="1" x14ac:dyDescent="0.2">
      <c r="B74" s="17"/>
      <c r="C74" s="83"/>
      <c r="D74" s="83" t="s">
        <v>1601</v>
      </c>
      <c r="E74" s="2"/>
      <c r="F74" s="200">
        <v>-0.8</v>
      </c>
      <c r="H74" s="17"/>
    </row>
    <row r="75" spans="2:8" s="16" customFormat="1" ht="16.899999999999999" customHeight="1" x14ac:dyDescent="0.2">
      <c r="B75" s="17"/>
      <c r="C75" s="83"/>
      <c r="D75" s="83" t="s">
        <v>1624</v>
      </c>
      <c r="E75" s="2"/>
      <c r="F75" s="200">
        <v>23.85</v>
      </c>
      <c r="H75" s="17"/>
    </row>
    <row r="76" spans="2:8" s="16" customFormat="1" ht="16.899999999999999" customHeight="1" x14ac:dyDescent="0.2">
      <c r="B76" s="17"/>
      <c r="C76" s="83"/>
      <c r="D76" s="83" t="s">
        <v>1625</v>
      </c>
      <c r="E76" s="2"/>
      <c r="F76" s="200">
        <v>-3.9</v>
      </c>
      <c r="H76" s="17"/>
    </row>
    <row r="77" spans="2:8" s="16" customFormat="1" ht="16.899999999999999" customHeight="1" x14ac:dyDescent="0.2">
      <c r="B77" s="17"/>
      <c r="C77" s="83"/>
      <c r="D77" s="83" t="s">
        <v>1608</v>
      </c>
      <c r="E77" s="2"/>
      <c r="F77" s="200">
        <v>-6</v>
      </c>
      <c r="H77" s="17"/>
    </row>
    <row r="78" spans="2:8" s="16" customFormat="1" ht="16.899999999999999" customHeight="1" x14ac:dyDescent="0.2">
      <c r="B78" s="17"/>
      <c r="C78" s="83"/>
      <c r="D78" s="83" t="s">
        <v>1626</v>
      </c>
      <c r="E78" s="2"/>
      <c r="F78" s="200">
        <v>9.75</v>
      </c>
      <c r="H78" s="17"/>
    </row>
    <row r="79" spans="2:8" s="16" customFormat="1" ht="16.899999999999999" customHeight="1" x14ac:dyDescent="0.2">
      <c r="B79" s="17"/>
      <c r="C79" s="83"/>
      <c r="D79" s="83" t="s">
        <v>1601</v>
      </c>
      <c r="E79" s="2"/>
      <c r="F79" s="200">
        <v>-0.8</v>
      </c>
      <c r="H79" s="17"/>
    </row>
    <row r="80" spans="2:8" s="16" customFormat="1" ht="16.899999999999999" customHeight="1" x14ac:dyDescent="0.2">
      <c r="B80" s="17"/>
      <c r="C80" s="83"/>
      <c r="D80" s="83" t="s">
        <v>1627</v>
      </c>
      <c r="E80" s="2"/>
      <c r="F80" s="200">
        <v>26.2</v>
      </c>
      <c r="H80" s="17"/>
    </row>
    <row r="81" spans="2:8" s="16" customFormat="1" ht="16.899999999999999" customHeight="1" x14ac:dyDescent="0.2">
      <c r="B81" s="17"/>
      <c r="C81" s="83"/>
      <c r="D81" s="83" t="s">
        <v>1610</v>
      </c>
      <c r="E81" s="2"/>
      <c r="F81" s="200">
        <v>-2.6</v>
      </c>
      <c r="H81" s="17"/>
    </row>
    <row r="82" spans="2:8" s="16" customFormat="1" ht="16.899999999999999" customHeight="1" x14ac:dyDescent="0.2">
      <c r="B82" s="17"/>
      <c r="C82" s="83"/>
      <c r="D82" s="83" t="s">
        <v>1604</v>
      </c>
      <c r="E82" s="2"/>
      <c r="F82" s="200">
        <v>-5.7</v>
      </c>
      <c r="H82" s="17"/>
    </row>
    <row r="83" spans="2:8" s="16" customFormat="1" ht="16.899999999999999" customHeight="1" x14ac:dyDescent="0.2">
      <c r="B83" s="17"/>
      <c r="C83" s="83"/>
      <c r="D83" s="83" t="s">
        <v>1628</v>
      </c>
      <c r="E83" s="2"/>
      <c r="F83" s="200">
        <v>15.4</v>
      </c>
      <c r="H83" s="17"/>
    </row>
    <row r="84" spans="2:8" s="16" customFormat="1" ht="16.899999999999999" customHeight="1" x14ac:dyDescent="0.2">
      <c r="B84" s="17"/>
      <c r="C84" s="83"/>
      <c r="D84" s="83" t="s">
        <v>1612</v>
      </c>
      <c r="E84" s="2"/>
      <c r="F84" s="200">
        <v>-4.5999999999999996</v>
      </c>
      <c r="H84" s="17"/>
    </row>
    <row r="85" spans="2:8" s="16" customFormat="1" ht="16.899999999999999" customHeight="1" x14ac:dyDescent="0.2">
      <c r="B85" s="17"/>
      <c r="C85" s="83"/>
      <c r="D85" s="83" t="s">
        <v>1629</v>
      </c>
      <c r="E85" s="2"/>
      <c r="F85" s="200">
        <v>72.381</v>
      </c>
      <c r="H85" s="17"/>
    </row>
    <row r="86" spans="2:8" s="16" customFormat="1" ht="16.899999999999999" customHeight="1" x14ac:dyDescent="0.2">
      <c r="B86" s="17"/>
      <c r="C86" s="83"/>
      <c r="D86" s="83" t="s">
        <v>1614</v>
      </c>
      <c r="E86" s="2"/>
      <c r="F86" s="200">
        <v>-6.6</v>
      </c>
      <c r="H86" s="17"/>
    </row>
    <row r="87" spans="2:8" s="16" customFormat="1" ht="16.899999999999999" customHeight="1" x14ac:dyDescent="0.2">
      <c r="B87" s="17"/>
      <c r="C87" s="83"/>
      <c r="D87" s="83" t="s">
        <v>1630</v>
      </c>
      <c r="E87" s="2"/>
      <c r="F87" s="200">
        <v>20.149999999999999</v>
      </c>
      <c r="H87" s="17"/>
    </row>
    <row r="88" spans="2:8" s="16" customFormat="1" ht="16.899999999999999" customHeight="1" x14ac:dyDescent="0.2">
      <c r="B88" s="17"/>
      <c r="C88" s="83"/>
      <c r="D88" s="83" t="s">
        <v>1631</v>
      </c>
      <c r="E88" s="2"/>
      <c r="F88" s="200">
        <v>-0.8</v>
      </c>
      <c r="H88" s="17"/>
    </row>
    <row r="89" spans="2:8" s="16" customFormat="1" ht="16.899999999999999" customHeight="1" x14ac:dyDescent="0.2">
      <c r="B89" s="17"/>
      <c r="C89" s="83"/>
      <c r="D89" s="83" t="s">
        <v>1632</v>
      </c>
      <c r="E89" s="2"/>
      <c r="F89" s="200">
        <v>23.85</v>
      </c>
      <c r="H89" s="17"/>
    </row>
    <row r="90" spans="2:8" s="16" customFormat="1" ht="16.899999999999999" customHeight="1" x14ac:dyDescent="0.2">
      <c r="B90" s="17"/>
      <c r="C90" s="83"/>
      <c r="D90" s="83" t="s">
        <v>1633</v>
      </c>
      <c r="E90" s="2"/>
      <c r="F90" s="200">
        <v>-2.2999999999999998</v>
      </c>
      <c r="H90" s="17"/>
    </row>
    <row r="91" spans="2:8" s="16" customFormat="1" ht="16.899999999999999" customHeight="1" x14ac:dyDescent="0.2">
      <c r="B91" s="17"/>
      <c r="C91" s="83"/>
      <c r="D91" s="83" t="s">
        <v>1608</v>
      </c>
      <c r="E91" s="2"/>
      <c r="F91" s="200">
        <v>-6</v>
      </c>
      <c r="H91" s="17"/>
    </row>
    <row r="92" spans="2:8" s="16" customFormat="1" ht="16.899999999999999" customHeight="1" x14ac:dyDescent="0.2">
      <c r="B92" s="17"/>
      <c r="C92" s="83"/>
      <c r="D92" s="83" t="s">
        <v>1634</v>
      </c>
      <c r="E92" s="2"/>
      <c r="F92" s="200">
        <v>12.2</v>
      </c>
      <c r="H92" s="17"/>
    </row>
    <row r="93" spans="2:8" s="16" customFormat="1" ht="16.899999999999999" customHeight="1" x14ac:dyDescent="0.2">
      <c r="B93" s="17"/>
      <c r="C93" s="83"/>
      <c r="D93" s="83" t="s">
        <v>1588</v>
      </c>
      <c r="E93" s="2"/>
      <c r="F93" s="200">
        <v>-0.9</v>
      </c>
      <c r="H93" s="17"/>
    </row>
    <row r="94" spans="2:8" s="16" customFormat="1" ht="16.899999999999999" customHeight="1" x14ac:dyDescent="0.2">
      <c r="B94" s="17"/>
      <c r="C94" s="83"/>
      <c r="D94" s="83" t="s">
        <v>1635</v>
      </c>
      <c r="E94" s="2"/>
      <c r="F94" s="200">
        <v>26.4</v>
      </c>
      <c r="H94" s="17"/>
    </row>
    <row r="95" spans="2:8" s="16" customFormat="1" ht="16.899999999999999" customHeight="1" x14ac:dyDescent="0.2">
      <c r="B95" s="17"/>
      <c r="C95" s="83"/>
      <c r="D95" s="83" t="s">
        <v>1610</v>
      </c>
      <c r="E95" s="2"/>
      <c r="F95" s="200">
        <v>-2.6</v>
      </c>
      <c r="H95" s="17"/>
    </row>
    <row r="96" spans="2:8" s="16" customFormat="1" ht="16.899999999999999" customHeight="1" x14ac:dyDescent="0.2">
      <c r="B96" s="17"/>
      <c r="C96" s="83"/>
      <c r="D96" s="83" t="s">
        <v>1604</v>
      </c>
      <c r="E96" s="2"/>
      <c r="F96" s="200">
        <v>-5.7</v>
      </c>
      <c r="H96" s="17"/>
    </row>
    <row r="97" spans="2:8" s="16" customFormat="1" ht="16.899999999999999" customHeight="1" x14ac:dyDescent="0.2">
      <c r="B97" s="17"/>
      <c r="C97" s="83"/>
      <c r="D97" s="83" t="s">
        <v>1636</v>
      </c>
      <c r="E97" s="2"/>
      <c r="F97" s="200">
        <v>16.09</v>
      </c>
      <c r="H97" s="17"/>
    </row>
    <row r="98" spans="2:8" s="16" customFormat="1" ht="16.899999999999999" customHeight="1" x14ac:dyDescent="0.2">
      <c r="B98" s="17"/>
      <c r="C98" s="83"/>
      <c r="D98" s="83" t="s">
        <v>1637</v>
      </c>
      <c r="E98" s="2"/>
      <c r="F98" s="200">
        <v>-2.9</v>
      </c>
      <c r="H98" s="17"/>
    </row>
    <row r="99" spans="2:8" s="16" customFormat="1" ht="16.899999999999999" customHeight="1" x14ac:dyDescent="0.2">
      <c r="B99" s="17"/>
      <c r="C99" s="83"/>
      <c r="D99" s="83" t="s">
        <v>1638</v>
      </c>
      <c r="E99" s="2"/>
      <c r="F99" s="200">
        <v>72.59</v>
      </c>
      <c r="H99" s="17"/>
    </row>
    <row r="100" spans="2:8" s="16" customFormat="1" ht="16.899999999999999" customHeight="1" x14ac:dyDescent="0.2">
      <c r="B100" s="17"/>
      <c r="C100" s="83"/>
      <c r="D100" s="83" t="s">
        <v>1639</v>
      </c>
      <c r="E100" s="2"/>
      <c r="F100" s="200">
        <v>-6.6</v>
      </c>
      <c r="H100" s="17"/>
    </row>
    <row r="101" spans="2:8" s="16" customFormat="1" ht="16.899999999999999" customHeight="1" x14ac:dyDescent="0.2">
      <c r="B101" s="17"/>
      <c r="C101" s="83"/>
      <c r="D101" s="83" t="s">
        <v>1640</v>
      </c>
      <c r="E101" s="2"/>
      <c r="F101" s="200">
        <v>16.190000000000001</v>
      </c>
      <c r="H101" s="17"/>
    </row>
    <row r="102" spans="2:8" s="16" customFormat="1" ht="16.899999999999999" customHeight="1" x14ac:dyDescent="0.2">
      <c r="B102" s="17"/>
      <c r="C102" s="83"/>
      <c r="D102" s="83" t="s">
        <v>1641</v>
      </c>
      <c r="E102" s="2"/>
      <c r="F102" s="200">
        <v>-0.9</v>
      </c>
      <c r="H102" s="17"/>
    </row>
    <row r="103" spans="2:8" s="16" customFormat="1" ht="16.899999999999999" customHeight="1" x14ac:dyDescent="0.2">
      <c r="B103" s="17"/>
      <c r="C103" s="83"/>
      <c r="D103" s="83" t="s">
        <v>1642</v>
      </c>
      <c r="E103" s="2"/>
      <c r="F103" s="200">
        <v>18.25</v>
      </c>
      <c r="H103" s="17"/>
    </row>
    <row r="104" spans="2:8" s="16" customFormat="1" ht="16.899999999999999" customHeight="1" x14ac:dyDescent="0.2">
      <c r="B104" s="17"/>
      <c r="C104" s="83"/>
      <c r="D104" s="83" t="s">
        <v>1601</v>
      </c>
      <c r="E104" s="2"/>
      <c r="F104" s="200">
        <v>-0.8</v>
      </c>
      <c r="H104" s="17"/>
    </row>
    <row r="105" spans="2:8" s="16" customFormat="1" ht="16.899999999999999" customHeight="1" x14ac:dyDescent="0.2">
      <c r="B105" s="17"/>
      <c r="C105" s="83" t="s">
        <v>179</v>
      </c>
      <c r="D105" s="83" t="s">
        <v>609</v>
      </c>
      <c r="E105" s="2"/>
      <c r="F105" s="200">
        <v>854.62699999999995</v>
      </c>
      <c r="H105" s="17"/>
    </row>
    <row r="106" spans="2:8" s="16" customFormat="1" ht="16.899999999999999" customHeight="1" x14ac:dyDescent="0.2">
      <c r="B106" s="17"/>
      <c r="C106" s="201" t="s">
        <v>8859</v>
      </c>
      <c r="H106" s="17"/>
    </row>
    <row r="107" spans="2:8" s="16" customFormat="1" ht="16.899999999999999" customHeight="1" x14ac:dyDescent="0.2">
      <c r="B107" s="17"/>
      <c r="C107" s="83" t="s">
        <v>1580</v>
      </c>
      <c r="D107" s="83" t="s">
        <v>1581</v>
      </c>
      <c r="E107" s="2" t="s">
        <v>724</v>
      </c>
      <c r="F107" s="200">
        <v>926.94799999999998</v>
      </c>
      <c r="H107" s="17"/>
    </row>
    <row r="108" spans="2:8" s="16" customFormat="1" ht="16.899999999999999" customHeight="1" x14ac:dyDescent="0.2">
      <c r="B108" s="17"/>
      <c r="C108" s="83" t="s">
        <v>1542</v>
      </c>
      <c r="D108" s="83" t="s">
        <v>1543</v>
      </c>
      <c r="E108" s="2" t="s">
        <v>425</v>
      </c>
      <c r="F108" s="200">
        <v>1303.3820000000001</v>
      </c>
      <c r="H108" s="17"/>
    </row>
    <row r="109" spans="2:8" s="16" customFormat="1" ht="16.899999999999999" customHeight="1" x14ac:dyDescent="0.2">
      <c r="B109" s="17"/>
      <c r="C109" s="83" t="s">
        <v>1548</v>
      </c>
      <c r="D109" s="83" t="s">
        <v>1549</v>
      </c>
      <c r="E109" s="2" t="s">
        <v>425</v>
      </c>
      <c r="F109" s="200">
        <v>1493.7349999999999</v>
      </c>
      <c r="H109" s="17"/>
    </row>
    <row r="110" spans="2:8" s="16" customFormat="1" ht="16.899999999999999" customHeight="1" x14ac:dyDescent="0.2">
      <c r="B110" s="17"/>
      <c r="C110" s="83" t="s">
        <v>2264</v>
      </c>
      <c r="D110" s="83" t="s">
        <v>2265</v>
      </c>
      <c r="E110" s="2" t="s">
        <v>724</v>
      </c>
      <c r="F110" s="200">
        <v>1525.8440000000001</v>
      </c>
      <c r="H110" s="17"/>
    </row>
    <row r="111" spans="2:8" s="16" customFormat="1" ht="16.899999999999999" customHeight="1" x14ac:dyDescent="0.2">
      <c r="B111" s="17"/>
      <c r="C111" s="83" t="s">
        <v>1664</v>
      </c>
      <c r="D111" s="83" t="s">
        <v>1665</v>
      </c>
      <c r="E111" s="2" t="s">
        <v>724</v>
      </c>
      <c r="F111" s="200">
        <v>940.09</v>
      </c>
      <c r="H111" s="17"/>
    </row>
    <row r="112" spans="2:8" s="16" customFormat="1" ht="16.899999999999999" customHeight="1" x14ac:dyDescent="0.2">
      <c r="B112" s="17"/>
      <c r="C112" s="196" t="s">
        <v>292</v>
      </c>
      <c r="D112" s="197"/>
      <c r="E112" s="198"/>
      <c r="F112" s="199">
        <v>70.5</v>
      </c>
      <c r="H112" s="17"/>
    </row>
    <row r="113" spans="2:8" s="16" customFormat="1" ht="16.899999999999999" customHeight="1" x14ac:dyDescent="0.2">
      <c r="B113" s="17"/>
      <c r="C113" s="83"/>
      <c r="D113" s="83" t="s">
        <v>1571</v>
      </c>
      <c r="E113" s="2"/>
      <c r="F113" s="200">
        <v>0</v>
      </c>
      <c r="H113" s="17"/>
    </row>
    <row r="114" spans="2:8" s="16" customFormat="1" ht="16.899999999999999" customHeight="1" x14ac:dyDescent="0.2">
      <c r="B114" s="17"/>
      <c r="C114" s="83"/>
      <c r="D114" s="83" t="s">
        <v>1509</v>
      </c>
      <c r="E114" s="2"/>
      <c r="F114" s="200">
        <v>0</v>
      </c>
      <c r="H114" s="17"/>
    </row>
    <row r="115" spans="2:8" s="16" customFormat="1" ht="16.899999999999999" customHeight="1" x14ac:dyDescent="0.2">
      <c r="B115" s="17"/>
      <c r="C115" s="83"/>
      <c r="D115" s="83" t="s">
        <v>1676</v>
      </c>
      <c r="E115" s="2"/>
      <c r="F115" s="200">
        <v>6.1</v>
      </c>
      <c r="H115" s="17"/>
    </row>
    <row r="116" spans="2:8" s="16" customFormat="1" ht="16.899999999999999" customHeight="1" x14ac:dyDescent="0.2">
      <c r="B116" s="17"/>
      <c r="C116" s="83"/>
      <c r="D116" s="83" t="s">
        <v>1511</v>
      </c>
      <c r="E116" s="2"/>
      <c r="F116" s="200">
        <v>0</v>
      </c>
      <c r="H116" s="17"/>
    </row>
    <row r="117" spans="2:8" s="16" customFormat="1" ht="16.899999999999999" customHeight="1" x14ac:dyDescent="0.2">
      <c r="B117" s="17"/>
      <c r="C117" s="83"/>
      <c r="D117" s="83" t="s">
        <v>1677</v>
      </c>
      <c r="E117" s="2"/>
      <c r="F117" s="200">
        <v>6.8</v>
      </c>
      <c r="H117" s="17"/>
    </row>
    <row r="118" spans="2:8" s="16" customFormat="1" ht="16.899999999999999" customHeight="1" x14ac:dyDescent="0.2">
      <c r="B118" s="17"/>
      <c r="C118" s="83"/>
      <c r="D118" s="83" t="s">
        <v>1513</v>
      </c>
      <c r="E118" s="2"/>
      <c r="F118" s="200">
        <v>0</v>
      </c>
      <c r="H118" s="17"/>
    </row>
    <row r="119" spans="2:8" s="16" customFormat="1" ht="16.899999999999999" customHeight="1" x14ac:dyDescent="0.2">
      <c r="B119" s="17"/>
      <c r="C119" s="83"/>
      <c r="D119" s="83" t="s">
        <v>1678</v>
      </c>
      <c r="E119" s="2"/>
      <c r="F119" s="200">
        <v>7.6</v>
      </c>
      <c r="H119" s="17"/>
    </row>
    <row r="120" spans="2:8" s="16" customFormat="1" ht="16.899999999999999" customHeight="1" x14ac:dyDescent="0.2">
      <c r="B120" s="17"/>
      <c r="C120" s="83"/>
      <c r="D120" s="83" t="s">
        <v>1515</v>
      </c>
      <c r="E120" s="2"/>
      <c r="F120" s="200">
        <v>0</v>
      </c>
      <c r="H120" s="17"/>
    </row>
    <row r="121" spans="2:8" s="16" customFormat="1" ht="16.899999999999999" customHeight="1" x14ac:dyDescent="0.2">
      <c r="B121" s="17"/>
      <c r="C121" s="83"/>
      <c r="D121" s="83" t="s">
        <v>1677</v>
      </c>
      <c r="E121" s="2"/>
      <c r="F121" s="200">
        <v>6.8</v>
      </c>
      <c r="H121" s="17"/>
    </row>
    <row r="122" spans="2:8" s="16" customFormat="1" ht="16.899999999999999" customHeight="1" x14ac:dyDescent="0.2">
      <c r="B122" s="17"/>
      <c r="C122" s="83"/>
      <c r="D122" s="83" t="s">
        <v>1516</v>
      </c>
      <c r="E122" s="2"/>
      <c r="F122" s="200">
        <v>0</v>
      </c>
      <c r="H122" s="17"/>
    </row>
    <row r="123" spans="2:8" s="16" customFormat="1" ht="16.899999999999999" customHeight="1" x14ac:dyDescent="0.2">
      <c r="B123" s="17"/>
      <c r="C123" s="83"/>
      <c r="D123" s="83" t="s">
        <v>1678</v>
      </c>
      <c r="E123" s="2"/>
      <c r="F123" s="200">
        <v>7.6</v>
      </c>
      <c r="H123" s="17"/>
    </row>
    <row r="124" spans="2:8" s="16" customFormat="1" ht="16.899999999999999" customHeight="1" x14ac:dyDescent="0.2">
      <c r="B124" s="17"/>
      <c r="C124" s="83"/>
      <c r="D124" s="83" t="s">
        <v>1517</v>
      </c>
      <c r="E124" s="2"/>
      <c r="F124" s="200">
        <v>0</v>
      </c>
      <c r="H124" s="17"/>
    </row>
    <row r="125" spans="2:8" s="16" customFormat="1" ht="16.899999999999999" customHeight="1" x14ac:dyDescent="0.2">
      <c r="B125" s="17"/>
      <c r="C125" s="83"/>
      <c r="D125" s="83" t="s">
        <v>1677</v>
      </c>
      <c r="E125" s="2"/>
      <c r="F125" s="200">
        <v>6.8</v>
      </c>
      <c r="H125" s="17"/>
    </row>
    <row r="126" spans="2:8" s="16" customFormat="1" ht="16.899999999999999" customHeight="1" x14ac:dyDescent="0.2">
      <c r="B126" s="17"/>
      <c r="C126" s="83"/>
      <c r="D126" s="83" t="s">
        <v>1518</v>
      </c>
      <c r="E126" s="2"/>
      <c r="F126" s="200">
        <v>0</v>
      </c>
      <c r="H126" s="17"/>
    </row>
    <row r="127" spans="2:8" s="16" customFormat="1" ht="16.899999999999999" customHeight="1" x14ac:dyDescent="0.2">
      <c r="B127" s="17"/>
      <c r="C127" s="83"/>
      <c r="D127" s="83" t="s">
        <v>1678</v>
      </c>
      <c r="E127" s="2"/>
      <c r="F127" s="200">
        <v>7.6</v>
      </c>
      <c r="H127" s="17"/>
    </row>
    <row r="128" spans="2:8" s="16" customFormat="1" ht="16.899999999999999" customHeight="1" x14ac:dyDescent="0.2">
      <c r="B128" s="17"/>
      <c r="C128" s="83"/>
      <c r="D128" s="83" t="s">
        <v>1519</v>
      </c>
      <c r="E128" s="2"/>
      <c r="F128" s="200">
        <v>0</v>
      </c>
      <c r="H128" s="17"/>
    </row>
    <row r="129" spans="2:8" s="16" customFormat="1" ht="16.899999999999999" customHeight="1" x14ac:dyDescent="0.2">
      <c r="B129" s="17"/>
      <c r="C129" s="83"/>
      <c r="D129" s="83" t="s">
        <v>1677</v>
      </c>
      <c r="E129" s="2"/>
      <c r="F129" s="200">
        <v>6.8</v>
      </c>
      <c r="H129" s="17"/>
    </row>
    <row r="130" spans="2:8" s="16" customFormat="1" ht="16.899999999999999" customHeight="1" x14ac:dyDescent="0.2">
      <c r="B130" s="17"/>
      <c r="C130" s="83"/>
      <c r="D130" s="83" t="s">
        <v>1520</v>
      </c>
      <c r="E130" s="2"/>
      <c r="F130" s="200">
        <v>0</v>
      </c>
      <c r="H130" s="17"/>
    </row>
    <row r="131" spans="2:8" s="16" customFormat="1" ht="16.899999999999999" customHeight="1" x14ac:dyDescent="0.2">
      <c r="B131" s="17"/>
      <c r="C131" s="83"/>
      <c r="D131" s="83" t="s">
        <v>1678</v>
      </c>
      <c r="E131" s="2"/>
      <c r="F131" s="200">
        <v>7.6</v>
      </c>
      <c r="H131" s="17"/>
    </row>
    <row r="132" spans="2:8" s="16" customFormat="1" ht="16.899999999999999" customHeight="1" x14ac:dyDescent="0.2">
      <c r="B132" s="17"/>
      <c r="C132" s="83"/>
      <c r="D132" s="83" t="s">
        <v>1521</v>
      </c>
      <c r="E132" s="2"/>
      <c r="F132" s="200">
        <v>0</v>
      </c>
      <c r="H132" s="17"/>
    </row>
    <row r="133" spans="2:8" s="16" customFormat="1" ht="16.899999999999999" customHeight="1" x14ac:dyDescent="0.2">
      <c r="B133" s="17"/>
      <c r="C133" s="83"/>
      <c r="D133" s="83" t="s">
        <v>1677</v>
      </c>
      <c r="E133" s="2"/>
      <c r="F133" s="200">
        <v>6.8</v>
      </c>
      <c r="H133" s="17"/>
    </row>
    <row r="134" spans="2:8" s="16" customFormat="1" ht="16.899999999999999" customHeight="1" x14ac:dyDescent="0.2">
      <c r="B134" s="17"/>
      <c r="C134" s="83" t="s">
        <v>292</v>
      </c>
      <c r="D134" s="83" t="s">
        <v>609</v>
      </c>
      <c r="E134" s="2"/>
      <c r="F134" s="200">
        <v>70.5</v>
      </c>
      <c r="H134" s="17"/>
    </row>
    <row r="135" spans="2:8" s="16" customFormat="1" ht="16.899999999999999" customHeight="1" x14ac:dyDescent="0.2">
      <c r="B135" s="17"/>
      <c r="C135" s="201" t="s">
        <v>8859</v>
      </c>
      <c r="H135" s="17"/>
    </row>
    <row r="136" spans="2:8" s="16" customFormat="1" ht="16.899999999999999" customHeight="1" x14ac:dyDescent="0.2">
      <c r="B136" s="17"/>
      <c r="C136" s="83" t="s">
        <v>1673</v>
      </c>
      <c r="D136" s="83" t="s">
        <v>1674</v>
      </c>
      <c r="E136" s="2" t="s">
        <v>724</v>
      </c>
      <c r="F136" s="200">
        <v>70.5</v>
      </c>
      <c r="H136" s="17"/>
    </row>
    <row r="137" spans="2:8" s="16" customFormat="1" ht="16.899999999999999" customHeight="1" x14ac:dyDescent="0.2">
      <c r="B137" s="17"/>
      <c r="C137" s="83" t="s">
        <v>1542</v>
      </c>
      <c r="D137" s="83" t="s">
        <v>1543</v>
      </c>
      <c r="E137" s="2" t="s">
        <v>425</v>
      </c>
      <c r="F137" s="200">
        <v>1303.3820000000001</v>
      </c>
      <c r="H137" s="17"/>
    </row>
    <row r="138" spans="2:8" s="16" customFormat="1" ht="16.899999999999999" customHeight="1" x14ac:dyDescent="0.2">
      <c r="B138" s="17"/>
      <c r="C138" s="83" t="s">
        <v>1548</v>
      </c>
      <c r="D138" s="83" t="s">
        <v>1549</v>
      </c>
      <c r="E138" s="2" t="s">
        <v>425</v>
      </c>
      <c r="F138" s="200">
        <v>1493.7349999999999</v>
      </c>
      <c r="H138" s="17"/>
    </row>
    <row r="139" spans="2:8" s="16" customFormat="1" ht="16.899999999999999" customHeight="1" x14ac:dyDescent="0.2">
      <c r="B139" s="17"/>
      <c r="C139" s="196" t="s">
        <v>182</v>
      </c>
      <c r="D139" s="197"/>
      <c r="E139" s="198"/>
      <c r="F139" s="199">
        <v>160.24</v>
      </c>
      <c r="H139" s="17"/>
    </row>
    <row r="140" spans="2:8" s="16" customFormat="1" ht="16.899999999999999" customHeight="1" x14ac:dyDescent="0.2">
      <c r="B140" s="17"/>
      <c r="C140" s="83"/>
      <c r="D140" s="83" t="s">
        <v>884</v>
      </c>
      <c r="E140" s="2"/>
      <c r="F140" s="200">
        <v>0</v>
      </c>
      <c r="H140" s="17"/>
    </row>
    <row r="141" spans="2:8" s="16" customFormat="1" ht="16.899999999999999" customHeight="1" x14ac:dyDescent="0.2">
      <c r="B141" s="17"/>
      <c r="C141" s="83"/>
      <c r="D141" s="83"/>
      <c r="E141" s="2"/>
      <c r="F141" s="200">
        <v>0</v>
      </c>
      <c r="H141" s="17"/>
    </row>
    <row r="142" spans="2:8" s="16" customFormat="1" ht="16.899999999999999" customHeight="1" x14ac:dyDescent="0.2">
      <c r="B142" s="17"/>
      <c r="C142" s="83"/>
      <c r="D142" s="83" t="s">
        <v>1705</v>
      </c>
      <c r="E142" s="2"/>
      <c r="F142" s="200">
        <v>0</v>
      </c>
      <c r="H142" s="17"/>
    </row>
    <row r="143" spans="2:8" s="16" customFormat="1" ht="16.899999999999999" customHeight="1" x14ac:dyDescent="0.2">
      <c r="B143" s="17"/>
      <c r="C143" s="83"/>
      <c r="D143" s="83" t="s">
        <v>183</v>
      </c>
      <c r="E143" s="2"/>
      <c r="F143" s="200">
        <v>160.24</v>
      </c>
      <c r="H143" s="17"/>
    </row>
    <row r="144" spans="2:8" s="16" customFormat="1" ht="16.899999999999999" customHeight="1" x14ac:dyDescent="0.2">
      <c r="B144" s="17"/>
      <c r="C144" s="83" t="s">
        <v>182</v>
      </c>
      <c r="D144" s="83" t="s">
        <v>609</v>
      </c>
      <c r="E144" s="2"/>
      <c r="F144" s="200">
        <v>160.24</v>
      </c>
      <c r="H144" s="17"/>
    </row>
    <row r="145" spans="2:8" s="16" customFormat="1" ht="16.899999999999999" customHeight="1" x14ac:dyDescent="0.2">
      <c r="B145" s="17"/>
      <c r="C145" s="201" t="s">
        <v>8859</v>
      </c>
      <c r="H145" s="17"/>
    </row>
    <row r="146" spans="2:8" s="16" customFormat="1" ht="16.899999999999999" customHeight="1" x14ac:dyDescent="0.2">
      <c r="B146" s="17"/>
      <c r="C146" s="83" t="s">
        <v>1702</v>
      </c>
      <c r="D146" s="83" t="s">
        <v>1703</v>
      </c>
      <c r="E146" s="2" t="s">
        <v>425</v>
      </c>
      <c r="F146" s="200">
        <v>244.59</v>
      </c>
      <c r="H146" s="17"/>
    </row>
    <row r="147" spans="2:8" s="16" customFormat="1" ht="16.899999999999999" customHeight="1" x14ac:dyDescent="0.2">
      <c r="B147" s="17"/>
      <c r="C147" s="83" t="s">
        <v>1542</v>
      </c>
      <c r="D147" s="83" t="s">
        <v>1543</v>
      </c>
      <c r="E147" s="2" t="s">
        <v>425</v>
      </c>
      <c r="F147" s="200">
        <v>1303.3820000000001</v>
      </c>
      <c r="H147" s="17"/>
    </row>
    <row r="148" spans="2:8" s="16" customFormat="1" ht="16.899999999999999" customHeight="1" x14ac:dyDescent="0.2">
      <c r="B148" s="17"/>
      <c r="C148" s="83" t="s">
        <v>1548</v>
      </c>
      <c r="D148" s="83" t="s">
        <v>1549</v>
      </c>
      <c r="E148" s="2" t="s">
        <v>425</v>
      </c>
      <c r="F148" s="200">
        <v>1493.7349999999999</v>
      </c>
      <c r="H148" s="17"/>
    </row>
    <row r="149" spans="2:8" s="16" customFormat="1" ht="22.5" x14ac:dyDescent="0.2">
      <c r="B149" s="17"/>
      <c r="C149" s="83" t="s">
        <v>1707</v>
      </c>
      <c r="D149" s="83" t="s">
        <v>1708</v>
      </c>
      <c r="E149" s="2" t="s">
        <v>425</v>
      </c>
      <c r="F149" s="200">
        <v>176.26400000000001</v>
      </c>
      <c r="H149" s="17"/>
    </row>
    <row r="150" spans="2:8" s="16" customFormat="1" ht="16.899999999999999" customHeight="1" x14ac:dyDescent="0.2">
      <c r="B150" s="17"/>
      <c r="C150" s="196" t="s">
        <v>184</v>
      </c>
      <c r="D150" s="197"/>
      <c r="E150" s="198"/>
      <c r="F150" s="199">
        <v>143.87700000000001</v>
      </c>
      <c r="H150" s="17"/>
    </row>
    <row r="151" spans="2:8" s="16" customFormat="1" ht="16.899999999999999" customHeight="1" x14ac:dyDescent="0.2">
      <c r="B151" s="17"/>
      <c r="C151" s="83"/>
      <c r="D151" s="83" t="s">
        <v>1755</v>
      </c>
      <c r="E151" s="2"/>
      <c r="F151" s="200">
        <v>0</v>
      </c>
      <c r="H151" s="17"/>
    </row>
    <row r="152" spans="2:8" s="16" customFormat="1" ht="16.899999999999999" customHeight="1" x14ac:dyDescent="0.2">
      <c r="B152" s="17"/>
      <c r="C152" s="83"/>
      <c r="D152" s="83" t="s">
        <v>1774</v>
      </c>
      <c r="E152" s="2"/>
      <c r="F152" s="200">
        <v>84.35</v>
      </c>
      <c r="H152" s="17"/>
    </row>
    <row r="153" spans="2:8" s="16" customFormat="1" ht="16.899999999999999" customHeight="1" x14ac:dyDescent="0.2">
      <c r="B153" s="17"/>
      <c r="C153" s="83"/>
      <c r="D153" s="83" t="s">
        <v>1775</v>
      </c>
      <c r="E153" s="2"/>
      <c r="F153" s="200">
        <v>0</v>
      </c>
      <c r="H153" s="17"/>
    </row>
    <row r="154" spans="2:8" s="16" customFormat="1" ht="16.899999999999999" customHeight="1" x14ac:dyDescent="0.2">
      <c r="B154" s="17"/>
      <c r="C154" s="83"/>
      <c r="D154" s="83" t="s">
        <v>1776</v>
      </c>
      <c r="E154" s="2"/>
      <c r="F154" s="200">
        <v>6.76</v>
      </c>
      <c r="H154" s="17"/>
    </row>
    <row r="155" spans="2:8" s="16" customFormat="1" ht="16.899999999999999" customHeight="1" x14ac:dyDescent="0.2">
      <c r="B155" s="17"/>
      <c r="C155" s="83"/>
      <c r="D155" s="83"/>
      <c r="E155" s="2"/>
      <c r="F155" s="200">
        <v>0</v>
      </c>
      <c r="H155" s="17"/>
    </row>
    <row r="156" spans="2:8" s="16" customFormat="1" ht="16.899999999999999" customHeight="1" x14ac:dyDescent="0.2">
      <c r="B156" s="17"/>
      <c r="C156" s="83"/>
      <c r="D156" s="83" t="s">
        <v>1777</v>
      </c>
      <c r="E156" s="2"/>
      <c r="F156" s="200">
        <v>48.62</v>
      </c>
      <c r="H156" s="17"/>
    </row>
    <row r="157" spans="2:8" s="16" customFormat="1" ht="16.899999999999999" customHeight="1" x14ac:dyDescent="0.2">
      <c r="B157" s="17"/>
      <c r="C157" s="83"/>
      <c r="D157" s="83"/>
      <c r="E157" s="2"/>
      <c r="F157" s="200">
        <v>0</v>
      </c>
      <c r="H157" s="17"/>
    </row>
    <row r="158" spans="2:8" s="16" customFormat="1" ht="16.899999999999999" customHeight="1" x14ac:dyDescent="0.2">
      <c r="B158" s="17"/>
      <c r="C158" s="83"/>
      <c r="D158" s="83"/>
      <c r="E158" s="2"/>
      <c r="F158" s="200">
        <v>0</v>
      </c>
      <c r="H158" s="17"/>
    </row>
    <row r="159" spans="2:8" s="16" customFormat="1" ht="16.899999999999999" customHeight="1" x14ac:dyDescent="0.2">
      <c r="B159" s="17"/>
      <c r="C159" s="83"/>
      <c r="D159" s="83" t="s">
        <v>1778</v>
      </c>
      <c r="E159" s="2"/>
      <c r="F159" s="200">
        <v>0</v>
      </c>
      <c r="H159" s="17"/>
    </row>
    <row r="160" spans="2:8" s="16" customFormat="1" ht="16.899999999999999" customHeight="1" x14ac:dyDescent="0.2">
      <c r="B160" s="17"/>
      <c r="C160" s="83"/>
      <c r="D160" s="83" t="s">
        <v>1779</v>
      </c>
      <c r="E160" s="2"/>
      <c r="F160" s="200">
        <v>0</v>
      </c>
      <c r="H160" s="17"/>
    </row>
    <row r="161" spans="2:8" s="16" customFormat="1" ht="16.899999999999999" customHeight="1" x14ac:dyDescent="0.2">
      <c r="B161" s="17"/>
      <c r="C161" s="83"/>
      <c r="D161" s="83" t="s">
        <v>1780</v>
      </c>
      <c r="E161" s="2"/>
      <c r="F161" s="200">
        <v>2.5720000000000001</v>
      </c>
      <c r="H161" s="17"/>
    </row>
    <row r="162" spans="2:8" s="16" customFormat="1" ht="16.899999999999999" customHeight="1" x14ac:dyDescent="0.2">
      <c r="B162" s="17"/>
      <c r="C162" s="83"/>
      <c r="D162" s="83" t="s">
        <v>1781</v>
      </c>
      <c r="E162" s="2"/>
      <c r="F162" s="200">
        <v>0</v>
      </c>
      <c r="H162" s="17"/>
    </row>
    <row r="163" spans="2:8" s="16" customFormat="1" ht="16.899999999999999" customHeight="1" x14ac:dyDescent="0.2">
      <c r="B163" s="17"/>
      <c r="C163" s="83"/>
      <c r="D163" s="83" t="s">
        <v>1782</v>
      </c>
      <c r="E163" s="2"/>
      <c r="F163" s="200">
        <v>1.575</v>
      </c>
      <c r="H163" s="17"/>
    </row>
    <row r="164" spans="2:8" s="16" customFormat="1" ht="16.899999999999999" customHeight="1" x14ac:dyDescent="0.2">
      <c r="B164" s="17"/>
      <c r="C164" s="83" t="s">
        <v>184</v>
      </c>
      <c r="D164" s="83" t="s">
        <v>609</v>
      </c>
      <c r="E164" s="2"/>
      <c r="F164" s="200">
        <v>143.87700000000001</v>
      </c>
      <c r="H164" s="17"/>
    </row>
    <row r="165" spans="2:8" s="16" customFormat="1" ht="16.899999999999999" customHeight="1" x14ac:dyDescent="0.2">
      <c r="B165" s="17"/>
      <c r="C165" s="201" t="s">
        <v>8859</v>
      </c>
      <c r="H165" s="17"/>
    </row>
    <row r="166" spans="2:8" s="16" customFormat="1" ht="16.899999999999999" customHeight="1" x14ac:dyDescent="0.2">
      <c r="B166" s="17"/>
      <c r="C166" s="83" t="s">
        <v>1771</v>
      </c>
      <c r="D166" s="83" t="s">
        <v>1772</v>
      </c>
      <c r="E166" s="2" t="s">
        <v>425</v>
      </c>
      <c r="F166" s="200">
        <v>143.87700000000001</v>
      </c>
      <c r="H166" s="17"/>
    </row>
    <row r="167" spans="2:8" s="16" customFormat="1" ht="16.899999999999999" customHeight="1" x14ac:dyDescent="0.2">
      <c r="B167" s="17"/>
      <c r="C167" s="83" t="s">
        <v>1542</v>
      </c>
      <c r="D167" s="83" t="s">
        <v>1543</v>
      </c>
      <c r="E167" s="2" t="s">
        <v>425</v>
      </c>
      <c r="F167" s="200">
        <v>1303.3820000000001</v>
      </c>
      <c r="H167" s="17"/>
    </row>
    <row r="168" spans="2:8" s="16" customFormat="1" ht="16.899999999999999" customHeight="1" x14ac:dyDescent="0.2">
      <c r="B168" s="17"/>
      <c r="C168" s="83" t="s">
        <v>1768</v>
      </c>
      <c r="D168" s="83" t="s">
        <v>1769</v>
      </c>
      <c r="E168" s="2" t="s">
        <v>425</v>
      </c>
      <c r="F168" s="200">
        <v>143.87700000000001</v>
      </c>
      <c r="H168" s="17"/>
    </row>
    <row r="169" spans="2:8" s="16" customFormat="1" ht="16.899999999999999" customHeight="1" x14ac:dyDescent="0.2">
      <c r="B169" s="17"/>
      <c r="C169" s="83" t="s">
        <v>1784</v>
      </c>
      <c r="D169" s="83" t="s">
        <v>1785</v>
      </c>
      <c r="E169" s="2" t="s">
        <v>425</v>
      </c>
      <c r="F169" s="200">
        <v>143.87700000000001</v>
      </c>
      <c r="H169" s="17"/>
    </row>
    <row r="170" spans="2:8" s="16" customFormat="1" ht="16.899999999999999" customHeight="1" x14ac:dyDescent="0.2">
      <c r="B170" s="17"/>
      <c r="C170" s="83" t="s">
        <v>1787</v>
      </c>
      <c r="D170" s="83" t="s">
        <v>1788</v>
      </c>
      <c r="E170" s="2" t="s">
        <v>425</v>
      </c>
      <c r="F170" s="200">
        <v>143.87700000000001</v>
      </c>
      <c r="H170" s="17"/>
    </row>
    <row r="171" spans="2:8" s="16" customFormat="1" ht="16.899999999999999" customHeight="1" x14ac:dyDescent="0.2">
      <c r="B171" s="17"/>
      <c r="C171" s="83" t="s">
        <v>1791</v>
      </c>
      <c r="D171" s="83" t="s">
        <v>1792</v>
      </c>
      <c r="E171" s="2" t="s">
        <v>425</v>
      </c>
      <c r="F171" s="200">
        <v>143.87700000000001</v>
      </c>
      <c r="H171" s="17"/>
    </row>
    <row r="172" spans="2:8" s="16" customFormat="1" ht="16.899999999999999" customHeight="1" x14ac:dyDescent="0.2">
      <c r="B172" s="17"/>
      <c r="C172" s="196" t="s">
        <v>186</v>
      </c>
      <c r="D172" s="197"/>
      <c r="E172" s="198"/>
      <c r="F172" s="199">
        <v>84.35</v>
      </c>
      <c r="H172" s="17"/>
    </row>
    <row r="173" spans="2:8" s="16" customFormat="1" ht="16.899999999999999" customHeight="1" x14ac:dyDescent="0.2">
      <c r="B173" s="17"/>
      <c r="C173" s="83"/>
      <c r="D173" s="83"/>
      <c r="E173" s="2"/>
      <c r="F173" s="200">
        <v>0</v>
      </c>
      <c r="H173" s="17"/>
    </row>
    <row r="174" spans="2:8" s="16" customFormat="1" ht="16.899999999999999" customHeight="1" x14ac:dyDescent="0.2">
      <c r="B174" s="17"/>
      <c r="C174" s="83"/>
      <c r="D174" s="83" t="s">
        <v>1706</v>
      </c>
      <c r="E174" s="2"/>
      <c r="F174" s="200">
        <v>0</v>
      </c>
      <c r="H174" s="17"/>
    </row>
    <row r="175" spans="2:8" s="16" customFormat="1" ht="16.899999999999999" customHeight="1" x14ac:dyDescent="0.2">
      <c r="B175" s="17"/>
      <c r="C175" s="83"/>
      <c r="D175" s="83" t="s">
        <v>187</v>
      </c>
      <c r="E175" s="2"/>
      <c r="F175" s="200">
        <v>84.35</v>
      </c>
      <c r="H175" s="17"/>
    </row>
    <row r="176" spans="2:8" s="16" customFormat="1" ht="16.899999999999999" customHeight="1" x14ac:dyDescent="0.2">
      <c r="B176" s="17"/>
      <c r="C176" s="83" t="s">
        <v>186</v>
      </c>
      <c r="D176" s="83" t="s">
        <v>609</v>
      </c>
      <c r="E176" s="2"/>
      <c r="F176" s="200">
        <v>84.35</v>
      </c>
      <c r="H176" s="17"/>
    </row>
    <row r="177" spans="2:8" s="16" customFormat="1" ht="16.899999999999999" customHeight="1" x14ac:dyDescent="0.2">
      <c r="B177" s="17"/>
      <c r="C177" s="201" t="s">
        <v>8859</v>
      </c>
      <c r="H177" s="17"/>
    </row>
    <row r="178" spans="2:8" s="16" customFormat="1" ht="16.899999999999999" customHeight="1" x14ac:dyDescent="0.2">
      <c r="B178" s="17"/>
      <c r="C178" s="83" t="s">
        <v>1702</v>
      </c>
      <c r="D178" s="83" t="s">
        <v>1703</v>
      </c>
      <c r="E178" s="2" t="s">
        <v>425</v>
      </c>
      <c r="F178" s="200">
        <v>244.59</v>
      </c>
      <c r="H178" s="17"/>
    </row>
    <row r="179" spans="2:8" s="16" customFormat="1" ht="16.899999999999999" customHeight="1" x14ac:dyDescent="0.2">
      <c r="B179" s="17"/>
      <c r="C179" s="83" t="s">
        <v>1542</v>
      </c>
      <c r="D179" s="83" t="s">
        <v>1543</v>
      </c>
      <c r="E179" s="2" t="s">
        <v>425</v>
      </c>
      <c r="F179" s="200">
        <v>1303.3820000000001</v>
      </c>
      <c r="H179" s="17"/>
    </row>
    <row r="180" spans="2:8" s="16" customFormat="1" ht="16.899999999999999" customHeight="1" x14ac:dyDescent="0.2">
      <c r="B180" s="17"/>
      <c r="C180" s="83" t="s">
        <v>1548</v>
      </c>
      <c r="D180" s="83" t="s">
        <v>1549</v>
      </c>
      <c r="E180" s="2" t="s">
        <v>425</v>
      </c>
      <c r="F180" s="200">
        <v>1493.7349999999999</v>
      </c>
      <c r="H180" s="17"/>
    </row>
    <row r="181" spans="2:8" s="16" customFormat="1" ht="22.5" x14ac:dyDescent="0.2">
      <c r="B181" s="17"/>
      <c r="C181" s="83" t="s">
        <v>1712</v>
      </c>
      <c r="D181" s="83" t="s">
        <v>1713</v>
      </c>
      <c r="E181" s="2" t="s">
        <v>425</v>
      </c>
      <c r="F181" s="200">
        <v>92.784999999999997</v>
      </c>
      <c r="H181" s="17"/>
    </row>
    <row r="182" spans="2:8" s="16" customFormat="1" ht="16.899999999999999" customHeight="1" x14ac:dyDescent="0.2">
      <c r="B182" s="17"/>
      <c r="C182" s="196" t="s">
        <v>188</v>
      </c>
      <c r="D182" s="197"/>
      <c r="E182" s="198"/>
      <c r="F182" s="199">
        <v>72.320999999999998</v>
      </c>
      <c r="H182" s="17"/>
    </row>
    <row r="183" spans="2:8" s="16" customFormat="1" ht="16.899999999999999" customHeight="1" x14ac:dyDescent="0.2">
      <c r="B183" s="17"/>
      <c r="C183" s="83"/>
      <c r="D183" s="83"/>
      <c r="E183" s="2"/>
      <c r="F183" s="200">
        <v>0</v>
      </c>
      <c r="H183" s="17"/>
    </row>
    <row r="184" spans="2:8" s="16" customFormat="1" ht="16.899999999999999" customHeight="1" x14ac:dyDescent="0.2">
      <c r="B184" s="17"/>
      <c r="C184" s="83"/>
      <c r="D184" s="83" t="s">
        <v>1643</v>
      </c>
      <c r="E184" s="2"/>
      <c r="F184" s="200">
        <v>0</v>
      </c>
      <c r="H184" s="17"/>
    </row>
    <row r="185" spans="2:8" s="16" customFormat="1" ht="16.899999999999999" customHeight="1" x14ac:dyDescent="0.2">
      <c r="B185" s="17"/>
      <c r="C185" s="83"/>
      <c r="D185" s="83"/>
      <c r="E185" s="2"/>
      <c r="F185" s="200">
        <v>0</v>
      </c>
      <c r="H185" s="17"/>
    </row>
    <row r="186" spans="2:8" s="16" customFormat="1" ht="16.899999999999999" customHeight="1" x14ac:dyDescent="0.2">
      <c r="B186" s="17"/>
      <c r="C186" s="83"/>
      <c r="D186" s="83" t="s">
        <v>1644</v>
      </c>
      <c r="E186" s="2"/>
      <c r="F186" s="200">
        <v>0</v>
      </c>
      <c r="H186" s="17"/>
    </row>
    <row r="187" spans="2:8" s="16" customFormat="1" ht="16.899999999999999" customHeight="1" x14ac:dyDescent="0.2">
      <c r="B187" s="17"/>
      <c r="C187" s="83"/>
      <c r="D187" s="83"/>
      <c r="E187" s="2"/>
      <c r="F187" s="200">
        <v>0</v>
      </c>
      <c r="H187" s="17"/>
    </row>
    <row r="188" spans="2:8" s="16" customFormat="1" ht="16.899999999999999" customHeight="1" x14ac:dyDescent="0.2">
      <c r="B188" s="17"/>
      <c r="C188" s="83"/>
      <c r="D188" s="83" t="s">
        <v>1645</v>
      </c>
      <c r="E188" s="2"/>
      <c r="F188" s="200">
        <v>0</v>
      </c>
      <c r="H188" s="17"/>
    </row>
    <row r="189" spans="2:8" s="16" customFormat="1" ht="16.899999999999999" customHeight="1" x14ac:dyDescent="0.2">
      <c r="B189" s="17"/>
      <c r="C189" s="83"/>
      <c r="D189" s="83"/>
      <c r="E189" s="2"/>
      <c r="F189" s="200">
        <v>0</v>
      </c>
      <c r="H189" s="17"/>
    </row>
    <row r="190" spans="2:8" s="16" customFormat="1" ht="16.899999999999999" customHeight="1" x14ac:dyDescent="0.2">
      <c r="B190" s="17"/>
      <c r="C190" s="83"/>
      <c r="D190" s="83" t="s">
        <v>1646</v>
      </c>
      <c r="E190" s="2"/>
      <c r="F190" s="200">
        <v>0</v>
      </c>
      <c r="H190" s="17"/>
    </row>
    <row r="191" spans="2:8" s="16" customFormat="1" ht="16.899999999999999" customHeight="1" x14ac:dyDescent="0.2">
      <c r="B191" s="17"/>
      <c r="C191" s="83"/>
      <c r="D191" s="83" t="s">
        <v>1647</v>
      </c>
      <c r="E191" s="2"/>
      <c r="F191" s="200">
        <v>1.5</v>
      </c>
      <c r="H191" s="17"/>
    </row>
    <row r="192" spans="2:8" s="16" customFormat="1" ht="16.899999999999999" customHeight="1" x14ac:dyDescent="0.2">
      <c r="B192" s="17"/>
      <c r="C192" s="83"/>
      <c r="D192" s="83" t="s">
        <v>1648</v>
      </c>
      <c r="E192" s="2"/>
      <c r="F192" s="200">
        <v>-0.7</v>
      </c>
      <c r="H192" s="17"/>
    </row>
    <row r="193" spans="2:8" s="16" customFormat="1" ht="16.899999999999999" customHeight="1" x14ac:dyDescent="0.2">
      <c r="B193" s="17"/>
      <c r="C193" s="83"/>
      <c r="D193" s="83" t="s">
        <v>1649</v>
      </c>
      <c r="E193" s="2"/>
      <c r="F193" s="200">
        <v>5.75</v>
      </c>
      <c r="H193" s="17"/>
    </row>
    <row r="194" spans="2:8" s="16" customFormat="1" ht="16.899999999999999" customHeight="1" x14ac:dyDescent="0.2">
      <c r="B194" s="17"/>
      <c r="C194" s="83"/>
      <c r="D194" s="83" t="s">
        <v>1601</v>
      </c>
      <c r="E194" s="2"/>
      <c r="F194" s="200">
        <v>-0.8</v>
      </c>
      <c r="H194" s="17"/>
    </row>
    <row r="195" spans="2:8" s="16" customFormat="1" ht="16.899999999999999" customHeight="1" x14ac:dyDescent="0.2">
      <c r="B195" s="17"/>
      <c r="C195" s="83"/>
      <c r="D195" s="83" t="s">
        <v>1650</v>
      </c>
      <c r="E195" s="2"/>
      <c r="F195" s="200">
        <v>8.7449999999999992</v>
      </c>
      <c r="H195" s="17"/>
    </row>
    <row r="196" spans="2:8" s="16" customFormat="1" ht="16.899999999999999" customHeight="1" x14ac:dyDescent="0.2">
      <c r="B196" s="17"/>
      <c r="C196" s="83"/>
      <c r="D196" s="83" t="s">
        <v>1601</v>
      </c>
      <c r="E196" s="2"/>
      <c r="F196" s="200">
        <v>-0.8</v>
      </c>
      <c r="H196" s="17"/>
    </row>
    <row r="197" spans="2:8" s="16" customFormat="1" ht="16.899999999999999" customHeight="1" x14ac:dyDescent="0.2">
      <c r="B197" s="17"/>
      <c r="C197" s="83"/>
      <c r="D197" s="83"/>
      <c r="E197" s="2"/>
      <c r="F197" s="200">
        <v>0</v>
      </c>
      <c r="H197" s="17"/>
    </row>
    <row r="198" spans="2:8" s="16" customFormat="1" ht="16.899999999999999" customHeight="1" x14ac:dyDescent="0.2">
      <c r="B198" s="17"/>
      <c r="C198" s="83"/>
      <c r="D198" s="83" t="s">
        <v>1651</v>
      </c>
      <c r="E198" s="2"/>
      <c r="F198" s="200">
        <v>4.33</v>
      </c>
      <c r="H198" s="17"/>
    </row>
    <row r="199" spans="2:8" s="16" customFormat="1" ht="16.899999999999999" customHeight="1" x14ac:dyDescent="0.2">
      <c r="B199" s="17"/>
      <c r="C199" s="83"/>
      <c r="D199" s="83" t="s">
        <v>1652</v>
      </c>
      <c r="E199" s="2"/>
      <c r="F199" s="200">
        <v>-2.1</v>
      </c>
      <c r="H199" s="17"/>
    </row>
    <row r="200" spans="2:8" s="16" customFormat="1" ht="16.899999999999999" customHeight="1" x14ac:dyDescent="0.2">
      <c r="B200" s="17"/>
      <c r="C200" s="83"/>
      <c r="D200" s="83" t="s">
        <v>1653</v>
      </c>
      <c r="E200" s="2"/>
      <c r="F200" s="200">
        <v>13.3</v>
      </c>
      <c r="H200" s="17"/>
    </row>
    <row r="201" spans="2:8" s="16" customFormat="1" ht="16.899999999999999" customHeight="1" x14ac:dyDescent="0.2">
      <c r="B201" s="17"/>
      <c r="C201" s="83"/>
      <c r="D201" s="83" t="s">
        <v>1601</v>
      </c>
      <c r="E201" s="2"/>
      <c r="F201" s="200">
        <v>-0.8</v>
      </c>
      <c r="H201" s="17"/>
    </row>
    <row r="202" spans="2:8" s="16" customFormat="1" ht="16.899999999999999" customHeight="1" x14ac:dyDescent="0.2">
      <c r="B202" s="17"/>
      <c r="C202" s="83"/>
      <c r="D202" s="83"/>
      <c r="E202" s="2"/>
      <c r="F202" s="200">
        <v>0</v>
      </c>
      <c r="H202" s="17"/>
    </row>
    <row r="203" spans="2:8" s="16" customFormat="1" ht="16.899999999999999" customHeight="1" x14ac:dyDescent="0.2">
      <c r="B203" s="17"/>
      <c r="C203" s="83"/>
      <c r="D203" s="83" t="s">
        <v>1654</v>
      </c>
      <c r="E203" s="2"/>
      <c r="F203" s="200">
        <v>7.1</v>
      </c>
      <c r="H203" s="17"/>
    </row>
    <row r="204" spans="2:8" s="16" customFormat="1" ht="16.899999999999999" customHeight="1" x14ac:dyDescent="0.2">
      <c r="B204" s="17"/>
      <c r="C204" s="83"/>
      <c r="D204" s="83" t="s">
        <v>1601</v>
      </c>
      <c r="E204" s="2"/>
      <c r="F204" s="200">
        <v>-0.8</v>
      </c>
      <c r="H204" s="17"/>
    </row>
    <row r="205" spans="2:8" s="16" customFormat="1" ht="16.899999999999999" customHeight="1" x14ac:dyDescent="0.2">
      <c r="B205" s="17"/>
      <c r="C205" s="83"/>
      <c r="D205" s="83" t="s">
        <v>1655</v>
      </c>
      <c r="E205" s="2"/>
      <c r="F205" s="200">
        <v>13.348000000000001</v>
      </c>
      <c r="H205" s="17"/>
    </row>
    <row r="206" spans="2:8" s="16" customFormat="1" ht="16.899999999999999" customHeight="1" x14ac:dyDescent="0.2">
      <c r="B206" s="17"/>
      <c r="C206" s="83"/>
      <c r="D206" s="83" t="s">
        <v>1601</v>
      </c>
      <c r="E206" s="2"/>
      <c r="F206" s="200">
        <v>-0.8</v>
      </c>
      <c r="H206" s="17"/>
    </row>
    <row r="207" spans="2:8" s="16" customFormat="1" ht="16.899999999999999" customHeight="1" x14ac:dyDescent="0.2">
      <c r="B207" s="17"/>
      <c r="C207" s="83"/>
      <c r="D207" s="83" t="s">
        <v>1656</v>
      </c>
      <c r="E207" s="2"/>
      <c r="F207" s="200">
        <v>1.3</v>
      </c>
      <c r="H207" s="17"/>
    </row>
    <row r="208" spans="2:8" s="16" customFormat="1" ht="16.899999999999999" customHeight="1" x14ac:dyDescent="0.2">
      <c r="B208" s="17"/>
      <c r="C208" s="83"/>
      <c r="D208" s="83" t="s">
        <v>1657</v>
      </c>
      <c r="E208" s="2"/>
      <c r="F208" s="200">
        <v>1.4</v>
      </c>
      <c r="H208" s="17"/>
    </row>
    <row r="209" spans="2:8" s="16" customFormat="1" ht="16.899999999999999" customHeight="1" x14ac:dyDescent="0.2">
      <c r="B209" s="17"/>
      <c r="C209" s="83"/>
      <c r="D209" s="83" t="s">
        <v>1658</v>
      </c>
      <c r="E209" s="2"/>
      <c r="F209" s="200">
        <v>1.5</v>
      </c>
      <c r="H209" s="17"/>
    </row>
    <row r="210" spans="2:8" s="16" customFormat="1" ht="16.899999999999999" customHeight="1" x14ac:dyDescent="0.2">
      <c r="B210" s="17"/>
      <c r="C210" s="83"/>
      <c r="D210" s="83" t="s">
        <v>1659</v>
      </c>
      <c r="E210" s="2"/>
      <c r="F210" s="200">
        <v>0.8</v>
      </c>
      <c r="H210" s="17"/>
    </row>
    <row r="211" spans="2:8" s="16" customFormat="1" ht="16.899999999999999" customHeight="1" x14ac:dyDescent="0.2">
      <c r="B211" s="17"/>
      <c r="C211" s="83"/>
      <c r="D211" s="83"/>
      <c r="E211" s="2"/>
      <c r="F211" s="200">
        <v>0</v>
      </c>
      <c r="H211" s="17"/>
    </row>
    <row r="212" spans="2:8" s="16" customFormat="1" ht="16.899999999999999" customHeight="1" x14ac:dyDescent="0.2">
      <c r="B212" s="17"/>
      <c r="C212" s="83"/>
      <c r="D212" s="83" t="s">
        <v>1660</v>
      </c>
      <c r="E212" s="2"/>
      <c r="F212" s="200">
        <v>13.348000000000001</v>
      </c>
      <c r="H212" s="17"/>
    </row>
    <row r="213" spans="2:8" s="16" customFormat="1" ht="16.899999999999999" customHeight="1" x14ac:dyDescent="0.2">
      <c r="B213" s="17"/>
      <c r="C213" s="83"/>
      <c r="D213" s="83" t="s">
        <v>1601</v>
      </c>
      <c r="E213" s="2"/>
      <c r="F213" s="200">
        <v>-0.8</v>
      </c>
      <c r="H213" s="17"/>
    </row>
    <row r="214" spans="2:8" s="16" customFormat="1" ht="16.899999999999999" customHeight="1" x14ac:dyDescent="0.2">
      <c r="B214" s="17"/>
      <c r="C214" s="83"/>
      <c r="D214" s="83" t="s">
        <v>1661</v>
      </c>
      <c r="E214" s="2"/>
      <c r="F214" s="200">
        <v>1.2</v>
      </c>
      <c r="H214" s="17"/>
    </row>
    <row r="215" spans="2:8" s="16" customFormat="1" ht="16.899999999999999" customHeight="1" x14ac:dyDescent="0.2">
      <c r="B215" s="17"/>
      <c r="C215" s="83"/>
      <c r="D215" s="83"/>
      <c r="E215" s="2"/>
      <c r="F215" s="200">
        <v>0</v>
      </c>
      <c r="H215" s="17"/>
    </row>
    <row r="216" spans="2:8" s="16" customFormat="1" ht="16.899999999999999" customHeight="1" x14ac:dyDescent="0.2">
      <c r="B216" s="17"/>
      <c r="C216" s="83"/>
      <c r="D216" s="83" t="s">
        <v>1662</v>
      </c>
      <c r="E216" s="2"/>
      <c r="F216" s="200">
        <v>7.1</v>
      </c>
      <c r="H216" s="17"/>
    </row>
    <row r="217" spans="2:8" s="16" customFormat="1" ht="16.899999999999999" customHeight="1" x14ac:dyDescent="0.2">
      <c r="B217" s="17"/>
      <c r="C217" s="83"/>
      <c r="D217" s="83" t="s">
        <v>1601</v>
      </c>
      <c r="E217" s="2"/>
      <c r="F217" s="200">
        <v>-0.8</v>
      </c>
      <c r="H217" s="17"/>
    </row>
    <row r="218" spans="2:8" s="16" customFormat="1" ht="16.899999999999999" customHeight="1" x14ac:dyDescent="0.2">
      <c r="B218" s="17"/>
      <c r="C218" s="83" t="s">
        <v>188</v>
      </c>
      <c r="D218" s="83" t="s">
        <v>609</v>
      </c>
      <c r="E218" s="2"/>
      <c r="F218" s="200">
        <v>72.320999999999998</v>
      </c>
      <c r="H218" s="17"/>
    </row>
    <row r="219" spans="2:8" s="16" customFormat="1" ht="16.899999999999999" customHeight="1" x14ac:dyDescent="0.2">
      <c r="B219" s="17"/>
      <c r="C219" s="201" t="s">
        <v>8859</v>
      </c>
      <c r="H219" s="17"/>
    </row>
    <row r="220" spans="2:8" s="16" customFormat="1" ht="16.899999999999999" customHeight="1" x14ac:dyDescent="0.2">
      <c r="B220" s="17"/>
      <c r="C220" s="83" t="s">
        <v>1580</v>
      </c>
      <c r="D220" s="83" t="s">
        <v>1581</v>
      </c>
      <c r="E220" s="2" t="s">
        <v>724</v>
      </c>
      <c r="F220" s="200">
        <v>926.94799999999998</v>
      </c>
      <c r="H220" s="17"/>
    </row>
    <row r="221" spans="2:8" s="16" customFormat="1" ht="16.899999999999999" customHeight="1" x14ac:dyDescent="0.2">
      <c r="B221" s="17"/>
      <c r="C221" s="83" t="s">
        <v>1542</v>
      </c>
      <c r="D221" s="83" t="s">
        <v>1543</v>
      </c>
      <c r="E221" s="2" t="s">
        <v>425</v>
      </c>
      <c r="F221" s="200">
        <v>1303.3820000000001</v>
      </c>
      <c r="H221" s="17"/>
    </row>
    <row r="222" spans="2:8" s="16" customFormat="1" ht="16.899999999999999" customHeight="1" x14ac:dyDescent="0.2">
      <c r="B222" s="17"/>
      <c r="C222" s="83" t="s">
        <v>1548</v>
      </c>
      <c r="D222" s="83" t="s">
        <v>1549</v>
      </c>
      <c r="E222" s="2" t="s">
        <v>425</v>
      </c>
      <c r="F222" s="200">
        <v>1493.7349999999999</v>
      </c>
      <c r="H222" s="17"/>
    </row>
    <row r="223" spans="2:8" s="16" customFormat="1" ht="16.899999999999999" customHeight="1" x14ac:dyDescent="0.2">
      <c r="B223" s="17"/>
      <c r="C223" s="83" t="s">
        <v>2264</v>
      </c>
      <c r="D223" s="83" t="s">
        <v>2265</v>
      </c>
      <c r="E223" s="2" t="s">
        <v>724</v>
      </c>
      <c r="F223" s="200">
        <v>1525.8440000000001</v>
      </c>
      <c r="H223" s="17"/>
    </row>
    <row r="224" spans="2:8" s="16" customFormat="1" ht="16.899999999999999" customHeight="1" x14ac:dyDescent="0.2">
      <c r="B224" s="17"/>
      <c r="C224" s="83" t="s">
        <v>1668</v>
      </c>
      <c r="D224" s="83" t="s">
        <v>1669</v>
      </c>
      <c r="E224" s="2" t="s">
        <v>724</v>
      </c>
      <c r="F224" s="200">
        <v>79.552999999999997</v>
      </c>
      <c r="H224" s="17"/>
    </row>
    <row r="225" spans="2:8" s="16" customFormat="1" ht="16.899999999999999" customHeight="1" x14ac:dyDescent="0.2">
      <c r="B225" s="17"/>
      <c r="C225" s="196" t="s">
        <v>191</v>
      </c>
      <c r="D225" s="197"/>
      <c r="E225" s="198"/>
      <c r="F225" s="199">
        <v>284.55</v>
      </c>
      <c r="H225" s="17"/>
    </row>
    <row r="226" spans="2:8" s="16" customFormat="1" ht="16.899999999999999" customHeight="1" x14ac:dyDescent="0.2">
      <c r="B226" s="17"/>
      <c r="C226" s="83"/>
      <c r="D226" s="83" t="s">
        <v>884</v>
      </c>
      <c r="E226" s="2"/>
      <c r="F226" s="200">
        <v>0</v>
      </c>
      <c r="H226" s="17"/>
    </row>
    <row r="227" spans="2:8" s="16" customFormat="1" ht="16.899999999999999" customHeight="1" x14ac:dyDescent="0.2">
      <c r="B227" s="17"/>
      <c r="C227" s="83"/>
      <c r="D227" s="83"/>
      <c r="E227" s="2"/>
      <c r="F227" s="200">
        <v>0</v>
      </c>
      <c r="H227" s="17"/>
    </row>
    <row r="228" spans="2:8" s="16" customFormat="1" ht="16.899999999999999" customHeight="1" x14ac:dyDescent="0.2">
      <c r="B228" s="17"/>
      <c r="C228" s="83"/>
      <c r="D228" s="83" t="s">
        <v>1812</v>
      </c>
      <c r="E228" s="2"/>
      <c r="F228" s="200">
        <v>0</v>
      </c>
      <c r="H228" s="17"/>
    </row>
    <row r="229" spans="2:8" s="16" customFormat="1" ht="16.899999999999999" customHeight="1" x14ac:dyDescent="0.2">
      <c r="B229" s="17"/>
      <c r="C229" s="83"/>
      <c r="D229" s="83" t="s">
        <v>192</v>
      </c>
      <c r="E229" s="2"/>
      <c r="F229" s="200">
        <v>284.55</v>
      </c>
      <c r="H229" s="17"/>
    </row>
    <row r="230" spans="2:8" s="16" customFormat="1" ht="16.899999999999999" customHeight="1" x14ac:dyDescent="0.2">
      <c r="B230" s="17"/>
      <c r="C230" s="83" t="s">
        <v>191</v>
      </c>
      <c r="D230" s="83" t="s">
        <v>609</v>
      </c>
      <c r="E230" s="2"/>
      <c r="F230" s="200">
        <v>284.55</v>
      </c>
      <c r="H230" s="17"/>
    </row>
    <row r="231" spans="2:8" s="16" customFormat="1" ht="16.899999999999999" customHeight="1" x14ac:dyDescent="0.2">
      <c r="B231" s="17"/>
      <c r="C231" s="201" t="s">
        <v>8859</v>
      </c>
      <c r="H231" s="17"/>
    </row>
    <row r="232" spans="2:8" s="16" customFormat="1" ht="16.899999999999999" customHeight="1" x14ac:dyDescent="0.2">
      <c r="B232" s="17"/>
      <c r="C232" s="83" t="s">
        <v>1809</v>
      </c>
      <c r="D232" s="83" t="s">
        <v>1810</v>
      </c>
      <c r="E232" s="2" t="s">
        <v>425</v>
      </c>
      <c r="F232" s="200">
        <v>1833.33</v>
      </c>
      <c r="H232" s="17"/>
    </row>
    <row r="233" spans="2:8" s="16" customFormat="1" ht="16.899999999999999" customHeight="1" x14ac:dyDescent="0.2">
      <c r="B233" s="17"/>
      <c r="C233" s="83" t="s">
        <v>1803</v>
      </c>
      <c r="D233" s="83" t="s">
        <v>1804</v>
      </c>
      <c r="E233" s="2" t="s">
        <v>425</v>
      </c>
      <c r="F233" s="200">
        <v>1959.8789999999999</v>
      </c>
      <c r="H233" s="17"/>
    </row>
    <row r="234" spans="2:8" s="16" customFormat="1" ht="22.5" x14ac:dyDescent="0.2">
      <c r="B234" s="17"/>
      <c r="C234" s="83" t="s">
        <v>1814</v>
      </c>
      <c r="D234" s="83" t="s">
        <v>1815</v>
      </c>
      <c r="E234" s="2" t="s">
        <v>425</v>
      </c>
      <c r="F234" s="200">
        <v>324.84100000000001</v>
      </c>
      <c r="H234" s="17"/>
    </row>
    <row r="235" spans="2:8" s="16" customFormat="1" ht="16.899999999999999" customHeight="1" x14ac:dyDescent="0.2">
      <c r="B235" s="17"/>
      <c r="C235" s="196" t="s">
        <v>194</v>
      </c>
      <c r="D235" s="197"/>
      <c r="E235" s="198"/>
      <c r="F235" s="199">
        <v>185.52</v>
      </c>
      <c r="H235" s="17"/>
    </row>
    <row r="236" spans="2:8" s="16" customFormat="1" ht="16.899999999999999" customHeight="1" x14ac:dyDescent="0.2">
      <c r="B236" s="17"/>
      <c r="C236" s="83"/>
      <c r="D236" s="83" t="s">
        <v>1827</v>
      </c>
      <c r="E236" s="2"/>
      <c r="F236" s="200">
        <v>0</v>
      </c>
      <c r="H236" s="17"/>
    </row>
    <row r="237" spans="2:8" s="16" customFormat="1" ht="16.899999999999999" customHeight="1" x14ac:dyDescent="0.2">
      <c r="B237" s="17"/>
      <c r="C237" s="83"/>
      <c r="D237" s="83" t="s">
        <v>1828</v>
      </c>
      <c r="E237" s="2"/>
      <c r="F237" s="200">
        <v>34.6</v>
      </c>
      <c r="H237" s="17"/>
    </row>
    <row r="238" spans="2:8" s="16" customFormat="1" ht="16.899999999999999" customHeight="1" x14ac:dyDescent="0.2">
      <c r="B238" s="17"/>
      <c r="C238" s="83"/>
      <c r="D238" s="83" t="s">
        <v>1641</v>
      </c>
      <c r="E238" s="2"/>
      <c r="F238" s="200">
        <v>-0.9</v>
      </c>
      <c r="H238" s="17"/>
    </row>
    <row r="239" spans="2:8" s="16" customFormat="1" ht="16.899999999999999" customHeight="1" x14ac:dyDescent="0.2">
      <c r="B239" s="17"/>
      <c r="C239" s="83"/>
      <c r="D239" s="83" t="s">
        <v>1829</v>
      </c>
      <c r="E239" s="2"/>
      <c r="F239" s="200">
        <v>24.15</v>
      </c>
      <c r="H239" s="17"/>
    </row>
    <row r="240" spans="2:8" s="16" customFormat="1" ht="16.899999999999999" customHeight="1" x14ac:dyDescent="0.2">
      <c r="B240" s="17"/>
      <c r="C240" s="83"/>
      <c r="D240" s="83" t="s">
        <v>1606</v>
      </c>
      <c r="E240" s="2"/>
      <c r="F240" s="200">
        <v>-1.4</v>
      </c>
      <c r="H240" s="17"/>
    </row>
    <row r="241" spans="2:8" s="16" customFormat="1" ht="16.899999999999999" customHeight="1" x14ac:dyDescent="0.2">
      <c r="B241" s="17"/>
      <c r="C241" s="83"/>
      <c r="D241" s="83" t="s">
        <v>1830</v>
      </c>
      <c r="E241" s="2"/>
      <c r="F241" s="200">
        <v>28.25</v>
      </c>
      <c r="H241" s="17"/>
    </row>
    <row r="242" spans="2:8" s="16" customFormat="1" ht="16.899999999999999" customHeight="1" x14ac:dyDescent="0.2">
      <c r="B242" s="17"/>
      <c r="C242" s="83"/>
      <c r="D242" s="83" t="s">
        <v>1606</v>
      </c>
      <c r="E242" s="2"/>
      <c r="F242" s="200">
        <v>-1.4</v>
      </c>
      <c r="H242" s="17"/>
    </row>
    <row r="243" spans="2:8" s="16" customFormat="1" ht="16.899999999999999" customHeight="1" x14ac:dyDescent="0.2">
      <c r="B243" s="17"/>
      <c r="C243" s="83"/>
      <c r="D243" s="83" t="s">
        <v>1831</v>
      </c>
      <c r="E243" s="2"/>
      <c r="F243" s="200">
        <v>19.8</v>
      </c>
      <c r="H243" s="17"/>
    </row>
    <row r="244" spans="2:8" s="16" customFormat="1" ht="16.899999999999999" customHeight="1" x14ac:dyDescent="0.2">
      <c r="B244" s="17"/>
      <c r="C244" s="83"/>
      <c r="D244" s="83" t="s">
        <v>1641</v>
      </c>
      <c r="E244" s="2"/>
      <c r="F244" s="200">
        <v>-0.9</v>
      </c>
      <c r="H244" s="17"/>
    </row>
    <row r="245" spans="2:8" s="16" customFormat="1" ht="16.899999999999999" customHeight="1" x14ac:dyDescent="0.2">
      <c r="B245" s="17"/>
      <c r="C245" s="83"/>
      <c r="D245" s="83" t="s">
        <v>1832</v>
      </c>
      <c r="E245" s="2"/>
      <c r="F245" s="200">
        <v>29.52</v>
      </c>
      <c r="H245" s="17"/>
    </row>
    <row r="246" spans="2:8" s="16" customFormat="1" ht="16.899999999999999" customHeight="1" x14ac:dyDescent="0.2">
      <c r="B246" s="17"/>
      <c r="C246" s="83"/>
      <c r="D246" s="83" t="s">
        <v>1641</v>
      </c>
      <c r="E246" s="2"/>
      <c r="F246" s="200">
        <v>-0.9</v>
      </c>
      <c r="H246" s="17"/>
    </row>
    <row r="247" spans="2:8" s="16" customFormat="1" ht="16.899999999999999" customHeight="1" x14ac:dyDescent="0.2">
      <c r="B247" s="17"/>
      <c r="C247" s="83"/>
      <c r="D247" s="83" t="s">
        <v>1833</v>
      </c>
      <c r="E247" s="2"/>
      <c r="F247" s="200">
        <v>42.55</v>
      </c>
      <c r="H247" s="17"/>
    </row>
    <row r="248" spans="2:8" s="16" customFormat="1" ht="16.899999999999999" customHeight="1" x14ac:dyDescent="0.2">
      <c r="B248" s="17"/>
      <c r="C248" s="83"/>
      <c r="D248" s="83" t="s">
        <v>1834</v>
      </c>
      <c r="E248" s="2"/>
      <c r="F248" s="200">
        <v>-2.2000000000000002</v>
      </c>
      <c r="H248" s="17"/>
    </row>
    <row r="249" spans="2:8" s="16" customFormat="1" ht="16.899999999999999" customHeight="1" x14ac:dyDescent="0.2">
      <c r="B249" s="17"/>
      <c r="C249" s="83"/>
      <c r="D249" s="83" t="s">
        <v>1835</v>
      </c>
      <c r="E249" s="2"/>
      <c r="F249" s="200">
        <v>15.15</v>
      </c>
      <c r="H249" s="17"/>
    </row>
    <row r="250" spans="2:8" s="16" customFormat="1" ht="16.899999999999999" customHeight="1" x14ac:dyDescent="0.2">
      <c r="B250" s="17"/>
      <c r="C250" s="83"/>
      <c r="D250" s="83" t="s">
        <v>1601</v>
      </c>
      <c r="E250" s="2"/>
      <c r="F250" s="200">
        <v>-0.8</v>
      </c>
      <c r="H250" s="17"/>
    </row>
    <row r="251" spans="2:8" s="16" customFormat="1" ht="16.899999999999999" customHeight="1" x14ac:dyDescent="0.2">
      <c r="B251" s="17"/>
      <c r="C251" s="83" t="s">
        <v>194</v>
      </c>
      <c r="D251" s="83" t="s">
        <v>609</v>
      </c>
      <c r="E251" s="2"/>
      <c r="F251" s="200">
        <v>185.52</v>
      </c>
      <c r="H251" s="17"/>
    </row>
    <row r="252" spans="2:8" s="16" customFormat="1" ht="16.899999999999999" customHeight="1" x14ac:dyDescent="0.2">
      <c r="B252" s="17"/>
      <c r="C252" s="201" t="s">
        <v>8859</v>
      </c>
      <c r="H252" s="17"/>
    </row>
    <row r="253" spans="2:8" s="16" customFormat="1" ht="16.899999999999999" customHeight="1" x14ac:dyDescent="0.2">
      <c r="B253" s="17"/>
      <c r="C253" s="83" t="s">
        <v>1824</v>
      </c>
      <c r="D253" s="83" t="s">
        <v>1825</v>
      </c>
      <c r="E253" s="2" t="s">
        <v>724</v>
      </c>
      <c r="F253" s="200">
        <v>1873.78700000001</v>
      </c>
      <c r="H253" s="17"/>
    </row>
    <row r="254" spans="2:8" s="16" customFormat="1" ht="16.899999999999999" customHeight="1" x14ac:dyDescent="0.2">
      <c r="B254" s="17"/>
      <c r="C254" s="83" t="s">
        <v>1803</v>
      </c>
      <c r="D254" s="83" t="s">
        <v>1804</v>
      </c>
      <c r="E254" s="2" t="s">
        <v>425</v>
      </c>
      <c r="F254" s="200">
        <v>1959.8789999999999</v>
      </c>
      <c r="H254" s="17"/>
    </row>
    <row r="255" spans="2:8" s="16" customFormat="1" ht="16.899999999999999" customHeight="1" x14ac:dyDescent="0.2">
      <c r="B255" s="17"/>
      <c r="C255" s="83" t="s">
        <v>1979</v>
      </c>
      <c r="D255" s="83" t="s">
        <v>1980</v>
      </c>
      <c r="E255" s="2" t="s">
        <v>724</v>
      </c>
      <c r="F255" s="200">
        <v>1873.787</v>
      </c>
      <c r="H255" s="17"/>
    </row>
    <row r="256" spans="2:8" s="16" customFormat="1" ht="22.5" x14ac:dyDescent="0.2">
      <c r="B256" s="17"/>
      <c r="C256" s="83" t="s">
        <v>1814</v>
      </c>
      <c r="D256" s="83" t="s">
        <v>1815</v>
      </c>
      <c r="E256" s="2" t="s">
        <v>425</v>
      </c>
      <c r="F256" s="200">
        <v>324.84100000000001</v>
      </c>
      <c r="H256" s="17"/>
    </row>
    <row r="257" spans="2:8" s="16" customFormat="1" ht="16.899999999999999" customHeight="1" x14ac:dyDescent="0.2">
      <c r="B257" s="17"/>
      <c r="C257" s="196" t="s">
        <v>197</v>
      </c>
      <c r="D257" s="197"/>
      <c r="E257" s="198"/>
      <c r="F257" s="199">
        <v>1548.78</v>
      </c>
      <c r="H257" s="17"/>
    </row>
    <row r="258" spans="2:8" s="16" customFormat="1" ht="16.899999999999999" customHeight="1" x14ac:dyDescent="0.2">
      <c r="B258" s="17"/>
      <c r="C258" s="83"/>
      <c r="D258" s="83"/>
      <c r="E258" s="2"/>
      <c r="F258" s="200">
        <v>0</v>
      </c>
      <c r="H258" s="17"/>
    </row>
    <row r="259" spans="2:8" s="16" customFormat="1" ht="16.899999999999999" customHeight="1" x14ac:dyDescent="0.2">
      <c r="B259" s="17"/>
      <c r="C259" s="83"/>
      <c r="D259" s="83" t="s">
        <v>1813</v>
      </c>
      <c r="E259" s="2"/>
      <c r="F259" s="200">
        <v>0</v>
      </c>
      <c r="H259" s="17"/>
    </row>
    <row r="260" spans="2:8" s="16" customFormat="1" ht="16.899999999999999" customHeight="1" x14ac:dyDescent="0.2">
      <c r="B260" s="17"/>
      <c r="C260" s="83"/>
      <c r="D260" s="83" t="s">
        <v>198</v>
      </c>
      <c r="E260" s="2"/>
      <c r="F260" s="200">
        <v>1548.78</v>
      </c>
      <c r="H260" s="17"/>
    </row>
    <row r="261" spans="2:8" s="16" customFormat="1" ht="16.899999999999999" customHeight="1" x14ac:dyDescent="0.2">
      <c r="B261" s="17"/>
      <c r="C261" s="83" t="s">
        <v>197</v>
      </c>
      <c r="D261" s="83" t="s">
        <v>609</v>
      </c>
      <c r="E261" s="2"/>
      <c r="F261" s="200">
        <v>1548.78</v>
      </c>
      <c r="H261" s="17"/>
    </row>
    <row r="262" spans="2:8" s="16" customFormat="1" ht="16.899999999999999" customHeight="1" x14ac:dyDescent="0.2">
      <c r="B262" s="17"/>
      <c r="C262" s="201" t="s">
        <v>8859</v>
      </c>
      <c r="H262" s="17"/>
    </row>
    <row r="263" spans="2:8" s="16" customFormat="1" ht="16.899999999999999" customHeight="1" x14ac:dyDescent="0.2">
      <c r="B263" s="17"/>
      <c r="C263" s="83" t="s">
        <v>1809</v>
      </c>
      <c r="D263" s="83" t="s">
        <v>1810</v>
      </c>
      <c r="E263" s="2" t="s">
        <v>425</v>
      </c>
      <c r="F263" s="200">
        <v>1833.33</v>
      </c>
      <c r="H263" s="17"/>
    </row>
    <row r="264" spans="2:8" s="16" customFormat="1" ht="16.899999999999999" customHeight="1" x14ac:dyDescent="0.2">
      <c r="B264" s="17"/>
      <c r="C264" s="83" t="s">
        <v>1803</v>
      </c>
      <c r="D264" s="83" t="s">
        <v>1804</v>
      </c>
      <c r="E264" s="2" t="s">
        <v>425</v>
      </c>
      <c r="F264" s="200">
        <v>1959.8789999999999</v>
      </c>
      <c r="H264" s="17"/>
    </row>
    <row r="265" spans="2:8" s="16" customFormat="1" ht="22.5" x14ac:dyDescent="0.2">
      <c r="B265" s="17"/>
      <c r="C265" s="83" t="s">
        <v>1820</v>
      </c>
      <c r="D265" s="83" t="s">
        <v>1821</v>
      </c>
      <c r="E265" s="2" t="s">
        <v>425</v>
      </c>
      <c r="F265" s="200">
        <v>1811.3689999999999</v>
      </c>
      <c r="H265" s="17"/>
    </row>
    <row r="266" spans="2:8" s="16" customFormat="1" ht="16.899999999999999" customHeight="1" x14ac:dyDescent="0.2">
      <c r="B266" s="17"/>
      <c r="C266" s="196" t="s">
        <v>200</v>
      </c>
      <c r="D266" s="197"/>
      <c r="E266" s="198"/>
      <c r="F266" s="199">
        <v>1688.2670000000001</v>
      </c>
      <c r="H266" s="17"/>
    </row>
    <row r="267" spans="2:8" s="16" customFormat="1" ht="16.899999999999999" customHeight="1" x14ac:dyDescent="0.2">
      <c r="B267" s="17"/>
      <c r="C267" s="83"/>
      <c r="D267" s="83"/>
      <c r="E267" s="2"/>
      <c r="F267" s="200">
        <v>0</v>
      </c>
      <c r="H267" s="17"/>
    </row>
    <row r="268" spans="2:8" s="16" customFormat="1" ht="16.899999999999999" customHeight="1" x14ac:dyDescent="0.2">
      <c r="B268" s="17"/>
      <c r="C268" s="83"/>
      <c r="D268" s="83" t="s">
        <v>1836</v>
      </c>
      <c r="E268" s="2"/>
      <c r="F268" s="200">
        <v>0</v>
      </c>
      <c r="H268" s="17"/>
    </row>
    <row r="269" spans="2:8" s="16" customFormat="1" ht="16.899999999999999" customHeight="1" x14ac:dyDescent="0.2">
      <c r="B269" s="17"/>
      <c r="C269" s="83"/>
      <c r="D269" s="83" t="s">
        <v>1837</v>
      </c>
      <c r="E269" s="2"/>
      <c r="F269" s="200">
        <v>8.9</v>
      </c>
      <c r="H269" s="17"/>
    </row>
    <row r="270" spans="2:8" s="16" customFormat="1" ht="16.899999999999999" customHeight="1" x14ac:dyDescent="0.2">
      <c r="B270" s="17"/>
      <c r="C270" s="83"/>
      <c r="D270" s="83" t="s">
        <v>1838</v>
      </c>
      <c r="E270" s="2"/>
      <c r="F270" s="200">
        <v>-3.8</v>
      </c>
      <c r="H270" s="17"/>
    </row>
    <row r="271" spans="2:8" s="16" customFormat="1" ht="16.899999999999999" customHeight="1" x14ac:dyDescent="0.2">
      <c r="B271" s="17"/>
      <c r="C271" s="83"/>
      <c r="D271" s="83" t="s">
        <v>1839</v>
      </c>
      <c r="E271" s="2"/>
      <c r="F271" s="200">
        <v>15.2</v>
      </c>
      <c r="H271" s="17"/>
    </row>
    <row r="272" spans="2:8" s="16" customFormat="1" ht="16.899999999999999" customHeight="1" x14ac:dyDescent="0.2">
      <c r="B272" s="17"/>
      <c r="C272" s="83"/>
      <c r="D272" s="83" t="s">
        <v>1601</v>
      </c>
      <c r="E272" s="2"/>
      <c r="F272" s="200">
        <v>-0.8</v>
      </c>
      <c r="H272" s="17"/>
    </row>
    <row r="273" spans="2:8" s="16" customFormat="1" ht="16.899999999999999" customHeight="1" x14ac:dyDescent="0.2">
      <c r="B273" s="17"/>
      <c r="C273" s="83"/>
      <c r="D273" s="83" t="s">
        <v>1840</v>
      </c>
      <c r="E273" s="2"/>
      <c r="F273" s="200">
        <v>15.2</v>
      </c>
      <c r="H273" s="17"/>
    </row>
    <row r="274" spans="2:8" s="16" customFormat="1" ht="16.899999999999999" customHeight="1" x14ac:dyDescent="0.2">
      <c r="B274" s="17"/>
      <c r="C274" s="83"/>
      <c r="D274" s="83" t="s">
        <v>1601</v>
      </c>
      <c r="E274" s="2"/>
      <c r="F274" s="200">
        <v>-0.8</v>
      </c>
      <c r="H274" s="17"/>
    </row>
    <row r="275" spans="2:8" s="16" customFormat="1" ht="16.899999999999999" customHeight="1" x14ac:dyDescent="0.2">
      <c r="B275" s="17"/>
      <c r="C275" s="83"/>
      <c r="D275" s="83" t="s">
        <v>1841</v>
      </c>
      <c r="E275" s="2"/>
      <c r="F275" s="200">
        <v>8.66</v>
      </c>
      <c r="H275" s="17"/>
    </row>
    <row r="276" spans="2:8" s="16" customFormat="1" ht="16.899999999999999" customHeight="1" x14ac:dyDescent="0.2">
      <c r="B276" s="17"/>
      <c r="C276" s="83"/>
      <c r="D276" s="83" t="s">
        <v>1838</v>
      </c>
      <c r="E276" s="2"/>
      <c r="F276" s="200">
        <v>-3.8</v>
      </c>
      <c r="H276" s="17"/>
    </row>
    <row r="277" spans="2:8" s="16" customFormat="1" ht="16.899999999999999" customHeight="1" x14ac:dyDescent="0.2">
      <c r="B277" s="17"/>
      <c r="C277" s="83"/>
      <c r="D277" s="83" t="s">
        <v>1842</v>
      </c>
      <c r="E277" s="2"/>
      <c r="F277" s="200">
        <v>15.2</v>
      </c>
      <c r="H277" s="17"/>
    </row>
    <row r="278" spans="2:8" s="16" customFormat="1" ht="16.899999999999999" customHeight="1" x14ac:dyDescent="0.2">
      <c r="B278" s="17"/>
      <c r="C278" s="83"/>
      <c r="D278" s="83" t="s">
        <v>1601</v>
      </c>
      <c r="E278" s="2"/>
      <c r="F278" s="200">
        <v>-0.8</v>
      </c>
      <c r="H278" s="17"/>
    </row>
    <row r="279" spans="2:8" s="16" customFormat="1" ht="16.899999999999999" customHeight="1" x14ac:dyDescent="0.2">
      <c r="B279" s="17"/>
      <c r="C279" s="83"/>
      <c r="D279" s="83" t="s">
        <v>1843</v>
      </c>
      <c r="E279" s="2"/>
      <c r="F279" s="200">
        <v>15.2</v>
      </c>
      <c r="H279" s="17"/>
    </row>
    <row r="280" spans="2:8" s="16" customFormat="1" ht="16.899999999999999" customHeight="1" x14ac:dyDescent="0.2">
      <c r="B280" s="17"/>
      <c r="C280" s="83"/>
      <c r="D280" s="83" t="s">
        <v>1601</v>
      </c>
      <c r="E280" s="2"/>
      <c r="F280" s="200">
        <v>-0.8</v>
      </c>
      <c r="H280" s="17"/>
    </row>
    <row r="281" spans="2:8" s="16" customFormat="1" ht="16.899999999999999" customHeight="1" x14ac:dyDescent="0.2">
      <c r="B281" s="17"/>
      <c r="C281" s="83"/>
      <c r="D281" s="83" t="s">
        <v>1844</v>
      </c>
      <c r="E281" s="2"/>
      <c r="F281" s="200">
        <v>15.06</v>
      </c>
      <c r="H281" s="17"/>
    </row>
    <row r="282" spans="2:8" s="16" customFormat="1" ht="16.899999999999999" customHeight="1" x14ac:dyDescent="0.2">
      <c r="B282" s="17"/>
      <c r="C282" s="83"/>
      <c r="D282" s="83" t="s">
        <v>1838</v>
      </c>
      <c r="E282" s="2"/>
      <c r="F282" s="200">
        <v>-3.8</v>
      </c>
      <c r="H282" s="17"/>
    </row>
    <row r="283" spans="2:8" s="16" customFormat="1" ht="16.899999999999999" customHeight="1" x14ac:dyDescent="0.2">
      <c r="B283" s="17"/>
      <c r="C283" s="83"/>
      <c r="D283" s="83" t="s">
        <v>1845</v>
      </c>
      <c r="E283" s="2"/>
      <c r="F283" s="200">
        <v>15.2</v>
      </c>
      <c r="H283" s="17"/>
    </row>
    <row r="284" spans="2:8" s="16" customFormat="1" ht="16.899999999999999" customHeight="1" x14ac:dyDescent="0.2">
      <c r="B284" s="17"/>
      <c r="C284" s="83"/>
      <c r="D284" s="83" t="s">
        <v>1601</v>
      </c>
      <c r="E284" s="2"/>
      <c r="F284" s="200">
        <v>-0.8</v>
      </c>
      <c r="H284" s="17"/>
    </row>
    <row r="285" spans="2:8" s="16" customFormat="1" ht="16.899999999999999" customHeight="1" x14ac:dyDescent="0.2">
      <c r="B285" s="17"/>
      <c r="C285" s="83"/>
      <c r="D285" s="83" t="s">
        <v>1846</v>
      </c>
      <c r="E285" s="2"/>
      <c r="F285" s="200">
        <v>15.2</v>
      </c>
      <c r="H285" s="17"/>
    </row>
    <row r="286" spans="2:8" s="16" customFormat="1" ht="16.899999999999999" customHeight="1" x14ac:dyDescent="0.2">
      <c r="B286" s="17"/>
      <c r="C286" s="83"/>
      <c r="D286" s="83" t="s">
        <v>1601</v>
      </c>
      <c r="E286" s="2"/>
      <c r="F286" s="200">
        <v>-0.8</v>
      </c>
      <c r="H286" s="17"/>
    </row>
    <row r="287" spans="2:8" s="16" customFormat="1" ht="16.899999999999999" customHeight="1" x14ac:dyDescent="0.2">
      <c r="B287" s="17"/>
      <c r="C287" s="83"/>
      <c r="D287" s="83" t="s">
        <v>1847</v>
      </c>
      <c r="E287" s="2"/>
      <c r="F287" s="200">
        <v>15.2</v>
      </c>
      <c r="H287" s="17"/>
    </row>
    <row r="288" spans="2:8" s="16" customFormat="1" ht="16.899999999999999" customHeight="1" x14ac:dyDescent="0.2">
      <c r="B288" s="17"/>
      <c r="C288" s="83"/>
      <c r="D288" s="83" t="s">
        <v>1601</v>
      </c>
      <c r="E288" s="2"/>
      <c r="F288" s="200">
        <v>-0.8</v>
      </c>
      <c r="H288" s="17"/>
    </row>
    <row r="289" spans="2:8" s="16" customFormat="1" ht="16.899999999999999" customHeight="1" x14ac:dyDescent="0.2">
      <c r="B289" s="17"/>
      <c r="C289" s="83"/>
      <c r="D289" s="83" t="s">
        <v>1848</v>
      </c>
      <c r="E289" s="2"/>
      <c r="F289" s="200">
        <v>9.41</v>
      </c>
      <c r="H289" s="17"/>
    </row>
    <row r="290" spans="2:8" s="16" customFormat="1" ht="16.899999999999999" customHeight="1" x14ac:dyDescent="0.2">
      <c r="B290" s="17"/>
      <c r="C290" s="83"/>
      <c r="D290" s="83" t="s">
        <v>1838</v>
      </c>
      <c r="E290" s="2"/>
      <c r="F290" s="200">
        <v>-3.8</v>
      </c>
      <c r="H290" s="17"/>
    </row>
    <row r="291" spans="2:8" s="16" customFormat="1" ht="16.899999999999999" customHeight="1" x14ac:dyDescent="0.2">
      <c r="B291" s="17"/>
      <c r="C291" s="83"/>
      <c r="D291" s="83" t="s">
        <v>1849</v>
      </c>
      <c r="E291" s="2"/>
      <c r="F291" s="200">
        <v>16.399999999999999</v>
      </c>
      <c r="H291" s="17"/>
    </row>
    <row r="292" spans="2:8" s="16" customFormat="1" ht="16.899999999999999" customHeight="1" x14ac:dyDescent="0.2">
      <c r="B292" s="17"/>
      <c r="C292" s="83"/>
      <c r="D292" s="83" t="s">
        <v>1601</v>
      </c>
      <c r="E292" s="2"/>
      <c r="F292" s="200">
        <v>-0.8</v>
      </c>
      <c r="H292" s="17"/>
    </row>
    <row r="293" spans="2:8" s="16" customFormat="1" ht="16.899999999999999" customHeight="1" x14ac:dyDescent="0.2">
      <c r="B293" s="17"/>
      <c r="C293" s="83"/>
      <c r="D293" s="83" t="s">
        <v>1850</v>
      </c>
      <c r="E293" s="2"/>
      <c r="F293" s="200">
        <v>15.2</v>
      </c>
      <c r="H293" s="17"/>
    </row>
    <row r="294" spans="2:8" s="16" customFormat="1" ht="16.899999999999999" customHeight="1" x14ac:dyDescent="0.2">
      <c r="B294" s="17"/>
      <c r="C294" s="83"/>
      <c r="D294" s="83" t="s">
        <v>1601</v>
      </c>
      <c r="E294" s="2"/>
      <c r="F294" s="200">
        <v>-0.8</v>
      </c>
      <c r="H294" s="17"/>
    </row>
    <row r="295" spans="2:8" s="16" customFormat="1" ht="16.899999999999999" customHeight="1" x14ac:dyDescent="0.2">
      <c r="B295" s="17"/>
      <c r="C295" s="83"/>
      <c r="D295" s="83" t="s">
        <v>1851</v>
      </c>
      <c r="E295" s="2"/>
      <c r="F295" s="200">
        <v>9.75</v>
      </c>
      <c r="H295" s="17"/>
    </row>
    <row r="296" spans="2:8" s="16" customFormat="1" ht="16.899999999999999" customHeight="1" x14ac:dyDescent="0.2">
      <c r="B296" s="17"/>
      <c r="C296" s="83"/>
      <c r="D296" s="83" t="s">
        <v>1838</v>
      </c>
      <c r="E296" s="2"/>
      <c r="F296" s="200">
        <v>-3.8</v>
      </c>
      <c r="H296" s="17"/>
    </row>
    <row r="297" spans="2:8" s="16" customFormat="1" ht="16.899999999999999" customHeight="1" x14ac:dyDescent="0.2">
      <c r="B297" s="17"/>
      <c r="C297" s="83"/>
      <c r="D297" s="83" t="s">
        <v>1852</v>
      </c>
      <c r="E297" s="2"/>
      <c r="F297" s="200">
        <v>15.2</v>
      </c>
      <c r="H297" s="17"/>
    </row>
    <row r="298" spans="2:8" s="16" customFormat="1" ht="16.899999999999999" customHeight="1" x14ac:dyDescent="0.2">
      <c r="B298" s="17"/>
      <c r="C298" s="83"/>
      <c r="D298" s="83" t="s">
        <v>1601</v>
      </c>
      <c r="E298" s="2"/>
      <c r="F298" s="200">
        <v>-0.8</v>
      </c>
      <c r="H298" s="17"/>
    </row>
    <row r="299" spans="2:8" s="16" customFormat="1" ht="16.899999999999999" customHeight="1" x14ac:dyDescent="0.2">
      <c r="B299" s="17"/>
      <c r="C299" s="83"/>
      <c r="D299" s="83" t="s">
        <v>1853</v>
      </c>
      <c r="E299" s="2"/>
      <c r="F299" s="200">
        <v>14.65</v>
      </c>
      <c r="H299" s="17"/>
    </row>
    <row r="300" spans="2:8" s="16" customFormat="1" ht="16.899999999999999" customHeight="1" x14ac:dyDescent="0.2">
      <c r="B300" s="17"/>
      <c r="C300" s="83"/>
      <c r="D300" s="83" t="s">
        <v>1601</v>
      </c>
      <c r="E300" s="2"/>
      <c r="F300" s="200">
        <v>-0.8</v>
      </c>
      <c r="H300" s="17"/>
    </row>
    <row r="301" spans="2:8" s="16" customFormat="1" ht="16.899999999999999" customHeight="1" x14ac:dyDescent="0.2">
      <c r="B301" s="17"/>
      <c r="C301" s="83"/>
      <c r="D301" s="83" t="s">
        <v>1854</v>
      </c>
      <c r="E301" s="2"/>
      <c r="F301" s="200">
        <v>19.100000000000001</v>
      </c>
      <c r="H301" s="17"/>
    </row>
    <row r="302" spans="2:8" s="16" customFormat="1" ht="16.899999999999999" customHeight="1" x14ac:dyDescent="0.2">
      <c r="B302" s="17"/>
      <c r="C302" s="83"/>
      <c r="D302" s="83" t="s">
        <v>1838</v>
      </c>
      <c r="E302" s="2"/>
      <c r="F302" s="200">
        <v>-3.8</v>
      </c>
      <c r="H302" s="17"/>
    </row>
    <row r="303" spans="2:8" s="16" customFormat="1" ht="16.899999999999999" customHeight="1" x14ac:dyDescent="0.2">
      <c r="B303" s="17"/>
      <c r="C303" s="83"/>
      <c r="D303" s="83" t="s">
        <v>1855</v>
      </c>
      <c r="E303" s="2"/>
      <c r="F303" s="200">
        <v>15.9</v>
      </c>
      <c r="H303" s="17"/>
    </row>
    <row r="304" spans="2:8" s="16" customFormat="1" ht="16.899999999999999" customHeight="1" x14ac:dyDescent="0.2">
      <c r="B304" s="17"/>
      <c r="C304" s="83"/>
      <c r="D304" s="83" t="s">
        <v>1601</v>
      </c>
      <c r="E304" s="2"/>
      <c r="F304" s="200">
        <v>-0.8</v>
      </c>
      <c r="H304" s="17"/>
    </row>
    <row r="305" spans="2:8" s="16" customFormat="1" ht="16.899999999999999" customHeight="1" x14ac:dyDescent="0.2">
      <c r="B305" s="17"/>
      <c r="C305" s="83"/>
      <c r="D305" s="83" t="s">
        <v>1856</v>
      </c>
      <c r="E305" s="2"/>
      <c r="F305" s="200">
        <v>15.2</v>
      </c>
      <c r="H305" s="17"/>
    </row>
    <row r="306" spans="2:8" s="16" customFormat="1" ht="16.899999999999999" customHeight="1" x14ac:dyDescent="0.2">
      <c r="B306" s="17"/>
      <c r="C306" s="83"/>
      <c r="D306" s="83" t="s">
        <v>1601</v>
      </c>
      <c r="E306" s="2"/>
      <c r="F306" s="200">
        <v>-0.8</v>
      </c>
      <c r="H306" s="17"/>
    </row>
    <row r="307" spans="2:8" s="16" customFormat="1" ht="16.899999999999999" customHeight="1" x14ac:dyDescent="0.2">
      <c r="B307" s="17"/>
      <c r="C307" s="83"/>
      <c r="D307" s="83" t="s">
        <v>1857</v>
      </c>
      <c r="E307" s="2"/>
      <c r="F307" s="200">
        <v>15.8</v>
      </c>
      <c r="H307" s="17"/>
    </row>
    <row r="308" spans="2:8" s="16" customFormat="1" ht="16.899999999999999" customHeight="1" x14ac:dyDescent="0.2">
      <c r="B308" s="17"/>
      <c r="C308" s="83"/>
      <c r="D308" s="83" t="s">
        <v>1601</v>
      </c>
      <c r="E308" s="2"/>
      <c r="F308" s="200">
        <v>-0.8</v>
      </c>
      <c r="H308" s="17"/>
    </row>
    <row r="309" spans="2:8" s="16" customFormat="1" ht="16.899999999999999" customHeight="1" x14ac:dyDescent="0.2">
      <c r="B309" s="17"/>
      <c r="C309" s="83"/>
      <c r="D309" s="83" t="s">
        <v>1858</v>
      </c>
      <c r="E309" s="2"/>
      <c r="F309" s="200">
        <v>12.65</v>
      </c>
      <c r="H309" s="17"/>
    </row>
    <row r="310" spans="2:8" s="16" customFormat="1" ht="16.899999999999999" customHeight="1" x14ac:dyDescent="0.2">
      <c r="B310" s="17"/>
      <c r="C310" s="83"/>
      <c r="D310" s="83" t="s">
        <v>1859</v>
      </c>
      <c r="E310" s="2"/>
      <c r="F310" s="200">
        <v>-3.5</v>
      </c>
      <c r="H310" s="17"/>
    </row>
    <row r="311" spans="2:8" s="16" customFormat="1" ht="16.899999999999999" customHeight="1" x14ac:dyDescent="0.2">
      <c r="B311" s="17"/>
      <c r="C311" s="83"/>
      <c r="D311" s="83" t="s">
        <v>1860</v>
      </c>
      <c r="E311" s="2"/>
      <c r="F311" s="200">
        <v>18.559999999999999</v>
      </c>
      <c r="H311" s="17"/>
    </row>
    <row r="312" spans="2:8" s="16" customFormat="1" ht="16.899999999999999" customHeight="1" x14ac:dyDescent="0.2">
      <c r="B312" s="17"/>
      <c r="C312" s="83"/>
      <c r="D312" s="83" t="s">
        <v>1641</v>
      </c>
      <c r="E312" s="2"/>
      <c r="F312" s="200">
        <v>-0.9</v>
      </c>
      <c r="H312" s="17"/>
    </row>
    <row r="313" spans="2:8" s="16" customFormat="1" ht="16.899999999999999" customHeight="1" x14ac:dyDescent="0.2">
      <c r="B313" s="17"/>
      <c r="C313" s="83"/>
      <c r="D313" s="83" t="s">
        <v>1861</v>
      </c>
      <c r="E313" s="2"/>
      <c r="F313" s="200">
        <v>15</v>
      </c>
      <c r="H313" s="17"/>
    </row>
    <row r="314" spans="2:8" s="16" customFormat="1" ht="16.899999999999999" customHeight="1" x14ac:dyDescent="0.2">
      <c r="B314" s="17"/>
      <c r="C314" s="83"/>
      <c r="D314" s="83" t="s">
        <v>1601</v>
      </c>
      <c r="E314" s="2"/>
      <c r="F314" s="200">
        <v>-0.8</v>
      </c>
      <c r="H314" s="17"/>
    </row>
    <row r="315" spans="2:8" s="16" customFormat="1" ht="16.899999999999999" customHeight="1" x14ac:dyDescent="0.2">
      <c r="B315" s="17"/>
      <c r="C315" s="83"/>
      <c r="D315" s="83" t="s">
        <v>1862</v>
      </c>
      <c r="E315" s="2"/>
      <c r="F315" s="200">
        <v>9.26</v>
      </c>
      <c r="H315" s="17"/>
    </row>
    <row r="316" spans="2:8" s="16" customFormat="1" ht="16.899999999999999" customHeight="1" x14ac:dyDescent="0.2">
      <c r="B316" s="17"/>
      <c r="C316" s="83"/>
      <c r="D316" s="83" t="s">
        <v>1838</v>
      </c>
      <c r="E316" s="2"/>
      <c r="F316" s="200">
        <v>-3.8</v>
      </c>
      <c r="H316" s="17"/>
    </row>
    <row r="317" spans="2:8" s="16" customFormat="1" ht="16.899999999999999" customHeight="1" x14ac:dyDescent="0.2">
      <c r="B317" s="17"/>
      <c r="C317" s="83"/>
      <c r="D317" s="83" t="s">
        <v>1863</v>
      </c>
      <c r="E317" s="2"/>
      <c r="F317" s="200">
        <v>15.2</v>
      </c>
      <c r="H317" s="17"/>
    </row>
    <row r="318" spans="2:8" s="16" customFormat="1" ht="16.899999999999999" customHeight="1" x14ac:dyDescent="0.2">
      <c r="B318" s="17"/>
      <c r="C318" s="83"/>
      <c r="D318" s="83" t="s">
        <v>1601</v>
      </c>
      <c r="E318" s="2"/>
      <c r="F318" s="200">
        <v>-0.8</v>
      </c>
      <c r="H318" s="17"/>
    </row>
    <row r="319" spans="2:8" s="16" customFormat="1" ht="16.899999999999999" customHeight="1" x14ac:dyDescent="0.2">
      <c r="B319" s="17"/>
      <c r="C319" s="83"/>
      <c r="D319" s="83" t="s">
        <v>1864</v>
      </c>
      <c r="E319" s="2"/>
      <c r="F319" s="200">
        <v>15.2</v>
      </c>
      <c r="H319" s="17"/>
    </row>
    <row r="320" spans="2:8" s="16" customFormat="1" ht="16.899999999999999" customHeight="1" x14ac:dyDescent="0.2">
      <c r="B320" s="17"/>
      <c r="C320" s="83"/>
      <c r="D320" s="83" t="s">
        <v>1601</v>
      </c>
      <c r="E320" s="2"/>
      <c r="F320" s="200">
        <v>-0.8</v>
      </c>
      <c r="H320" s="17"/>
    </row>
    <row r="321" spans="2:8" s="16" customFormat="1" ht="16.899999999999999" customHeight="1" x14ac:dyDescent="0.2">
      <c r="B321" s="17"/>
      <c r="C321" s="83"/>
      <c r="D321" s="83" t="s">
        <v>1865</v>
      </c>
      <c r="E321" s="2"/>
      <c r="F321" s="200">
        <v>8.66</v>
      </c>
      <c r="H321" s="17"/>
    </row>
    <row r="322" spans="2:8" s="16" customFormat="1" ht="16.899999999999999" customHeight="1" x14ac:dyDescent="0.2">
      <c r="B322" s="17"/>
      <c r="C322" s="83"/>
      <c r="D322" s="83" t="s">
        <v>1838</v>
      </c>
      <c r="E322" s="2"/>
      <c r="F322" s="200">
        <v>-3.8</v>
      </c>
      <c r="H322" s="17"/>
    </row>
    <row r="323" spans="2:8" s="16" customFormat="1" ht="16.899999999999999" customHeight="1" x14ac:dyDescent="0.2">
      <c r="B323" s="17"/>
      <c r="C323" s="83"/>
      <c r="D323" s="83" t="s">
        <v>1866</v>
      </c>
      <c r="E323" s="2"/>
      <c r="F323" s="200">
        <v>15.2</v>
      </c>
      <c r="H323" s="17"/>
    </row>
    <row r="324" spans="2:8" s="16" customFormat="1" ht="16.899999999999999" customHeight="1" x14ac:dyDescent="0.2">
      <c r="B324" s="17"/>
      <c r="C324" s="83"/>
      <c r="D324" s="83" t="s">
        <v>1601</v>
      </c>
      <c r="E324" s="2"/>
      <c r="F324" s="200">
        <v>-0.8</v>
      </c>
      <c r="H324" s="17"/>
    </row>
    <row r="325" spans="2:8" s="16" customFormat="1" ht="16.899999999999999" customHeight="1" x14ac:dyDescent="0.2">
      <c r="B325" s="17"/>
      <c r="C325" s="83"/>
      <c r="D325" s="83" t="s">
        <v>1867</v>
      </c>
      <c r="E325" s="2"/>
      <c r="F325" s="200">
        <v>15.2</v>
      </c>
      <c r="H325" s="17"/>
    </row>
    <row r="326" spans="2:8" s="16" customFormat="1" ht="16.899999999999999" customHeight="1" x14ac:dyDescent="0.2">
      <c r="B326" s="17"/>
      <c r="C326" s="83"/>
      <c r="D326" s="83" t="s">
        <v>1601</v>
      </c>
      <c r="E326" s="2"/>
      <c r="F326" s="200">
        <v>-0.8</v>
      </c>
      <c r="H326" s="17"/>
    </row>
    <row r="327" spans="2:8" s="16" customFormat="1" ht="16.899999999999999" customHeight="1" x14ac:dyDescent="0.2">
      <c r="B327" s="17"/>
      <c r="C327" s="83"/>
      <c r="D327" s="83" t="s">
        <v>1868</v>
      </c>
      <c r="E327" s="2"/>
      <c r="F327" s="200">
        <v>8.66</v>
      </c>
      <c r="H327" s="17"/>
    </row>
    <row r="328" spans="2:8" s="16" customFormat="1" ht="16.899999999999999" customHeight="1" x14ac:dyDescent="0.2">
      <c r="B328" s="17"/>
      <c r="C328" s="83"/>
      <c r="D328" s="83" t="s">
        <v>1838</v>
      </c>
      <c r="E328" s="2"/>
      <c r="F328" s="200">
        <v>-3.8</v>
      </c>
      <c r="H328" s="17"/>
    </row>
    <row r="329" spans="2:8" s="16" customFormat="1" ht="16.899999999999999" customHeight="1" x14ac:dyDescent="0.2">
      <c r="B329" s="17"/>
      <c r="C329" s="83"/>
      <c r="D329" s="83" t="s">
        <v>1869</v>
      </c>
      <c r="E329" s="2"/>
      <c r="F329" s="200">
        <v>15.2</v>
      </c>
      <c r="H329" s="17"/>
    </row>
    <row r="330" spans="2:8" s="16" customFormat="1" ht="16.899999999999999" customHeight="1" x14ac:dyDescent="0.2">
      <c r="B330" s="17"/>
      <c r="C330" s="83"/>
      <c r="D330" s="83" t="s">
        <v>1601</v>
      </c>
      <c r="E330" s="2"/>
      <c r="F330" s="200">
        <v>-0.8</v>
      </c>
      <c r="H330" s="17"/>
    </row>
    <row r="331" spans="2:8" s="16" customFormat="1" ht="16.899999999999999" customHeight="1" x14ac:dyDescent="0.2">
      <c r="B331" s="17"/>
      <c r="C331" s="83"/>
      <c r="D331" s="83" t="s">
        <v>1870</v>
      </c>
      <c r="E331" s="2"/>
      <c r="F331" s="200">
        <v>15.2</v>
      </c>
      <c r="H331" s="17"/>
    </row>
    <row r="332" spans="2:8" s="16" customFormat="1" ht="16.899999999999999" customHeight="1" x14ac:dyDescent="0.2">
      <c r="B332" s="17"/>
      <c r="C332" s="83"/>
      <c r="D332" s="83" t="s">
        <v>1601</v>
      </c>
      <c r="E332" s="2"/>
      <c r="F332" s="200">
        <v>-0.8</v>
      </c>
      <c r="H332" s="17"/>
    </row>
    <row r="333" spans="2:8" s="16" customFormat="1" ht="16.899999999999999" customHeight="1" x14ac:dyDescent="0.2">
      <c r="B333" s="17"/>
      <c r="C333" s="83"/>
      <c r="D333" s="83" t="s">
        <v>1871</v>
      </c>
      <c r="E333" s="2"/>
      <c r="F333" s="200">
        <v>14.9</v>
      </c>
      <c r="H333" s="17"/>
    </row>
    <row r="334" spans="2:8" s="16" customFormat="1" ht="16.899999999999999" customHeight="1" x14ac:dyDescent="0.2">
      <c r="B334" s="17"/>
      <c r="C334" s="83"/>
      <c r="D334" s="83" t="s">
        <v>1838</v>
      </c>
      <c r="E334" s="2"/>
      <c r="F334" s="200">
        <v>-3.8</v>
      </c>
      <c r="H334" s="17"/>
    </row>
    <row r="335" spans="2:8" s="16" customFormat="1" ht="16.899999999999999" customHeight="1" x14ac:dyDescent="0.2">
      <c r="B335" s="17"/>
      <c r="C335" s="83"/>
      <c r="D335" s="83" t="s">
        <v>1872</v>
      </c>
      <c r="E335" s="2"/>
      <c r="F335" s="200">
        <v>15.2</v>
      </c>
      <c r="H335" s="17"/>
    </row>
    <row r="336" spans="2:8" s="16" customFormat="1" ht="16.899999999999999" customHeight="1" x14ac:dyDescent="0.2">
      <c r="B336" s="17"/>
      <c r="C336" s="83"/>
      <c r="D336" s="83" t="s">
        <v>1601</v>
      </c>
      <c r="E336" s="2"/>
      <c r="F336" s="200">
        <v>-0.8</v>
      </c>
      <c r="H336" s="17"/>
    </row>
    <row r="337" spans="2:8" s="16" customFormat="1" ht="16.899999999999999" customHeight="1" x14ac:dyDescent="0.2">
      <c r="B337" s="17"/>
      <c r="C337" s="83"/>
      <c r="D337" s="83" t="s">
        <v>1873</v>
      </c>
      <c r="E337" s="2"/>
      <c r="F337" s="200">
        <v>15.2</v>
      </c>
      <c r="H337" s="17"/>
    </row>
    <row r="338" spans="2:8" s="16" customFormat="1" ht="16.899999999999999" customHeight="1" x14ac:dyDescent="0.2">
      <c r="B338" s="17"/>
      <c r="C338" s="83"/>
      <c r="D338" s="83" t="s">
        <v>1601</v>
      </c>
      <c r="E338" s="2"/>
      <c r="F338" s="200">
        <v>-0.8</v>
      </c>
      <c r="H338" s="17"/>
    </row>
    <row r="339" spans="2:8" s="16" customFormat="1" ht="16.899999999999999" customHeight="1" x14ac:dyDescent="0.2">
      <c r="B339" s="17"/>
      <c r="C339" s="83"/>
      <c r="D339" s="83" t="s">
        <v>1874</v>
      </c>
      <c r="E339" s="2"/>
      <c r="F339" s="200">
        <v>15.2</v>
      </c>
      <c r="H339" s="17"/>
    </row>
    <row r="340" spans="2:8" s="16" customFormat="1" ht="16.899999999999999" customHeight="1" x14ac:dyDescent="0.2">
      <c r="B340" s="17"/>
      <c r="C340" s="83"/>
      <c r="D340" s="83" t="s">
        <v>1601</v>
      </c>
      <c r="E340" s="2"/>
      <c r="F340" s="200">
        <v>-0.8</v>
      </c>
      <c r="H340" s="17"/>
    </row>
    <row r="341" spans="2:8" s="16" customFormat="1" ht="16.899999999999999" customHeight="1" x14ac:dyDescent="0.2">
      <c r="B341" s="17"/>
      <c r="C341" s="83"/>
      <c r="D341" s="83" t="s">
        <v>1875</v>
      </c>
      <c r="E341" s="2"/>
      <c r="F341" s="200">
        <v>9.41</v>
      </c>
      <c r="H341" s="17"/>
    </row>
    <row r="342" spans="2:8" s="16" customFormat="1" ht="16.899999999999999" customHeight="1" x14ac:dyDescent="0.2">
      <c r="B342" s="17"/>
      <c r="C342" s="83"/>
      <c r="D342" s="83" t="s">
        <v>1838</v>
      </c>
      <c r="E342" s="2"/>
      <c r="F342" s="200">
        <v>-3.8</v>
      </c>
      <c r="H342" s="17"/>
    </row>
    <row r="343" spans="2:8" s="16" customFormat="1" ht="16.899999999999999" customHeight="1" x14ac:dyDescent="0.2">
      <c r="B343" s="17"/>
      <c r="C343" s="83"/>
      <c r="D343" s="83" t="s">
        <v>1876</v>
      </c>
      <c r="E343" s="2"/>
      <c r="F343" s="200">
        <v>16.399999999999999</v>
      </c>
      <c r="H343" s="17"/>
    </row>
    <row r="344" spans="2:8" s="16" customFormat="1" ht="16.899999999999999" customHeight="1" x14ac:dyDescent="0.2">
      <c r="B344" s="17"/>
      <c r="C344" s="83"/>
      <c r="D344" s="83" t="s">
        <v>1601</v>
      </c>
      <c r="E344" s="2"/>
      <c r="F344" s="200">
        <v>-0.8</v>
      </c>
      <c r="H344" s="17"/>
    </row>
    <row r="345" spans="2:8" s="16" customFormat="1" ht="16.899999999999999" customHeight="1" x14ac:dyDescent="0.2">
      <c r="B345" s="17"/>
      <c r="C345" s="83"/>
      <c r="D345" s="83" t="s">
        <v>1877</v>
      </c>
      <c r="E345" s="2"/>
      <c r="F345" s="200">
        <v>15.2</v>
      </c>
      <c r="H345" s="17"/>
    </row>
    <row r="346" spans="2:8" s="16" customFormat="1" ht="16.899999999999999" customHeight="1" x14ac:dyDescent="0.2">
      <c r="B346" s="17"/>
      <c r="C346" s="83"/>
      <c r="D346" s="83" t="s">
        <v>1601</v>
      </c>
      <c r="E346" s="2"/>
      <c r="F346" s="200">
        <v>-0.8</v>
      </c>
      <c r="H346" s="17"/>
    </row>
    <row r="347" spans="2:8" s="16" customFormat="1" ht="16.899999999999999" customHeight="1" x14ac:dyDescent="0.2">
      <c r="B347" s="17"/>
      <c r="C347" s="83"/>
      <c r="D347" s="83" t="s">
        <v>1878</v>
      </c>
      <c r="E347" s="2"/>
      <c r="F347" s="200">
        <v>9.75</v>
      </c>
      <c r="H347" s="17"/>
    </row>
    <row r="348" spans="2:8" s="16" customFormat="1" ht="16.899999999999999" customHeight="1" x14ac:dyDescent="0.2">
      <c r="B348" s="17"/>
      <c r="C348" s="83"/>
      <c r="D348" s="83" t="s">
        <v>1838</v>
      </c>
      <c r="E348" s="2"/>
      <c r="F348" s="200">
        <v>-3.8</v>
      </c>
      <c r="H348" s="17"/>
    </row>
    <row r="349" spans="2:8" s="16" customFormat="1" ht="16.899999999999999" customHeight="1" x14ac:dyDescent="0.2">
      <c r="B349" s="17"/>
      <c r="C349" s="83"/>
      <c r="D349" s="83" t="s">
        <v>1879</v>
      </c>
      <c r="E349" s="2"/>
      <c r="F349" s="200">
        <v>15.2</v>
      </c>
      <c r="H349" s="17"/>
    </row>
    <row r="350" spans="2:8" s="16" customFormat="1" ht="16.899999999999999" customHeight="1" x14ac:dyDescent="0.2">
      <c r="B350" s="17"/>
      <c r="C350" s="83"/>
      <c r="D350" s="83" t="s">
        <v>1601</v>
      </c>
      <c r="E350" s="2"/>
      <c r="F350" s="200">
        <v>-0.8</v>
      </c>
      <c r="H350" s="17"/>
    </row>
    <row r="351" spans="2:8" s="16" customFormat="1" ht="16.899999999999999" customHeight="1" x14ac:dyDescent="0.2">
      <c r="B351" s="17"/>
      <c r="C351" s="83"/>
      <c r="D351" s="83" t="s">
        <v>1880</v>
      </c>
      <c r="E351" s="2"/>
      <c r="F351" s="200">
        <v>14.65</v>
      </c>
      <c r="H351" s="17"/>
    </row>
    <row r="352" spans="2:8" s="16" customFormat="1" ht="16.899999999999999" customHeight="1" x14ac:dyDescent="0.2">
      <c r="B352" s="17"/>
      <c r="C352" s="83"/>
      <c r="D352" s="83" t="s">
        <v>1601</v>
      </c>
      <c r="E352" s="2"/>
      <c r="F352" s="200">
        <v>-0.8</v>
      </c>
      <c r="H352" s="17"/>
    </row>
    <row r="353" spans="2:8" s="16" customFormat="1" ht="16.899999999999999" customHeight="1" x14ac:dyDescent="0.2">
      <c r="B353" s="17"/>
      <c r="C353" s="83"/>
      <c r="D353" s="83" t="s">
        <v>1881</v>
      </c>
      <c r="E353" s="2"/>
      <c r="F353" s="200">
        <v>19.100000000000001</v>
      </c>
      <c r="H353" s="17"/>
    </row>
    <row r="354" spans="2:8" s="16" customFormat="1" ht="16.899999999999999" customHeight="1" x14ac:dyDescent="0.2">
      <c r="B354" s="17"/>
      <c r="C354" s="83"/>
      <c r="D354" s="83" t="s">
        <v>1882</v>
      </c>
      <c r="E354" s="2"/>
      <c r="F354" s="200">
        <v>-4.5999999999999996</v>
      </c>
      <c r="H354" s="17"/>
    </row>
    <row r="355" spans="2:8" s="16" customFormat="1" ht="16.899999999999999" customHeight="1" x14ac:dyDescent="0.2">
      <c r="B355" s="17"/>
      <c r="C355" s="83"/>
      <c r="D355" s="83" t="s">
        <v>1883</v>
      </c>
      <c r="E355" s="2"/>
      <c r="F355" s="200">
        <v>15.9</v>
      </c>
      <c r="H355" s="17"/>
    </row>
    <row r="356" spans="2:8" s="16" customFormat="1" ht="16.899999999999999" customHeight="1" x14ac:dyDescent="0.2">
      <c r="B356" s="17"/>
      <c r="C356" s="83"/>
      <c r="D356" s="83" t="s">
        <v>1601</v>
      </c>
      <c r="E356" s="2"/>
      <c r="F356" s="200">
        <v>-0.8</v>
      </c>
      <c r="H356" s="17"/>
    </row>
    <row r="357" spans="2:8" s="16" customFormat="1" ht="16.899999999999999" customHeight="1" x14ac:dyDescent="0.2">
      <c r="B357" s="17"/>
      <c r="C357" s="83"/>
      <c r="D357" s="83" t="s">
        <v>1884</v>
      </c>
      <c r="E357" s="2"/>
      <c r="F357" s="200">
        <v>15.2</v>
      </c>
      <c r="H357" s="17"/>
    </row>
    <row r="358" spans="2:8" s="16" customFormat="1" ht="16.899999999999999" customHeight="1" x14ac:dyDescent="0.2">
      <c r="B358" s="17"/>
      <c r="C358" s="83"/>
      <c r="D358" s="83" t="s">
        <v>1601</v>
      </c>
      <c r="E358" s="2"/>
      <c r="F358" s="200">
        <v>-0.8</v>
      </c>
      <c r="H358" s="17"/>
    </row>
    <row r="359" spans="2:8" s="16" customFormat="1" ht="16.899999999999999" customHeight="1" x14ac:dyDescent="0.2">
      <c r="B359" s="17"/>
      <c r="C359" s="83"/>
      <c r="D359" s="83" t="s">
        <v>1885</v>
      </c>
      <c r="E359" s="2"/>
      <c r="F359" s="200">
        <v>15.8</v>
      </c>
      <c r="H359" s="17"/>
    </row>
    <row r="360" spans="2:8" s="16" customFormat="1" ht="16.899999999999999" customHeight="1" x14ac:dyDescent="0.2">
      <c r="B360" s="17"/>
      <c r="C360" s="83"/>
      <c r="D360" s="83" t="s">
        <v>1601</v>
      </c>
      <c r="E360" s="2"/>
      <c r="F360" s="200">
        <v>-0.8</v>
      </c>
      <c r="H360" s="17"/>
    </row>
    <row r="361" spans="2:8" s="16" customFormat="1" ht="16.899999999999999" customHeight="1" x14ac:dyDescent="0.2">
      <c r="B361" s="17"/>
      <c r="C361" s="83"/>
      <c r="D361" s="83" t="s">
        <v>1886</v>
      </c>
      <c r="E361" s="2"/>
      <c r="F361" s="200">
        <v>12.65</v>
      </c>
      <c r="H361" s="17"/>
    </row>
    <row r="362" spans="2:8" s="16" customFormat="1" ht="16.899999999999999" customHeight="1" x14ac:dyDescent="0.2">
      <c r="B362" s="17"/>
      <c r="C362" s="83"/>
      <c r="D362" s="83" t="s">
        <v>1859</v>
      </c>
      <c r="E362" s="2"/>
      <c r="F362" s="200">
        <v>-3.5</v>
      </c>
      <c r="H362" s="17"/>
    </row>
    <row r="363" spans="2:8" s="16" customFormat="1" ht="16.899999999999999" customHeight="1" x14ac:dyDescent="0.2">
      <c r="B363" s="17"/>
      <c r="C363" s="83"/>
      <c r="D363" s="83" t="s">
        <v>1887</v>
      </c>
      <c r="E363" s="2"/>
      <c r="F363" s="200">
        <v>18.559999999999999</v>
      </c>
      <c r="H363" s="17"/>
    </row>
    <row r="364" spans="2:8" s="16" customFormat="1" ht="16.899999999999999" customHeight="1" x14ac:dyDescent="0.2">
      <c r="B364" s="17"/>
      <c r="C364" s="83"/>
      <c r="D364" s="83" t="s">
        <v>1641</v>
      </c>
      <c r="E364" s="2"/>
      <c r="F364" s="200">
        <v>-0.9</v>
      </c>
      <c r="H364" s="17"/>
    </row>
    <row r="365" spans="2:8" s="16" customFormat="1" ht="16.899999999999999" customHeight="1" x14ac:dyDescent="0.2">
      <c r="B365" s="17"/>
      <c r="C365" s="83"/>
      <c r="D365" s="83" t="s">
        <v>1888</v>
      </c>
      <c r="E365" s="2"/>
      <c r="F365" s="200">
        <v>15</v>
      </c>
      <c r="H365" s="17"/>
    </row>
    <row r="366" spans="2:8" s="16" customFormat="1" ht="16.899999999999999" customHeight="1" x14ac:dyDescent="0.2">
      <c r="B366" s="17"/>
      <c r="C366" s="83"/>
      <c r="D366" s="83" t="s">
        <v>1601</v>
      </c>
      <c r="E366" s="2"/>
      <c r="F366" s="200">
        <v>-0.8</v>
      </c>
      <c r="H366" s="17"/>
    </row>
    <row r="367" spans="2:8" s="16" customFormat="1" ht="16.899999999999999" customHeight="1" x14ac:dyDescent="0.2">
      <c r="B367" s="17"/>
      <c r="C367" s="83"/>
      <c r="D367" s="83" t="s">
        <v>1889</v>
      </c>
      <c r="E367" s="2"/>
      <c r="F367" s="200">
        <v>9.26</v>
      </c>
      <c r="H367" s="17"/>
    </row>
    <row r="368" spans="2:8" s="16" customFormat="1" ht="16.899999999999999" customHeight="1" x14ac:dyDescent="0.2">
      <c r="B368" s="17"/>
      <c r="C368" s="83"/>
      <c r="D368" s="83" t="s">
        <v>1838</v>
      </c>
      <c r="E368" s="2"/>
      <c r="F368" s="200">
        <v>-3.8</v>
      </c>
      <c r="H368" s="17"/>
    </row>
    <row r="369" spans="2:8" s="16" customFormat="1" ht="16.899999999999999" customHeight="1" x14ac:dyDescent="0.2">
      <c r="B369" s="17"/>
      <c r="C369" s="83"/>
      <c r="D369" s="83" t="s">
        <v>1890</v>
      </c>
      <c r="E369" s="2"/>
      <c r="F369" s="200">
        <v>15.2</v>
      </c>
      <c r="H369" s="17"/>
    </row>
    <row r="370" spans="2:8" s="16" customFormat="1" ht="16.899999999999999" customHeight="1" x14ac:dyDescent="0.2">
      <c r="B370" s="17"/>
      <c r="C370" s="83"/>
      <c r="D370" s="83" t="s">
        <v>1601</v>
      </c>
      <c r="E370" s="2"/>
      <c r="F370" s="200">
        <v>-0.8</v>
      </c>
      <c r="H370" s="17"/>
    </row>
    <row r="371" spans="2:8" s="16" customFormat="1" ht="16.899999999999999" customHeight="1" x14ac:dyDescent="0.2">
      <c r="B371" s="17"/>
      <c r="C371" s="83"/>
      <c r="D371" s="83" t="s">
        <v>1891</v>
      </c>
      <c r="E371" s="2"/>
      <c r="F371" s="200">
        <v>15.2</v>
      </c>
      <c r="H371" s="17"/>
    </row>
    <row r="372" spans="2:8" s="16" customFormat="1" ht="16.899999999999999" customHeight="1" x14ac:dyDescent="0.2">
      <c r="B372" s="17"/>
      <c r="C372" s="83"/>
      <c r="D372" s="83" t="s">
        <v>1601</v>
      </c>
      <c r="E372" s="2"/>
      <c r="F372" s="200">
        <v>-0.8</v>
      </c>
      <c r="H372" s="17"/>
    </row>
    <row r="373" spans="2:8" s="16" customFormat="1" ht="16.899999999999999" customHeight="1" x14ac:dyDescent="0.2">
      <c r="B373" s="17"/>
      <c r="C373" s="83"/>
      <c r="D373" s="83" t="s">
        <v>1892</v>
      </c>
      <c r="E373" s="2"/>
      <c r="F373" s="200">
        <v>8.66</v>
      </c>
      <c r="H373" s="17"/>
    </row>
    <row r="374" spans="2:8" s="16" customFormat="1" ht="16.899999999999999" customHeight="1" x14ac:dyDescent="0.2">
      <c r="B374" s="17"/>
      <c r="C374" s="83"/>
      <c r="D374" s="83" t="s">
        <v>1838</v>
      </c>
      <c r="E374" s="2"/>
      <c r="F374" s="200">
        <v>-3.8</v>
      </c>
      <c r="H374" s="17"/>
    </row>
    <row r="375" spans="2:8" s="16" customFormat="1" ht="16.899999999999999" customHeight="1" x14ac:dyDescent="0.2">
      <c r="B375" s="17"/>
      <c r="C375" s="83"/>
      <c r="D375" s="83" t="s">
        <v>1893</v>
      </c>
      <c r="E375" s="2"/>
      <c r="F375" s="200">
        <v>15.2</v>
      </c>
      <c r="H375" s="17"/>
    </row>
    <row r="376" spans="2:8" s="16" customFormat="1" ht="16.899999999999999" customHeight="1" x14ac:dyDescent="0.2">
      <c r="B376" s="17"/>
      <c r="C376" s="83"/>
      <c r="D376" s="83" t="s">
        <v>1601</v>
      </c>
      <c r="E376" s="2"/>
      <c r="F376" s="200">
        <v>-0.8</v>
      </c>
      <c r="H376" s="17"/>
    </row>
    <row r="377" spans="2:8" s="16" customFormat="1" ht="16.899999999999999" customHeight="1" x14ac:dyDescent="0.2">
      <c r="B377" s="17"/>
      <c r="C377" s="83"/>
      <c r="D377" s="83" t="s">
        <v>1894</v>
      </c>
      <c r="E377" s="2"/>
      <c r="F377" s="200">
        <v>15.2</v>
      </c>
      <c r="H377" s="17"/>
    </row>
    <row r="378" spans="2:8" s="16" customFormat="1" ht="16.899999999999999" customHeight="1" x14ac:dyDescent="0.2">
      <c r="B378" s="17"/>
      <c r="C378" s="83"/>
      <c r="D378" s="83" t="s">
        <v>1601</v>
      </c>
      <c r="E378" s="2"/>
      <c r="F378" s="200">
        <v>-0.8</v>
      </c>
      <c r="H378" s="17"/>
    </row>
    <row r="379" spans="2:8" s="16" customFormat="1" ht="16.899999999999999" customHeight="1" x14ac:dyDescent="0.2">
      <c r="B379" s="17"/>
      <c r="C379" s="83"/>
      <c r="D379" s="83" t="s">
        <v>1895</v>
      </c>
      <c r="E379" s="2"/>
      <c r="F379" s="200">
        <v>8.66</v>
      </c>
      <c r="H379" s="17"/>
    </row>
    <row r="380" spans="2:8" s="16" customFormat="1" ht="16.899999999999999" customHeight="1" x14ac:dyDescent="0.2">
      <c r="B380" s="17"/>
      <c r="C380" s="83"/>
      <c r="D380" s="83" t="s">
        <v>1838</v>
      </c>
      <c r="E380" s="2"/>
      <c r="F380" s="200">
        <v>-3.8</v>
      </c>
      <c r="H380" s="17"/>
    </row>
    <row r="381" spans="2:8" s="16" customFormat="1" ht="16.899999999999999" customHeight="1" x14ac:dyDescent="0.2">
      <c r="B381" s="17"/>
      <c r="C381" s="83"/>
      <c r="D381" s="83" t="s">
        <v>1896</v>
      </c>
      <c r="E381" s="2"/>
      <c r="F381" s="200">
        <v>15.2</v>
      </c>
      <c r="H381" s="17"/>
    </row>
    <row r="382" spans="2:8" s="16" customFormat="1" ht="16.899999999999999" customHeight="1" x14ac:dyDescent="0.2">
      <c r="B382" s="17"/>
      <c r="C382" s="83"/>
      <c r="D382" s="83" t="s">
        <v>1601</v>
      </c>
      <c r="E382" s="2"/>
      <c r="F382" s="200">
        <v>-0.8</v>
      </c>
      <c r="H382" s="17"/>
    </row>
    <row r="383" spans="2:8" s="16" customFormat="1" ht="16.899999999999999" customHeight="1" x14ac:dyDescent="0.2">
      <c r="B383" s="17"/>
      <c r="C383" s="83"/>
      <c r="D383" s="83" t="s">
        <v>1897</v>
      </c>
      <c r="E383" s="2"/>
      <c r="F383" s="200">
        <v>15.2</v>
      </c>
      <c r="H383" s="17"/>
    </row>
    <row r="384" spans="2:8" s="16" customFormat="1" ht="16.899999999999999" customHeight="1" x14ac:dyDescent="0.2">
      <c r="B384" s="17"/>
      <c r="C384" s="83"/>
      <c r="D384" s="83" t="s">
        <v>1601</v>
      </c>
      <c r="E384" s="2"/>
      <c r="F384" s="200">
        <v>-0.8</v>
      </c>
      <c r="H384" s="17"/>
    </row>
    <row r="385" spans="2:8" s="16" customFormat="1" ht="16.899999999999999" customHeight="1" x14ac:dyDescent="0.2">
      <c r="B385" s="17"/>
      <c r="C385" s="83"/>
      <c r="D385" s="83" t="s">
        <v>1898</v>
      </c>
      <c r="E385" s="2"/>
      <c r="F385" s="200">
        <v>14.66</v>
      </c>
      <c r="H385" s="17"/>
    </row>
    <row r="386" spans="2:8" s="16" customFormat="1" ht="16.899999999999999" customHeight="1" x14ac:dyDescent="0.2">
      <c r="B386" s="17"/>
      <c r="C386" s="83"/>
      <c r="D386" s="83" t="s">
        <v>1838</v>
      </c>
      <c r="E386" s="2"/>
      <c r="F386" s="200">
        <v>-3.8</v>
      </c>
      <c r="H386" s="17"/>
    </row>
    <row r="387" spans="2:8" s="16" customFormat="1" ht="16.899999999999999" customHeight="1" x14ac:dyDescent="0.2">
      <c r="B387" s="17"/>
      <c r="C387" s="83"/>
      <c r="D387" s="83" t="s">
        <v>1899</v>
      </c>
      <c r="E387" s="2"/>
      <c r="F387" s="200">
        <v>15.2</v>
      </c>
      <c r="H387" s="17"/>
    </row>
    <row r="388" spans="2:8" s="16" customFormat="1" ht="16.899999999999999" customHeight="1" x14ac:dyDescent="0.2">
      <c r="B388" s="17"/>
      <c r="C388" s="83"/>
      <c r="D388" s="83" t="s">
        <v>1601</v>
      </c>
      <c r="E388" s="2"/>
      <c r="F388" s="200">
        <v>-0.8</v>
      </c>
      <c r="H388" s="17"/>
    </row>
    <row r="389" spans="2:8" s="16" customFormat="1" ht="16.899999999999999" customHeight="1" x14ac:dyDescent="0.2">
      <c r="B389" s="17"/>
      <c r="C389" s="83"/>
      <c r="D389" s="83" t="s">
        <v>1900</v>
      </c>
      <c r="E389" s="2"/>
      <c r="F389" s="200">
        <v>15.2</v>
      </c>
      <c r="H389" s="17"/>
    </row>
    <row r="390" spans="2:8" s="16" customFormat="1" ht="16.899999999999999" customHeight="1" x14ac:dyDescent="0.2">
      <c r="B390" s="17"/>
      <c r="C390" s="83"/>
      <c r="D390" s="83" t="s">
        <v>1601</v>
      </c>
      <c r="E390" s="2"/>
      <c r="F390" s="200">
        <v>-0.8</v>
      </c>
      <c r="H390" s="17"/>
    </row>
    <row r="391" spans="2:8" s="16" customFormat="1" ht="16.899999999999999" customHeight="1" x14ac:dyDescent="0.2">
      <c r="B391" s="17"/>
      <c r="C391" s="83"/>
      <c r="D391" s="83" t="s">
        <v>1901</v>
      </c>
      <c r="E391" s="2"/>
      <c r="F391" s="200">
        <v>15.2</v>
      </c>
      <c r="H391" s="17"/>
    </row>
    <row r="392" spans="2:8" s="16" customFormat="1" ht="16.899999999999999" customHeight="1" x14ac:dyDescent="0.2">
      <c r="B392" s="17"/>
      <c r="C392" s="83"/>
      <c r="D392" s="83" t="s">
        <v>1601</v>
      </c>
      <c r="E392" s="2"/>
      <c r="F392" s="200">
        <v>-0.8</v>
      </c>
      <c r="H392" s="17"/>
    </row>
    <row r="393" spans="2:8" s="16" customFormat="1" ht="16.899999999999999" customHeight="1" x14ac:dyDescent="0.2">
      <c r="B393" s="17"/>
      <c r="C393" s="83"/>
      <c r="D393" s="83" t="s">
        <v>1902</v>
      </c>
      <c r="E393" s="2"/>
      <c r="F393" s="200">
        <v>9.41</v>
      </c>
      <c r="H393" s="17"/>
    </row>
    <row r="394" spans="2:8" s="16" customFormat="1" ht="16.899999999999999" customHeight="1" x14ac:dyDescent="0.2">
      <c r="B394" s="17"/>
      <c r="C394" s="83"/>
      <c r="D394" s="83" t="s">
        <v>1838</v>
      </c>
      <c r="E394" s="2"/>
      <c r="F394" s="200">
        <v>-3.8</v>
      </c>
      <c r="H394" s="17"/>
    </row>
    <row r="395" spans="2:8" s="16" customFormat="1" ht="16.899999999999999" customHeight="1" x14ac:dyDescent="0.2">
      <c r="B395" s="17"/>
      <c r="C395" s="83"/>
      <c r="D395" s="83" t="s">
        <v>1903</v>
      </c>
      <c r="E395" s="2"/>
      <c r="F395" s="200">
        <v>16.399999999999999</v>
      </c>
      <c r="H395" s="17"/>
    </row>
    <row r="396" spans="2:8" s="16" customFormat="1" ht="16.899999999999999" customHeight="1" x14ac:dyDescent="0.2">
      <c r="B396" s="17"/>
      <c r="C396" s="83"/>
      <c r="D396" s="83" t="s">
        <v>1601</v>
      </c>
      <c r="E396" s="2"/>
      <c r="F396" s="200">
        <v>-0.8</v>
      </c>
      <c r="H396" s="17"/>
    </row>
    <row r="397" spans="2:8" s="16" customFormat="1" ht="16.899999999999999" customHeight="1" x14ac:dyDescent="0.2">
      <c r="B397" s="17"/>
      <c r="C397" s="83"/>
      <c r="D397" s="83" t="s">
        <v>1904</v>
      </c>
      <c r="E397" s="2"/>
      <c r="F397" s="200">
        <v>15.2</v>
      </c>
      <c r="H397" s="17"/>
    </row>
    <row r="398" spans="2:8" s="16" customFormat="1" ht="16.899999999999999" customHeight="1" x14ac:dyDescent="0.2">
      <c r="B398" s="17"/>
      <c r="C398" s="83"/>
      <c r="D398" s="83" t="s">
        <v>1601</v>
      </c>
      <c r="E398" s="2"/>
      <c r="F398" s="200">
        <v>-0.8</v>
      </c>
      <c r="H398" s="17"/>
    </row>
    <row r="399" spans="2:8" s="16" customFormat="1" ht="16.899999999999999" customHeight="1" x14ac:dyDescent="0.2">
      <c r="B399" s="17"/>
      <c r="C399" s="83"/>
      <c r="D399" s="83" t="s">
        <v>1905</v>
      </c>
      <c r="E399" s="2"/>
      <c r="F399" s="200">
        <v>9.75</v>
      </c>
      <c r="H399" s="17"/>
    </row>
    <row r="400" spans="2:8" s="16" customFormat="1" ht="16.899999999999999" customHeight="1" x14ac:dyDescent="0.2">
      <c r="B400" s="17"/>
      <c r="C400" s="83"/>
      <c r="D400" s="83" t="s">
        <v>1838</v>
      </c>
      <c r="E400" s="2"/>
      <c r="F400" s="200">
        <v>-3.8</v>
      </c>
      <c r="H400" s="17"/>
    </row>
    <row r="401" spans="2:8" s="16" customFormat="1" ht="16.899999999999999" customHeight="1" x14ac:dyDescent="0.2">
      <c r="B401" s="17"/>
      <c r="C401" s="83"/>
      <c r="D401" s="83" t="s">
        <v>1906</v>
      </c>
      <c r="E401" s="2"/>
      <c r="F401" s="200">
        <v>15.2</v>
      </c>
      <c r="H401" s="17"/>
    </row>
    <row r="402" spans="2:8" s="16" customFormat="1" ht="16.899999999999999" customHeight="1" x14ac:dyDescent="0.2">
      <c r="B402" s="17"/>
      <c r="C402" s="83"/>
      <c r="D402" s="83" t="s">
        <v>1601</v>
      </c>
      <c r="E402" s="2"/>
      <c r="F402" s="200">
        <v>-0.8</v>
      </c>
      <c r="H402" s="17"/>
    </row>
    <row r="403" spans="2:8" s="16" customFormat="1" ht="16.899999999999999" customHeight="1" x14ac:dyDescent="0.2">
      <c r="B403" s="17"/>
      <c r="C403" s="83"/>
      <c r="D403" s="83" t="s">
        <v>1907</v>
      </c>
      <c r="E403" s="2"/>
      <c r="F403" s="200">
        <v>14.65</v>
      </c>
      <c r="H403" s="17"/>
    </row>
    <row r="404" spans="2:8" s="16" customFormat="1" ht="16.899999999999999" customHeight="1" x14ac:dyDescent="0.2">
      <c r="B404" s="17"/>
      <c r="C404" s="83"/>
      <c r="D404" s="83" t="s">
        <v>1601</v>
      </c>
      <c r="E404" s="2"/>
      <c r="F404" s="200">
        <v>-0.8</v>
      </c>
      <c r="H404" s="17"/>
    </row>
    <row r="405" spans="2:8" s="16" customFormat="1" ht="16.899999999999999" customHeight="1" x14ac:dyDescent="0.2">
      <c r="B405" s="17"/>
      <c r="C405" s="83"/>
      <c r="D405" s="83" t="s">
        <v>1908</v>
      </c>
      <c r="E405" s="2"/>
      <c r="F405" s="200">
        <v>19.100000000000001</v>
      </c>
      <c r="H405" s="17"/>
    </row>
    <row r="406" spans="2:8" s="16" customFormat="1" ht="16.899999999999999" customHeight="1" x14ac:dyDescent="0.2">
      <c r="B406" s="17"/>
      <c r="C406" s="83"/>
      <c r="D406" s="83" t="s">
        <v>1882</v>
      </c>
      <c r="E406" s="2"/>
      <c r="F406" s="200">
        <v>-4.5999999999999996</v>
      </c>
      <c r="H406" s="17"/>
    </row>
    <row r="407" spans="2:8" s="16" customFormat="1" ht="16.899999999999999" customHeight="1" x14ac:dyDescent="0.2">
      <c r="B407" s="17"/>
      <c r="C407" s="83"/>
      <c r="D407" s="83" t="s">
        <v>1909</v>
      </c>
      <c r="E407" s="2"/>
      <c r="F407" s="200">
        <v>15.9</v>
      </c>
      <c r="H407" s="17"/>
    </row>
    <row r="408" spans="2:8" s="16" customFormat="1" ht="16.899999999999999" customHeight="1" x14ac:dyDescent="0.2">
      <c r="B408" s="17"/>
      <c r="C408" s="83"/>
      <c r="D408" s="83" t="s">
        <v>1601</v>
      </c>
      <c r="E408" s="2"/>
      <c r="F408" s="200">
        <v>-0.8</v>
      </c>
      <c r="H408" s="17"/>
    </row>
    <row r="409" spans="2:8" s="16" customFormat="1" ht="16.899999999999999" customHeight="1" x14ac:dyDescent="0.2">
      <c r="B409" s="17"/>
      <c r="C409" s="83"/>
      <c r="D409" s="83" t="s">
        <v>1910</v>
      </c>
      <c r="E409" s="2"/>
      <c r="F409" s="200">
        <v>15.2</v>
      </c>
      <c r="H409" s="17"/>
    </row>
    <row r="410" spans="2:8" s="16" customFormat="1" ht="16.899999999999999" customHeight="1" x14ac:dyDescent="0.2">
      <c r="B410" s="17"/>
      <c r="C410" s="83"/>
      <c r="D410" s="83" t="s">
        <v>1601</v>
      </c>
      <c r="E410" s="2"/>
      <c r="F410" s="200">
        <v>-0.8</v>
      </c>
      <c r="H410" s="17"/>
    </row>
    <row r="411" spans="2:8" s="16" customFormat="1" ht="16.899999999999999" customHeight="1" x14ac:dyDescent="0.2">
      <c r="B411" s="17"/>
      <c r="C411" s="83"/>
      <c r="D411" s="83" t="s">
        <v>1911</v>
      </c>
      <c r="E411" s="2"/>
      <c r="F411" s="200">
        <v>15.8</v>
      </c>
      <c r="H411" s="17"/>
    </row>
    <row r="412" spans="2:8" s="16" customFormat="1" ht="16.899999999999999" customHeight="1" x14ac:dyDescent="0.2">
      <c r="B412" s="17"/>
      <c r="C412" s="83"/>
      <c r="D412" s="83" t="s">
        <v>1601</v>
      </c>
      <c r="E412" s="2"/>
      <c r="F412" s="200">
        <v>-0.8</v>
      </c>
      <c r="H412" s="17"/>
    </row>
    <row r="413" spans="2:8" s="16" customFormat="1" ht="16.899999999999999" customHeight="1" x14ac:dyDescent="0.2">
      <c r="B413" s="17"/>
      <c r="C413" s="83"/>
      <c r="D413" s="83" t="s">
        <v>1912</v>
      </c>
      <c r="E413" s="2"/>
      <c r="F413" s="200">
        <v>28.86</v>
      </c>
      <c r="H413" s="17"/>
    </row>
    <row r="414" spans="2:8" s="16" customFormat="1" ht="16.899999999999999" customHeight="1" x14ac:dyDescent="0.2">
      <c r="B414" s="17"/>
      <c r="C414" s="83"/>
      <c r="D414" s="83" t="s">
        <v>1913</v>
      </c>
      <c r="E414" s="2"/>
      <c r="F414" s="200">
        <v>-6.9</v>
      </c>
      <c r="H414" s="17"/>
    </row>
    <row r="415" spans="2:8" s="16" customFormat="1" ht="16.899999999999999" customHeight="1" x14ac:dyDescent="0.2">
      <c r="B415" s="17"/>
      <c r="C415" s="83"/>
      <c r="D415" s="83" t="s">
        <v>1914</v>
      </c>
      <c r="E415" s="2"/>
      <c r="F415" s="200">
        <v>15.55</v>
      </c>
      <c r="H415" s="17"/>
    </row>
    <row r="416" spans="2:8" s="16" customFormat="1" ht="16.899999999999999" customHeight="1" x14ac:dyDescent="0.2">
      <c r="B416" s="17"/>
      <c r="C416" s="83"/>
      <c r="D416" s="83" t="s">
        <v>1601</v>
      </c>
      <c r="E416" s="2"/>
      <c r="F416" s="200">
        <v>-0.8</v>
      </c>
      <c r="H416" s="17"/>
    </row>
    <row r="417" spans="2:8" s="16" customFormat="1" ht="16.899999999999999" customHeight="1" x14ac:dyDescent="0.2">
      <c r="B417" s="17"/>
      <c r="C417" s="83"/>
      <c r="D417" s="83" t="s">
        <v>1915</v>
      </c>
      <c r="E417" s="2"/>
      <c r="F417" s="200">
        <v>15.961</v>
      </c>
      <c r="H417" s="17"/>
    </row>
    <row r="418" spans="2:8" s="16" customFormat="1" ht="16.899999999999999" customHeight="1" x14ac:dyDescent="0.2">
      <c r="B418" s="17"/>
      <c r="C418" s="83"/>
      <c r="D418" s="83" t="s">
        <v>1601</v>
      </c>
      <c r="E418" s="2"/>
      <c r="F418" s="200">
        <v>-0.8</v>
      </c>
      <c r="H418" s="17"/>
    </row>
    <row r="419" spans="2:8" s="16" customFormat="1" ht="16.899999999999999" customHeight="1" x14ac:dyDescent="0.2">
      <c r="B419" s="17"/>
      <c r="C419" s="83"/>
      <c r="D419" s="83" t="s">
        <v>1916</v>
      </c>
      <c r="E419" s="2"/>
      <c r="F419" s="200">
        <v>16.75</v>
      </c>
      <c r="H419" s="17"/>
    </row>
    <row r="420" spans="2:8" s="16" customFormat="1" ht="16.899999999999999" customHeight="1" x14ac:dyDescent="0.2">
      <c r="B420" s="17"/>
      <c r="C420" s="83"/>
      <c r="D420" s="83" t="s">
        <v>1601</v>
      </c>
      <c r="E420" s="2"/>
      <c r="F420" s="200">
        <v>-0.8</v>
      </c>
      <c r="H420" s="17"/>
    </row>
    <row r="421" spans="2:8" s="16" customFormat="1" ht="16.899999999999999" customHeight="1" x14ac:dyDescent="0.2">
      <c r="B421" s="17"/>
      <c r="C421" s="83"/>
      <c r="D421" s="83" t="s">
        <v>1917</v>
      </c>
      <c r="E421" s="2"/>
      <c r="F421" s="200">
        <v>16.350000000000001</v>
      </c>
      <c r="H421" s="17"/>
    </row>
    <row r="422" spans="2:8" s="16" customFormat="1" ht="16.899999999999999" customHeight="1" x14ac:dyDescent="0.2">
      <c r="B422" s="17"/>
      <c r="C422" s="83"/>
      <c r="D422" s="83" t="s">
        <v>1601</v>
      </c>
      <c r="E422" s="2"/>
      <c r="F422" s="200">
        <v>-0.8</v>
      </c>
      <c r="H422" s="17"/>
    </row>
    <row r="423" spans="2:8" s="16" customFormat="1" ht="16.899999999999999" customHeight="1" x14ac:dyDescent="0.2">
      <c r="B423" s="17"/>
      <c r="C423" s="83"/>
      <c r="D423" s="83" t="s">
        <v>1918</v>
      </c>
      <c r="E423" s="2"/>
      <c r="F423" s="200">
        <v>18.399999999999999</v>
      </c>
      <c r="H423" s="17"/>
    </row>
    <row r="424" spans="2:8" s="16" customFormat="1" ht="16.899999999999999" customHeight="1" x14ac:dyDescent="0.2">
      <c r="B424" s="17"/>
      <c r="C424" s="83"/>
      <c r="D424" s="83" t="s">
        <v>1601</v>
      </c>
      <c r="E424" s="2"/>
      <c r="F424" s="200">
        <v>-0.8</v>
      </c>
      <c r="H424" s="17"/>
    </row>
    <row r="425" spans="2:8" s="16" customFormat="1" ht="16.899999999999999" customHeight="1" x14ac:dyDescent="0.2">
      <c r="B425" s="17"/>
      <c r="C425" s="83"/>
      <c r="D425" s="83" t="s">
        <v>1919</v>
      </c>
      <c r="E425" s="2"/>
      <c r="F425" s="200">
        <v>12.65</v>
      </c>
      <c r="H425" s="17"/>
    </row>
    <row r="426" spans="2:8" s="16" customFormat="1" ht="16.899999999999999" customHeight="1" x14ac:dyDescent="0.2">
      <c r="B426" s="17"/>
      <c r="C426" s="83"/>
      <c r="D426" s="83" t="s">
        <v>1859</v>
      </c>
      <c r="E426" s="2"/>
      <c r="F426" s="200">
        <v>-3.5</v>
      </c>
      <c r="H426" s="17"/>
    </row>
    <row r="427" spans="2:8" s="16" customFormat="1" ht="16.899999999999999" customHeight="1" x14ac:dyDescent="0.2">
      <c r="B427" s="17"/>
      <c r="C427" s="83"/>
      <c r="D427" s="83" t="s">
        <v>1920</v>
      </c>
      <c r="E427" s="2"/>
      <c r="F427" s="200">
        <v>18.559999999999999</v>
      </c>
      <c r="H427" s="17"/>
    </row>
    <row r="428" spans="2:8" s="16" customFormat="1" ht="16.899999999999999" customHeight="1" x14ac:dyDescent="0.2">
      <c r="B428" s="17"/>
      <c r="C428" s="83"/>
      <c r="D428" s="83" t="s">
        <v>1641</v>
      </c>
      <c r="E428" s="2"/>
      <c r="F428" s="200">
        <v>-0.9</v>
      </c>
      <c r="H428" s="17"/>
    </row>
    <row r="429" spans="2:8" s="16" customFormat="1" ht="16.899999999999999" customHeight="1" x14ac:dyDescent="0.2">
      <c r="B429" s="17"/>
      <c r="C429" s="83"/>
      <c r="D429" s="83" t="s">
        <v>1921</v>
      </c>
      <c r="E429" s="2"/>
      <c r="F429" s="200">
        <v>15</v>
      </c>
      <c r="H429" s="17"/>
    </row>
    <row r="430" spans="2:8" s="16" customFormat="1" ht="16.899999999999999" customHeight="1" x14ac:dyDescent="0.2">
      <c r="B430" s="17"/>
      <c r="C430" s="83"/>
      <c r="D430" s="83" t="s">
        <v>1601</v>
      </c>
      <c r="E430" s="2"/>
      <c r="F430" s="200">
        <v>-0.8</v>
      </c>
      <c r="H430" s="17"/>
    </row>
    <row r="431" spans="2:8" s="16" customFormat="1" ht="16.899999999999999" customHeight="1" x14ac:dyDescent="0.2">
      <c r="B431" s="17"/>
      <c r="C431" s="83"/>
      <c r="D431" s="83" t="s">
        <v>1922</v>
      </c>
      <c r="E431" s="2"/>
      <c r="F431" s="200">
        <v>9.26</v>
      </c>
      <c r="H431" s="17"/>
    </row>
    <row r="432" spans="2:8" s="16" customFormat="1" ht="16.899999999999999" customHeight="1" x14ac:dyDescent="0.2">
      <c r="B432" s="17"/>
      <c r="C432" s="83"/>
      <c r="D432" s="83" t="s">
        <v>1838</v>
      </c>
      <c r="E432" s="2"/>
      <c r="F432" s="200">
        <v>-3.8</v>
      </c>
      <c r="H432" s="17"/>
    </row>
    <row r="433" spans="2:8" s="16" customFormat="1" ht="16.899999999999999" customHeight="1" x14ac:dyDescent="0.2">
      <c r="B433" s="17"/>
      <c r="C433" s="83"/>
      <c r="D433" s="83" t="s">
        <v>1923</v>
      </c>
      <c r="E433" s="2"/>
      <c r="F433" s="200">
        <v>15.2</v>
      </c>
      <c r="H433" s="17"/>
    </row>
    <row r="434" spans="2:8" s="16" customFormat="1" ht="16.899999999999999" customHeight="1" x14ac:dyDescent="0.2">
      <c r="B434" s="17"/>
      <c r="C434" s="83"/>
      <c r="D434" s="83" t="s">
        <v>1601</v>
      </c>
      <c r="E434" s="2"/>
      <c r="F434" s="200">
        <v>-0.8</v>
      </c>
      <c r="H434" s="17"/>
    </row>
    <row r="435" spans="2:8" s="16" customFormat="1" ht="16.899999999999999" customHeight="1" x14ac:dyDescent="0.2">
      <c r="B435" s="17"/>
      <c r="C435" s="83"/>
      <c r="D435" s="83" t="s">
        <v>1924</v>
      </c>
      <c r="E435" s="2"/>
      <c r="F435" s="200">
        <v>15.2</v>
      </c>
      <c r="H435" s="17"/>
    </row>
    <row r="436" spans="2:8" s="16" customFormat="1" ht="16.899999999999999" customHeight="1" x14ac:dyDescent="0.2">
      <c r="B436" s="17"/>
      <c r="C436" s="83"/>
      <c r="D436" s="83" t="s">
        <v>1601</v>
      </c>
      <c r="E436" s="2"/>
      <c r="F436" s="200">
        <v>-0.8</v>
      </c>
      <c r="H436" s="17"/>
    </row>
    <row r="437" spans="2:8" s="16" customFormat="1" ht="16.899999999999999" customHeight="1" x14ac:dyDescent="0.2">
      <c r="B437" s="17"/>
      <c r="C437" s="83"/>
      <c r="D437" s="83" t="s">
        <v>1925</v>
      </c>
      <c r="E437" s="2"/>
      <c r="F437" s="200">
        <v>8.66</v>
      </c>
      <c r="H437" s="17"/>
    </row>
    <row r="438" spans="2:8" s="16" customFormat="1" ht="16.899999999999999" customHeight="1" x14ac:dyDescent="0.2">
      <c r="B438" s="17"/>
      <c r="C438" s="83"/>
      <c r="D438" s="83" t="s">
        <v>1838</v>
      </c>
      <c r="E438" s="2"/>
      <c r="F438" s="200">
        <v>-3.8</v>
      </c>
      <c r="H438" s="17"/>
    </row>
    <row r="439" spans="2:8" s="16" customFormat="1" ht="16.899999999999999" customHeight="1" x14ac:dyDescent="0.2">
      <c r="B439" s="17"/>
      <c r="C439" s="83"/>
      <c r="D439" s="83" t="s">
        <v>1926</v>
      </c>
      <c r="E439" s="2"/>
      <c r="F439" s="200">
        <v>15.2</v>
      </c>
      <c r="H439" s="17"/>
    </row>
    <row r="440" spans="2:8" s="16" customFormat="1" ht="16.899999999999999" customHeight="1" x14ac:dyDescent="0.2">
      <c r="B440" s="17"/>
      <c r="C440" s="83"/>
      <c r="D440" s="83" t="s">
        <v>1601</v>
      </c>
      <c r="E440" s="2"/>
      <c r="F440" s="200">
        <v>-0.8</v>
      </c>
      <c r="H440" s="17"/>
    </row>
    <row r="441" spans="2:8" s="16" customFormat="1" ht="16.899999999999999" customHeight="1" x14ac:dyDescent="0.2">
      <c r="B441" s="17"/>
      <c r="C441" s="83"/>
      <c r="D441" s="83" t="s">
        <v>1927</v>
      </c>
      <c r="E441" s="2"/>
      <c r="F441" s="200">
        <v>15.2</v>
      </c>
      <c r="H441" s="17"/>
    </row>
    <row r="442" spans="2:8" s="16" customFormat="1" ht="16.899999999999999" customHeight="1" x14ac:dyDescent="0.2">
      <c r="B442" s="17"/>
      <c r="C442" s="83"/>
      <c r="D442" s="83" t="s">
        <v>1601</v>
      </c>
      <c r="E442" s="2"/>
      <c r="F442" s="200">
        <v>-0.8</v>
      </c>
      <c r="H442" s="17"/>
    </row>
    <row r="443" spans="2:8" s="16" customFormat="1" ht="16.899999999999999" customHeight="1" x14ac:dyDescent="0.2">
      <c r="B443" s="17"/>
      <c r="C443" s="83"/>
      <c r="D443" s="83" t="s">
        <v>1928</v>
      </c>
      <c r="E443" s="2"/>
      <c r="F443" s="200">
        <v>8.66</v>
      </c>
      <c r="H443" s="17"/>
    </row>
    <row r="444" spans="2:8" s="16" customFormat="1" ht="16.899999999999999" customHeight="1" x14ac:dyDescent="0.2">
      <c r="B444" s="17"/>
      <c r="C444" s="83"/>
      <c r="D444" s="83" t="s">
        <v>1838</v>
      </c>
      <c r="E444" s="2"/>
      <c r="F444" s="200">
        <v>-3.8</v>
      </c>
      <c r="H444" s="17"/>
    </row>
    <row r="445" spans="2:8" s="16" customFormat="1" ht="16.899999999999999" customHeight="1" x14ac:dyDescent="0.2">
      <c r="B445" s="17"/>
      <c r="C445" s="83"/>
      <c r="D445" s="83" t="s">
        <v>1929</v>
      </c>
      <c r="E445" s="2"/>
      <c r="F445" s="200">
        <v>15.2</v>
      </c>
      <c r="H445" s="17"/>
    </row>
    <row r="446" spans="2:8" s="16" customFormat="1" ht="16.899999999999999" customHeight="1" x14ac:dyDescent="0.2">
      <c r="B446" s="17"/>
      <c r="C446" s="83"/>
      <c r="D446" s="83" t="s">
        <v>1601</v>
      </c>
      <c r="E446" s="2"/>
      <c r="F446" s="200">
        <v>-0.8</v>
      </c>
      <c r="H446" s="17"/>
    </row>
    <row r="447" spans="2:8" s="16" customFormat="1" ht="16.899999999999999" customHeight="1" x14ac:dyDescent="0.2">
      <c r="B447" s="17"/>
      <c r="C447" s="83"/>
      <c r="D447" s="83" t="s">
        <v>1930</v>
      </c>
      <c r="E447" s="2"/>
      <c r="F447" s="200">
        <v>15.2</v>
      </c>
      <c r="H447" s="17"/>
    </row>
    <row r="448" spans="2:8" s="16" customFormat="1" ht="16.899999999999999" customHeight="1" x14ac:dyDescent="0.2">
      <c r="B448" s="17"/>
      <c r="C448" s="83"/>
      <c r="D448" s="83" t="s">
        <v>1601</v>
      </c>
      <c r="E448" s="2"/>
      <c r="F448" s="200">
        <v>-0.8</v>
      </c>
      <c r="H448" s="17"/>
    </row>
    <row r="449" spans="2:8" s="16" customFormat="1" ht="16.899999999999999" customHeight="1" x14ac:dyDescent="0.2">
      <c r="B449" s="17"/>
      <c r="C449" s="83"/>
      <c r="D449" s="83" t="s">
        <v>1931</v>
      </c>
      <c r="E449" s="2"/>
      <c r="F449" s="200">
        <v>14.9</v>
      </c>
      <c r="H449" s="17"/>
    </row>
    <row r="450" spans="2:8" s="16" customFormat="1" ht="16.899999999999999" customHeight="1" x14ac:dyDescent="0.2">
      <c r="B450" s="17"/>
      <c r="C450" s="83"/>
      <c r="D450" s="83" t="s">
        <v>1838</v>
      </c>
      <c r="E450" s="2"/>
      <c r="F450" s="200">
        <v>-3.8</v>
      </c>
      <c r="H450" s="17"/>
    </row>
    <row r="451" spans="2:8" s="16" customFormat="1" ht="16.899999999999999" customHeight="1" x14ac:dyDescent="0.2">
      <c r="B451" s="17"/>
      <c r="C451" s="83"/>
      <c r="D451" s="83" t="s">
        <v>1932</v>
      </c>
      <c r="E451" s="2"/>
      <c r="F451" s="200">
        <v>15.2</v>
      </c>
      <c r="H451" s="17"/>
    </row>
    <row r="452" spans="2:8" s="16" customFormat="1" ht="16.899999999999999" customHeight="1" x14ac:dyDescent="0.2">
      <c r="B452" s="17"/>
      <c r="C452" s="83"/>
      <c r="D452" s="83" t="s">
        <v>1601</v>
      </c>
      <c r="E452" s="2"/>
      <c r="F452" s="200">
        <v>-0.8</v>
      </c>
      <c r="H452" s="17"/>
    </row>
    <row r="453" spans="2:8" s="16" customFormat="1" ht="16.899999999999999" customHeight="1" x14ac:dyDescent="0.2">
      <c r="B453" s="17"/>
      <c r="C453" s="83"/>
      <c r="D453" s="83" t="s">
        <v>1933</v>
      </c>
      <c r="E453" s="2"/>
      <c r="F453" s="200">
        <v>15.2</v>
      </c>
      <c r="H453" s="17"/>
    </row>
    <row r="454" spans="2:8" s="16" customFormat="1" ht="16.899999999999999" customHeight="1" x14ac:dyDescent="0.2">
      <c r="B454" s="17"/>
      <c r="C454" s="83"/>
      <c r="D454" s="83" t="s">
        <v>1601</v>
      </c>
      <c r="E454" s="2"/>
      <c r="F454" s="200">
        <v>-0.8</v>
      </c>
      <c r="H454" s="17"/>
    </row>
    <row r="455" spans="2:8" s="16" customFormat="1" ht="16.899999999999999" customHeight="1" x14ac:dyDescent="0.2">
      <c r="B455" s="17"/>
      <c r="C455" s="83"/>
      <c r="D455" s="83" t="s">
        <v>1934</v>
      </c>
      <c r="E455" s="2"/>
      <c r="F455" s="200">
        <v>15.2</v>
      </c>
      <c r="H455" s="17"/>
    </row>
    <row r="456" spans="2:8" s="16" customFormat="1" ht="16.899999999999999" customHeight="1" x14ac:dyDescent="0.2">
      <c r="B456" s="17"/>
      <c r="C456" s="83"/>
      <c r="D456" s="83" t="s">
        <v>1601</v>
      </c>
      <c r="E456" s="2"/>
      <c r="F456" s="200">
        <v>-0.8</v>
      </c>
      <c r="H456" s="17"/>
    </row>
    <row r="457" spans="2:8" s="16" customFormat="1" ht="16.899999999999999" customHeight="1" x14ac:dyDescent="0.2">
      <c r="B457" s="17"/>
      <c r="C457" s="83"/>
      <c r="D457" s="83" t="s">
        <v>1935</v>
      </c>
      <c r="E457" s="2"/>
      <c r="F457" s="200">
        <v>9.41</v>
      </c>
      <c r="H457" s="17"/>
    </row>
    <row r="458" spans="2:8" s="16" customFormat="1" ht="16.899999999999999" customHeight="1" x14ac:dyDescent="0.2">
      <c r="B458" s="17"/>
      <c r="C458" s="83"/>
      <c r="D458" s="83" t="s">
        <v>1838</v>
      </c>
      <c r="E458" s="2"/>
      <c r="F458" s="200">
        <v>-3.8</v>
      </c>
      <c r="H458" s="17"/>
    </row>
    <row r="459" spans="2:8" s="16" customFormat="1" ht="16.899999999999999" customHeight="1" x14ac:dyDescent="0.2">
      <c r="B459" s="17"/>
      <c r="C459" s="83"/>
      <c r="D459" s="83" t="s">
        <v>1936</v>
      </c>
      <c r="E459" s="2"/>
      <c r="F459" s="200">
        <v>16.399999999999999</v>
      </c>
      <c r="H459" s="17"/>
    </row>
    <row r="460" spans="2:8" s="16" customFormat="1" ht="16.899999999999999" customHeight="1" x14ac:dyDescent="0.2">
      <c r="B460" s="17"/>
      <c r="C460" s="83"/>
      <c r="D460" s="83" t="s">
        <v>1601</v>
      </c>
      <c r="E460" s="2"/>
      <c r="F460" s="200">
        <v>-0.8</v>
      </c>
      <c r="H460" s="17"/>
    </row>
    <row r="461" spans="2:8" s="16" customFormat="1" ht="16.899999999999999" customHeight="1" x14ac:dyDescent="0.2">
      <c r="B461" s="17"/>
      <c r="C461" s="83"/>
      <c r="D461" s="83" t="s">
        <v>1937</v>
      </c>
      <c r="E461" s="2"/>
      <c r="F461" s="200">
        <v>15.2</v>
      </c>
      <c r="H461" s="17"/>
    </row>
    <row r="462" spans="2:8" s="16" customFormat="1" ht="16.899999999999999" customHeight="1" x14ac:dyDescent="0.2">
      <c r="B462" s="17"/>
      <c r="C462" s="83"/>
      <c r="D462" s="83" t="s">
        <v>1601</v>
      </c>
      <c r="E462" s="2"/>
      <c r="F462" s="200">
        <v>-0.8</v>
      </c>
      <c r="H462" s="17"/>
    </row>
    <row r="463" spans="2:8" s="16" customFormat="1" ht="16.899999999999999" customHeight="1" x14ac:dyDescent="0.2">
      <c r="B463" s="17"/>
      <c r="C463" s="83"/>
      <c r="D463" s="83" t="s">
        <v>1938</v>
      </c>
      <c r="E463" s="2"/>
      <c r="F463" s="200">
        <v>9.75</v>
      </c>
      <c r="H463" s="17"/>
    </row>
    <row r="464" spans="2:8" s="16" customFormat="1" ht="16.899999999999999" customHeight="1" x14ac:dyDescent="0.2">
      <c r="B464" s="17"/>
      <c r="C464" s="83"/>
      <c r="D464" s="83" t="s">
        <v>1838</v>
      </c>
      <c r="E464" s="2"/>
      <c r="F464" s="200">
        <v>-3.8</v>
      </c>
      <c r="H464" s="17"/>
    </row>
    <row r="465" spans="2:8" s="16" customFormat="1" ht="16.899999999999999" customHeight="1" x14ac:dyDescent="0.2">
      <c r="B465" s="17"/>
      <c r="C465" s="83"/>
      <c r="D465" s="83" t="s">
        <v>1939</v>
      </c>
      <c r="E465" s="2"/>
      <c r="F465" s="200">
        <v>15.2</v>
      </c>
      <c r="H465" s="17"/>
    </row>
    <row r="466" spans="2:8" s="16" customFormat="1" ht="16.899999999999999" customHeight="1" x14ac:dyDescent="0.2">
      <c r="B466" s="17"/>
      <c r="C466" s="83"/>
      <c r="D466" s="83" t="s">
        <v>1601</v>
      </c>
      <c r="E466" s="2"/>
      <c r="F466" s="200">
        <v>-0.8</v>
      </c>
      <c r="H466" s="17"/>
    </row>
    <row r="467" spans="2:8" s="16" customFormat="1" ht="16.899999999999999" customHeight="1" x14ac:dyDescent="0.2">
      <c r="B467" s="17"/>
      <c r="C467" s="83"/>
      <c r="D467" s="83" t="s">
        <v>1940</v>
      </c>
      <c r="E467" s="2"/>
      <c r="F467" s="200">
        <v>14.65</v>
      </c>
      <c r="H467" s="17"/>
    </row>
    <row r="468" spans="2:8" s="16" customFormat="1" ht="16.899999999999999" customHeight="1" x14ac:dyDescent="0.2">
      <c r="B468" s="17"/>
      <c r="C468" s="83"/>
      <c r="D468" s="83" t="s">
        <v>1601</v>
      </c>
      <c r="E468" s="2"/>
      <c r="F468" s="200">
        <v>-0.8</v>
      </c>
      <c r="H468" s="17"/>
    </row>
    <row r="469" spans="2:8" s="16" customFormat="1" ht="16.899999999999999" customHeight="1" x14ac:dyDescent="0.2">
      <c r="B469" s="17"/>
      <c r="C469" s="83"/>
      <c r="D469" s="83" t="s">
        <v>1941</v>
      </c>
      <c r="E469" s="2"/>
      <c r="F469" s="200">
        <v>19.100000000000001</v>
      </c>
      <c r="H469" s="17"/>
    </row>
    <row r="470" spans="2:8" s="16" customFormat="1" ht="16.899999999999999" customHeight="1" x14ac:dyDescent="0.2">
      <c r="B470" s="17"/>
      <c r="C470" s="83"/>
      <c r="D470" s="83" t="s">
        <v>1882</v>
      </c>
      <c r="E470" s="2"/>
      <c r="F470" s="200">
        <v>-4.5999999999999996</v>
      </c>
      <c r="H470" s="17"/>
    </row>
    <row r="471" spans="2:8" s="16" customFormat="1" ht="16.899999999999999" customHeight="1" x14ac:dyDescent="0.2">
      <c r="B471" s="17"/>
      <c r="C471" s="83"/>
      <c r="D471" s="83" t="s">
        <v>1942</v>
      </c>
      <c r="E471" s="2"/>
      <c r="F471" s="200">
        <v>15.9</v>
      </c>
      <c r="H471" s="17"/>
    </row>
    <row r="472" spans="2:8" s="16" customFormat="1" ht="16.899999999999999" customHeight="1" x14ac:dyDescent="0.2">
      <c r="B472" s="17"/>
      <c r="C472" s="83"/>
      <c r="D472" s="83" t="s">
        <v>1601</v>
      </c>
      <c r="E472" s="2"/>
      <c r="F472" s="200">
        <v>-0.8</v>
      </c>
      <c r="H472" s="17"/>
    </row>
    <row r="473" spans="2:8" s="16" customFormat="1" ht="16.899999999999999" customHeight="1" x14ac:dyDescent="0.2">
      <c r="B473" s="17"/>
      <c r="C473" s="83"/>
      <c r="D473" s="83" t="s">
        <v>1943</v>
      </c>
      <c r="E473" s="2"/>
      <c r="F473" s="200">
        <v>15.2</v>
      </c>
      <c r="H473" s="17"/>
    </row>
    <row r="474" spans="2:8" s="16" customFormat="1" ht="16.899999999999999" customHeight="1" x14ac:dyDescent="0.2">
      <c r="B474" s="17"/>
      <c r="C474" s="83"/>
      <c r="D474" s="83" t="s">
        <v>1601</v>
      </c>
      <c r="E474" s="2"/>
      <c r="F474" s="200">
        <v>-0.8</v>
      </c>
      <c r="H474" s="17"/>
    </row>
    <row r="475" spans="2:8" s="16" customFormat="1" ht="16.899999999999999" customHeight="1" x14ac:dyDescent="0.2">
      <c r="B475" s="17"/>
      <c r="C475" s="83"/>
      <c r="D475" s="83" t="s">
        <v>1944</v>
      </c>
      <c r="E475" s="2"/>
      <c r="F475" s="200">
        <v>15.8</v>
      </c>
      <c r="H475" s="17"/>
    </row>
    <row r="476" spans="2:8" s="16" customFormat="1" ht="16.899999999999999" customHeight="1" x14ac:dyDescent="0.2">
      <c r="B476" s="17"/>
      <c r="C476" s="83"/>
      <c r="D476" s="83" t="s">
        <v>1601</v>
      </c>
      <c r="E476" s="2"/>
      <c r="F476" s="200">
        <v>-0.8</v>
      </c>
      <c r="H476" s="17"/>
    </row>
    <row r="477" spans="2:8" s="16" customFormat="1" ht="16.899999999999999" customHeight="1" x14ac:dyDescent="0.2">
      <c r="B477" s="17"/>
      <c r="C477" s="83"/>
      <c r="D477" s="83" t="s">
        <v>1945</v>
      </c>
      <c r="E477" s="2"/>
      <c r="F477" s="200">
        <v>29.11</v>
      </c>
      <c r="H477" s="17"/>
    </row>
    <row r="478" spans="2:8" s="16" customFormat="1" ht="16.899999999999999" customHeight="1" x14ac:dyDescent="0.2">
      <c r="B478" s="17"/>
      <c r="C478" s="83"/>
      <c r="D478" s="83" t="s">
        <v>1946</v>
      </c>
      <c r="E478" s="2"/>
      <c r="F478" s="200">
        <v>-8.1</v>
      </c>
      <c r="H478" s="17"/>
    </row>
    <row r="479" spans="2:8" s="16" customFormat="1" ht="16.899999999999999" customHeight="1" x14ac:dyDescent="0.2">
      <c r="B479" s="17"/>
      <c r="C479" s="83"/>
      <c r="D479" s="83" t="s">
        <v>1947</v>
      </c>
      <c r="E479" s="2"/>
      <c r="F479" s="200">
        <v>16.850000000000001</v>
      </c>
      <c r="H479" s="17"/>
    </row>
    <row r="480" spans="2:8" s="16" customFormat="1" ht="16.899999999999999" customHeight="1" x14ac:dyDescent="0.2">
      <c r="B480" s="17"/>
      <c r="C480" s="83"/>
      <c r="D480" s="83" t="s">
        <v>1588</v>
      </c>
      <c r="E480" s="2"/>
      <c r="F480" s="200">
        <v>-0.9</v>
      </c>
      <c r="H480" s="17"/>
    </row>
    <row r="481" spans="2:8" s="16" customFormat="1" ht="16.899999999999999" customHeight="1" x14ac:dyDescent="0.2">
      <c r="B481" s="17"/>
      <c r="C481" s="83"/>
      <c r="D481" s="83" t="s">
        <v>1948</v>
      </c>
      <c r="E481" s="2"/>
      <c r="F481" s="200">
        <v>12.55</v>
      </c>
      <c r="H481" s="17"/>
    </row>
    <row r="482" spans="2:8" s="16" customFormat="1" ht="16.899999999999999" customHeight="1" x14ac:dyDescent="0.2">
      <c r="B482" s="17"/>
      <c r="C482" s="83"/>
      <c r="D482" s="83" t="s">
        <v>1601</v>
      </c>
      <c r="E482" s="2"/>
      <c r="F482" s="200">
        <v>-0.8</v>
      </c>
      <c r="H482" s="17"/>
    </row>
    <row r="483" spans="2:8" s="16" customFormat="1" ht="16.899999999999999" customHeight="1" x14ac:dyDescent="0.2">
      <c r="B483" s="17"/>
      <c r="C483" s="83"/>
      <c r="D483" s="83" t="s">
        <v>1949</v>
      </c>
      <c r="E483" s="2"/>
      <c r="F483" s="200">
        <v>17.45</v>
      </c>
      <c r="H483" s="17"/>
    </row>
    <row r="484" spans="2:8" s="16" customFormat="1" ht="16.899999999999999" customHeight="1" x14ac:dyDescent="0.2">
      <c r="B484" s="17"/>
      <c r="C484" s="83"/>
      <c r="D484" s="83" t="s">
        <v>1641</v>
      </c>
      <c r="E484" s="2"/>
      <c r="F484" s="200">
        <v>-0.9</v>
      </c>
      <c r="H484" s="17"/>
    </row>
    <row r="485" spans="2:8" s="16" customFormat="1" ht="16.899999999999999" customHeight="1" x14ac:dyDescent="0.2">
      <c r="B485" s="17"/>
      <c r="C485" s="83"/>
      <c r="D485" s="83" t="s">
        <v>1950</v>
      </c>
      <c r="E485" s="2"/>
      <c r="F485" s="200">
        <v>16.75</v>
      </c>
      <c r="H485" s="17"/>
    </row>
    <row r="486" spans="2:8" s="16" customFormat="1" ht="16.899999999999999" customHeight="1" x14ac:dyDescent="0.2">
      <c r="B486" s="17"/>
      <c r="C486" s="83"/>
      <c r="D486" s="83" t="s">
        <v>1601</v>
      </c>
      <c r="E486" s="2"/>
      <c r="F486" s="200">
        <v>-0.8</v>
      </c>
      <c r="H486" s="17"/>
    </row>
    <row r="487" spans="2:8" s="16" customFormat="1" ht="16.899999999999999" customHeight="1" x14ac:dyDescent="0.2">
      <c r="B487" s="17"/>
      <c r="C487" s="83"/>
      <c r="D487" s="83" t="s">
        <v>1951</v>
      </c>
      <c r="E487" s="2"/>
      <c r="F487" s="200">
        <v>15.95</v>
      </c>
      <c r="H487" s="17"/>
    </row>
    <row r="488" spans="2:8" s="16" customFormat="1" ht="16.899999999999999" customHeight="1" x14ac:dyDescent="0.2">
      <c r="B488" s="17"/>
      <c r="C488" s="83"/>
      <c r="D488" s="83" t="s">
        <v>1601</v>
      </c>
      <c r="E488" s="2"/>
      <c r="F488" s="200">
        <v>-0.8</v>
      </c>
      <c r="H488" s="17"/>
    </row>
    <row r="489" spans="2:8" s="16" customFormat="1" ht="16.899999999999999" customHeight="1" x14ac:dyDescent="0.2">
      <c r="B489" s="17"/>
      <c r="C489" s="83"/>
      <c r="D489" s="83" t="s">
        <v>1952</v>
      </c>
      <c r="E489" s="2"/>
      <c r="F489" s="200">
        <v>9.61</v>
      </c>
      <c r="H489" s="17"/>
    </row>
    <row r="490" spans="2:8" s="16" customFormat="1" ht="16.899999999999999" customHeight="1" x14ac:dyDescent="0.2">
      <c r="B490" s="17"/>
      <c r="C490" s="83"/>
      <c r="D490" s="83" t="s">
        <v>1838</v>
      </c>
      <c r="E490" s="2"/>
      <c r="F490" s="200">
        <v>-3.8</v>
      </c>
      <c r="H490" s="17"/>
    </row>
    <row r="491" spans="2:8" s="16" customFormat="1" ht="16.899999999999999" customHeight="1" x14ac:dyDescent="0.2">
      <c r="B491" s="17"/>
      <c r="C491" s="83"/>
      <c r="D491" s="83" t="s">
        <v>1953</v>
      </c>
      <c r="E491" s="2"/>
      <c r="F491" s="200">
        <v>16.350000000000001</v>
      </c>
      <c r="H491" s="17"/>
    </row>
    <row r="492" spans="2:8" s="16" customFormat="1" ht="16.899999999999999" customHeight="1" x14ac:dyDescent="0.2">
      <c r="B492" s="17"/>
      <c r="C492" s="83"/>
      <c r="D492" s="83" t="s">
        <v>1601</v>
      </c>
      <c r="E492" s="2"/>
      <c r="F492" s="200">
        <v>-0.8</v>
      </c>
      <c r="H492" s="17"/>
    </row>
    <row r="493" spans="2:8" s="16" customFormat="1" ht="16.899999999999999" customHeight="1" x14ac:dyDescent="0.2">
      <c r="B493" s="17"/>
      <c r="C493" s="83"/>
      <c r="D493" s="83" t="s">
        <v>1954</v>
      </c>
      <c r="E493" s="2"/>
      <c r="F493" s="200">
        <v>15.339</v>
      </c>
      <c r="H493" s="17"/>
    </row>
    <row r="494" spans="2:8" s="16" customFormat="1" ht="16.899999999999999" customHeight="1" x14ac:dyDescent="0.2">
      <c r="B494" s="17"/>
      <c r="C494" s="83"/>
      <c r="D494" s="83" t="s">
        <v>1601</v>
      </c>
      <c r="E494" s="2"/>
      <c r="F494" s="200">
        <v>-0.8</v>
      </c>
      <c r="H494" s="17"/>
    </row>
    <row r="495" spans="2:8" s="16" customFormat="1" ht="16.899999999999999" customHeight="1" x14ac:dyDescent="0.2">
      <c r="B495" s="17"/>
      <c r="C495" s="83"/>
      <c r="D495" s="83" t="s">
        <v>1955</v>
      </c>
      <c r="E495" s="2"/>
      <c r="F495" s="200">
        <v>9.1750000000000007</v>
      </c>
      <c r="H495" s="17"/>
    </row>
    <row r="496" spans="2:8" s="16" customFormat="1" ht="16.899999999999999" customHeight="1" x14ac:dyDescent="0.2">
      <c r="B496" s="17"/>
      <c r="C496" s="83"/>
      <c r="D496" s="83" t="s">
        <v>1838</v>
      </c>
      <c r="E496" s="2"/>
      <c r="F496" s="200">
        <v>-3.8</v>
      </c>
      <c r="H496" s="17"/>
    </row>
    <row r="497" spans="2:8" s="16" customFormat="1" ht="16.899999999999999" customHeight="1" x14ac:dyDescent="0.2">
      <c r="B497" s="17"/>
      <c r="C497" s="83"/>
      <c r="D497" s="83" t="s">
        <v>1956</v>
      </c>
      <c r="E497" s="2"/>
      <c r="F497" s="200">
        <v>15.24</v>
      </c>
      <c r="H497" s="17"/>
    </row>
    <row r="498" spans="2:8" s="16" customFormat="1" ht="16.899999999999999" customHeight="1" x14ac:dyDescent="0.2">
      <c r="B498" s="17"/>
      <c r="C498" s="83"/>
      <c r="D498" s="83" t="s">
        <v>1601</v>
      </c>
      <c r="E498" s="2"/>
      <c r="F498" s="200">
        <v>-0.8</v>
      </c>
      <c r="H498" s="17"/>
    </row>
    <row r="499" spans="2:8" s="16" customFormat="1" ht="16.899999999999999" customHeight="1" x14ac:dyDescent="0.2">
      <c r="B499" s="17"/>
      <c r="C499" s="83"/>
      <c r="D499" s="83" t="s">
        <v>1957</v>
      </c>
      <c r="E499" s="2"/>
      <c r="F499" s="200">
        <v>15.241</v>
      </c>
      <c r="H499" s="17"/>
    </row>
    <row r="500" spans="2:8" s="16" customFormat="1" ht="16.899999999999999" customHeight="1" x14ac:dyDescent="0.2">
      <c r="B500" s="17"/>
      <c r="C500" s="83"/>
      <c r="D500" s="83" t="s">
        <v>1601</v>
      </c>
      <c r="E500" s="2"/>
      <c r="F500" s="200">
        <v>-0.8</v>
      </c>
      <c r="H500" s="17"/>
    </row>
    <row r="501" spans="2:8" s="16" customFormat="1" ht="16.899999999999999" customHeight="1" x14ac:dyDescent="0.2">
      <c r="B501" s="17"/>
      <c r="C501" s="83"/>
      <c r="D501" s="83" t="s">
        <v>1958</v>
      </c>
      <c r="E501" s="2"/>
      <c r="F501" s="200">
        <v>8.66</v>
      </c>
      <c r="H501" s="17"/>
    </row>
    <row r="502" spans="2:8" s="16" customFormat="1" ht="16.899999999999999" customHeight="1" x14ac:dyDescent="0.2">
      <c r="B502" s="17"/>
      <c r="C502" s="83"/>
      <c r="D502" s="83" t="s">
        <v>1838</v>
      </c>
      <c r="E502" s="2"/>
      <c r="F502" s="200">
        <v>-3.8</v>
      </c>
      <c r="H502" s="17"/>
    </row>
    <row r="503" spans="2:8" s="16" customFormat="1" ht="16.899999999999999" customHeight="1" x14ac:dyDescent="0.2">
      <c r="B503" s="17"/>
      <c r="C503" s="83"/>
      <c r="D503" s="83" t="s">
        <v>1959</v>
      </c>
      <c r="E503" s="2"/>
      <c r="F503" s="200">
        <v>15.24</v>
      </c>
      <c r="H503" s="17"/>
    </row>
    <row r="504" spans="2:8" s="16" customFormat="1" ht="16.899999999999999" customHeight="1" x14ac:dyDescent="0.2">
      <c r="B504" s="17"/>
      <c r="C504" s="83"/>
      <c r="D504" s="83" t="s">
        <v>1601</v>
      </c>
      <c r="E504" s="2"/>
      <c r="F504" s="200">
        <v>-0.8</v>
      </c>
      <c r="H504" s="17"/>
    </row>
    <row r="505" spans="2:8" s="16" customFormat="1" ht="16.899999999999999" customHeight="1" x14ac:dyDescent="0.2">
      <c r="B505" s="17"/>
      <c r="C505" s="83"/>
      <c r="D505" s="83" t="s">
        <v>1960</v>
      </c>
      <c r="E505" s="2"/>
      <c r="F505" s="200">
        <v>15.24</v>
      </c>
      <c r="H505" s="17"/>
    </row>
    <row r="506" spans="2:8" s="16" customFormat="1" ht="16.899999999999999" customHeight="1" x14ac:dyDescent="0.2">
      <c r="B506" s="17"/>
      <c r="C506" s="83"/>
      <c r="D506" s="83" t="s">
        <v>1601</v>
      </c>
      <c r="E506" s="2"/>
      <c r="F506" s="200">
        <v>-0.8</v>
      </c>
      <c r="H506" s="17"/>
    </row>
    <row r="507" spans="2:8" s="16" customFormat="1" ht="16.899999999999999" customHeight="1" x14ac:dyDescent="0.2">
      <c r="B507" s="17"/>
      <c r="C507" s="83"/>
      <c r="D507" s="83" t="s">
        <v>1961</v>
      </c>
      <c r="E507" s="2"/>
      <c r="F507" s="200">
        <v>8.66</v>
      </c>
      <c r="H507" s="17"/>
    </row>
    <row r="508" spans="2:8" s="16" customFormat="1" ht="16.899999999999999" customHeight="1" x14ac:dyDescent="0.2">
      <c r="B508" s="17"/>
      <c r="C508" s="83"/>
      <c r="D508" s="83" t="s">
        <v>1838</v>
      </c>
      <c r="E508" s="2"/>
      <c r="F508" s="200">
        <v>-3.8</v>
      </c>
      <c r="H508" s="17"/>
    </row>
    <row r="509" spans="2:8" s="16" customFormat="1" ht="16.899999999999999" customHeight="1" x14ac:dyDescent="0.2">
      <c r="B509" s="17"/>
      <c r="C509" s="83"/>
      <c r="D509" s="83" t="s">
        <v>1962</v>
      </c>
      <c r="E509" s="2"/>
      <c r="F509" s="200">
        <v>15.24</v>
      </c>
      <c r="H509" s="17"/>
    </row>
    <row r="510" spans="2:8" s="16" customFormat="1" ht="16.899999999999999" customHeight="1" x14ac:dyDescent="0.2">
      <c r="B510" s="17"/>
      <c r="C510" s="83"/>
      <c r="D510" s="83" t="s">
        <v>1601</v>
      </c>
      <c r="E510" s="2"/>
      <c r="F510" s="200">
        <v>-0.8</v>
      </c>
      <c r="H510" s="17"/>
    </row>
    <row r="511" spans="2:8" s="16" customFormat="1" ht="16.899999999999999" customHeight="1" x14ac:dyDescent="0.2">
      <c r="B511" s="17"/>
      <c r="C511" s="83"/>
      <c r="D511" s="83" t="s">
        <v>1963</v>
      </c>
      <c r="E511" s="2"/>
      <c r="F511" s="200">
        <v>15.24</v>
      </c>
      <c r="H511" s="17"/>
    </row>
    <row r="512" spans="2:8" s="16" customFormat="1" ht="16.899999999999999" customHeight="1" x14ac:dyDescent="0.2">
      <c r="B512" s="17"/>
      <c r="C512" s="83"/>
      <c r="D512" s="83" t="s">
        <v>1601</v>
      </c>
      <c r="E512" s="2"/>
      <c r="F512" s="200">
        <v>-0.8</v>
      </c>
      <c r="H512" s="17"/>
    </row>
    <row r="513" spans="2:8" s="16" customFormat="1" ht="16.899999999999999" customHeight="1" x14ac:dyDescent="0.2">
      <c r="B513" s="17"/>
      <c r="C513" s="83"/>
      <c r="D513" s="83" t="s">
        <v>1964</v>
      </c>
      <c r="E513" s="2"/>
      <c r="F513" s="200">
        <v>15.06</v>
      </c>
      <c r="H513" s="17"/>
    </row>
    <row r="514" spans="2:8" s="16" customFormat="1" ht="16.899999999999999" customHeight="1" x14ac:dyDescent="0.2">
      <c r="B514" s="17"/>
      <c r="C514" s="83"/>
      <c r="D514" s="83" t="s">
        <v>1838</v>
      </c>
      <c r="E514" s="2"/>
      <c r="F514" s="200">
        <v>-3.8</v>
      </c>
      <c r="H514" s="17"/>
    </row>
    <row r="515" spans="2:8" s="16" customFormat="1" ht="16.899999999999999" customHeight="1" x14ac:dyDescent="0.2">
      <c r="B515" s="17"/>
      <c r="C515" s="83"/>
      <c r="D515" s="83" t="s">
        <v>1965</v>
      </c>
      <c r="E515" s="2"/>
      <c r="F515" s="200">
        <v>15.24</v>
      </c>
      <c r="H515" s="17"/>
    </row>
    <row r="516" spans="2:8" s="16" customFormat="1" ht="16.899999999999999" customHeight="1" x14ac:dyDescent="0.2">
      <c r="B516" s="17"/>
      <c r="C516" s="83"/>
      <c r="D516" s="83" t="s">
        <v>1601</v>
      </c>
      <c r="E516" s="2"/>
      <c r="F516" s="200">
        <v>-0.8</v>
      </c>
      <c r="H516" s="17"/>
    </row>
    <row r="517" spans="2:8" s="16" customFormat="1" ht="16.899999999999999" customHeight="1" x14ac:dyDescent="0.2">
      <c r="B517" s="17"/>
      <c r="C517" s="83"/>
      <c r="D517" s="83" t="s">
        <v>1966</v>
      </c>
      <c r="E517" s="2"/>
      <c r="F517" s="200">
        <v>15.24</v>
      </c>
      <c r="H517" s="17"/>
    </row>
    <row r="518" spans="2:8" s="16" customFormat="1" ht="16.899999999999999" customHeight="1" x14ac:dyDescent="0.2">
      <c r="B518" s="17"/>
      <c r="C518" s="83"/>
      <c r="D518" s="83" t="s">
        <v>1601</v>
      </c>
      <c r="E518" s="2"/>
      <c r="F518" s="200">
        <v>-0.8</v>
      </c>
      <c r="H518" s="17"/>
    </row>
    <row r="519" spans="2:8" s="16" customFormat="1" ht="16.899999999999999" customHeight="1" x14ac:dyDescent="0.2">
      <c r="B519" s="17"/>
      <c r="C519" s="83"/>
      <c r="D519" s="83" t="s">
        <v>1967</v>
      </c>
      <c r="E519" s="2"/>
      <c r="F519" s="200">
        <v>15.351000000000001</v>
      </c>
      <c r="H519" s="17"/>
    </row>
    <row r="520" spans="2:8" s="16" customFormat="1" ht="16.899999999999999" customHeight="1" x14ac:dyDescent="0.2">
      <c r="B520" s="17"/>
      <c r="C520" s="83"/>
      <c r="D520" s="83" t="s">
        <v>1601</v>
      </c>
      <c r="E520" s="2"/>
      <c r="F520" s="200">
        <v>-0.8</v>
      </c>
      <c r="H520" s="17"/>
    </row>
    <row r="521" spans="2:8" s="16" customFormat="1" ht="16.899999999999999" customHeight="1" x14ac:dyDescent="0.2">
      <c r="B521" s="17"/>
      <c r="C521" s="83"/>
      <c r="D521" s="83" t="s">
        <v>1968</v>
      </c>
      <c r="E521" s="2"/>
      <c r="F521" s="200">
        <v>9.41</v>
      </c>
      <c r="H521" s="17"/>
    </row>
    <row r="522" spans="2:8" s="16" customFormat="1" ht="16.899999999999999" customHeight="1" x14ac:dyDescent="0.2">
      <c r="B522" s="17"/>
      <c r="C522" s="83"/>
      <c r="D522" s="83" t="s">
        <v>1838</v>
      </c>
      <c r="E522" s="2"/>
      <c r="F522" s="200">
        <v>-3.8</v>
      </c>
      <c r="H522" s="17"/>
    </row>
    <row r="523" spans="2:8" s="16" customFormat="1" ht="16.899999999999999" customHeight="1" x14ac:dyDescent="0.2">
      <c r="B523" s="17"/>
      <c r="C523" s="83"/>
      <c r="D523" s="83" t="s">
        <v>1969</v>
      </c>
      <c r="E523" s="2"/>
      <c r="F523" s="200">
        <v>15.24</v>
      </c>
      <c r="H523" s="17"/>
    </row>
    <row r="524" spans="2:8" s="16" customFormat="1" ht="16.899999999999999" customHeight="1" x14ac:dyDescent="0.2">
      <c r="B524" s="17"/>
      <c r="C524" s="83"/>
      <c r="D524" s="83" t="s">
        <v>1601</v>
      </c>
      <c r="E524" s="2"/>
      <c r="F524" s="200">
        <v>-0.8</v>
      </c>
      <c r="H524" s="17"/>
    </row>
    <row r="525" spans="2:8" s="16" customFormat="1" ht="16.899999999999999" customHeight="1" x14ac:dyDescent="0.2">
      <c r="B525" s="17"/>
      <c r="C525" s="83"/>
      <c r="D525" s="83" t="s">
        <v>1970</v>
      </c>
      <c r="E525" s="2"/>
      <c r="F525" s="200">
        <v>16.399999999999999</v>
      </c>
      <c r="H525" s="17"/>
    </row>
    <row r="526" spans="2:8" s="16" customFormat="1" ht="16.899999999999999" customHeight="1" x14ac:dyDescent="0.2">
      <c r="B526" s="17"/>
      <c r="C526" s="83"/>
      <c r="D526" s="83" t="s">
        <v>1601</v>
      </c>
      <c r="E526" s="2"/>
      <c r="F526" s="200">
        <v>-0.8</v>
      </c>
      <c r="H526" s="17"/>
    </row>
    <row r="527" spans="2:8" s="16" customFormat="1" ht="16.899999999999999" customHeight="1" x14ac:dyDescent="0.2">
      <c r="B527" s="17"/>
      <c r="C527" s="83"/>
      <c r="D527" s="83" t="s">
        <v>1971</v>
      </c>
      <c r="E527" s="2"/>
      <c r="F527" s="200">
        <v>9.09</v>
      </c>
      <c r="H527" s="17"/>
    </row>
    <row r="528" spans="2:8" s="16" customFormat="1" ht="16.899999999999999" customHeight="1" x14ac:dyDescent="0.2">
      <c r="B528" s="17"/>
      <c r="C528" s="83"/>
      <c r="D528" s="83" t="s">
        <v>1838</v>
      </c>
      <c r="E528" s="2"/>
      <c r="F528" s="200">
        <v>-3.8</v>
      </c>
      <c r="H528" s="17"/>
    </row>
    <row r="529" spans="2:8" s="16" customFormat="1" ht="16.899999999999999" customHeight="1" x14ac:dyDescent="0.2">
      <c r="B529" s="17"/>
      <c r="C529" s="83"/>
      <c r="D529" s="83" t="s">
        <v>1972</v>
      </c>
      <c r="E529" s="2"/>
      <c r="F529" s="200">
        <v>15.5</v>
      </c>
      <c r="H529" s="17"/>
    </row>
    <row r="530" spans="2:8" s="16" customFormat="1" ht="16.899999999999999" customHeight="1" x14ac:dyDescent="0.2">
      <c r="B530" s="17"/>
      <c r="C530" s="83"/>
      <c r="D530" s="83" t="s">
        <v>1601</v>
      </c>
      <c r="E530" s="2"/>
      <c r="F530" s="200">
        <v>-0.8</v>
      </c>
      <c r="H530" s="17"/>
    </row>
    <row r="531" spans="2:8" s="16" customFormat="1" ht="16.899999999999999" customHeight="1" x14ac:dyDescent="0.2">
      <c r="B531" s="17"/>
      <c r="C531" s="83"/>
      <c r="D531" s="83" t="s">
        <v>1973</v>
      </c>
      <c r="E531" s="2"/>
      <c r="F531" s="200">
        <v>15.28</v>
      </c>
      <c r="H531" s="17"/>
    </row>
    <row r="532" spans="2:8" s="16" customFormat="1" ht="16.899999999999999" customHeight="1" x14ac:dyDescent="0.2">
      <c r="B532" s="17"/>
      <c r="C532" s="83"/>
      <c r="D532" s="83" t="s">
        <v>1601</v>
      </c>
      <c r="E532" s="2"/>
      <c r="F532" s="200">
        <v>-0.8</v>
      </c>
      <c r="H532" s="17"/>
    </row>
    <row r="533" spans="2:8" s="16" customFormat="1" ht="16.899999999999999" customHeight="1" x14ac:dyDescent="0.2">
      <c r="B533" s="17"/>
      <c r="C533" s="83" t="s">
        <v>200</v>
      </c>
      <c r="D533" s="83" t="s">
        <v>609</v>
      </c>
      <c r="E533" s="2"/>
      <c r="F533" s="200">
        <v>1688.2670000000001</v>
      </c>
      <c r="H533" s="17"/>
    </row>
    <row r="534" spans="2:8" s="16" customFormat="1" ht="16.899999999999999" customHeight="1" x14ac:dyDescent="0.2">
      <c r="B534" s="17"/>
      <c r="C534" s="201" t="s">
        <v>8859</v>
      </c>
      <c r="H534" s="17"/>
    </row>
    <row r="535" spans="2:8" s="16" customFormat="1" ht="16.899999999999999" customHeight="1" x14ac:dyDescent="0.2">
      <c r="B535" s="17"/>
      <c r="C535" s="83" t="s">
        <v>1824</v>
      </c>
      <c r="D535" s="83" t="s">
        <v>1825</v>
      </c>
      <c r="E535" s="2" t="s">
        <v>724</v>
      </c>
      <c r="F535" s="200">
        <v>1873.78700000001</v>
      </c>
      <c r="H535" s="17"/>
    </row>
    <row r="536" spans="2:8" s="16" customFormat="1" ht="16.899999999999999" customHeight="1" x14ac:dyDescent="0.2">
      <c r="B536" s="17"/>
      <c r="C536" s="83" t="s">
        <v>1803</v>
      </c>
      <c r="D536" s="83" t="s">
        <v>1804</v>
      </c>
      <c r="E536" s="2" t="s">
        <v>425</v>
      </c>
      <c r="F536" s="200">
        <v>1959.8789999999999</v>
      </c>
      <c r="H536" s="17"/>
    </row>
    <row r="537" spans="2:8" s="16" customFormat="1" ht="16.899999999999999" customHeight="1" x14ac:dyDescent="0.2">
      <c r="B537" s="17"/>
      <c r="C537" s="83" t="s">
        <v>1979</v>
      </c>
      <c r="D537" s="83" t="s">
        <v>1980</v>
      </c>
      <c r="E537" s="2" t="s">
        <v>724</v>
      </c>
      <c r="F537" s="200">
        <v>1873.787</v>
      </c>
      <c r="H537" s="17"/>
    </row>
    <row r="538" spans="2:8" s="16" customFormat="1" ht="22.5" x14ac:dyDescent="0.2">
      <c r="B538" s="17"/>
      <c r="C538" s="83" t="s">
        <v>1820</v>
      </c>
      <c r="D538" s="83" t="s">
        <v>1821</v>
      </c>
      <c r="E538" s="2" t="s">
        <v>425</v>
      </c>
      <c r="F538" s="200">
        <v>1811.3689999999999</v>
      </c>
      <c r="H538" s="17"/>
    </row>
    <row r="539" spans="2:8" s="16" customFormat="1" ht="16.899999999999999" customHeight="1" x14ac:dyDescent="0.2">
      <c r="B539" s="17"/>
      <c r="C539" s="196" t="s">
        <v>202</v>
      </c>
      <c r="D539" s="197"/>
      <c r="E539" s="198"/>
      <c r="F539" s="199">
        <v>211.74</v>
      </c>
      <c r="H539" s="17"/>
    </row>
    <row r="540" spans="2:8" s="16" customFormat="1" ht="16.899999999999999" customHeight="1" x14ac:dyDescent="0.2">
      <c r="B540" s="17"/>
      <c r="C540" s="83"/>
      <c r="D540" s="83" t="s">
        <v>1068</v>
      </c>
      <c r="E540" s="2"/>
      <c r="F540" s="200">
        <v>0</v>
      </c>
      <c r="H540" s="17"/>
    </row>
    <row r="541" spans="2:8" s="16" customFormat="1" ht="16.899999999999999" customHeight="1" x14ac:dyDescent="0.2">
      <c r="B541" s="17"/>
      <c r="C541" s="83"/>
      <c r="D541" s="83" t="s">
        <v>357</v>
      </c>
      <c r="E541" s="2"/>
      <c r="F541" s="200">
        <v>0</v>
      </c>
      <c r="H541" s="17"/>
    </row>
    <row r="542" spans="2:8" s="16" customFormat="1" ht="16.899999999999999" customHeight="1" x14ac:dyDescent="0.2">
      <c r="B542" s="17"/>
      <c r="C542" s="83"/>
      <c r="D542" s="83" t="s">
        <v>1176</v>
      </c>
      <c r="E542" s="2"/>
      <c r="F542" s="200">
        <v>30.4</v>
      </c>
      <c r="H542" s="17"/>
    </row>
    <row r="543" spans="2:8" s="16" customFormat="1" ht="16.899999999999999" customHeight="1" x14ac:dyDescent="0.2">
      <c r="B543" s="17"/>
      <c r="C543" s="83"/>
      <c r="D543" s="83" t="s">
        <v>362</v>
      </c>
      <c r="E543" s="2"/>
      <c r="F543" s="200">
        <v>0</v>
      </c>
      <c r="H543" s="17"/>
    </row>
    <row r="544" spans="2:8" s="16" customFormat="1" ht="16.899999999999999" customHeight="1" x14ac:dyDescent="0.2">
      <c r="B544" s="17"/>
      <c r="C544" s="83"/>
      <c r="D544" s="83" t="s">
        <v>1177</v>
      </c>
      <c r="E544" s="2"/>
      <c r="F544" s="200">
        <v>27.06</v>
      </c>
      <c r="H544" s="17"/>
    </row>
    <row r="545" spans="2:8" s="16" customFormat="1" ht="16.899999999999999" customHeight="1" x14ac:dyDescent="0.2">
      <c r="B545" s="17"/>
      <c r="C545" s="83"/>
      <c r="D545" s="83" t="s">
        <v>367</v>
      </c>
      <c r="E545" s="2"/>
      <c r="F545" s="200">
        <v>0</v>
      </c>
      <c r="H545" s="17"/>
    </row>
    <row r="546" spans="2:8" s="16" customFormat="1" ht="16.899999999999999" customHeight="1" x14ac:dyDescent="0.2">
      <c r="B546" s="17"/>
      <c r="C546" s="83"/>
      <c r="D546" s="83" t="s">
        <v>1178</v>
      </c>
      <c r="E546" s="2"/>
      <c r="F546" s="200">
        <v>39.770000000000003</v>
      </c>
      <c r="H546" s="17"/>
    </row>
    <row r="547" spans="2:8" s="16" customFormat="1" ht="16.899999999999999" customHeight="1" x14ac:dyDescent="0.2">
      <c r="B547" s="17"/>
      <c r="C547" s="83"/>
      <c r="D547" s="83" t="s">
        <v>368</v>
      </c>
      <c r="E547" s="2"/>
      <c r="F547" s="200">
        <v>0</v>
      </c>
      <c r="H547" s="17"/>
    </row>
    <row r="548" spans="2:8" s="16" customFormat="1" ht="16.899999999999999" customHeight="1" x14ac:dyDescent="0.2">
      <c r="B548" s="17"/>
      <c r="C548" s="83"/>
      <c r="D548" s="83" t="s">
        <v>1179</v>
      </c>
      <c r="E548" s="2"/>
      <c r="F548" s="200">
        <v>46.35</v>
      </c>
      <c r="H548" s="17"/>
    </row>
    <row r="549" spans="2:8" s="16" customFormat="1" ht="16.899999999999999" customHeight="1" x14ac:dyDescent="0.2">
      <c r="B549" s="17"/>
      <c r="C549" s="83"/>
      <c r="D549" s="83" t="s">
        <v>370</v>
      </c>
      <c r="E549" s="2"/>
      <c r="F549" s="200">
        <v>0</v>
      </c>
      <c r="H549" s="17"/>
    </row>
    <row r="550" spans="2:8" s="16" customFormat="1" ht="16.899999999999999" customHeight="1" x14ac:dyDescent="0.2">
      <c r="B550" s="17"/>
      <c r="C550" s="83"/>
      <c r="D550" s="83" t="s">
        <v>1180</v>
      </c>
      <c r="E550" s="2"/>
      <c r="F550" s="200">
        <v>42.46</v>
      </c>
      <c r="H550" s="17"/>
    </row>
    <row r="551" spans="2:8" s="16" customFormat="1" ht="16.899999999999999" customHeight="1" x14ac:dyDescent="0.2">
      <c r="B551" s="17"/>
      <c r="C551" s="83"/>
      <c r="D551" s="83" t="s">
        <v>434</v>
      </c>
      <c r="E551" s="2"/>
      <c r="F551" s="200">
        <v>0</v>
      </c>
      <c r="H551" s="17"/>
    </row>
    <row r="552" spans="2:8" s="16" customFormat="1" ht="16.899999999999999" customHeight="1" x14ac:dyDescent="0.2">
      <c r="B552" s="17"/>
      <c r="C552" s="83"/>
      <c r="D552" s="83" t="s">
        <v>1181</v>
      </c>
      <c r="E552" s="2"/>
      <c r="F552" s="200">
        <v>25.7</v>
      </c>
      <c r="H552" s="17"/>
    </row>
    <row r="553" spans="2:8" s="16" customFormat="1" ht="16.899999999999999" customHeight="1" x14ac:dyDescent="0.2">
      <c r="B553" s="17"/>
      <c r="C553" s="83" t="s">
        <v>202</v>
      </c>
      <c r="D553" s="83" t="s">
        <v>609</v>
      </c>
      <c r="E553" s="2"/>
      <c r="F553" s="200">
        <v>211.74</v>
      </c>
      <c r="H553" s="17"/>
    </row>
    <row r="554" spans="2:8" s="16" customFormat="1" ht="16.899999999999999" customHeight="1" x14ac:dyDescent="0.2">
      <c r="B554" s="17"/>
      <c r="C554" s="201" t="s">
        <v>8859</v>
      </c>
      <c r="H554" s="17"/>
    </row>
    <row r="555" spans="2:8" s="16" customFormat="1" ht="16.899999999999999" customHeight="1" x14ac:dyDescent="0.2">
      <c r="B555" s="17"/>
      <c r="C555" s="83" t="s">
        <v>1173</v>
      </c>
      <c r="D555" s="83" t="s">
        <v>1174</v>
      </c>
      <c r="E555" s="2" t="s">
        <v>425</v>
      </c>
      <c r="F555" s="200">
        <v>211.74</v>
      </c>
      <c r="H555" s="17"/>
    </row>
    <row r="556" spans="2:8" s="16" customFormat="1" ht="16.899999999999999" customHeight="1" x14ac:dyDescent="0.2">
      <c r="B556" s="17"/>
      <c r="C556" s="83" t="s">
        <v>2338</v>
      </c>
      <c r="D556" s="83" t="s">
        <v>2339</v>
      </c>
      <c r="E556" s="2" t="s">
        <v>425</v>
      </c>
      <c r="F556" s="200">
        <v>3648.8159999999998</v>
      </c>
      <c r="H556" s="17"/>
    </row>
    <row r="557" spans="2:8" s="16" customFormat="1" ht="16.899999999999999" customHeight="1" x14ac:dyDescent="0.2">
      <c r="B557" s="17"/>
      <c r="C557" s="196" t="s">
        <v>204</v>
      </c>
      <c r="D557" s="197"/>
      <c r="E557" s="198"/>
      <c r="F557" s="199">
        <v>1771.54</v>
      </c>
      <c r="H557" s="17"/>
    </row>
    <row r="558" spans="2:8" s="16" customFormat="1" ht="16.899999999999999" customHeight="1" x14ac:dyDescent="0.2">
      <c r="B558" s="17"/>
      <c r="C558" s="83"/>
      <c r="D558" s="83" t="s">
        <v>1068</v>
      </c>
      <c r="E558" s="2"/>
      <c r="F558" s="200">
        <v>0</v>
      </c>
      <c r="H558" s="17"/>
    </row>
    <row r="559" spans="2:8" s="16" customFormat="1" ht="16.899999999999999" customHeight="1" x14ac:dyDescent="0.2">
      <c r="B559" s="17"/>
      <c r="C559" s="83"/>
      <c r="D559" s="83" t="s">
        <v>357</v>
      </c>
      <c r="E559" s="2"/>
      <c r="F559" s="200">
        <v>0</v>
      </c>
      <c r="H559" s="17"/>
    </row>
    <row r="560" spans="2:8" s="16" customFormat="1" ht="16.899999999999999" customHeight="1" x14ac:dyDescent="0.2">
      <c r="B560" s="17"/>
      <c r="C560" s="83"/>
      <c r="D560" s="83" t="s">
        <v>1160</v>
      </c>
      <c r="E560" s="2"/>
      <c r="F560" s="200">
        <v>136.69999999999999</v>
      </c>
      <c r="H560" s="17"/>
    </row>
    <row r="561" spans="2:8" s="16" customFormat="1" ht="16.899999999999999" customHeight="1" x14ac:dyDescent="0.2">
      <c r="B561" s="17"/>
      <c r="C561" s="83"/>
      <c r="D561" s="83" t="s">
        <v>362</v>
      </c>
      <c r="E561" s="2"/>
      <c r="F561" s="200">
        <v>0</v>
      </c>
      <c r="H561" s="17"/>
    </row>
    <row r="562" spans="2:8" s="16" customFormat="1" ht="16.899999999999999" customHeight="1" x14ac:dyDescent="0.2">
      <c r="B562" s="17"/>
      <c r="C562" s="83"/>
      <c r="D562" s="83" t="s">
        <v>1161</v>
      </c>
      <c r="E562" s="2"/>
      <c r="F562" s="200">
        <v>244.97</v>
      </c>
      <c r="H562" s="17"/>
    </row>
    <row r="563" spans="2:8" s="16" customFormat="1" ht="16.899999999999999" customHeight="1" x14ac:dyDescent="0.2">
      <c r="B563" s="17"/>
      <c r="C563" s="83"/>
      <c r="D563" s="83" t="s">
        <v>367</v>
      </c>
      <c r="E563" s="2"/>
      <c r="F563" s="200">
        <v>0</v>
      </c>
      <c r="H563" s="17"/>
    </row>
    <row r="564" spans="2:8" s="16" customFormat="1" ht="16.899999999999999" customHeight="1" x14ac:dyDescent="0.2">
      <c r="B564" s="17"/>
      <c r="C564" s="83"/>
      <c r="D564" s="83" t="s">
        <v>1162</v>
      </c>
      <c r="E564" s="2"/>
      <c r="F564" s="200">
        <v>333.5</v>
      </c>
      <c r="H564" s="17"/>
    </row>
    <row r="565" spans="2:8" s="16" customFormat="1" ht="16.899999999999999" customHeight="1" x14ac:dyDescent="0.2">
      <c r="B565" s="17"/>
      <c r="C565" s="83"/>
      <c r="D565" s="83" t="s">
        <v>368</v>
      </c>
      <c r="E565" s="2"/>
      <c r="F565" s="200">
        <v>0</v>
      </c>
      <c r="H565" s="17"/>
    </row>
    <row r="566" spans="2:8" s="16" customFormat="1" ht="16.899999999999999" customHeight="1" x14ac:dyDescent="0.2">
      <c r="B566" s="17"/>
      <c r="C566" s="83"/>
      <c r="D566" s="83" t="s">
        <v>1163</v>
      </c>
      <c r="E566" s="2"/>
      <c r="F566" s="200">
        <v>398.61</v>
      </c>
      <c r="H566" s="17"/>
    </row>
    <row r="567" spans="2:8" s="16" customFormat="1" ht="16.899999999999999" customHeight="1" x14ac:dyDescent="0.2">
      <c r="B567" s="17"/>
      <c r="C567" s="83"/>
      <c r="D567" s="83" t="s">
        <v>370</v>
      </c>
      <c r="E567" s="2"/>
      <c r="F567" s="200">
        <v>0</v>
      </c>
      <c r="H567" s="17"/>
    </row>
    <row r="568" spans="2:8" s="16" customFormat="1" ht="16.899999999999999" customHeight="1" x14ac:dyDescent="0.2">
      <c r="B568" s="17"/>
      <c r="C568" s="83"/>
      <c r="D568" s="83" t="s">
        <v>1164</v>
      </c>
      <c r="E568" s="2"/>
      <c r="F568" s="200">
        <v>400.69</v>
      </c>
      <c r="H568" s="17"/>
    </row>
    <row r="569" spans="2:8" s="16" customFormat="1" ht="16.899999999999999" customHeight="1" x14ac:dyDescent="0.2">
      <c r="B569" s="17"/>
      <c r="C569" s="83"/>
      <c r="D569" s="83" t="s">
        <v>434</v>
      </c>
      <c r="E569" s="2"/>
      <c r="F569" s="200">
        <v>0</v>
      </c>
      <c r="H569" s="17"/>
    </row>
    <row r="570" spans="2:8" s="16" customFormat="1" ht="16.899999999999999" customHeight="1" x14ac:dyDescent="0.2">
      <c r="B570" s="17"/>
      <c r="C570" s="83"/>
      <c r="D570" s="83" t="s">
        <v>1165</v>
      </c>
      <c r="E570" s="2"/>
      <c r="F570" s="200">
        <v>257.07</v>
      </c>
      <c r="H570" s="17"/>
    </row>
    <row r="571" spans="2:8" s="16" customFormat="1" ht="16.899999999999999" customHeight="1" x14ac:dyDescent="0.2">
      <c r="B571" s="17"/>
      <c r="C571" s="83" t="s">
        <v>204</v>
      </c>
      <c r="D571" s="83" t="s">
        <v>609</v>
      </c>
      <c r="E571" s="2"/>
      <c r="F571" s="200">
        <v>1771.54</v>
      </c>
      <c r="H571" s="17"/>
    </row>
    <row r="572" spans="2:8" s="16" customFormat="1" ht="16.899999999999999" customHeight="1" x14ac:dyDescent="0.2">
      <c r="B572" s="17"/>
      <c r="C572" s="201" t="s">
        <v>8859</v>
      </c>
      <c r="H572" s="17"/>
    </row>
    <row r="573" spans="2:8" s="16" customFormat="1" ht="16.899999999999999" customHeight="1" x14ac:dyDescent="0.2">
      <c r="B573" s="17"/>
      <c r="C573" s="83" t="s">
        <v>1157</v>
      </c>
      <c r="D573" s="83" t="s">
        <v>1158</v>
      </c>
      <c r="E573" s="2" t="s">
        <v>425</v>
      </c>
      <c r="F573" s="200">
        <v>1771.54</v>
      </c>
      <c r="H573" s="17"/>
    </row>
    <row r="574" spans="2:8" s="16" customFormat="1" ht="16.899999999999999" customHeight="1" x14ac:dyDescent="0.2">
      <c r="B574" s="17"/>
      <c r="C574" s="83" t="s">
        <v>2338</v>
      </c>
      <c r="D574" s="83" t="s">
        <v>2339</v>
      </c>
      <c r="E574" s="2" t="s">
        <v>425</v>
      </c>
      <c r="F574" s="200">
        <v>3648.8159999999998</v>
      </c>
      <c r="H574" s="17"/>
    </row>
    <row r="575" spans="2:8" s="16" customFormat="1" ht="16.899999999999999" customHeight="1" x14ac:dyDescent="0.2">
      <c r="B575" s="17"/>
      <c r="C575" s="196" t="s">
        <v>206</v>
      </c>
      <c r="D575" s="197"/>
      <c r="E575" s="198"/>
      <c r="F575" s="199">
        <v>420.61</v>
      </c>
      <c r="H575" s="17"/>
    </row>
    <row r="576" spans="2:8" s="16" customFormat="1" ht="16.899999999999999" customHeight="1" x14ac:dyDescent="0.2">
      <c r="B576" s="17"/>
      <c r="C576" s="83"/>
      <c r="D576" s="83" t="s">
        <v>1084</v>
      </c>
      <c r="E576" s="2"/>
      <c r="F576" s="200">
        <v>0</v>
      </c>
      <c r="H576" s="17"/>
    </row>
    <row r="577" spans="2:8" s="16" customFormat="1" ht="16.899999999999999" customHeight="1" x14ac:dyDescent="0.2">
      <c r="B577" s="17"/>
      <c r="C577" s="83"/>
      <c r="D577" s="83" t="s">
        <v>1068</v>
      </c>
      <c r="E577" s="2"/>
      <c r="F577" s="200">
        <v>0</v>
      </c>
      <c r="H577" s="17"/>
    </row>
    <row r="578" spans="2:8" s="16" customFormat="1" ht="16.899999999999999" customHeight="1" x14ac:dyDescent="0.2">
      <c r="B578" s="17"/>
      <c r="C578" s="83"/>
      <c r="D578" s="83" t="s">
        <v>477</v>
      </c>
      <c r="E578" s="2"/>
      <c r="F578" s="200">
        <v>0</v>
      </c>
      <c r="H578" s="17"/>
    </row>
    <row r="579" spans="2:8" s="16" customFormat="1" ht="16.899999999999999" customHeight="1" x14ac:dyDescent="0.2">
      <c r="B579" s="17"/>
      <c r="C579" s="83"/>
      <c r="D579" s="83" t="s">
        <v>1085</v>
      </c>
      <c r="E579" s="2"/>
      <c r="F579" s="200">
        <v>6.5</v>
      </c>
      <c r="H579" s="17"/>
    </row>
    <row r="580" spans="2:8" s="16" customFormat="1" ht="16.899999999999999" customHeight="1" x14ac:dyDescent="0.2">
      <c r="B580" s="17"/>
      <c r="C580" s="83"/>
      <c r="D580" s="83" t="s">
        <v>357</v>
      </c>
      <c r="E580" s="2"/>
      <c r="F580" s="200">
        <v>0</v>
      </c>
      <c r="H580" s="17"/>
    </row>
    <row r="581" spans="2:8" s="16" customFormat="1" ht="16.899999999999999" customHeight="1" x14ac:dyDescent="0.2">
      <c r="B581" s="17"/>
      <c r="C581" s="83"/>
      <c r="D581" s="83" t="s">
        <v>1086</v>
      </c>
      <c r="E581" s="2"/>
      <c r="F581" s="200">
        <v>414.11</v>
      </c>
      <c r="H581" s="17"/>
    </row>
    <row r="582" spans="2:8" s="16" customFormat="1" ht="16.899999999999999" customHeight="1" x14ac:dyDescent="0.2">
      <c r="B582" s="17"/>
      <c r="C582" s="83"/>
      <c r="D582" s="83" t="s">
        <v>1087</v>
      </c>
      <c r="E582" s="2"/>
      <c r="F582" s="200">
        <v>0</v>
      </c>
      <c r="H582" s="17"/>
    </row>
    <row r="583" spans="2:8" s="16" customFormat="1" ht="16.899999999999999" customHeight="1" x14ac:dyDescent="0.2">
      <c r="B583" s="17"/>
      <c r="C583" s="83"/>
      <c r="D583" s="83" t="s">
        <v>80</v>
      </c>
      <c r="E583" s="2"/>
      <c r="F583" s="200">
        <v>0</v>
      </c>
      <c r="H583" s="17"/>
    </row>
    <row r="584" spans="2:8" s="16" customFormat="1" ht="16.899999999999999" customHeight="1" x14ac:dyDescent="0.2">
      <c r="B584" s="17"/>
      <c r="C584" s="83" t="s">
        <v>206</v>
      </c>
      <c r="D584" s="83" t="s">
        <v>609</v>
      </c>
      <c r="E584" s="2"/>
      <c r="F584" s="200">
        <v>420.61</v>
      </c>
      <c r="H584" s="17"/>
    </row>
    <row r="585" spans="2:8" s="16" customFormat="1" ht="16.899999999999999" customHeight="1" x14ac:dyDescent="0.2">
      <c r="B585" s="17"/>
      <c r="C585" s="201" t="s">
        <v>8859</v>
      </c>
      <c r="H585" s="17"/>
    </row>
    <row r="586" spans="2:8" s="16" customFormat="1" ht="16.899999999999999" customHeight="1" x14ac:dyDescent="0.2">
      <c r="B586" s="17"/>
      <c r="C586" s="83" t="s">
        <v>1081</v>
      </c>
      <c r="D586" s="83" t="s">
        <v>1082</v>
      </c>
      <c r="E586" s="2" t="s">
        <v>425</v>
      </c>
      <c r="F586" s="200">
        <v>420.61</v>
      </c>
      <c r="H586" s="17"/>
    </row>
    <row r="587" spans="2:8" s="16" customFormat="1" ht="16.899999999999999" customHeight="1" x14ac:dyDescent="0.2">
      <c r="B587" s="17"/>
      <c r="C587" s="83" t="s">
        <v>1088</v>
      </c>
      <c r="D587" s="83" t="s">
        <v>1089</v>
      </c>
      <c r="E587" s="2" t="s">
        <v>425</v>
      </c>
      <c r="F587" s="200">
        <v>682.03800000000001</v>
      </c>
      <c r="H587" s="17"/>
    </row>
    <row r="588" spans="2:8" s="16" customFormat="1" ht="16.899999999999999" customHeight="1" x14ac:dyDescent="0.2">
      <c r="B588" s="17"/>
      <c r="C588" s="196" t="s">
        <v>208</v>
      </c>
      <c r="D588" s="197"/>
      <c r="E588" s="198"/>
      <c r="F588" s="199">
        <v>228.95</v>
      </c>
      <c r="H588" s="17"/>
    </row>
    <row r="589" spans="2:8" s="16" customFormat="1" ht="16.899999999999999" customHeight="1" x14ac:dyDescent="0.2">
      <c r="B589" s="17"/>
      <c r="C589" s="83"/>
      <c r="D589" s="83" t="s">
        <v>1067</v>
      </c>
      <c r="E589" s="2"/>
      <c r="F589" s="200">
        <v>0</v>
      </c>
      <c r="H589" s="17"/>
    </row>
    <row r="590" spans="2:8" s="16" customFormat="1" ht="16.899999999999999" customHeight="1" x14ac:dyDescent="0.2">
      <c r="B590" s="17"/>
      <c r="C590" s="83"/>
      <c r="D590" s="83" t="s">
        <v>1068</v>
      </c>
      <c r="E590" s="2"/>
      <c r="F590" s="200">
        <v>0</v>
      </c>
      <c r="H590" s="17"/>
    </row>
    <row r="591" spans="2:8" s="16" customFormat="1" ht="16.899999999999999" customHeight="1" x14ac:dyDescent="0.2">
      <c r="B591" s="17"/>
      <c r="C591" s="83"/>
      <c r="D591" s="83" t="s">
        <v>362</v>
      </c>
      <c r="E591" s="2"/>
      <c r="F591" s="200">
        <v>0</v>
      </c>
      <c r="H591" s="17"/>
    </row>
    <row r="592" spans="2:8" s="16" customFormat="1" ht="16.899999999999999" customHeight="1" x14ac:dyDescent="0.2">
      <c r="B592" s="17"/>
      <c r="C592" s="83"/>
      <c r="D592" s="83" t="s">
        <v>1069</v>
      </c>
      <c r="E592" s="2"/>
      <c r="F592" s="200">
        <v>26.43</v>
      </c>
      <c r="H592" s="17"/>
    </row>
    <row r="593" spans="2:8" s="16" customFormat="1" ht="16.899999999999999" customHeight="1" x14ac:dyDescent="0.2">
      <c r="B593" s="17"/>
      <c r="C593" s="83"/>
      <c r="D593" s="83" t="s">
        <v>367</v>
      </c>
      <c r="E593" s="2"/>
      <c r="F593" s="200">
        <v>0</v>
      </c>
      <c r="H593" s="17"/>
    </row>
    <row r="594" spans="2:8" s="16" customFormat="1" ht="16.899999999999999" customHeight="1" x14ac:dyDescent="0.2">
      <c r="B594" s="17"/>
      <c r="C594" s="83"/>
      <c r="D594" s="83" t="s">
        <v>1070</v>
      </c>
      <c r="E594" s="2"/>
      <c r="F594" s="200">
        <v>25.41</v>
      </c>
      <c r="H594" s="17"/>
    </row>
    <row r="595" spans="2:8" s="16" customFormat="1" ht="16.899999999999999" customHeight="1" x14ac:dyDescent="0.2">
      <c r="B595" s="17"/>
      <c r="C595" s="83"/>
      <c r="D595" s="83" t="s">
        <v>368</v>
      </c>
      <c r="E595" s="2"/>
      <c r="F595" s="200">
        <v>0</v>
      </c>
      <c r="H595" s="17"/>
    </row>
    <row r="596" spans="2:8" s="16" customFormat="1" ht="16.899999999999999" customHeight="1" x14ac:dyDescent="0.2">
      <c r="B596" s="17"/>
      <c r="C596" s="83"/>
      <c r="D596" s="83" t="s">
        <v>1070</v>
      </c>
      <c r="E596" s="2"/>
      <c r="F596" s="200">
        <v>25.41</v>
      </c>
      <c r="H596" s="17"/>
    </row>
    <row r="597" spans="2:8" s="16" customFormat="1" ht="16.899999999999999" customHeight="1" x14ac:dyDescent="0.2">
      <c r="B597" s="17"/>
      <c r="C597" s="83"/>
      <c r="D597" s="83" t="s">
        <v>370</v>
      </c>
      <c r="E597" s="2"/>
      <c r="F597" s="200">
        <v>0</v>
      </c>
      <c r="H597" s="17"/>
    </row>
    <row r="598" spans="2:8" s="16" customFormat="1" ht="16.899999999999999" customHeight="1" x14ac:dyDescent="0.2">
      <c r="B598" s="17"/>
      <c r="C598" s="83"/>
      <c r="D598" s="83" t="s">
        <v>1071</v>
      </c>
      <c r="E598" s="2"/>
      <c r="F598" s="200">
        <v>26</v>
      </c>
      <c r="H598" s="17"/>
    </row>
    <row r="599" spans="2:8" s="16" customFormat="1" ht="16.899999999999999" customHeight="1" x14ac:dyDescent="0.2">
      <c r="B599" s="17"/>
      <c r="C599" s="83"/>
      <c r="D599" s="83"/>
      <c r="E599" s="2"/>
      <c r="F599" s="200">
        <v>0</v>
      </c>
      <c r="H599" s="17"/>
    </row>
    <row r="600" spans="2:8" s="16" customFormat="1" ht="16.899999999999999" customHeight="1" x14ac:dyDescent="0.2">
      <c r="B600" s="17"/>
      <c r="C600" s="83"/>
      <c r="D600" s="83" t="s">
        <v>1072</v>
      </c>
      <c r="E600" s="2"/>
      <c r="F600" s="200">
        <v>0</v>
      </c>
      <c r="H600" s="17"/>
    </row>
    <row r="601" spans="2:8" s="16" customFormat="1" ht="16.899999999999999" customHeight="1" x14ac:dyDescent="0.2">
      <c r="B601" s="17"/>
      <c r="C601" s="83"/>
      <c r="D601" s="83" t="s">
        <v>362</v>
      </c>
      <c r="E601" s="2"/>
      <c r="F601" s="200">
        <v>0</v>
      </c>
      <c r="H601" s="17"/>
    </row>
    <row r="602" spans="2:8" s="16" customFormat="1" ht="16.899999999999999" customHeight="1" x14ac:dyDescent="0.2">
      <c r="B602" s="17"/>
      <c r="C602" s="83"/>
      <c r="D602" s="83" t="s">
        <v>1073</v>
      </c>
      <c r="E602" s="2"/>
      <c r="F602" s="200">
        <v>4.625</v>
      </c>
      <c r="H602" s="17"/>
    </row>
    <row r="603" spans="2:8" s="16" customFormat="1" ht="16.899999999999999" customHeight="1" x14ac:dyDescent="0.2">
      <c r="B603" s="17"/>
      <c r="C603" s="83"/>
      <c r="D603" s="83" t="s">
        <v>1074</v>
      </c>
      <c r="E603" s="2"/>
      <c r="F603" s="200">
        <v>16.8</v>
      </c>
      <c r="H603" s="17"/>
    </row>
    <row r="604" spans="2:8" s="16" customFormat="1" ht="16.899999999999999" customHeight="1" x14ac:dyDescent="0.2">
      <c r="B604" s="17"/>
      <c r="C604" s="83"/>
      <c r="D604" s="83" t="s">
        <v>1075</v>
      </c>
      <c r="E604" s="2"/>
      <c r="F604" s="200">
        <v>10</v>
      </c>
      <c r="H604" s="17"/>
    </row>
    <row r="605" spans="2:8" s="16" customFormat="1" ht="16.899999999999999" customHeight="1" x14ac:dyDescent="0.2">
      <c r="B605" s="17"/>
      <c r="C605" s="83"/>
      <c r="D605" s="83" t="s">
        <v>1076</v>
      </c>
      <c r="E605" s="2"/>
      <c r="F605" s="200">
        <v>0</v>
      </c>
      <c r="H605" s="17"/>
    </row>
    <row r="606" spans="2:8" s="16" customFormat="1" ht="16.899999999999999" customHeight="1" x14ac:dyDescent="0.2">
      <c r="B606" s="17"/>
      <c r="C606" s="83"/>
      <c r="D606" s="83" t="s">
        <v>1077</v>
      </c>
      <c r="E606" s="2"/>
      <c r="F606" s="200">
        <v>13.875</v>
      </c>
      <c r="H606" s="17"/>
    </row>
    <row r="607" spans="2:8" s="16" customFormat="1" ht="16.899999999999999" customHeight="1" x14ac:dyDescent="0.2">
      <c r="B607" s="17"/>
      <c r="C607" s="83"/>
      <c r="D607" s="83" t="s">
        <v>1078</v>
      </c>
      <c r="E607" s="2"/>
      <c r="F607" s="200">
        <v>50.4</v>
      </c>
      <c r="H607" s="17"/>
    </row>
    <row r="608" spans="2:8" s="16" customFormat="1" ht="16.899999999999999" customHeight="1" x14ac:dyDescent="0.2">
      <c r="B608" s="17"/>
      <c r="C608" s="83"/>
      <c r="D608" s="83" t="s">
        <v>1079</v>
      </c>
      <c r="E608" s="2"/>
      <c r="F608" s="200">
        <v>30</v>
      </c>
      <c r="H608" s="17"/>
    </row>
    <row r="609" spans="2:8" s="16" customFormat="1" ht="16.899999999999999" customHeight="1" x14ac:dyDescent="0.2">
      <c r="B609" s="17"/>
      <c r="C609" s="83" t="s">
        <v>208</v>
      </c>
      <c r="D609" s="83" t="s">
        <v>609</v>
      </c>
      <c r="E609" s="2"/>
      <c r="F609" s="200">
        <v>228.95</v>
      </c>
      <c r="H609" s="17"/>
    </row>
    <row r="610" spans="2:8" s="16" customFormat="1" ht="16.899999999999999" customHeight="1" x14ac:dyDescent="0.2">
      <c r="B610" s="17"/>
      <c r="C610" s="201" t="s">
        <v>8859</v>
      </c>
      <c r="H610" s="17"/>
    </row>
    <row r="611" spans="2:8" s="16" customFormat="1" ht="16.899999999999999" customHeight="1" x14ac:dyDescent="0.2">
      <c r="B611" s="17"/>
      <c r="C611" s="83" t="s">
        <v>1064</v>
      </c>
      <c r="D611" s="83" t="s">
        <v>1065</v>
      </c>
      <c r="E611" s="2" t="s">
        <v>425</v>
      </c>
      <c r="F611" s="200">
        <v>228.95</v>
      </c>
      <c r="H611" s="17"/>
    </row>
    <row r="612" spans="2:8" s="16" customFormat="1" ht="16.899999999999999" customHeight="1" x14ac:dyDescent="0.2">
      <c r="B612" s="17"/>
      <c r="C612" s="83" t="s">
        <v>1088</v>
      </c>
      <c r="D612" s="83" t="s">
        <v>1089</v>
      </c>
      <c r="E612" s="2" t="s">
        <v>425</v>
      </c>
      <c r="F612" s="200">
        <v>682.03800000000001</v>
      </c>
      <c r="H612" s="17"/>
    </row>
    <row r="613" spans="2:8" s="16" customFormat="1" ht="16.899999999999999" customHeight="1" x14ac:dyDescent="0.2">
      <c r="B613" s="17"/>
      <c r="C613" s="196" t="s">
        <v>210</v>
      </c>
      <c r="D613" s="197"/>
      <c r="E613" s="198"/>
      <c r="F613" s="199">
        <v>651.25</v>
      </c>
      <c r="H613" s="17"/>
    </row>
    <row r="614" spans="2:8" s="16" customFormat="1" ht="16.899999999999999" customHeight="1" x14ac:dyDescent="0.2">
      <c r="B614" s="17"/>
      <c r="C614" s="83"/>
      <c r="D614" s="83" t="s">
        <v>1068</v>
      </c>
      <c r="E614" s="2"/>
      <c r="F614" s="200">
        <v>0</v>
      </c>
      <c r="H614" s="17"/>
    </row>
    <row r="615" spans="2:8" s="16" customFormat="1" ht="16.899999999999999" customHeight="1" x14ac:dyDescent="0.2">
      <c r="B615" s="17"/>
      <c r="C615" s="83"/>
      <c r="D615" s="83" t="s">
        <v>362</v>
      </c>
      <c r="E615" s="2"/>
      <c r="F615" s="200">
        <v>0</v>
      </c>
      <c r="H615" s="17"/>
    </row>
    <row r="616" spans="2:8" s="16" customFormat="1" ht="16.899999999999999" customHeight="1" x14ac:dyDescent="0.2">
      <c r="B616" s="17"/>
      <c r="C616" s="83"/>
      <c r="D616" s="83" t="s">
        <v>1503</v>
      </c>
      <c r="E616" s="2"/>
      <c r="F616" s="200">
        <v>320.64</v>
      </c>
      <c r="H616" s="17"/>
    </row>
    <row r="617" spans="2:8" s="16" customFormat="1" ht="16.899999999999999" customHeight="1" x14ac:dyDescent="0.2">
      <c r="B617" s="17"/>
      <c r="C617" s="83"/>
      <c r="D617" s="83" t="s">
        <v>367</v>
      </c>
      <c r="E617" s="2"/>
      <c r="F617" s="200">
        <v>0</v>
      </c>
      <c r="H617" s="17"/>
    </row>
    <row r="618" spans="2:8" s="16" customFormat="1" ht="16.899999999999999" customHeight="1" x14ac:dyDescent="0.2">
      <c r="B618" s="17"/>
      <c r="C618" s="83"/>
      <c r="D618" s="83" t="s">
        <v>1504</v>
      </c>
      <c r="E618" s="2"/>
      <c r="F618" s="200">
        <v>101.52</v>
      </c>
      <c r="H618" s="17"/>
    </row>
    <row r="619" spans="2:8" s="16" customFormat="1" ht="16.899999999999999" customHeight="1" x14ac:dyDescent="0.2">
      <c r="B619" s="17"/>
      <c r="C619" s="83"/>
      <c r="D619" s="83" t="s">
        <v>368</v>
      </c>
      <c r="E619" s="2"/>
      <c r="F619" s="200">
        <v>0</v>
      </c>
      <c r="H619" s="17"/>
    </row>
    <row r="620" spans="2:8" s="16" customFormat="1" ht="16.899999999999999" customHeight="1" x14ac:dyDescent="0.2">
      <c r="B620" s="17"/>
      <c r="C620" s="83"/>
      <c r="D620" s="83" t="s">
        <v>1505</v>
      </c>
      <c r="E620" s="2"/>
      <c r="F620" s="200">
        <v>111.54</v>
      </c>
      <c r="H620" s="17"/>
    </row>
    <row r="621" spans="2:8" s="16" customFormat="1" ht="16.899999999999999" customHeight="1" x14ac:dyDescent="0.2">
      <c r="B621" s="17"/>
      <c r="C621" s="83"/>
      <c r="D621" s="83" t="s">
        <v>370</v>
      </c>
      <c r="E621" s="2"/>
      <c r="F621" s="200">
        <v>0</v>
      </c>
      <c r="H621" s="17"/>
    </row>
    <row r="622" spans="2:8" s="16" customFormat="1" ht="16.899999999999999" customHeight="1" x14ac:dyDescent="0.2">
      <c r="B622" s="17"/>
      <c r="C622" s="83"/>
      <c r="D622" s="83" t="s">
        <v>1506</v>
      </c>
      <c r="E622" s="2"/>
      <c r="F622" s="200">
        <v>125.57</v>
      </c>
      <c r="H622" s="17"/>
    </row>
    <row r="623" spans="2:8" s="16" customFormat="1" ht="16.899999999999999" customHeight="1" x14ac:dyDescent="0.2">
      <c r="B623" s="17"/>
      <c r="C623" s="83"/>
      <c r="D623" s="83" t="s">
        <v>434</v>
      </c>
      <c r="E623" s="2"/>
      <c r="F623" s="200">
        <v>0</v>
      </c>
      <c r="H623" s="17"/>
    </row>
    <row r="624" spans="2:8" s="16" customFormat="1" ht="16.899999999999999" customHeight="1" x14ac:dyDescent="0.2">
      <c r="B624" s="17"/>
      <c r="C624" s="83"/>
      <c r="D624" s="83" t="s">
        <v>1507</v>
      </c>
      <c r="E624" s="2"/>
      <c r="F624" s="200">
        <v>114.3</v>
      </c>
      <c r="H624" s="17"/>
    </row>
    <row r="625" spans="2:8" s="16" customFormat="1" ht="16.899999999999999" customHeight="1" x14ac:dyDescent="0.2">
      <c r="B625" s="17"/>
      <c r="C625" s="83"/>
      <c r="D625" s="83" t="s">
        <v>1508</v>
      </c>
      <c r="E625" s="2"/>
      <c r="F625" s="200">
        <v>0</v>
      </c>
      <c r="H625" s="17"/>
    </row>
    <row r="626" spans="2:8" s="16" customFormat="1" ht="16.899999999999999" customHeight="1" x14ac:dyDescent="0.2">
      <c r="B626" s="17"/>
      <c r="C626" s="83"/>
      <c r="D626" s="83" t="s">
        <v>1509</v>
      </c>
      <c r="E626" s="2"/>
      <c r="F626" s="200">
        <v>0</v>
      </c>
      <c r="H626" s="17"/>
    </row>
    <row r="627" spans="2:8" s="16" customFormat="1" ht="16.899999999999999" customHeight="1" x14ac:dyDescent="0.2">
      <c r="B627" s="17"/>
      <c r="C627" s="83"/>
      <c r="D627" s="83" t="s">
        <v>1510</v>
      </c>
      <c r="E627" s="2"/>
      <c r="F627" s="200">
        <v>-12.15</v>
      </c>
      <c r="H627" s="17"/>
    </row>
    <row r="628" spans="2:8" s="16" customFormat="1" ht="16.899999999999999" customHeight="1" x14ac:dyDescent="0.2">
      <c r="B628" s="17"/>
      <c r="C628" s="83"/>
      <c r="D628" s="83" t="s">
        <v>1511</v>
      </c>
      <c r="E628" s="2"/>
      <c r="F628" s="200">
        <v>0</v>
      </c>
      <c r="H628" s="17"/>
    </row>
    <row r="629" spans="2:8" s="16" customFormat="1" ht="16.899999999999999" customHeight="1" x14ac:dyDescent="0.2">
      <c r="B629" s="17"/>
      <c r="C629" s="83"/>
      <c r="D629" s="83" t="s">
        <v>1512</v>
      </c>
      <c r="E629" s="2"/>
      <c r="F629" s="200">
        <v>-13.05</v>
      </c>
      <c r="H629" s="17"/>
    </row>
    <row r="630" spans="2:8" s="16" customFormat="1" ht="16.899999999999999" customHeight="1" x14ac:dyDescent="0.2">
      <c r="B630" s="17"/>
      <c r="C630" s="83"/>
      <c r="D630" s="83" t="s">
        <v>1513</v>
      </c>
      <c r="E630" s="2"/>
      <c r="F630" s="200">
        <v>0</v>
      </c>
      <c r="H630" s="17"/>
    </row>
    <row r="631" spans="2:8" s="16" customFormat="1" ht="16.899999999999999" customHeight="1" x14ac:dyDescent="0.2">
      <c r="B631" s="17"/>
      <c r="C631" s="83"/>
      <c r="D631" s="83" t="s">
        <v>1514</v>
      </c>
      <c r="E631" s="2"/>
      <c r="F631" s="200">
        <v>-11.23</v>
      </c>
      <c r="H631" s="17"/>
    </row>
    <row r="632" spans="2:8" s="16" customFormat="1" ht="16.899999999999999" customHeight="1" x14ac:dyDescent="0.2">
      <c r="B632" s="17"/>
      <c r="C632" s="83"/>
      <c r="D632" s="83" t="s">
        <v>1515</v>
      </c>
      <c r="E632" s="2"/>
      <c r="F632" s="200">
        <v>0</v>
      </c>
      <c r="H632" s="17"/>
    </row>
    <row r="633" spans="2:8" s="16" customFormat="1" ht="16.899999999999999" customHeight="1" x14ac:dyDescent="0.2">
      <c r="B633" s="17"/>
      <c r="C633" s="83"/>
      <c r="D633" s="83" t="s">
        <v>1512</v>
      </c>
      <c r="E633" s="2"/>
      <c r="F633" s="200">
        <v>-13.05</v>
      </c>
      <c r="H633" s="17"/>
    </row>
    <row r="634" spans="2:8" s="16" customFormat="1" ht="16.899999999999999" customHeight="1" x14ac:dyDescent="0.2">
      <c r="B634" s="17"/>
      <c r="C634" s="83"/>
      <c r="D634" s="83" t="s">
        <v>1516</v>
      </c>
      <c r="E634" s="2"/>
      <c r="F634" s="200">
        <v>0</v>
      </c>
      <c r="H634" s="17"/>
    </row>
    <row r="635" spans="2:8" s="16" customFormat="1" ht="16.899999999999999" customHeight="1" x14ac:dyDescent="0.2">
      <c r="B635" s="17"/>
      <c r="C635" s="83"/>
      <c r="D635" s="83" t="s">
        <v>1514</v>
      </c>
      <c r="E635" s="2"/>
      <c r="F635" s="200">
        <v>-11.23</v>
      </c>
      <c r="H635" s="17"/>
    </row>
    <row r="636" spans="2:8" s="16" customFormat="1" ht="16.899999999999999" customHeight="1" x14ac:dyDescent="0.2">
      <c r="B636" s="17"/>
      <c r="C636" s="83"/>
      <c r="D636" s="83" t="s">
        <v>1517</v>
      </c>
      <c r="E636" s="2"/>
      <c r="F636" s="200">
        <v>0</v>
      </c>
      <c r="H636" s="17"/>
    </row>
    <row r="637" spans="2:8" s="16" customFormat="1" ht="16.899999999999999" customHeight="1" x14ac:dyDescent="0.2">
      <c r="B637" s="17"/>
      <c r="C637" s="83"/>
      <c r="D637" s="83" t="s">
        <v>1512</v>
      </c>
      <c r="E637" s="2"/>
      <c r="F637" s="200">
        <v>-13.05</v>
      </c>
      <c r="H637" s="17"/>
    </row>
    <row r="638" spans="2:8" s="16" customFormat="1" ht="16.899999999999999" customHeight="1" x14ac:dyDescent="0.2">
      <c r="B638" s="17"/>
      <c r="C638" s="83"/>
      <c r="D638" s="83" t="s">
        <v>1518</v>
      </c>
      <c r="E638" s="2"/>
      <c r="F638" s="200">
        <v>0</v>
      </c>
      <c r="H638" s="17"/>
    </row>
    <row r="639" spans="2:8" s="16" customFormat="1" ht="16.899999999999999" customHeight="1" x14ac:dyDescent="0.2">
      <c r="B639" s="17"/>
      <c r="C639" s="83"/>
      <c r="D639" s="83" t="s">
        <v>1514</v>
      </c>
      <c r="E639" s="2"/>
      <c r="F639" s="200">
        <v>-11.23</v>
      </c>
      <c r="H639" s="17"/>
    </row>
    <row r="640" spans="2:8" s="16" customFormat="1" ht="16.899999999999999" customHeight="1" x14ac:dyDescent="0.2">
      <c r="B640" s="17"/>
      <c r="C640" s="83"/>
      <c r="D640" s="83" t="s">
        <v>1519</v>
      </c>
      <c r="E640" s="2"/>
      <c r="F640" s="200">
        <v>0</v>
      </c>
      <c r="H640" s="17"/>
    </row>
    <row r="641" spans="2:8" s="16" customFormat="1" ht="16.899999999999999" customHeight="1" x14ac:dyDescent="0.2">
      <c r="B641" s="17"/>
      <c r="C641" s="83"/>
      <c r="D641" s="83" t="s">
        <v>1512</v>
      </c>
      <c r="E641" s="2"/>
      <c r="F641" s="200">
        <v>-13.05</v>
      </c>
      <c r="H641" s="17"/>
    </row>
    <row r="642" spans="2:8" s="16" customFormat="1" ht="16.899999999999999" customHeight="1" x14ac:dyDescent="0.2">
      <c r="B642" s="17"/>
      <c r="C642" s="83"/>
      <c r="D642" s="83" t="s">
        <v>1520</v>
      </c>
      <c r="E642" s="2"/>
      <c r="F642" s="200">
        <v>0</v>
      </c>
      <c r="H642" s="17"/>
    </row>
    <row r="643" spans="2:8" s="16" customFormat="1" ht="16.899999999999999" customHeight="1" x14ac:dyDescent="0.2">
      <c r="B643" s="17"/>
      <c r="C643" s="83"/>
      <c r="D643" s="83" t="s">
        <v>1514</v>
      </c>
      <c r="E643" s="2"/>
      <c r="F643" s="200">
        <v>-11.23</v>
      </c>
      <c r="H643" s="17"/>
    </row>
    <row r="644" spans="2:8" s="16" customFormat="1" ht="16.899999999999999" customHeight="1" x14ac:dyDescent="0.2">
      <c r="B644" s="17"/>
      <c r="C644" s="83"/>
      <c r="D644" s="83" t="s">
        <v>1521</v>
      </c>
      <c r="E644" s="2"/>
      <c r="F644" s="200">
        <v>0</v>
      </c>
      <c r="H644" s="17"/>
    </row>
    <row r="645" spans="2:8" s="16" customFormat="1" ht="16.899999999999999" customHeight="1" x14ac:dyDescent="0.2">
      <c r="B645" s="17"/>
      <c r="C645" s="83"/>
      <c r="D645" s="83" t="s">
        <v>1512</v>
      </c>
      <c r="E645" s="2"/>
      <c r="F645" s="200">
        <v>-13.05</v>
      </c>
      <c r="H645" s="17"/>
    </row>
    <row r="646" spans="2:8" s="16" customFormat="1" ht="16.899999999999999" customHeight="1" x14ac:dyDescent="0.2">
      <c r="B646" s="17"/>
      <c r="C646" s="83" t="s">
        <v>210</v>
      </c>
      <c r="D646" s="83" t="s">
        <v>609</v>
      </c>
      <c r="E646" s="2"/>
      <c r="F646" s="200">
        <v>651.25</v>
      </c>
      <c r="H646" s="17"/>
    </row>
    <row r="647" spans="2:8" s="16" customFormat="1" ht="16.899999999999999" customHeight="1" x14ac:dyDescent="0.2">
      <c r="B647" s="17"/>
      <c r="C647" s="201" t="s">
        <v>8859</v>
      </c>
      <c r="H647" s="17"/>
    </row>
    <row r="648" spans="2:8" s="16" customFormat="1" ht="16.899999999999999" customHeight="1" x14ac:dyDescent="0.2">
      <c r="B648" s="17"/>
      <c r="C648" s="83" t="s">
        <v>1500</v>
      </c>
      <c r="D648" s="83" t="s">
        <v>1501</v>
      </c>
      <c r="E648" s="2" t="s">
        <v>425</v>
      </c>
      <c r="F648" s="200">
        <v>668.81</v>
      </c>
      <c r="H648" s="17"/>
    </row>
    <row r="649" spans="2:8" s="16" customFormat="1" ht="16.899999999999999" customHeight="1" x14ac:dyDescent="0.2">
      <c r="B649" s="17"/>
      <c r="C649" s="83" t="s">
        <v>1531</v>
      </c>
      <c r="D649" s="83" t="s">
        <v>1532</v>
      </c>
      <c r="E649" s="2" t="s">
        <v>425</v>
      </c>
      <c r="F649" s="200">
        <v>683.81299999999999</v>
      </c>
      <c r="H649" s="17"/>
    </row>
    <row r="650" spans="2:8" s="16" customFormat="1" ht="16.899999999999999" customHeight="1" x14ac:dyDescent="0.2">
      <c r="B650" s="17"/>
      <c r="C650" s="196" t="s">
        <v>212</v>
      </c>
      <c r="D650" s="197"/>
      <c r="E650" s="198"/>
      <c r="F650" s="199">
        <v>115.38</v>
      </c>
      <c r="H650" s="17"/>
    </row>
    <row r="651" spans="2:8" s="16" customFormat="1" ht="16.899999999999999" customHeight="1" x14ac:dyDescent="0.2">
      <c r="B651" s="17"/>
      <c r="C651" s="83"/>
      <c r="D651" s="83" t="s">
        <v>1114</v>
      </c>
      <c r="E651" s="2"/>
      <c r="F651" s="200">
        <v>0</v>
      </c>
      <c r="H651" s="17"/>
    </row>
    <row r="652" spans="2:8" s="16" customFormat="1" ht="16.899999999999999" customHeight="1" x14ac:dyDescent="0.2">
      <c r="B652" s="17"/>
      <c r="C652" s="83"/>
      <c r="D652" s="83" t="s">
        <v>1068</v>
      </c>
      <c r="E652" s="2"/>
      <c r="F652" s="200">
        <v>0</v>
      </c>
      <c r="H652" s="17"/>
    </row>
    <row r="653" spans="2:8" s="16" customFormat="1" ht="16.899999999999999" customHeight="1" x14ac:dyDescent="0.2">
      <c r="B653" s="17"/>
      <c r="C653" s="83"/>
      <c r="D653" s="83" t="s">
        <v>357</v>
      </c>
      <c r="E653" s="2"/>
      <c r="F653" s="200">
        <v>0</v>
      </c>
      <c r="H653" s="17"/>
    </row>
    <row r="654" spans="2:8" s="16" customFormat="1" ht="16.899999999999999" customHeight="1" x14ac:dyDescent="0.2">
      <c r="B654" s="17"/>
      <c r="C654" s="83"/>
      <c r="D654" s="83" t="s">
        <v>1115</v>
      </c>
      <c r="E654" s="2"/>
      <c r="F654" s="200">
        <v>28.85</v>
      </c>
      <c r="H654" s="17"/>
    </row>
    <row r="655" spans="2:8" s="16" customFormat="1" ht="16.899999999999999" customHeight="1" x14ac:dyDescent="0.2">
      <c r="B655" s="17"/>
      <c r="C655" s="83"/>
      <c r="D655" s="83" t="s">
        <v>367</v>
      </c>
      <c r="E655" s="2"/>
      <c r="F655" s="200">
        <v>0</v>
      </c>
      <c r="H655" s="17"/>
    </row>
    <row r="656" spans="2:8" s="16" customFormat="1" ht="16.899999999999999" customHeight="1" x14ac:dyDescent="0.2">
      <c r="B656" s="17"/>
      <c r="C656" s="83"/>
      <c r="D656" s="83" t="s">
        <v>1116</v>
      </c>
      <c r="E656" s="2"/>
      <c r="F656" s="200">
        <v>86.53</v>
      </c>
      <c r="H656" s="17"/>
    </row>
    <row r="657" spans="2:8" s="16" customFormat="1" ht="16.899999999999999" customHeight="1" x14ac:dyDescent="0.2">
      <c r="B657" s="17"/>
      <c r="C657" s="83" t="s">
        <v>212</v>
      </c>
      <c r="D657" s="83" t="s">
        <v>609</v>
      </c>
      <c r="E657" s="2"/>
      <c r="F657" s="200">
        <v>115.38</v>
      </c>
      <c r="H657" s="17"/>
    </row>
    <row r="658" spans="2:8" s="16" customFormat="1" ht="16.899999999999999" customHeight="1" x14ac:dyDescent="0.2">
      <c r="B658" s="17"/>
      <c r="C658" s="196" t="s">
        <v>214</v>
      </c>
      <c r="D658" s="197"/>
      <c r="E658" s="198"/>
      <c r="F658" s="199">
        <v>48.96</v>
      </c>
      <c r="H658" s="17"/>
    </row>
    <row r="659" spans="2:8" s="16" customFormat="1" ht="16.899999999999999" customHeight="1" x14ac:dyDescent="0.2">
      <c r="B659" s="17"/>
      <c r="C659" s="83"/>
      <c r="D659" s="83" t="s">
        <v>1102</v>
      </c>
      <c r="E659" s="2"/>
      <c r="F659" s="200">
        <v>0</v>
      </c>
      <c r="H659" s="17"/>
    </row>
    <row r="660" spans="2:8" s="16" customFormat="1" ht="16.899999999999999" customHeight="1" x14ac:dyDescent="0.2">
      <c r="B660" s="17"/>
      <c r="C660" s="83"/>
      <c r="D660" s="83" t="s">
        <v>357</v>
      </c>
      <c r="E660" s="2"/>
      <c r="F660" s="200">
        <v>0</v>
      </c>
      <c r="H660" s="17"/>
    </row>
    <row r="661" spans="2:8" s="16" customFormat="1" ht="16.899999999999999" customHeight="1" x14ac:dyDescent="0.2">
      <c r="B661" s="17"/>
      <c r="C661" s="83"/>
      <c r="D661" s="83" t="s">
        <v>1103</v>
      </c>
      <c r="E661" s="2"/>
      <c r="F661" s="200">
        <v>0</v>
      </c>
      <c r="H661" s="17"/>
    </row>
    <row r="662" spans="2:8" s="16" customFormat="1" ht="16.899999999999999" customHeight="1" x14ac:dyDescent="0.2">
      <c r="B662" s="17"/>
      <c r="C662" s="83"/>
      <c r="D662" s="83" t="s">
        <v>1104</v>
      </c>
      <c r="E662" s="2"/>
      <c r="F662" s="200">
        <v>8.64</v>
      </c>
      <c r="H662" s="17"/>
    </row>
    <row r="663" spans="2:8" s="16" customFormat="1" ht="16.899999999999999" customHeight="1" x14ac:dyDescent="0.2">
      <c r="B663" s="17"/>
      <c r="C663" s="83"/>
      <c r="D663" s="83" t="s">
        <v>1105</v>
      </c>
      <c r="E663" s="2"/>
      <c r="F663" s="200">
        <v>0</v>
      </c>
      <c r="H663" s="17"/>
    </row>
    <row r="664" spans="2:8" s="16" customFormat="1" ht="16.899999999999999" customHeight="1" x14ac:dyDescent="0.2">
      <c r="B664" s="17"/>
      <c r="C664" s="83"/>
      <c r="D664" s="83" t="s">
        <v>1106</v>
      </c>
      <c r="E664" s="2"/>
      <c r="F664" s="200">
        <v>40.32</v>
      </c>
      <c r="H664" s="17"/>
    </row>
    <row r="665" spans="2:8" s="16" customFormat="1" ht="16.899999999999999" customHeight="1" x14ac:dyDescent="0.2">
      <c r="B665" s="17"/>
      <c r="C665" s="83" t="s">
        <v>214</v>
      </c>
      <c r="D665" s="83" t="s">
        <v>609</v>
      </c>
      <c r="E665" s="2"/>
      <c r="F665" s="200">
        <v>48.96</v>
      </c>
      <c r="H665" s="17"/>
    </row>
    <row r="666" spans="2:8" s="16" customFormat="1" ht="16.899999999999999" customHeight="1" x14ac:dyDescent="0.2">
      <c r="B666" s="17"/>
      <c r="C666" s="201" t="s">
        <v>8859</v>
      </c>
      <c r="H666" s="17"/>
    </row>
    <row r="667" spans="2:8" s="16" customFormat="1" ht="16.899999999999999" customHeight="1" x14ac:dyDescent="0.2">
      <c r="B667" s="17"/>
      <c r="C667" s="83" t="s">
        <v>1099</v>
      </c>
      <c r="D667" s="83" t="s">
        <v>1100</v>
      </c>
      <c r="E667" s="2" t="s">
        <v>425</v>
      </c>
      <c r="F667" s="200">
        <v>48.96</v>
      </c>
      <c r="H667" s="17"/>
    </row>
    <row r="668" spans="2:8" s="16" customFormat="1" ht="16.899999999999999" customHeight="1" x14ac:dyDescent="0.2">
      <c r="B668" s="17"/>
      <c r="C668" s="83" t="s">
        <v>2338</v>
      </c>
      <c r="D668" s="83" t="s">
        <v>2339</v>
      </c>
      <c r="E668" s="2" t="s">
        <v>425</v>
      </c>
      <c r="F668" s="200">
        <v>3648.8159999999998</v>
      </c>
      <c r="H668" s="17"/>
    </row>
    <row r="669" spans="2:8" s="16" customFormat="1" ht="16.899999999999999" customHeight="1" x14ac:dyDescent="0.2">
      <c r="B669" s="17"/>
      <c r="C669" s="196" t="s">
        <v>216</v>
      </c>
      <c r="D669" s="197"/>
      <c r="E669" s="198"/>
      <c r="F669" s="199">
        <v>494.34</v>
      </c>
      <c r="H669" s="17"/>
    </row>
    <row r="670" spans="2:8" s="16" customFormat="1" ht="16.899999999999999" customHeight="1" x14ac:dyDescent="0.2">
      <c r="B670" s="17"/>
      <c r="C670" s="83"/>
      <c r="D670" s="83" t="s">
        <v>1068</v>
      </c>
      <c r="E670" s="2"/>
      <c r="F670" s="200">
        <v>0</v>
      </c>
      <c r="H670" s="17"/>
    </row>
    <row r="671" spans="2:8" s="16" customFormat="1" ht="16.899999999999999" customHeight="1" x14ac:dyDescent="0.2">
      <c r="B671" s="17"/>
      <c r="C671" s="83"/>
      <c r="D671" s="83" t="s">
        <v>357</v>
      </c>
      <c r="E671" s="2"/>
      <c r="F671" s="200">
        <v>0</v>
      </c>
      <c r="H671" s="17"/>
    </row>
    <row r="672" spans="2:8" s="16" customFormat="1" ht="16.899999999999999" customHeight="1" x14ac:dyDescent="0.2">
      <c r="B672" s="17"/>
      <c r="C672" s="83"/>
      <c r="D672" s="83" t="s">
        <v>1169</v>
      </c>
      <c r="E672" s="2"/>
      <c r="F672" s="200">
        <v>49.63</v>
      </c>
      <c r="H672" s="17"/>
    </row>
    <row r="673" spans="2:8" s="16" customFormat="1" ht="16.899999999999999" customHeight="1" x14ac:dyDescent="0.2">
      <c r="B673" s="17"/>
      <c r="C673" s="83"/>
      <c r="D673" s="83" t="s">
        <v>362</v>
      </c>
      <c r="E673" s="2"/>
      <c r="F673" s="200">
        <v>0</v>
      </c>
      <c r="H673" s="17"/>
    </row>
    <row r="674" spans="2:8" s="16" customFormat="1" ht="16.899999999999999" customHeight="1" x14ac:dyDescent="0.2">
      <c r="B674" s="17"/>
      <c r="C674" s="83"/>
      <c r="D674" s="83" t="s">
        <v>1170</v>
      </c>
      <c r="E674" s="2"/>
      <c r="F674" s="200">
        <v>0.84</v>
      </c>
      <c r="H674" s="17"/>
    </row>
    <row r="675" spans="2:8" s="16" customFormat="1" ht="16.899999999999999" customHeight="1" x14ac:dyDescent="0.2">
      <c r="B675" s="17"/>
      <c r="C675" s="83"/>
      <c r="D675" s="83" t="s">
        <v>434</v>
      </c>
      <c r="E675" s="2"/>
      <c r="F675" s="200">
        <v>0</v>
      </c>
      <c r="H675" s="17"/>
    </row>
    <row r="676" spans="2:8" s="16" customFormat="1" ht="16.899999999999999" customHeight="1" x14ac:dyDescent="0.2">
      <c r="B676" s="17"/>
      <c r="C676" s="83"/>
      <c r="D676" s="83" t="s">
        <v>1171</v>
      </c>
      <c r="E676" s="2"/>
      <c r="F676" s="200">
        <v>443.87</v>
      </c>
      <c r="H676" s="17"/>
    </row>
    <row r="677" spans="2:8" s="16" customFormat="1" ht="16.899999999999999" customHeight="1" x14ac:dyDescent="0.2">
      <c r="B677" s="17"/>
      <c r="C677" s="83" t="s">
        <v>216</v>
      </c>
      <c r="D677" s="83" t="s">
        <v>609</v>
      </c>
      <c r="E677" s="2"/>
      <c r="F677" s="200">
        <v>494.34</v>
      </c>
      <c r="H677" s="17"/>
    </row>
    <row r="678" spans="2:8" s="16" customFormat="1" ht="16.899999999999999" customHeight="1" x14ac:dyDescent="0.2">
      <c r="B678" s="17"/>
      <c r="C678" s="201" t="s">
        <v>8859</v>
      </c>
      <c r="H678" s="17"/>
    </row>
    <row r="679" spans="2:8" s="16" customFormat="1" ht="16.899999999999999" customHeight="1" x14ac:dyDescent="0.2">
      <c r="B679" s="17"/>
      <c r="C679" s="83" t="s">
        <v>1166</v>
      </c>
      <c r="D679" s="83" t="s">
        <v>1167</v>
      </c>
      <c r="E679" s="2" t="s">
        <v>425</v>
      </c>
      <c r="F679" s="200">
        <v>494.34</v>
      </c>
      <c r="H679" s="17"/>
    </row>
    <row r="680" spans="2:8" s="16" customFormat="1" ht="16.899999999999999" customHeight="1" x14ac:dyDescent="0.2">
      <c r="B680" s="17"/>
      <c r="C680" s="83" t="s">
        <v>2338</v>
      </c>
      <c r="D680" s="83" t="s">
        <v>2339</v>
      </c>
      <c r="E680" s="2" t="s">
        <v>425</v>
      </c>
      <c r="F680" s="200">
        <v>3648.8159999999998</v>
      </c>
      <c r="H680" s="17"/>
    </row>
    <row r="681" spans="2:8" s="16" customFormat="1" ht="16.899999999999999" customHeight="1" x14ac:dyDescent="0.2">
      <c r="B681" s="17"/>
      <c r="C681" s="196" t="s">
        <v>218</v>
      </c>
      <c r="D681" s="197"/>
      <c r="E681" s="198"/>
      <c r="F681" s="199">
        <v>232.77</v>
      </c>
      <c r="H681" s="17"/>
    </row>
    <row r="682" spans="2:8" s="16" customFormat="1" ht="16.899999999999999" customHeight="1" x14ac:dyDescent="0.2">
      <c r="B682" s="17"/>
      <c r="C682" s="83"/>
      <c r="D682" s="83" t="s">
        <v>833</v>
      </c>
      <c r="E682" s="2"/>
      <c r="F682" s="200">
        <v>0</v>
      </c>
      <c r="H682" s="17"/>
    </row>
    <row r="683" spans="2:8" s="16" customFormat="1" ht="16.899999999999999" customHeight="1" x14ac:dyDescent="0.2">
      <c r="B683" s="17"/>
      <c r="C683" s="83"/>
      <c r="D683" s="83" t="s">
        <v>2046</v>
      </c>
      <c r="E683" s="2"/>
      <c r="F683" s="200">
        <v>0</v>
      </c>
      <c r="H683" s="17"/>
    </row>
    <row r="684" spans="2:8" s="16" customFormat="1" ht="16.899999999999999" customHeight="1" x14ac:dyDescent="0.2">
      <c r="B684" s="17"/>
      <c r="C684" s="83"/>
      <c r="D684" s="83" t="s">
        <v>1688</v>
      </c>
      <c r="E684" s="2"/>
      <c r="F684" s="200">
        <v>0</v>
      </c>
      <c r="H684" s="17"/>
    </row>
    <row r="685" spans="2:8" s="16" customFormat="1" ht="16.899999999999999" customHeight="1" x14ac:dyDescent="0.2">
      <c r="B685" s="17"/>
      <c r="C685" s="83"/>
      <c r="D685" s="83" t="s">
        <v>219</v>
      </c>
      <c r="E685" s="2"/>
      <c r="F685" s="200">
        <v>232.77</v>
      </c>
      <c r="H685" s="17"/>
    </row>
    <row r="686" spans="2:8" s="16" customFormat="1" ht="16.899999999999999" customHeight="1" x14ac:dyDescent="0.2">
      <c r="B686" s="17"/>
      <c r="C686" s="83" t="s">
        <v>218</v>
      </c>
      <c r="D686" s="83" t="s">
        <v>609</v>
      </c>
      <c r="E686" s="2"/>
      <c r="F686" s="200">
        <v>232.77</v>
      </c>
      <c r="H686" s="17"/>
    </row>
    <row r="687" spans="2:8" s="16" customFormat="1" ht="16.899999999999999" customHeight="1" x14ac:dyDescent="0.2">
      <c r="B687" s="17"/>
      <c r="C687" s="201" t="s">
        <v>8859</v>
      </c>
      <c r="H687" s="17"/>
    </row>
    <row r="688" spans="2:8" s="16" customFormat="1" ht="16.899999999999999" customHeight="1" x14ac:dyDescent="0.2">
      <c r="B688" s="17"/>
      <c r="C688" s="83" t="s">
        <v>2043</v>
      </c>
      <c r="D688" s="83" t="s">
        <v>2044</v>
      </c>
      <c r="E688" s="2" t="s">
        <v>425</v>
      </c>
      <c r="F688" s="200">
        <v>247.77</v>
      </c>
      <c r="H688" s="17"/>
    </row>
    <row r="689" spans="2:8" s="16" customFormat="1" ht="16.899999999999999" customHeight="1" x14ac:dyDescent="0.2">
      <c r="B689" s="17"/>
      <c r="C689" s="83" t="s">
        <v>830</v>
      </c>
      <c r="D689" s="83" t="s">
        <v>831</v>
      </c>
      <c r="E689" s="2" t="s">
        <v>425</v>
      </c>
      <c r="F689" s="200">
        <v>58.192999999999998</v>
      </c>
      <c r="H689" s="17"/>
    </row>
    <row r="690" spans="2:8" s="16" customFormat="1" ht="16.899999999999999" customHeight="1" x14ac:dyDescent="0.2">
      <c r="B690" s="17"/>
      <c r="C690" s="83" t="s">
        <v>1997</v>
      </c>
      <c r="D690" s="83" t="s">
        <v>1998</v>
      </c>
      <c r="E690" s="2" t="s">
        <v>425</v>
      </c>
      <c r="F690" s="200">
        <v>379.73399999999998</v>
      </c>
      <c r="H690" s="17"/>
    </row>
    <row r="691" spans="2:8" s="16" customFormat="1" ht="16.899999999999999" customHeight="1" x14ac:dyDescent="0.2">
      <c r="B691" s="17"/>
      <c r="C691" s="83" t="s">
        <v>2050</v>
      </c>
      <c r="D691" s="83" t="s">
        <v>2051</v>
      </c>
      <c r="E691" s="2" t="s">
        <v>425</v>
      </c>
      <c r="F691" s="200">
        <v>247.77</v>
      </c>
      <c r="H691" s="17"/>
    </row>
    <row r="692" spans="2:8" s="16" customFormat="1" ht="16.899999999999999" customHeight="1" x14ac:dyDescent="0.2">
      <c r="B692" s="17"/>
      <c r="C692" s="196" t="s">
        <v>230</v>
      </c>
      <c r="D692" s="197"/>
      <c r="E692" s="198"/>
      <c r="F692" s="199">
        <v>140.63999999999999</v>
      </c>
      <c r="H692" s="17"/>
    </row>
    <row r="693" spans="2:8" s="16" customFormat="1" ht="16.899999999999999" customHeight="1" x14ac:dyDescent="0.2">
      <c r="B693" s="17"/>
      <c r="C693" s="83"/>
      <c r="D693" s="83" t="s">
        <v>1688</v>
      </c>
      <c r="E693" s="2"/>
      <c r="F693" s="200">
        <v>0</v>
      </c>
      <c r="H693" s="17"/>
    </row>
    <row r="694" spans="2:8" s="16" customFormat="1" ht="16.899999999999999" customHeight="1" x14ac:dyDescent="0.2">
      <c r="B694" s="17"/>
      <c r="C694" s="83"/>
      <c r="D694" s="83" t="s">
        <v>231</v>
      </c>
      <c r="E694" s="2"/>
      <c r="F694" s="200">
        <v>140.63999999999999</v>
      </c>
      <c r="H694" s="17"/>
    </row>
    <row r="695" spans="2:8" s="16" customFormat="1" ht="16.899999999999999" customHeight="1" x14ac:dyDescent="0.2">
      <c r="B695" s="17"/>
      <c r="C695" s="83" t="s">
        <v>230</v>
      </c>
      <c r="D695" s="83" t="s">
        <v>609</v>
      </c>
      <c r="E695" s="2"/>
      <c r="F695" s="200">
        <v>140.63999999999999</v>
      </c>
      <c r="H695" s="17"/>
    </row>
    <row r="696" spans="2:8" s="16" customFormat="1" ht="16.899999999999999" customHeight="1" x14ac:dyDescent="0.2">
      <c r="B696" s="17"/>
      <c r="C696" s="201" t="s">
        <v>8859</v>
      </c>
      <c r="H696" s="17"/>
    </row>
    <row r="697" spans="2:8" s="16" customFormat="1" ht="16.899999999999999" customHeight="1" x14ac:dyDescent="0.2">
      <c r="B697" s="17"/>
      <c r="C697" s="83" t="s">
        <v>2004</v>
      </c>
      <c r="D697" s="83" t="s">
        <v>2005</v>
      </c>
      <c r="E697" s="2" t="s">
        <v>425</v>
      </c>
      <c r="F697" s="200">
        <v>379.73399999999998</v>
      </c>
      <c r="H697" s="17"/>
    </row>
    <row r="698" spans="2:8" s="16" customFormat="1" ht="16.899999999999999" customHeight="1" x14ac:dyDescent="0.2">
      <c r="B698" s="17"/>
      <c r="C698" s="83" t="s">
        <v>1997</v>
      </c>
      <c r="D698" s="83" t="s">
        <v>1998</v>
      </c>
      <c r="E698" s="2" t="s">
        <v>425</v>
      </c>
      <c r="F698" s="200">
        <v>379.73399999999998</v>
      </c>
      <c r="H698" s="17"/>
    </row>
    <row r="699" spans="2:8" s="16" customFormat="1" ht="16.899999999999999" customHeight="1" x14ac:dyDescent="0.2">
      <c r="B699" s="17"/>
      <c r="C699" s="83" t="s">
        <v>2001</v>
      </c>
      <c r="D699" s="83" t="s">
        <v>2002</v>
      </c>
      <c r="E699" s="2" t="s">
        <v>425</v>
      </c>
      <c r="F699" s="200">
        <v>379.73399999999998</v>
      </c>
      <c r="H699" s="17"/>
    </row>
    <row r="700" spans="2:8" s="16" customFormat="1" ht="16.899999999999999" customHeight="1" x14ac:dyDescent="0.2">
      <c r="B700" s="17"/>
      <c r="C700" s="196" t="s">
        <v>232</v>
      </c>
      <c r="D700" s="197"/>
      <c r="E700" s="198"/>
      <c r="F700" s="199">
        <v>6.3239999999999998</v>
      </c>
      <c r="H700" s="17"/>
    </row>
    <row r="701" spans="2:8" s="16" customFormat="1" ht="16.899999999999999" customHeight="1" x14ac:dyDescent="0.2">
      <c r="B701" s="17"/>
      <c r="C701" s="83"/>
      <c r="D701" s="83"/>
      <c r="E701" s="2"/>
      <c r="F701" s="200">
        <v>0</v>
      </c>
      <c r="H701" s="17"/>
    </row>
    <row r="702" spans="2:8" s="16" customFormat="1" ht="16.899999999999999" customHeight="1" x14ac:dyDescent="0.2">
      <c r="B702" s="17"/>
      <c r="C702" s="83"/>
      <c r="D702" s="83" t="s">
        <v>2007</v>
      </c>
      <c r="E702" s="2"/>
      <c r="F702" s="200">
        <v>0</v>
      </c>
      <c r="H702" s="17"/>
    </row>
    <row r="703" spans="2:8" s="16" customFormat="1" ht="16.899999999999999" customHeight="1" x14ac:dyDescent="0.2">
      <c r="B703" s="17"/>
      <c r="C703" s="83"/>
      <c r="D703" s="83" t="s">
        <v>1583</v>
      </c>
      <c r="E703" s="2"/>
      <c r="F703" s="200">
        <v>0</v>
      </c>
      <c r="H703" s="17"/>
    </row>
    <row r="704" spans="2:8" s="16" customFormat="1" ht="16.899999999999999" customHeight="1" x14ac:dyDescent="0.2">
      <c r="B704" s="17"/>
      <c r="C704" s="83"/>
      <c r="D704" s="83" t="s">
        <v>2008</v>
      </c>
      <c r="E704" s="2"/>
      <c r="F704" s="200">
        <v>1.5449999999999999</v>
      </c>
      <c r="H704" s="17"/>
    </row>
    <row r="705" spans="2:8" s="16" customFormat="1" ht="16.899999999999999" customHeight="1" x14ac:dyDescent="0.2">
      <c r="B705" s="17"/>
      <c r="C705" s="83"/>
      <c r="D705" s="83" t="s">
        <v>2009</v>
      </c>
      <c r="E705" s="2"/>
      <c r="F705" s="200">
        <v>-5.3999999999999999E-2</v>
      </c>
      <c r="H705" s="17"/>
    </row>
    <row r="706" spans="2:8" s="16" customFormat="1" ht="16.899999999999999" customHeight="1" x14ac:dyDescent="0.2">
      <c r="B706" s="17"/>
      <c r="C706" s="83"/>
      <c r="D706" s="83" t="s">
        <v>2010</v>
      </c>
      <c r="E706" s="2"/>
      <c r="F706" s="200">
        <v>1.032</v>
      </c>
      <c r="H706" s="17"/>
    </row>
    <row r="707" spans="2:8" s="16" customFormat="1" ht="16.899999999999999" customHeight="1" x14ac:dyDescent="0.2">
      <c r="B707" s="17"/>
      <c r="C707" s="83"/>
      <c r="D707" s="83" t="s">
        <v>2009</v>
      </c>
      <c r="E707" s="2"/>
      <c r="F707" s="200">
        <v>-5.3999999999999999E-2</v>
      </c>
      <c r="H707" s="17"/>
    </row>
    <row r="708" spans="2:8" s="16" customFormat="1" ht="16.899999999999999" customHeight="1" x14ac:dyDescent="0.2">
      <c r="B708" s="17"/>
      <c r="C708" s="83"/>
      <c r="D708" s="83" t="s">
        <v>2011</v>
      </c>
      <c r="E708" s="2"/>
      <c r="F708" s="200">
        <v>1.1819999999999999</v>
      </c>
      <c r="H708" s="17"/>
    </row>
    <row r="709" spans="2:8" s="16" customFormat="1" ht="16.899999999999999" customHeight="1" x14ac:dyDescent="0.2">
      <c r="B709" s="17"/>
      <c r="C709" s="83"/>
      <c r="D709" s="83" t="s">
        <v>2009</v>
      </c>
      <c r="E709" s="2"/>
      <c r="F709" s="200">
        <v>-5.3999999999999999E-2</v>
      </c>
      <c r="H709" s="17"/>
    </row>
    <row r="710" spans="2:8" s="16" customFormat="1" ht="16.899999999999999" customHeight="1" x14ac:dyDescent="0.2">
      <c r="B710" s="17"/>
      <c r="C710" s="83"/>
      <c r="D710" s="83" t="s">
        <v>2012</v>
      </c>
      <c r="E710" s="2"/>
      <c r="F710" s="200">
        <v>2.343</v>
      </c>
      <c r="H710" s="17"/>
    </row>
    <row r="711" spans="2:8" s="16" customFormat="1" ht="16.899999999999999" customHeight="1" x14ac:dyDescent="0.2">
      <c r="B711" s="17"/>
      <c r="C711" s="83"/>
      <c r="D711" s="83" t="s">
        <v>2013</v>
      </c>
      <c r="E711" s="2"/>
      <c r="F711" s="200">
        <v>-8.4000000000000005E-2</v>
      </c>
      <c r="H711" s="17"/>
    </row>
    <row r="712" spans="2:8" s="16" customFormat="1" ht="16.899999999999999" customHeight="1" x14ac:dyDescent="0.2">
      <c r="B712" s="17"/>
      <c r="C712" s="83"/>
      <c r="D712" s="83" t="s">
        <v>2014</v>
      </c>
      <c r="E712" s="2"/>
      <c r="F712" s="200">
        <v>0.52200000000000002</v>
      </c>
      <c r="H712" s="17"/>
    </row>
    <row r="713" spans="2:8" s="16" customFormat="1" ht="16.899999999999999" customHeight="1" x14ac:dyDescent="0.2">
      <c r="B713" s="17"/>
      <c r="C713" s="83"/>
      <c r="D713" s="83" t="s">
        <v>2009</v>
      </c>
      <c r="E713" s="2"/>
      <c r="F713" s="200">
        <v>-5.3999999999999999E-2</v>
      </c>
      <c r="H713" s="17"/>
    </row>
    <row r="714" spans="2:8" s="16" customFormat="1" ht="16.899999999999999" customHeight="1" x14ac:dyDescent="0.2">
      <c r="B714" s="17"/>
      <c r="C714" s="83" t="s">
        <v>232</v>
      </c>
      <c r="D714" s="83" t="s">
        <v>609</v>
      </c>
      <c r="E714" s="2"/>
      <c r="F714" s="200">
        <v>6.3239999999999998</v>
      </c>
      <c r="H714" s="17"/>
    </row>
    <row r="715" spans="2:8" s="16" customFormat="1" ht="16.899999999999999" customHeight="1" x14ac:dyDescent="0.2">
      <c r="B715" s="17"/>
      <c r="C715" s="201" t="s">
        <v>8859</v>
      </c>
      <c r="H715" s="17"/>
    </row>
    <row r="716" spans="2:8" s="16" customFormat="1" ht="16.899999999999999" customHeight="1" x14ac:dyDescent="0.2">
      <c r="B716" s="17"/>
      <c r="C716" s="83" t="s">
        <v>2004</v>
      </c>
      <c r="D716" s="83" t="s">
        <v>2005</v>
      </c>
      <c r="E716" s="2" t="s">
        <v>425</v>
      </c>
      <c r="F716" s="200">
        <v>379.73399999999998</v>
      </c>
      <c r="H716" s="17"/>
    </row>
    <row r="717" spans="2:8" s="16" customFormat="1" ht="16.899999999999999" customHeight="1" x14ac:dyDescent="0.2">
      <c r="B717" s="17"/>
      <c r="C717" s="83" t="s">
        <v>1997</v>
      </c>
      <c r="D717" s="83" t="s">
        <v>1998</v>
      </c>
      <c r="E717" s="2" t="s">
        <v>425</v>
      </c>
      <c r="F717" s="200">
        <v>379.73399999999998</v>
      </c>
      <c r="H717" s="17"/>
    </row>
    <row r="718" spans="2:8" s="16" customFormat="1" ht="16.899999999999999" customHeight="1" x14ac:dyDescent="0.2">
      <c r="B718" s="17"/>
      <c r="C718" s="83" t="s">
        <v>2001</v>
      </c>
      <c r="D718" s="83" t="s">
        <v>2002</v>
      </c>
      <c r="E718" s="2" t="s">
        <v>425</v>
      </c>
      <c r="F718" s="200">
        <v>379.73399999999998</v>
      </c>
      <c r="H718" s="17"/>
    </row>
    <row r="719" spans="2:8" s="16" customFormat="1" ht="16.899999999999999" customHeight="1" x14ac:dyDescent="0.2">
      <c r="B719" s="17"/>
      <c r="C719" s="83" t="s">
        <v>2039</v>
      </c>
      <c r="D719" s="83" t="s">
        <v>2040</v>
      </c>
      <c r="E719" s="2" t="s">
        <v>724</v>
      </c>
      <c r="F719" s="200">
        <v>105.4</v>
      </c>
      <c r="H719" s="17"/>
    </row>
    <row r="720" spans="2:8" s="16" customFormat="1" ht="16.899999999999999" customHeight="1" x14ac:dyDescent="0.2">
      <c r="B720" s="17"/>
      <c r="C720" s="196" t="s">
        <v>220</v>
      </c>
      <c r="D720" s="197"/>
      <c r="E720" s="198"/>
      <c r="F720" s="199">
        <v>611.16599999999903</v>
      </c>
      <c r="H720" s="17"/>
    </row>
    <row r="721" spans="2:8" s="16" customFormat="1" ht="16.899999999999999" customHeight="1" x14ac:dyDescent="0.2">
      <c r="B721" s="17"/>
      <c r="C721" s="83"/>
      <c r="D721" s="83"/>
      <c r="E721" s="2"/>
      <c r="F721" s="200">
        <v>0</v>
      </c>
      <c r="H721" s="17"/>
    </row>
    <row r="722" spans="2:8" s="16" customFormat="1" ht="16.899999999999999" customHeight="1" x14ac:dyDescent="0.2">
      <c r="B722" s="17"/>
      <c r="C722" s="83"/>
      <c r="D722" s="83" t="s">
        <v>2095</v>
      </c>
      <c r="E722" s="2"/>
      <c r="F722" s="200">
        <v>0</v>
      </c>
      <c r="H722" s="17"/>
    </row>
    <row r="723" spans="2:8" s="16" customFormat="1" ht="16.899999999999999" customHeight="1" x14ac:dyDescent="0.2">
      <c r="B723" s="17"/>
      <c r="C723" s="83"/>
      <c r="D723" s="83" t="s">
        <v>2096</v>
      </c>
      <c r="E723" s="2"/>
      <c r="F723" s="200">
        <v>0</v>
      </c>
      <c r="H723" s="17"/>
    </row>
    <row r="724" spans="2:8" s="16" customFormat="1" ht="16.899999999999999" customHeight="1" x14ac:dyDescent="0.2">
      <c r="B724" s="17"/>
      <c r="C724" s="83"/>
      <c r="D724" s="83" t="s">
        <v>2097</v>
      </c>
      <c r="E724" s="2"/>
      <c r="F724" s="200">
        <v>0</v>
      </c>
      <c r="H724" s="17"/>
    </row>
    <row r="725" spans="2:8" s="16" customFormat="1" ht="16.899999999999999" customHeight="1" x14ac:dyDescent="0.2">
      <c r="B725" s="17"/>
      <c r="C725" s="83"/>
      <c r="D725" s="83" t="s">
        <v>2098</v>
      </c>
      <c r="E725" s="2"/>
      <c r="F725" s="200">
        <v>6.7</v>
      </c>
      <c r="H725" s="17"/>
    </row>
    <row r="726" spans="2:8" s="16" customFormat="1" ht="16.899999999999999" customHeight="1" x14ac:dyDescent="0.2">
      <c r="B726" s="17"/>
      <c r="C726" s="83"/>
      <c r="D726" s="83" t="s">
        <v>1601</v>
      </c>
      <c r="E726" s="2"/>
      <c r="F726" s="200">
        <v>-0.8</v>
      </c>
      <c r="H726" s="17"/>
    </row>
    <row r="727" spans="2:8" s="16" customFormat="1" ht="16.899999999999999" customHeight="1" x14ac:dyDescent="0.2">
      <c r="B727" s="17"/>
      <c r="C727" s="83"/>
      <c r="D727" s="83" t="s">
        <v>1600</v>
      </c>
      <c r="E727" s="2"/>
      <c r="F727" s="200">
        <v>20.149999999999999</v>
      </c>
      <c r="H727" s="17"/>
    </row>
    <row r="728" spans="2:8" s="16" customFormat="1" ht="16.899999999999999" customHeight="1" x14ac:dyDescent="0.2">
      <c r="B728" s="17"/>
      <c r="C728" s="83"/>
      <c r="D728" s="83" t="s">
        <v>1601</v>
      </c>
      <c r="E728" s="2"/>
      <c r="F728" s="200">
        <v>-0.8</v>
      </c>
      <c r="H728" s="17"/>
    </row>
    <row r="729" spans="2:8" s="16" customFormat="1" ht="16.899999999999999" customHeight="1" x14ac:dyDescent="0.2">
      <c r="B729" s="17"/>
      <c r="C729" s="83"/>
      <c r="D729" s="83" t="s">
        <v>2099</v>
      </c>
      <c r="E729" s="2"/>
      <c r="F729" s="200">
        <v>10.06</v>
      </c>
      <c r="H729" s="17"/>
    </row>
    <row r="730" spans="2:8" s="16" customFormat="1" ht="16.899999999999999" customHeight="1" x14ac:dyDescent="0.2">
      <c r="B730" s="17"/>
      <c r="C730" s="83"/>
      <c r="D730" s="83" t="s">
        <v>2100</v>
      </c>
      <c r="E730" s="2"/>
      <c r="F730" s="200">
        <v>-1.4</v>
      </c>
      <c r="H730" s="17"/>
    </row>
    <row r="731" spans="2:8" s="16" customFormat="1" ht="16.899999999999999" customHeight="1" x14ac:dyDescent="0.2">
      <c r="B731" s="17"/>
      <c r="C731" s="83"/>
      <c r="D731" s="83" t="s">
        <v>1653</v>
      </c>
      <c r="E731" s="2"/>
      <c r="F731" s="200">
        <v>13.3</v>
      </c>
      <c r="H731" s="17"/>
    </row>
    <row r="732" spans="2:8" s="16" customFormat="1" ht="16.899999999999999" customHeight="1" x14ac:dyDescent="0.2">
      <c r="B732" s="17"/>
      <c r="C732" s="83"/>
      <c r="D732" s="83" t="s">
        <v>1601</v>
      </c>
      <c r="E732" s="2"/>
      <c r="F732" s="200">
        <v>-0.8</v>
      </c>
      <c r="H732" s="17"/>
    </row>
    <row r="733" spans="2:8" s="16" customFormat="1" ht="16.899999999999999" customHeight="1" x14ac:dyDescent="0.2">
      <c r="B733" s="17"/>
      <c r="C733" s="83"/>
      <c r="D733" s="83" t="s">
        <v>2101</v>
      </c>
      <c r="E733" s="2"/>
      <c r="F733" s="200">
        <v>6.26</v>
      </c>
      <c r="H733" s="17"/>
    </row>
    <row r="734" spans="2:8" s="16" customFormat="1" ht="16.899999999999999" customHeight="1" x14ac:dyDescent="0.2">
      <c r="B734" s="17"/>
      <c r="C734" s="83"/>
      <c r="D734" s="83" t="s">
        <v>2102</v>
      </c>
      <c r="E734" s="2"/>
      <c r="F734" s="200">
        <v>-0.7</v>
      </c>
      <c r="H734" s="17"/>
    </row>
    <row r="735" spans="2:8" s="16" customFormat="1" ht="16.899999999999999" customHeight="1" x14ac:dyDescent="0.2">
      <c r="B735" s="17"/>
      <c r="C735" s="83"/>
      <c r="D735" s="83" t="s">
        <v>2103</v>
      </c>
      <c r="E735" s="2"/>
      <c r="F735" s="200">
        <v>4.34</v>
      </c>
      <c r="H735" s="17"/>
    </row>
    <row r="736" spans="2:8" s="16" customFormat="1" ht="16.899999999999999" customHeight="1" x14ac:dyDescent="0.2">
      <c r="B736" s="17"/>
      <c r="C736" s="83"/>
      <c r="D736" s="83" t="s">
        <v>2102</v>
      </c>
      <c r="E736" s="2"/>
      <c r="F736" s="200">
        <v>-0.7</v>
      </c>
      <c r="H736" s="17"/>
    </row>
    <row r="737" spans="2:8" s="16" customFormat="1" ht="16.899999999999999" customHeight="1" x14ac:dyDescent="0.2">
      <c r="B737" s="17"/>
      <c r="C737" s="83"/>
      <c r="D737" s="83" t="s">
        <v>2104</v>
      </c>
      <c r="E737" s="2"/>
      <c r="F737" s="200">
        <v>6.26</v>
      </c>
      <c r="H737" s="17"/>
    </row>
    <row r="738" spans="2:8" s="16" customFormat="1" ht="16.899999999999999" customHeight="1" x14ac:dyDescent="0.2">
      <c r="B738" s="17"/>
      <c r="C738" s="83"/>
      <c r="D738" s="83" t="s">
        <v>2102</v>
      </c>
      <c r="E738" s="2"/>
      <c r="F738" s="200">
        <v>-0.7</v>
      </c>
      <c r="H738" s="17"/>
    </row>
    <row r="739" spans="2:8" s="16" customFormat="1" ht="16.899999999999999" customHeight="1" x14ac:dyDescent="0.2">
      <c r="B739" s="17"/>
      <c r="C739" s="83"/>
      <c r="D739" s="83" t="s">
        <v>2105</v>
      </c>
      <c r="E739" s="2"/>
      <c r="F739" s="200">
        <v>4.34</v>
      </c>
      <c r="H739" s="17"/>
    </row>
    <row r="740" spans="2:8" s="16" customFormat="1" ht="16.899999999999999" customHeight="1" x14ac:dyDescent="0.2">
      <c r="B740" s="17"/>
      <c r="C740" s="83"/>
      <c r="D740" s="83" t="s">
        <v>2102</v>
      </c>
      <c r="E740" s="2"/>
      <c r="F740" s="200">
        <v>-0.7</v>
      </c>
      <c r="H740" s="17"/>
    </row>
    <row r="741" spans="2:8" s="16" customFormat="1" ht="16.899999999999999" customHeight="1" x14ac:dyDescent="0.2">
      <c r="B741" s="17"/>
      <c r="C741" s="83"/>
      <c r="D741" s="83" t="s">
        <v>2106</v>
      </c>
      <c r="E741" s="2"/>
      <c r="F741" s="200">
        <v>4.34</v>
      </c>
      <c r="H741" s="17"/>
    </row>
    <row r="742" spans="2:8" s="16" customFormat="1" ht="16.899999999999999" customHeight="1" x14ac:dyDescent="0.2">
      <c r="B742" s="17"/>
      <c r="C742" s="83"/>
      <c r="D742" s="83" t="s">
        <v>2102</v>
      </c>
      <c r="E742" s="2"/>
      <c r="F742" s="200">
        <v>-0.7</v>
      </c>
      <c r="H742" s="17"/>
    </row>
    <row r="743" spans="2:8" s="16" customFormat="1" ht="16.899999999999999" customHeight="1" x14ac:dyDescent="0.2">
      <c r="B743" s="17"/>
      <c r="C743" s="83"/>
      <c r="D743" s="83" t="s">
        <v>2107</v>
      </c>
      <c r="E743" s="2"/>
      <c r="F743" s="200">
        <v>5.89</v>
      </c>
      <c r="H743" s="17"/>
    </row>
    <row r="744" spans="2:8" s="16" customFormat="1" ht="16.899999999999999" customHeight="1" x14ac:dyDescent="0.2">
      <c r="B744" s="17"/>
      <c r="C744" s="83"/>
      <c r="D744" s="83" t="s">
        <v>2102</v>
      </c>
      <c r="E744" s="2"/>
      <c r="F744" s="200">
        <v>-0.7</v>
      </c>
      <c r="H744" s="17"/>
    </row>
    <row r="745" spans="2:8" s="16" customFormat="1" ht="16.899999999999999" customHeight="1" x14ac:dyDescent="0.2">
      <c r="B745" s="17"/>
      <c r="C745" s="83"/>
      <c r="D745" s="83" t="s">
        <v>2108</v>
      </c>
      <c r="E745" s="2"/>
      <c r="F745" s="200">
        <v>6.26</v>
      </c>
      <c r="H745" s="17"/>
    </row>
    <row r="746" spans="2:8" s="16" customFormat="1" ht="16.899999999999999" customHeight="1" x14ac:dyDescent="0.2">
      <c r="B746" s="17"/>
      <c r="C746" s="83"/>
      <c r="D746" s="83" t="s">
        <v>2102</v>
      </c>
      <c r="E746" s="2"/>
      <c r="F746" s="200">
        <v>-0.7</v>
      </c>
      <c r="H746" s="17"/>
    </row>
    <row r="747" spans="2:8" s="16" customFormat="1" ht="16.899999999999999" customHeight="1" x14ac:dyDescent="0.2">
      <c r="B747" s="17"/>
      <c r="C747" s="83"/>
      <c r="D747" s="83" t="s">
        <v>2109</v>
      </c>
      <c r="E747" s="2"/>
      <c r="F747" s="200">
        <v>4.34</v>
      </c>
      <c r="H747" s="17"/>
    </row>
    <row r="748" spans="2:8" s="16" customFormat="1" ht="16.899999999999999" customHeight="1" x14ac:dyDescent="0.2">
      <c r="B748" s="17"/>
      <c r="C748" s="83"/>
      <c r="D748" s="83" t="s">
        <v>2102</v>
      </c>
      <c r="E748" s="2"/>
      <c r="F748" s="200">
        <v>-0.7</v>
      </c>
      <c r="H748" s="17"/>
    </row>
    <row r="749" spans="2:8" s="16" customFormat="1" ht="16.899999999999999" customHeight="1" x14ac:dyDescent="0.2">
      <c r="B749" s="17"/>
      <c r="C749" s="83"/>
      <c r="D749" s="83" t="s">
        <v>2110</v>
      </c>
      <c r="E749" s="2"/>
      <c r="F749" s="200">
        <v>6.26</v>
      </c>
      <c r="H749" s="17"/>
    </row>
    <row r="750" spans="2:8" s="16" customFormat="1" ht="16.899999999999999" customHeight="1" x14ac:dyDescent="0.2">
      <c r="B750" s="17"/>
      <c r="C750" s="83"/>
      <c r="D750" s="83" t="s">
        <v>2102</v>
      </c>
      <c r="E750" s="2"/>
      <c r="F750" s="200">
        <v>-0.7</v>
      </c>
      <c r="H750" s="17"/>
    </row>
    <row r="751" spans="2:8" s="16" customFormat="1" ht="16.899999999999999" customHeight="1" x14ac:dyDescent="0.2">
      <c r="B751" s="17"/>
      <c r="C751" s="83"/>
      <c r="D751" s="83" t="s">
        <v>2111</v>
      </c>
      <c r="E751" s="2"/>
      <c r="F751" s="200">
        <v>4.71</v>
      </c>
      <c r="H751" s="17"/>
    </row>
    <row r="752" spans="2:8" s="16" customFormat="1" ht="16.899999999999999" customHeight="1" x14ac:dyDescent="0.2">
      <c r="B752" s="17"/>
      <c r="C752" s="83"/>
      <c r="D752" s="83" t="s">
        <v>2102</v>
      </c>
      <c r="E752" s="2"/>
      <c r="F752" s="200">
        <v>-0.7</v>
      </c>
      <c r="H752" s="17"/>
    </row>
    <row r="753" spans="2:8" s="16" customFormat="1" ht="16.899999999999999" customHeight="1" x14ac:dyDescent="0.2">
      <c r="B753" s="17"/>
      <c r="C753" s="83"/>
      <c r="D753" s="83" t="s">
        <v>2112</v>
      </c>
      <c r="E753" s="2"/>
      <c r="F753" s="200">
        <v>5.4</v>
      </c>
      <c r="H753" s="17"/>
    </row>
    <row r="754" spans="2:8" s="16" customFormat="1" ht="16.899999999999999" customHeight="1" x14ac:dyDescent="0.2">
      <c r="B754" s="17"/>
      <c r="C754" s="83"/>
      <c r="D754" s="83" t="s">
        <v>2102</v>
      </c>
      <c r="E754" s="2"/>
      <c r="F754" s="200">
        <v>-0.7</v>
      </c>
      <c r="H754" s="17"/>
    </row>
    <row r="755" spans="2:8" s="16" customFormat="1" ht="16.899999999999999" customHeight="1" x14ac:dyDescent="0.2">
      <c r="B755" s="17"/>
      <c r="C755" s="83"/>
      <c r="D755" s="83" t="s">
        <v>2113</v>
      </c>
      <c r="E755" s="2"/>
      <c r="F755" s="200">
        <v>6.45</v>
      </c>
      <c r="H755" s="17"/>
    </row>
    <row r="756" spans="2:8" s="16" customFormat="1" ht="16.899999999999999" customHeight="1" x14ac:dyDescent="0.2">
      <c r="B756" s="17"/>
      <c r="C756" s="83"/>
      <c r="D756" s="83" t="s">
        <v>2102</v>
      </c>
      <c r="E756" s="2"/>
      <c r="F756" s="200">
        <v>-0.7</v>
      </c>
      <c r="H756" s="17"/>
    </row>
    <row r="757" spans="2:8" s="16" customFormat="1" ht="16.899999999999999" customHeight="1" x14ac:dyDescent="0.2">
      <c r="B757" s="17"/>
      <c r="C757" s="83"/>
      <c r="D757" s="83"/>
      <c r="E757" s="2"/>
      <c r="F757" s="200">
        <v>0</v>
      </c>
      <c r="H757" s="17"/>
    </row>
    <row r="758" spans="2:8" s="16" customFormat="1" ht="16.899999999999999" customHeight="1" x14ac:dyDescent="0.2">
      <c r="B758" s="17"/>
      <c r="C758" s="83"/>
      <c r="D758" s="83" t="s">
        <v>1654</v>
      </c>
      <c r="E758" s="2"/>
      <c r="F758" s="200">
        <v>7.1</v>
      </c>
      <c r="H758" s="17"/>
    </row>
    <row r="759" spans="2:8" s="16" customFormat="1" ht="16.899999999999999" customHeight="1" x14ac:dyDescent="0.2">
      <c r="B759" s="17"/>
      <c r="C759" s="83"/>
      <c r="D759" s="83" t="s">
        <v>1601</v>
      </c>
      <c r="E759" s="2"/>
      <c r="F759" s="200">
        <v>-0.8</v>
      </c>
      <c r="H759" s="17"/>
    </row>
    <row r="760" spans="2:8" s="16" customFormat="1" ht="16.899999999999999" customHeight="1" x14ac:dyDescent="0.2">
      <c r="B760" s="17"/>
      <c r="C760" s="83"/>
      <c r="D760" s="83" t="s">
        <v>1615</v>
      </c>
      <c r="E760" s="2"/>
      <c r="F760" s="200">
        <v>20.149999999999999</v>
      </c>
      <c r="H760" s="17"/>
    </row>
    <row r="761" spans="2:8" s="16" customFormat="1" ht="16.899999999999999" customHeight="1" x14ac:dyDescent="0.2">
      <c r="B761" s="17"/>
      <c r="C761" s="83"/>
      <c r="D761" s="83" t="s">
        <v>1601</v>
      </c>
      <c r="E761" s="2"/>
      <c r="F761" s="200">
        <v>-0.8</v>
      </c>
      <c r="H761" s="17"/>
    </row>
    <row r="762" spans="2:8" s="16" customFormat="1" ht="16.899999999999999" customHeight="1" x14ac:dyDescent="0.2">
      <c r="B762" s="17"/>
      <c r="C762" s="83"/>
      <c r="D762" s="83" t="s">
        <v>1655</v>
      </c>
      <c r="E762" s="2"/>
      <c r="F762" s="200">
        <v>13.348000000000001</v>
      </c>
      <c r="H762" s="17"/>
    </row>
    <row r="763" spans="2:8" s="16" customFormat="1" ht="16.899999999999999" customHeight="1" x14ac:dyDescent="0.2">
      <c r="B763" s="17"/>
      <c r="C763" s="83"/>
      <c r="D763" s="83" t="s">
        <v>1601</v>
      </c>
      <c r="E763" s="2"/>
      <c r="F763" s="200">
        <v>-0.8</v>
      </c>
      <c r="H763" s="17"/>
    </row>
    <row r="764" spans="2:8" s="16" customFormat="1" ht="16.899999999999999" customHeight="1" x14ac:dyDescent="0.2">
      <c r="B764" s="17"/>
      <c r="C764" s="83"/>
      <c r="D764" s="83" t="s">
        <v>2114</v>
      </c>
      <c r="E764" s="2"/>
      <c r="F764" s="200">
        <v>5.3</v>
      </c>
      <c r="H764" s="17"/>
    </row>
    <row r="765" spans="2:8" s="16" customFormat="1" ht="16.899999999999999" customHeight="1" x14ac:dyDescent="0.2">
      <c r="B765" s="17"/>
      <c r="C765" s="83"/>
      <c r="D765" s="83" t="s">
        <v>2100</v>
      </c>
      <c r="E765" s="2"/>
      <c r="F765" s="200">
        <v>-1.4</v>
      </c>
      <c r="H765" s="17"/>
    </row>
    <row r="766" spans="2:8" s="16" customFormat="1" ht="16.899999999999999" customHeight="1" x14ac:dyDescent="0.2">
      <c r="B766" s="17"/>
      <c r="C766" s="83"/>
      <c r="D766" s="83" t="s">
        <v>2115</v>
      </c>
      <c r="E766" s="2"/>
      <c r="F766" s="200">
        <v>5.0599999999999996</v>
      </c>
      <c r="H766" s="17"/>
    </row>
    <row r="767" spans="2:8" s="16" customFormat="1" ht="16.899999999999999" customHeight="1" x14ac:dyDescent="0.2">
      <c r="B767" s="17"/>
      <c r="C767" s="83"/>
      <c r="D767" s="83" t="s">
        <v>1648</v>
      </c>
      <c r="E767" s="2"/>
      <c r="F767" s="200">
        <v>-0.7</v>
      </c>
      <c r="H767" s="17"/>
    </row>
    <row r="768" spans="2:8" s="16" customFormat="1" ht="16.899999999999999" customHeight="1" x14ac:dyDescent="0.2">
      <c r="B768" s="17"/>
      <c r="C768" s="83"/>
      <c r="D768" s="83" t="s">
        <v>2116</v>
      </c>
      <c r="E768" s="2"/>
      <c r="F768" s="200">
        <v>4.9000000000000004</v>
      </c>
      <c r="H768" s="17"/>
    </row>
    <row r="769" spans="2:8" s="16" customFormat="1" ht="16.899999999999999" customHeight="1" x14ac:dyDescent="0.2">
      <c r="B769" s="17"/>
      <c r="C769" s="83"/>
      <c r="D769" s="83" t="s">
        <v>1648</v>
      </c>
      <c r="E769" s="2"/>
      <c r="F769" s="200">
        <v>-0.7</v>
      </c>
      <c r="H769" s="17"/>
    </row>
    <row r="770" spans="2:8" s="16" customFormat="1" ht="16.899999999999999" customHeight="1" x14ac:dyDescent="0.2">
      <c r="B770" s="17"/>
      <c r="C770" s="83"/>
      <c r="D770" s="83" t="s">
        <v>2117</v>
      </c>
      <c r="E770" s="2"/>
      <c r="F770" s="200">
        <v>4.8</v>
      </c>
      <c r="H770" s="17"/>
    </row>
    <row r="771" spans="2:8" s="16" customFormat="1" ht="16.899999999999999" customHeight="1" x14ac:dyDescent="0.2">
      <c r="B771" s="17"/>
      <c r="C771" s="83"/>
      <c r="D771" s="83" t="s">
        <v>2100</v>
      </c>
      <c r="E771" s="2"/>
      <c r="F771" s="200">
        <v>-1.4</v>
      </c>
      <c r="H771" s="17"/>
    </row>
    <row r="772" spans="2:8" s="16" customFormat="1" ht="16.899999999999999" customHeight="1" x14ac:dyDescent="0.2">
      <c r="B772" s="17"/>
      <c r="C772" s="83"/>
      <c r="D772" s="83" t="s">
        <v>2118</v>
      </c>
      <c r="E772" s="2"/>
      <c r="F772" s="200">
        <v>4.4000000000000004</v>
      </c>
      <c r="H772" s="17"/>
    </row>
    <row r="773" spans="2:8" s="16" customFormat="1" ht="16.899999999999999" customHeight="1" x14ac:dyDescent="0.2">
      <c r="B773" s="17"/>
      <c r="C773" s="83"/>
      <c r="D773" s="83" t="s">
        <v>2100</v>
      </c>
      <c r="E773" s="2"/>
      <c r="F773" s="200">
        <v>-1.4</v>
      </c>
      <c r="H773" s="17"/>
    </row>
    <row r="774" spans="2:8" s="16" customFormat="1" ht="16.899999999999999" customHeight="1" x14ac:dyDescent="0.2">
      <c r="B774" s="17"/>
      <c r="C774" s="83"/>
      <c r="D774" s="83" t="s">
        <v>2119</v>
      </c>
      <c r="E774" s="2"/>
      <c r="F774" s="200">
        <v>4.0599999999999996</v>
      </c>
      <c r="H774" s="17"/>
    </row>
    <row r="775" spans="2:8" s="16" customFormat="1" ht="16.899999999999999" customHeight="1" x14ac:dyDescent="0.2">
      <c r="B775" s="17"/>
      <c r="C775" s="83"/>
      <c r="D775" s="83" t="s">
        <v>1648</v>
      </c>
      <c r="E775" s="2"/>
      <c r="F775" s="200">
        <v>-0.7</v>
      </c>
      <c r="H775" s="17"/>
    </row>
    <row r="776" spans="2:8" s="16" customFormat="1" ht="16.899999999999999" customHeight="1" x14ac:dyDescent="0.2">
      <c r="B776" s="17"/>
      <c r="C776" s="83"/>
      <c r="D776" s="83" t="s">
        <v>2120</v>
      </c>
      <c r="E776" s="2"/>
      <c r="F776" s="200">
        <v>10.86</v>
      </c>
      <c r="H776" s="17"/>
    </row>
    <row r="777" spans="2:8" s="16" customFormat="1" ht="16.899999999999999" customHeight="1" x14ac:dyDescent="0.2">
      <c r="B777" s="17"/>
      <c r="C777" s="83"/>
      <c r="D777" s="83" t="s">
        <v>1588</v>
      </c>
      <c r="E777" s="2"/>
      <c r="F777" s="200">
        <v>-0.9</v>
      </c>
      <c r="H777" s="17"/>
    </row>
    <row r="778" spans="2:8" s="16" customFormat="1" ht="16.899999999999999" customHeight="1" x14ac:dyDescent="0.2">
      <c r="B778" s="17"/>
      <c r="C778" s="83"/>
      <c r="D778" s="83" t="s">
        <v>2121</v>
      </c>
      <c r="E778" s="2"/>
      <c r="F778" s="200">
        <v>6.26</v>
      </c>
      <c r="H778" s="17"/>
    </row>
    <row r="779" spans="2:8" s="16" customFormat="1" ht="16.899999999999999" customHeight="1" x14ac:dyDescent="0.2">
      <c r="B779" s="17"/>
      <c r="C779" s="83"/>
      <c r="D779" s="83" t="s">
        <v>2102</v>
      </c>
      <c r="E779" s="2"/>
      <c r="F779" s="200">
        <v>-0.7</v>
      </c>
      <c r="H779" s="17"/>
    </row>
    <row r="780" spans="2:8" s="16" customFormat="1" ht="16.899999999999999" customHeight="1" x14ac:dyDescent="0.2">
      <c r="B780" s="17"/>
      <c r="C780" s="83"/>
      <c r="D780" s="83" t="s">
        <v>2122</v>
      </c>
      <c r="E780" s="2"/>
      <c r="F780" s="200">
        <v>4.34</v>
      </c>
      <c r="H780" s="17"/>
    </row>
    <row r="781" spans="2:8" s="16" customFormat="1" ht="16.899999999999999" customHeight="1" x14ac:dyDescent="0.2">
      <c r="B781" s="17"/>
      <c r="C781" s="83"/>
      <c r="D781" s="83" t="s">
        <v>2102</v>
      </c>
      <c r="E781" s="2"/>
      <c r="F781" s="200">
        <v>-0.7</v>
      </c>
      <c r="H781" s="17"/>
    </row>
    <row r="782" spans="2:8" s="16" customFormat="1" ht="16.899999999999999" customHeight="1" x14ac:dyDescent="0.2">
      <c r="B782" s="17"/>
      <c r="C782" s="83"/>
      <c r="D782" s="83" t="s">
        <v>2123</v>
      </c>
      <c r="E782" s="2"/>
      <c r="F782" s="200">
        <v>6.26</v>
      </c>
      <c r="H782" s="17"/>
    </row>
    <row r="783" spans="2:8" s="16" customFormat="1" ht="16.899999999999999" customHeight="1" x14ac:dyDescent="0.2">
      <c r="B783" s="17"/>
      <c r="C783" s="83"/>
      <c r="D783" s="83" t="s">
        <v>2102</v>
      </c>
      <c r="E783" s="2"/>
      <c r="F783" s="200">
        <v>-0.7</v>
      </c>
      <c r="H783" s="17"/>
    </row>
    <row r="784" spans="2:8" s="16" customFormat="1" ht="16.899999999999999" customHeight="1" x14ac:dyDescent="0.2">
      <c r="B784" s="17"/>
      <c r="C784" s="83"/>
      <c r="D784" s="83" t="s">
        <v>2124</v>
      </c>
      <c r="E784" s="2"/>
      <c r="F784" s="200">
        <v>4.34</v>
      </c>
      <c r="H784" s="17"/>
    </row>
    <row r="785" spans="2:8" s="16" customFormat="1" ht="16.899999999999999" customHeight="1" x14ac:dyDescent="0.2">
      <c r="B785" s="17"/>
      <c r="C785" s="83"/>
      <c r="D785" s="83" t="s">
        <v>2102</v>
      </c>
      <c r="E785" s="2"/>
      <c r="F785" s="200">
        <v>-0.7</v>
      </c>
      <c r="H785" s="17"/>
    </row>
    <row r="786" spans="2:8" s="16" customFormat="1" ht="16.899999999999999" customHeight="1" x14ac:dyDescent="0.2">
      <c r="B786" s="17"/>
      <c r="C786" s="83"/>
      <c r="D786" s="83" t="s">
        <v>2125</v>
      </c>
      <c r="E786" s="2"/>
      <c r="F786" s="200">
        <v>6.26</v>
      </c>
      <c r="H786" s="17"/>
    </row>
    <row r="787" spans="2:8" s="16" customFormat="1" ht="16.899999999999999" customHeight="1" x14ac:dyDescent="0.2">
      <c r="B787" s="17"/>
      <c r="C787" s="83"/>
      <c r="D787" s="83" t="s">
        <v>2102</v>
      </c>
      <c r="E787" s="2"/>
      <c r="F787" s="200">
        <v>-0.7</v>
      </c>
      <c r="H787" s="17"/>
    </row>
    <row r="788" spans="2:8" s="16" customFormat="1" ht="16.899999999999999" customHeight="1" x14ac:dyDescent="0.2">
      <c r="B788" s="17"/>
      <c r="C788" s="83"/>
      <c r="D788" s="83" t="s">
        <v>2126</v>
      </c>
      <c r="E788" s="2"/>
      <c r="F788" s="200">
        <v>4.34</v>
      </c>
      <c r="H788" s="17"/>
    </row>
    <row r="789" spans="2:8" s="16" customFormat="1" ht="16.899999999999999" customHeight="1" x14ac:dyDescent="0.2">
      <c r="B789" s="17"/>
      <c r="C789" s="83"/>
      <c r="D789" s="83" t="s">
        <v>2102</v>
      </c>
      <c r="E789" s="2"/>
      <c r="F789" s="200">
        <v>-0.7</v>
      </c>
      <c r="H789" s="17"/>
    </row>
    <row r="790" spans="2:8" s="16" customFormat="1" ht="16.899999999999999" customHeight="1" x14ac:dyDescent="0.2">
      <c r="B790" s="17"/>
      <c r="C790" s="83"/>
      <c r="D790" s="83" t="s">
        <v>2127</v>
      </c>
      <c r="E790" s="2"/>
      <c r="F790" s="200">
        <v>4.34</v>
      </c>
      <c r="H790" s="17"/>
    </row>
    <row r="791" spans="2:8" s="16" customFormat="1" ht="16.899999999999999" customHeight="1" x14ac:dyDescent="0.2">
      <c r="B791" s="17"/>
      <c r="C791" s="83"/>
      <c r="D791" s="83" t="s">
        <v>2102</v>
      </c>
      <c r="E791" s="2"/>
      <c r="F791" s="200">
        <v>-0.7</v>
      </c>
      <c r="H791" s="17"/>
    </row>
    <row r="792" spans="2:8" s="16" customFormat="1" ht="16.899999999999999" customHeight="1" x14ac:dyDescent="0.2">
      <c r="B792" s="17"/>
      <c r="C792" s="83"/>
      <c r="D792" s="83" t="s">
        <v>2128</v>
      </c>
      <c r="E792" s="2"/>
      <c r="F792" s="200">
        <v>5.89</v>
      </c>
      <c r="H792" s="17"/>
    </row>
    <row r="793" spans="2:8" s="16" customFormat="1" ht="16.899999999999999" customHeight="1" x14ac:dyDescent="0.2">
      <c r="B793" s="17"/>
      <c r="C793" s="83"/>
      <c r="D793" s="83" t="s">
        <v>2102</v>
      </c>
      <c r="E793" s="2"/>
      <c r="F793" s="200">
        <v>-0.7</v>
      </c>
      <c r="H793" s="17"/>
    </row>
    <row r="794" spans="2:8" s="16" customFormat="1" ht="16.899999999999999" customHeight="1" x14ac:dyDescent="0.2">
      <c r="B794" s="17"/>
      <c r="C794" s="83"/>
      <c r="D794" s="83" t="s">
        <v>2129</v>
      </c>
      <c r="E794" s="2"/>
      <c r="F794" s="200">
        <v>6.26</v>
      </c>
      <c r="H794" s="17"/>
    </row>
    <row r="795" spans="2:8" s="16" customFormat="1" ht="16.899999999999999" customHeight="1" x14ac:dyDescent="0.2">
      <c r="B795" s="17"/>
      <c r="C795" s="83"/>
      <c r="D795" s="83" t="s">
        <v>2102</v>
      </c>
      <c r="E795" s="2"/>
      <c r="F795" s="200">
        <v>-0.7</v>
      </c>
      <c r="H795" s="17"/>
    </row>
    <row r="796" spans="2:8" s="16" customFormat="1" ht="16.899999999999999" customHeight="1" x14ac:dyDescent="0.2">
      <c r="B796" s="17"/>
      <c r="C796" s="83"/>
      <c r="D796" s="83" t="s">
        <v>2130</v>
      </c>
      <c r="E796" s="2"/>
      <c r="F796" s="200">
        <v>4.34</v>
      </c>
      <c r="H796" s="17"/>
    </row>
    <row r="797" spans="2:8" s="16" customFormat="1" ht="16.899999999999999" customHeight="1" x14ac:dyDescent="0.2">
      <c r="B797" s="17"/>
      <c r="C797" s="83"/>
      <c r="D797" s="83" t="s">
        <v>2102</v>
      </c>
      <c r="E797" s="2"/>
      <c r="F797" s="200">
        <v>-0.7</v>
      </c>
      <c r="H797" s="17"/>
    </row>
    <row r="798" spans="2:8" s="16" customFormat="1" ht="16.899999999999999" customHeight="1" x14ac:dyDescent="0.2">
      <c r="B798" s="17"/>
      <c r="C798" s="83"/>
      <c r="D798" s="83" t="s">
        <v>2131</v>
      </c>
      <c r="E798" s="2"/>
      <c r="F798" s="200">
        <v>6.26</v>
      </c>
      <c r="H798" s="17"/>
    </row>
    <row r="799" spans="2:8" s="16" customFormat="1" ht="16.899999999999999" customHeight="1" x14ac:dyDescent="0.2">
      <c r="B799" s="17"/>
      <c r="C799" s="83"/>
      <c r="D799" s="83" t="s">
        <v>2102</v>
      </c>
      <c r="E799" s="2"/>
      <c r="F799" s="200">
        <v>-0.7</v>
      </c>
      <c r="H799" s="17"/>
    </row>
    <row r="800" spans="2:8" s="16" customFormat="1" ht="16.899999999999999" customHeight="1" x14ac:dyDescent="0.2">
      <c r="B800" s="17"/>
      <c r="C800" s="83"/>
      <c r="D800" s="83" t="s">
        <v>2132</v>
      </c>
      <c r="E800" s="2"/>
      <c r="F800" s="200">
        <v>4.71</v>
      </c>
      <c r="H800" s="17"/>
    </row>
    <row r="801" spans="2:8" s="16" customFormat="1" ht="16.899999999999999" customHeight="1" x14ac:dyDescent="0.2">
      <c r="B801" s="17"/>
      <c r="C801" s="83"/>
      <c r="D801" s="83" t="s">
        <v>2102</v>
      </c>
      <c r="E801" s="2"/>
      <c r="F801" s="200">
        <v>-0.7</v>
      </c>
      <c r="H801" s="17"/>
    </row>
    <row r="802" spans="2:8" s="16" customFormat="1" ht="16.899999999999999" customHeight="1" x14ac:dyDescent="0.2">
      <c r="B802" s="17"/>
      <c r="C802" s="83"/>
      <c r="D802" s="83" t="s">
        <v>2133</v>
      </c>
      <c r="E802" s="2"/>
      <c r="F802" s="200">
        <v>5.4</v>
      </c>
      <c r="H802" s="17"/>
    </row>
    <row r="803" spans="2:8" s="16" customFormat="1" ht="16.899999999999999" customHeight="1" x14ac:dyDescent="0.2">
      <c r="B803" s="17"/>
      <c r="C803" s="83"/>
      <c r="D803" s="83" t="s">
        <v>2102</v>
      </c>
      <c r="E803" s="2"/>
      <c r="F803" s="200">
        <v>-0.7</v>
      </c>
      <c r="H803" s="17"/>
    </row>
    <row r="804" spans="2:8" s="16" customFormat="1" ht="16.899999999999999" customHeight="1" x14ac:dyDescent="0.2">
      <c r="B804" s="17"/>
      <c r="C804" s="83"/>
      <c r="D804" s="83" t="s">
        <v>2134</v>
      </c>
      <c r="E804" s="2"/>
      <c r="F804" s="200">
        <v>6.45</v>
      </c>
      <c r="H804" s="17"/>
    </row>
    <row r="805" spans="2:8" s="16" customFormat="1" ht="16.899999999999999" customHeight="1" x14ac:dyDescent="0.2">
      <c r="B805" s="17"/>
      <c r="C805" s="83"/>
      <c r="D805" s="83" t="s">
        <v>2102</v>
      </c>
      <c r="E805" s="2"/>
      <c r="F805" s="200">
        <v>-0.7</v>
      </c>
      <c r="H805" s="17"/>
    </row>
    <row r="806" spans="2:8" s="16" customFormat="1" ht="16.899999999999999" customHeight="1" x14ac:dyDescent="0.2">
      <c r="B806" s="17"/>
      <c r="C806" s="83"/>
      <c r="D806" s="83"/>
      <c r="E806" s="2"/>
      <c r="F806" s="200">
        <v>0</v>
      </c>
      <c r="H806" s="17"/>
    </row>
    <row r="807" spans="2:8" s="16" customFormat="1" ht="16.899999999999999" customHeight="1" x14ac:dyDescent="0.2">
      <c r="B807" s="17"/>
      <c r="C807" s="83"/>
      <c r="D807" s="83" t="s">
        <v>2135</v>
      </c>
      <c r="E807" s="2"/>
      <c r="F807" s="200">
        <v>6.7</v>
      </c>
      <c r="H807" s="17"/>
    </row>
    <row r="808" spans="2:8" s="16" customFormat="1" ht="16.899999999999999" customHeight="1" x14ac:dyDescent="0.2">
      <c r="B808" s="17"/>
      <c r="C808" s="83"/>
      <c r="D808" s="83" t="s">
        <v>1601</v>
      </c>
      <c r="E808" s="2"/>
      <c r="F808" s="200">
        <v>-0.8</v>
      </c>
      <c r="H808" s="17"/>
    </row>
    <row r="809" spans="2:8" s="16" customFormat="1" ht="16.899999999999999" customHeight="1" x14ac:dyDescent="0.2">
      <c r="B809" s="17"/>
      <c r="C809" s="83"/>
      <c r="D809" s="83" t="s">
        <v>1623</v>
      </c>
      <c r="E809" s="2"/>
      <c r="F809" s="200">
        <v>20.149999999999999</v>
      </c>
      <c r="H809" s="17"/>
    </row>
    <row r="810" spans="2:8" s="16" customFormat="1" ht="16.899999999999999" customHeight="1" x14ac:dyDescent="0.2">
      <c r="B810" s="17"/>
      <c r="C810" s="83"/>
      <c r="D810" s="83" t="s">
        <v>1601</v>
      </c>
      <c r="E810" s="2"/>
      <c r="F810" s="200">
        <v>-0.8</v>
      </c>
      <c r="H810" s="17"/>
    </row>
    <row r="811" spans="2:8" s="16" customFormat="1" ht="16.899999999999999" customHeight="1" x14ac:dyDescent="0.2">
      <c r="B811" s="17"/>
      <c r="C811" s="83"/>
      <c r="D811" s="83" t="s">
        <v>1660</v>
      </c>
      <c r="E811" s="2"/>
      <c r="F811" s="200">
        <v>13.348000000000001</v>
      </c>
      <c r="H811" s="17"/>
    </row>
    <row r="812" spans="2:8" s="16" customFormat="1" ht="16.899999999999999" customHeight="1" x14ac:dyDescent="0.2">
      <c r="B812" s="17"/>
      <c r="C812" s="83"/>
      <c r="D812" s="83" t="s">
        <v>1601</v>
      </c>
      <c r="E812" s="2"/>
      <c r="F812" s="200">
        <v>-0.8</v>
      </c>
      <c r="H812" s="17"/>
    </row>
    <row r="813" spans="2:8" s="16" customFormat="1" ht="16.899999999999999" customHeight="1" x14ac:dyDescent="0.2">
      <c r="B813" s="17"/>
      <c r="C813" s="83"/>
      <c r="D813" s="83" t="s">
        <v>2136</v>
      </c>
      <c r="E813" s="2"/>
      <c r="F813" s="200">
        <v>6.06</v>
      </c>
      <c r="H813" s="17"/>
    </row>
    <row r="814" spans="2:8" s="16" customFormat="1" ht="16.899999999999999" customHeight="1" x14ac:dyDescent="0.2">
      <c r="B814" s="17"/>
      <c r="C814" s="83"/>
      <c r="D814" s="83" t="s">
        <v>1601</v>
      </c>
      <c r="E814" s="2"/>
      <c r="F814" s="200">
        <v>-0.8</v>
      </c>
      <c r="H814" s="17"/>
    </row>
    <row r="815" spans="2:8" s="16" customFormat="1" ht="16.899999999999999" customHeight="1" x14ac:dyDescent="0.2">
      <c r="B815" s="17"/>
      <c r="C815" s="83"/>
      <c r="D815" s="83" t="s">
        <v>2137</v>
      </c>
      <c r="E815" s="2"/>
      <c r="F815" s="200">
        <v>10.86</v>
      </c>
      <c r="H815" s="17"/>
    </row>
    <row r="816" spans="2:8" s="16" customFormat="1" ht="16.899999999999999" customHeight="1" x14ac:dyDescent="0.2">
      <c r="B816" s="17"/>
      <c r="C816" s="83"/>
      <c r="D816" s="83" t="s">
        <v>1588</v>
      </c>
      <c r="E816" s="2"/>
      <c r="F816" s="200">
        <v>-0.9</v>
      </c>
      <c r="H816" s="17"/>
    </row>
    <row r="817" spans="2:8" s="16" customFormat="1" ht="16.899999999999999" customHeight="1" x14ac:dyDescent="0.2">
      <c r="B817" s="17"/>
      <c r="C817" s="83"/>
      <c r="D817" s="83" t="s">
        <v>2138</v>
      </c>
      <c r="E817" s="2"/>
      <c r="F817" s="200">
        <v>6.26</v>
      </c>
      <c r="H817" s="17"/>
    </row>
    <row r="818" spans="2:8" s="16" customFormat="1" ht="16.899999999999999" customHeight="1" x14ac:dyDescent="0.2">
      <c r="B818" s="17"/>
      <c r="C818" s="83"/>
      <c r="D818" s="83" t="s">
        <v>2102</v>
      </c>
      <c r="E818" s="2"/>
      <c r="F818" s="200">
        <v>-0.7</v>
      </c>
      <c r="H818" s="17"/>
    </row>
    <row r="819" spans="2:8" s="16" customFormat="1" ht="16.899999999999999" customHeight="1" x14ac:dyDescent="0.2">
      <c r="B819" s="17"/>
      <c r="C819" s="83"/>
      <c r="D819" s="83" t="s">
        <v>2139</v>
      </c>
      <c r="E819" s="2"/>
      <c r="F819" s="200">
        <v>4.34</v>
      </c>
      <c r="H819" s="17"/>
    </row>
    <row r="820" spans="2:8" s="16" customFormat="1" ht="16.899999999999999" customHeight="1" x14ac:dyDescent="0.2">
      <c r="B820" s="17"/>
      <c r="C820" s="83"/>
      <c r="D820" s="83" t="s">
        <v>2102</v>
      </c>
      <c r="E820" s="2"/>
      <c r="F820" s="200">
        <v>-0.7</v>
      </c>
      <c r="H820" s="17"/>
    </row>
    <row r="821" spans="2:8" s="16" customFormat="1" ht="16.899999999999999" customHeight="1" x14ac:dyDescent="0.2">
      <c r="B821" s="17"/>
      <c r="C821" s="83"/>
      <c r="D821" s="83" t="s">
        <v>2140</v>
      </c>
      <c r="E821" s="2"/>
      <c r="F821" s="200">
        <v>6.26</v>
      </c>
      <c r="H821" s="17"/>
    </row>
    <row r="822" spans="2:8" s="16" customFormat="1" ht="16.899999999999999" customHeight="1" x14ac:dyDescent="0.2">
      <c r="B822" s="17"/>
      <c r="C822" s="83"/>
      <c r="D822" s="83" t="s">
        <v>2102</v>
      </c>
      <c r="E822" s="2"/>
      <c r="F822" s="200">
        <v>-0.7</v>
      </c>
      <c r="H822" s="17"/>
    </row>
    <row r="823" spans="2:8" s="16" customFormat="1" ht="16.899999999999999" customHeight="1" x14ac:dyDescent="0.2">
      <c r="B823" s="17"/>
      <c r="C823" s="83"/>
      <c r="D823" s="83" t="s">
        <v>2141</v>
      </c>
      <c r="E823" s="2"/>
      <c r="F823" s="200">
        <v>4.34</v>
      </c>
      <c r="H823" s="17"/>
    </row>
    <row r="824" spans="2:8" s="16" customFormat="1" ht="16.899999999999999" customHeight="1" x14ac:dyDescent="0.2">
      <c r="B824" s="17"/>
      <c r="C824" s="83"/>
      <c r="D824" s="83" t="s">
        <v>2102</v>
      </c>
      <c r="E824" s="2"/>
      <c r="F824" s="200">
        <v>-0.7</v>
      </c>
      <c r="H824" s="17"/>
    </row>
    <row r="825" spans="2:8" s="16" customFormat="1" ht="16.899999999999999" customHeight="1" x14ac:dyDescent="0.2">
      <c r="B825" s="17"/>
      <c r="C825" s="83"/>
      <c r="D825" s="83" t="s">
        <v>2142</v>
      </c>
      <c r="E825" s="2"/>
      <c r="F825" s="200">
        <v>6.26</v>
      </c>
      <c r="H825" s="17"/>
    </row>
    <row r="826" spans="2:8" s="16" customFormat="1" ht="16.899999999999999" customHeight="1" x14ac:dyDescent="0.2">
      <c r="B826" s="17"/>
      <c r="C826" s="83"/>
      <c r="D826" s="83" t="s">
        <v>2102</v>
      </c>
      <c r="E826" s="2"/>
      <c r="F826" s="200">
        <v>-0.7</v>
      </c>
      <c r="H826" s="17"/>
    </row>
    <row r="827" spans="2:8" s="16" customFormat="1" ht="16.899999999999999" customHeight="1" x14ac:dyDescent="0.2">
      <c r="B827" s="17"/>
      <c r="C827" s="83"/>
      <c r="D827" s="83" t="s">
        <v>2143</v>
      </c>
      <c r="E827" s="2"/>
      <c r="F827" s="200">
        <v>4.34</v>
      </c>
      <c r="H827" s="17"/>
    </row>
    <row r="828" spans="2:8" s="16" customFormat="1" ht="16.899999999999999" customHeight="1" x14ac:dyDescent="0.2">
      <c r="B828" s="17"/>
      <c r="C828" s="83"/>
      <c r="D828" s="83" t="s">
        <v>2102</v>
      </c>
      <c r="E828" s="2"/>
      <c r="F828" s="200">
        <v>-0.7</v>
      </c>
      <c r="H828" s="17"/>
    </row>
    <row r="829" spans="2:8" s="16" customFormat="1" ht="16.899999999999999" customHeight="1" x14ac:dyDescent="0.2">
      <c r="B829" s="17"/>
      <c r="C829" s="83"/>
      <c r="D829" s="83" t="s">
        <v>2144</v>
      </c>
      <c r="E829" s="2"/>
      <c r="F829" s="200">
        <v>4.34</v>
      </c>
      <c r="H829" s="17"/>
    </row>
    <row r="830" spans="2:8" s="16" customFormat="1" ht="16.899999999999999" customHeight="1" x14ac:dyDescent="0.2">
      <c r="B830" s="17"/>
      <c r="C830" s="83"/>
      <c r="D830" s="83" t="s">
        <v>2102</v>
      </c>
      <c r="E830" s="2"/>
      <c r="F830" s="200">
        <v>-0.7</v>
      </c>
      <c r="H830" s="17"/>
    </row>
    <row r="831" spans="2:8" s="16" customFormat="1" ht="16.899999999999999" customHeight="1" x14ac:dyDescent="0.2">
      <c r="B831" s="17"/>
      <c r="C831" s="83"/>
      <c r="D831" s="83" t="s">
        <v>2145</v>
      </c>
      <c r="E831" s="2"/>
      <c r="F831" s="200">
        <v>5.89</v>
      </c>
      <c r="H831" s="17"/>
    </row>
    <row r="832" spans="2:8" s="16" customFormat="1" ht="16.899999999999999" customHeight="1" x14ac:dyDescent="0.2">
      <c r="B832" s="17"/>
      <c r="C832" s="83"/>
      <c r="D832" s="83" t="s">
        <v>2102</v>
      </c>
      <c r="E832" s="2"/>
      <c r="F832" s="200">
        <v>-0.7</v>
      </c>
      <c r="H832" s="17"/>
    </row>
    <row r="833" spans="2:8" s="16" customFormat="1" ht="16.899999999999999" customHeight="1" x14ac:dyDescent="0.2">
      <c r="B833" s="17"/>
      <c r="C833" s="83"/>
      <c r="D833" s="83" t="s">
        <v>2146</v>
      </c>
      <c r="E833" s="2"/>
      <c r="F833" s="200">
        <v>6.26</v>
      </c>
      <c r="H833" s="17"/>
    </row>
    <row r="834" spans="2:8" s="16" customFormat="1" ht="16.899999999999999" customHeight="1" x14ac:dyDescent="0.2">
      <c r="B834" s="17"/>
      <c r="C834" s="83"/>
      <c r="D834" s="83" t="s">
        <v>2102</v>
      </c>
      <c r="E834" s="2"/>
      <c r="F834" s="200">
        <v>-0.7</v>
      </c>
      <c r="H834" s="17"/>
    </row>
    <row r="835" spans="2:8" s="16" customFormat="1" ht="16.899999999999999" customHeight="1" x14ac:dyDescent="0.2">
      <c r="B835" s="17"/>
      <c r="C835" s="83"/>
      <c r="D835" s="83" t="s">
        <v>2147</v>
      </c>
      <c r="E835" s="2"/>
      <c r="F835" s="200">
        <v>4.34</v>
      </c>
      <c r="H835" s="17"/>
    </row>
    <row r="836" spans="2:8" s="16" customFormat="1" ht="16.899999999999999" customHeight="1" x14ac:dyDescent="0.2">
      <c r="B836" s="17"/>
      <c r="C836" s="83"/>
      <c r="D836" s="83" t="s">
        <v>2102</v>
      </c>
      <c r="E836" s="2"/>
      <c r="F836" s="200">
        <v>-0.7</v>
      </c>
      <c r="H836" s="17"/>
    </row>
    <row r="837" spans="2:8" s="16" customFormat="1" ht="16.899999999999999" customHeight="1" x14ac:dyDescent="0.2">
      <c r="B837" s="17"/>
      <c r="C837" s="83"/>
      <c r="D837" s="83" t="s">
        <v>2148</v>
      </c>
      <c r="E837" s="2"/>
      <c r="F837" s="200">
        <v>6.26</v>
      </c>
      <c r="H837" s="17"/>
    </row>
    <row r="838" spans="2:8" s="16" customFormat="1" ht="16.899999999999999" customHeight="1" x14ac:dyDescent="0.2">
      <c r="B838" s="17"/>
      <c r="C838" s="83"/>
      <c r="D838" s="83" t="s">
        <v>2102</v>
      </c>
      <c r="E838" s="2"/>
      <c r="F838" s="200">
        <v>-0.7</v>
      </c>
      <c r="H838" s="17"/>
    </row>
    <row r="839" spans="2:8" s="16" customFormat="1" ht="16.899999999999999" customHeight="1" x14ac:dyDescent="0.2">
      <c r="B839" s="17"/>
      <c r="C839" s="83"/>
      <c r="D839" s="83" t="s">
        <v>2149</v>
      </c>
      <c r="E839" s="2"/>
      <c r="F839" s="200">
        <v>4.71</v>
      </c>
      <c r="H839" s="17"/>
    </row>
    <row r="840" spans="2:8" s="16" customFormat="1" ht="16.899999999999999" customHeight="1" x14ac:dyDescent="0.2">
      <c r="B840" s="17"/>
      <c r="C840" s="83"/>
      <c r="D840" s="83" t="s">
        <v>2102</v>
      </c>
      <c r="E840" s="2"/>
      <c r="F840" s="200">
        <v>-0.7</v>
      </c>
      <c r="H840" s="17"/>
    </row>
    <row r="841" spans="2:8" s="16" customFormat="1" ht="16.899999999999999" customHeight="1" x14ac:dyDescent="0.2">
      <c r="B841" s="17"/>
      <c r="C841" s="83"/>
      <c r="D841" s="83" t="s">
        <v>2150</v>
      </c>
      <c r="E841" s="2"/>
      <c r="F841" s="200">
        <v>5.4</v>
      </c>
      <c r="H841" s="17"/>
    </row>
    <row r="842" spans="2:8" s="16" customFormat="1" ht="16.899999999999999" customHeight="1" x14ac:dyDescent="0.2">
      <c r="B842" s="17"/>
      <c r="C842" s="83"/>
      <c r="D842" s="83" t="s">
        <v>2102</v>
      </c>
      <c r="E842" s="2"/>
      <c r="F842" s="200">
        <v>-0.7</v>
      </c>
      <c r="H842" s="17"/>
    </row>
    <row r="843" spans="2:8" s="16" customFormat="1" ht="16.899999999999999" customHeight="1" x14ac:dyDescent="0.2">
      <c r="B843" s="17"/>
      <c r="C843" s="83"/>
      <c r="D843" s="83" t="s">
        <v>2151</v>
      </c>
      <c r="E843" s="2"/>
      <c r="F843" s="200">
        <v>6.45</v>
      </c>
      <c r="H843" s="17"/>
    </row>
    <row r="844" spans="2:8" s="16" customFormat="1" ht="16.899999999999999" customHeight="1" x14ac:dyDescent="0.2">
      <c r="B844" s="17"/>
      <c r="C844" s="83"/>
      <c r="D844" s="83" t="s">
        <v>2102</v>
      </c>
      <c r="E844" s="2"/>
      <c r="F844" s="200">
        <v>-0.7</v>
      </c>
      <c r="H844" s="17"/>
    </row>
    <row r="845" spans="2:8" s="16" customFormat="1" ht="16.899999999999999" customHeight="1" x14ac:dyDescent="0.2">
      <c r="B845" s="17"/>
      <c r="C845" s="83"/>
      <c r="D845" s="83" t="s">
        <v>2152</v>
      </c>
      <c r="E845" s="2"/>
      <c r="F845" s="200">
        <v>11.9</v>
      </c>
      <c r="H845" s="17"/>
    </row>
    <row r="846" spans="2:8" s="16" customFormat="1" ht="16.899999999999999" customHeight="1" x14ac:dyDescent="0.2">
      <c r="B846" s="17"/>
      <c r="C846" s="83"/>
      <c r="D846" s="83" t="s">
        <v>2102</v>
      </c>
      <c r="E846" s="2"/>
      <c r="F846" s="200">
        <v>-0.7</v>
      </c>
      <c r="H846" s="17"/>
    </row>
    <row r="847" spans="2:8" s="16" customFormat="1" ht="16.899999999999999" customHeight="1" x14ac:dyDescent="0.2">
      <c r="B847" s="17"/>
      <c r="C847" s="83"/>
      <c r="D847" s="83" t="s">
        <v>2153</v>
      </c>
      <c r="E847" s="2"/>
      <c r="F847" s="200">
        <v>5.3</v>
      </c>
      <c r="H847" s="17"/>
    </row>
    <row r="848" spans="2:8" s="16" customFormat="1" ht="16.899999999999999" customHeight="1" x14ac:dyDescent="0.2">
      <c r="B848" s="17"/>
      <c r="C848" s="83"/>
      <c r="D848" s="83" t="s">
        <v>2102</v>
      </c>
      <c r="E848" s="2"/>
      <c r="F848" s="200">
        <v>-0.7</v>
      </c>
      <c r="H848" s="17"/>
    </row>
    <row r="849" spans="2:8" s="16" customFormat="1" ht="16.899999999999999" customHeight="1" x14ac:dyDescent="0.2">
      <c r="B849" s="17"/>
      <c r="C849" s="83"/>
      <c r="D849" s="83" t="s">
        <v>2154</v>
      </c>
      <c r="E849" s="2"/>
      <c r="F849" s="200">
        <v>5.3</v>
      </c>
      <c r="H849" s="17"/>
    </row>
    <row r="850" spans="2:8" s="16" customFormat="1" ht="16.899999999999999" customHeight="1" x14ac:dyDescent="0.2">
      <c r="B850" s="17"/>
      <c r="C850" s="83"/>
      <c r="D850" s="83" t="s">
        <v>2102</v>
      </c>
      <c r="E850" s="2"/>
      <c r="F850" s="200">
        <v>-0.7</v>
      </c>
      <c r="H850" s="17"/>
    </row>
    <row r="851" spans="2:8" s="16" customFormat="1" ht="16.899999999999999" customHeight="1" x14ac:dyDescent="0.2">
      <c r="B851" s="17"/>
      <c r="C851" s="83"/>
      <c r="D851" s="83" t="s">
        <v>1626</v>
      </c>
      <c r="E851" s="2"/>
      <c r="F851" s="200">
        <v>9.75</v>
      </c>
      <c r="H851" s="17"/>
    </row>
    <row r="852" spans="2:8" s="16" customFormat="1" ht="16.899999999999999" customHeight="1" x14ac:dyDescent="0.2">
      <c r="B852" s="17"/>
      <c r="C852" s="83"/>
      <c r="D852" s="83" t="s">
        <v>1601</v>
      </c>
      <c r="E852" s="2"/>
      <c r="F852" s="200">
        <v>-0.8</v>
      </c>
      <c r="H852" s="17"/>
    </row>
    <row r="853" spans="2:8" s="16" customFormat="1" ht="16.899999999999999" customHeight="1" x14ac:dyDescent="0.2">
      <c r="B853" s="17"/>
      <c r="C853" s="83"/>
      <c r="D853" s="83"/>
      <c r="E853" s="2"/>
      <c r="F853" s="200">
        <v>0</v>
      </c>
      <c r="H853" s="17"/>
    </row>
    <row r="854" spans="2:8" s="16" customFormat="1" ht="16.899999999999999" customHeight="1" x14ac:dyDescent="0.2">
      <c r="B854" s="17"/>
      <c r="C854" s="83"/>
      <c r="D854" s="83" t="s">
        <v>1662</v>
      </c>
      <c r="E854" s="2"/>
      <c r="F854" s="200">
        <v>7.1</v>
      </c>
      <c r="H854" s="17"/>
    </row>
    <row r="855" spans="2:8" s="16" customFormat="1" ht="16.899999999999999" customHeight="1" x14ac:dyDescent="0.2">
      <c r="B855" s="17"/>
      <c r="C855" s="83"/>
      <c r="D855" s="83" t="s">
        <v>1601</v>
      </c>
      <c r="E855" s="2"/>
      <c r="F855" s="200">
        <v>-0.8</v>
      </c>
      <c r="H855" s="17"/>
    </row>
    <row r="856" spans="2:8" s="16" customFormat="1" ht="16.899999999999999" customHeight="1" x14ac:dyDescent="0.2">
      <c r="B856" s="17"/>
      <c r="C856" s="83"/>
      <c r="D856" s="83" t="s">
        <v>1630</v>
      </c>
      <c r="E856" s="2"/>
      <c r="F856" s="200">
        <v>20.149999999999999</v>
      </c>
      <c r="H856" s="17"/>
    </row>
    <row r="857" spans="2:8" s="16" customFormat="1" ht="16.899999999999999" customHeight="1" x14ac:dyDescent="0.2">
      <c r="B857" s="17"/>
      <c r="C857" s="83"/>
      <c r="D857" s="83" t="s">
        <v>1631</v>
      </c>
      <c r="E857" s="2"/>
      <c r="F857" s="200">
        <v>-0.8</v>
      </c>
      <c r="H857" s="17"/>
    </row>
    <row r="858" spans="2:8" s="16" customFormat="1" ht="16.899999999999999" customHeight="1" x14ac:dyDescent="0.2">
      <c r="B858" s="17"/>
      <c r="C858" s="83"/>
      <c r="D858" s="83" t="s">
        <v>2155</v>
      </c>
      <c r="E858" s="2"/>
      <c r="F858" s="200">
        <v>10.86</v>
      </c>
      <c r="H858" s="17"/>
    </row>
    <row r="859" spans="2:8" s="16" customFormat="1" ht="16.899999999999999" customHeight="1" x14ac:dyDescent="0.2">
      <c r="B859" s="17"/>
      <c r="C859" s="83"/>
      <c r="D859" s="83" t="s">
        <v>1588</v>
      </c>
      <c r="E859" s="2"/>
      <c r="F859" s="200">
        <v>-0.9</v>
      </c>
      <c r="H859" s="17"/>
    </row>
    <row r="860" spans="2:8" s="16" customFormat="1" ht="16.899999999999999" customHeight="1" x14ac:dyDescent="0.2">
      <c r="B860" s="17"/>
      <c r="C860" s="83"/>
      <c r="D860" s="83" t="s">
        <v>2156</v>
      </c>
      <c r="E860" s="2"/>
      <c r="F860" s="200">
        <v>6.26</v>
      </c>
      <c r="H860" s="17"/>
    </row>
    <row r="861" spans="2:8" s="16" customFormat="1" ht="16.899999999999999" customHeight="1" x14ac:dyDescent="0.2">
      <c r="B861" s="17"/>
      <c r="C861" s="83"/>
      <c r="D861" s="83" t="s">
        <v>2102</v>
      </c>
      <c r="E861" s="2"/>
      <c r="F861" s="200">
        <v>-0.7</v>
      </c>
      <c r="H861" s="17"/>
    </row>
    <row r="862" spans="2:8" s="16" customFormat="1" ht="16.899999999999999" customHeight="1" x14ac:dyDescent="0.2">
      <c r="B862" s="17"/>
      <c r="C862" s="83"/>
      <c r="D862" s="83" t="s">
        <v>2157</v>
      </c>
      <c r="E862" s="2"/>
      <c r="F862" s="200">
        <v>4.34</v>
      </c>
      <c r="H862" s="17"/>
    </row>
    <row r="863" spans="2:8" s="16" customFormat="1" ht="16.899999999999999" customHeight="1" x14ac:dyDescent="0.2">
      <c r="B863" s="17"/>
      <c r="C863" s="83"/>
      <c r="D863" s="83" t="s">
        <v>2102</v>
      </c>
      <c r="E863" s="2"/>
      <c r="F863" s="200">
        <v>-0.7</v>
      </c>
      <c r="H863" s="17"/>
    </row>
    <row r="864" spans="2:8" s="16" customFormat="1" ht="16.899999999999999" customHeight="1" x14ac:dyDescent="0.2">
      <c r="B864" s="17"/>
      <c r="C864" s="83"/>
      <c r="D864" s="83" t="s">
        <v>2158</v>
      </c>
      <c r="E864" s="2"/>
      <c r="F864" s="200">
        <v>6.26</v>
      </c>
      <c r="H864" s="17"/>
    </row>
    <row r="865" spans="2:8" s="16" customFormat="1" ht="16.899999999999999" customHeight="1" x14ac:dyDescent="0.2">
      <c r="B865" s="17"/>
      <c r="C865" s="83"/>
      <c r="D865" s="83" t="s">
        <v>2102</v>
      </c>
      <c r="E865" s="2"/>
      <c r="F865" s="200">
        <v>-0.7</v>
      </c>
      <c r="H865" s="17"/>
    </row>
    <row r="866" spans="2:8" s="16" customFormat="1" ht="16.899999999999999" customHeight="1" x14ac:dyDescent="0.2">
      <c r="B866" s="17"/>
      <c r="C866" s="83"/>
      <c r="D866" s="83" t="s">
        <v>2159</v>
      </c>
      <c r="E866" s="2"/>
      <c r="F866" s="200">
        <v>4.34</v>
      </c>
      <c r="H866" s="17"/>
    </row>
    <row r="867" spans="2:8" s="16" customFormat="1" ht="16.899999999999999" customHeight="1" x14ac:dyDescent="0.2">
      <c r="B867" s="17"/>
      <c r="C867" s="83"/>
      <c r="D867" s="83" t="s">
        <v>2102</v>
      </c>
      <c r="E867" s="2"/>
      <c r="F867" s="200">
        <v>-0.7</v>
      </c>
      <c r="H867" s="17"/>
    </row>
    <row r="868" spans="2:8" s="16" customFormat="1" ht="16.899999999999999" customHeight="1" x14ac:dyDescent="0.2">
      <c r="B868" s="17"/>
      <c r="C868" s="83"/>
      <c r="D868" s="83" t="s">
        <v>2160</v>
      </c>
      <c r="E868" s="2"/>
      <c r="F868" s="200">
        <v>6.26</v>
      </c>
      <c r="H868" s="17"/>
    </row>
    <row r="869" spans="2:8" s="16" customFormat="1" ht="16.899999999999999" customHeight="1" x14ac:dyDescent="0.2">
      <c r="B869" s="17"/>
      <c r="C869" s="83"/>
      <c r="D869" s="83" t="s">
        <v>2102</v>
      </c>
      <c r="E869" s="2"/>
      <c r="F869" s="200">
        <v>-0.7</v>
      </c>
      <c r="H869" s="17"/>
    </row>
    <row r="870" spans="2:8" s="16" customFormat="1" ht="16.899999999999999" customHeight="1" x14ac:dyDescent="0.2">
      <c r="B870" s="17"/>
      <c r="C870" s="83"/>
      <c r="D870" s="83" t="s">
        <v>2161</v>
      </c>
      <c r="E870" s="2"/>
      <c r="F870" s="200">
        <v>4.34</v>
      </c>
      <c r="H870" s="17"/>
    </row>
    <row r="871" spans="2:8" s="16" customFormat="1" ht="16.899999999999999" customHeight="1" x14ac:dyDescent="0.2">
      <c r="B871" s="17"/>
      <c r="C871" s="83"/>
      <c r="D871" s="83" t="s">
        <v>2102</v>
      </c>
      <c r="E871" s="2"/>
      <c r="F871" s="200">
        <v>-0.7</v>
      </c>
      <c r="H871" s="17"/>
    </row>
    <row r="872" spans="2:8" s="16" customFormat="1" ht="16.899999999999999" customHeight="1" x14ac:dyDescent="0.2">
      <c r="B872" s="17"/>
      <c r="C872" s="83"/>
      <c r="D872" s="83" t="s">
        <v>2162</v>
      </c>
      <c r="E872" s="2"/>
      <c r="F872" s="200">
        <v>4.34</v>
      </c>
      <c r="H872" s="17"/>
    </row>
    <row r="873" spans="2:8" s="16" customFormat="1" ht="16.899999999999999" customHeight="1" x14ac:dyDescent="0.2">
      <c r="B873" s="17"/>
      <c r="C873" s="83"/>
      <c r="D873" s="83" t="s">
        <v>2102</v>
      </c>
      <c r="E873" s="2"/>
      <c r="F873" s="200">
        <v>-0.7</v>
      </c>
      <c r="H873" s="17"/>
    </row>
    <row r="874" spans="2:8" s="16" customFormat="1" ht="16.899999999999999" customHeight="1" x14ac:dyDescent="0.2">
      <c r="B874" s="17"/>
      <c r="C874" s="83"/>
      <c r="D874" s="83" t="s">
        <v>2163</v>
      </c>
      <c r="E874" s="2"/>
      <c r="F874" s="200">
        <v>5.89</v>
      </c>
      <c r="H874" s="17"/>
    </row>
    <row r="875" spans="2:8" s="16" customFormat="1" ht="16.899999999999999" customHeight="1" x14ac:dyDescent="0.2">
      <c r="B875" s="17"/>
      <c r="C875" s="83"/>
      <c r="D875" s="83" t="s">
        <v>2102</v>
      </c>
      <c r="E875" s="2"/>
      <c r="F875" s="200">
        <v>-0.7</v>
      </c>
      <c r="H875" s="17"/>
    </row>
    <row r="876" spans="2:8" s="16" customFormat="1" ht="16.899999999999999" customHeight="1" x14ac:dyDescent="0.2">
      <c r="B876" s="17"/>
      <c r="C876" s="83"/>
      <c r="D876" s="83" t="s">
        <v>2164</v>
      </c>
      <c r="E876" s="2"/>
      <c r="F876" s="200">
        <v>6.26</v>
      </c>
      <c r="H876" s="17"/>
    </row>
    <row r="877" spans="2:8" s="16" customFormat="1" ht="16.899999999999999" customHeight="1" x14ac:dyDescent="0.2">
      <c r="B877" s="17"/>
      <c r="C877" s="83"/>
      <c r="D877" s="83" t="s">
        <v>2102</v>
      </c>
      <c r="E877" s="2"/>
      <c r="F877" s="200">
        <v>-0.7</v>
      </c>
      <c r="H877" s="17"/>
    </row>
    <row r="878" spans="2:8" s="16" customFormat="1" ht="16.899999999999999" customHeight="1" x14ac:dyDescent="0.2">
      <c r="B878" s="17"/>
      <c r="C878" s="83"/>
      <c r="D878" s="83" t="s">
        <v>2165</v>
      </c>
      <c r="E878" s="2"/>
      <c r="F878" s="200">
        <v>4.34</v>
      </c>
      <c r="H878" s="17"/>
    </row>
    <row r="879" spans="2:8" s="16" customFormat="1" ht="16.899999999999999" customHeight="1" x14ac:dyDescent="0.2">
      <c r="B879" s="17"/>
      <c r="C879" s="83"/>
      <c r="D879" s="83" t="s">
        <v>2102</v>
      </c>
      <c r="E879" s="2"/>
      <c r="F879" s="200">
        <v>-0.7</v>
      </c>
      <c r="H879" s="17"/>
    </row>
    <row r="880" spans="2:8" s="16" customFormat="1" ht="16.899999999999999" customHeight="1" x14ac:dyDescent="0.2">
      <c r="B880" s="17"/>
      <c r="C880" s="83"/>
      <c r="D880" s="83" t="s">
        <v>2166</v>
      </c>
      <c r="E880" s="2"/>
      <c r="F880" s="200">
        <v>6.26</v>
      </c>
      <c r="H880" s="17"/>
    </row>
    <row r="881" spans="2:8" s="16" customFormat="1" ht="16.899999999999999" customHeight="1" x14ac:dyDescent="0.2">
      <c r="B881" s="17"/>
      <c r="C881" s="83"/>
      <c r="D881" s="83" t="s">
        <v>2102</v>
      </c>
      <c r="E881" s="2"/>
      <c r="F881" s="200">
        <v>-0.7</v>
      </c>
      <c r="H881" s="17"/>
    </row>
    <row r="882" spans="2:8" s="16" customFormat="1" ht="16.899999999999999" customHeight="1" x14ac:dyDescent="0.2">
      <c r="B882" s="17"/>
      <c r="C882" s="83"/>
      <c r="D882" s="83" t="s">
        <v>2167</v>
      </c>
      <c r="E882" s="2"/>
      <c r="F882" s="200">
        <v>4.71</v>
      </c>
      <c r="H882" s="17"/>
    </row>
    <row r="883" spans="2:8" s="16" customFormat="1" ht="16.899999999999999" customHeight="1" x14ac:dyDescent="0.2">
      <c r="B883" s="17"/>
      <c r="C883" s="83"/>
      <c r="D883" s="83" t="s">
        <v>2102</v>
      </c>
      <c r="E883" s="2"/>
      <c r="F883" s="200">
        <v>-0.7</v>
      </c>
      <c r="H883" s="17"/>
    </row>
    <row r="884" spans="2:8" s="16" customFormat="1" ht="16.899999999999999" customHeight="1" x14ac:dyDescent="0.2">
      <c r="B884" s="17"/>
      <c r="C884" s="83"/>
      <c r="D884" s="83" t="s">
        <v>2168</v>
      </c>
      <c r="E884" s="2"/>
      <c r="F884" s="200">
        <v>5.4</v>
      </c>
      <c r="H884" s="17"/>
    </row>
    <row r="885" spans="2:8" s="16" customFormat="1" ht="16.899999999999999" customHeight="1" x14ac:dyDescent="0.2">
      <c r="B885" s="17"/>
      <c r="C885" s="83"/>
      <c r="D885" s="83" t="s">
        <v>2102</v>
      </c>
      <c r="E885" s="2"/>
      <c r="F885" s="200">
        <v>-0.7</v>
      </c>
      <c r="H885" s="17"/>
    </row>
    <row r="886" spans="2:8" s="16" customFormat="1" ht="16.899999999999999" customHeight="1" x14ac:dyDescent="0.2">
      <c r="B886" s="17"/>
      <c r="C886" s="83"/>
      <c r="D886" s="83" t="s">
        <v>2169</v>
      </c>
      <c r="E886" s="2"/>
      <c r="F886" s="200">
        <v>6.45</v>
      </c>
      <c r="H886" s="17"/>
    </row>
    <row r="887" spans="2:8" s="16" customFormat="1" ht="16.899999999999999" customHeight="1" x14ac:dyDescent="0.2">
      <c r="B887" s="17"/>
      <c r="C887" s="83"/>
      <c r="D887" s="83" t="s">
        <v>2102</v>
      </c>
      <c r="E887" s="2"/>
      <c r="F887" s="200">
        <v>-0.7</v>
      </c>
      <c r="H887" s="17"/>
    </row>
    <row r="888" spans="2:8" s="16" customFormat="1" ht="16.899999999999999" customHeight="1" x14ac:dyDescent="0.2">
      <c r="B888" s="17"/>
      <c r="C888" s="83"/>
      <c r="D888" s="83" t="s">
        <v>2170</v>
      </c>
      <c r="E888" s="2"/>
      <c r="F888" s="200">
        <v>9.57</v>
      </c>
      <c r="H888" s="17"/>
    </row>
    <row r="889" spans="2:8" s="16" customFormat="1" ht="16.899999999999999" customHeight="1" x14ac:dyDescent="0.2">
      <c r="B889" s="17"/>
      <c r="C889" s="83"/>
      <c r="D889" s="83" t="s">
        <v>2102</v>
      </c>
      <c r="E889" s="2"/>
      <c r="F889" s="200">
        <v>-0.7</v>
      </c>
      <c r="H889" s="17"/>
    </row>
    <row r="890" spans="2:8" s="16" customFormat="1" ht="16.899999999999999" customHeight="1" x14ac:dyDescent="0.2">
      <c r="B890" s="17"/>
      <c r="C890" s="83"/>
      <c r="D890" s="83" t="s">
        <v>2171</v>
      </c>
      <c r="E890" s="2"/>
      <c r="F890" s="200">
        <v>9.6999999999999993</v>
      </c>
      <c r="H890" s="17"/>
    </row>
    <row r="891" spans="2:8" s="16" customFormat="1" ht="16.899999999999999" customHeight="1" x14ac:dyDescent="0.2">
      <c r="B891" s="17"/>
      <c r="C891" s="83"/>
      <c r="D891" s="83" t="s">
        <v>1588</v>
      </c>
      <c r="E891" s="2"/>
      <c r="F891" s="200">
        <v>-0.9</v>
      </c>
      <c r="H891" s="17"/>
    </row>
    <row r="892" spans="2:8" s="16" customFormat="1" ht="16.899999999999999" customHeight="1" x14ac:dyDescent="0.2">
      <c r="B892" s="17"/>
      <c r="C892" s="83"/>
      <c r="D892" s="83"/>
      <c r="E892" s="2"/>
      <c r="F892" s="200">
        <v>0</v>
      </c>
      <c r="H892" s="17"/>
    </row>
    <row r="893" spans="2:8" s="16" customFormat="1" ht="16.899999999999999" customHeight="1" x14ac:dyDescent="0.2">
      <c r="B893" s="17"/>
      <c r="C893" s="83"/>
      <c r="D893" s="83" t="s">
        <v>2172</v>
      </c>
      <c r="E893" s="2"/>
      <c r="F893" s="200">
        <v>6.8</v>
      </c>
      <c r="H893" s="17"/>
    </row>
    <row r="894" spans="2:8" s="16" customFormat="1" ht="16.899999999999999" customHeight="1" x14ac:dyDescent="0.2">
      <c r="B894" s="17"/>
      <c r="C894" s="83"/>
      <c r="D894" s="83" t="s">
        <v>1601</v>
      </c>
      <c r="E894" s="2"/>
      <c r="F894" s="200">
        <v>-0.8</v>
      </c>
      <c r="H894" s="17"/>
    </row>
    <row r="895" spans="2:8" s="16" customFormat="1" ht="16.899999999999999" customHeight="1" x14ac:dyDescent="0.2">
      <c r="B895" s="17"/>
      <c r="C895" s="83"/>
      <c r="D895" s="83" t="s">
        <v>2173</v>
      </c>
      <c r="E895" s="2"/>
      <c r="F895" s="200">
        <v>4.34</v>
      </c>
      <c r="H895" s="17"/>
    </row>
    <row r="896" spans="2:8" s="16" customFormat="1" ht="16.899999999999999" customHeight="1" x14ac:dyDescent="0.2">
      <c r="B896" s="17"/>
      <c r="C896" s="83"/>
      <c r="D896" s="83" t="s">
        <v>2102</v>
      </c>
      <c r="E896" s="2"/>
      <c r="F896" s="200">
        <v>-0.7</v>
      </c>
      <c r="H896" s="17"/>
    </row>
    <row r="897" spans="2:8" s="16" customFormat="1" ht="16.899999999999999" customHeight="1" x14ac:dyDescent="0.2">
      <c r="B897" s="17"/>
      <c r="C897" s="83"/>
      <c r="D897" s="83" t="s">
        <v>2174</v>
      </c>
      <c r="E897" s="2"/>
      <c r="F897" s="200">
        <v>6.06</v>
      </c>
      <c r="H897" s="17"/>
    </row>
    <row r="898" spans="2:8" s="16" customFormat="1" ht="16.899999999999999" customHeight="1" x14ac:dyDescent="0.2">
      <c r="B898" s="17"/>
      <c r="C898" s="83"/>
      <c r="D898" s="83" t="s">
        <v>2102</v>
      </c>
      <c r="E898" s="2"/>
      <c r="F898" s="200">
        <v>-0.7</v>
      </c>
      <c r="H898" s="17"/>
    </row>
    <row r="899" spans="2:8" s="16" customFormat="1" ht="16.899999999999999" customHeight="1" x14ac:dyDescent="0.2">
      <c r="B899" s="17"/>
      <c r="C899" s="83"/>
      <c r="D899" s="83" t="s">
        <v>2175</v>
      </c>
      <c r="E899" s="2"/>
      <c r="F899" s="200">
        <v>6.26</v>
      </c>
      <c r="H899" s="17"/>
    </row>
    <row r="900" spans="2:8" s="16" customFormat="1" ht="16.899999999999999" customHeight="1" x14ac:dyDescent="0.2">
      <c r="B900" s="17"/>
      <c r="C900" s="83"/>
      <c r="D900" s="83" t="s">
        <v>2102</v>
      </c>
      <c r="E900" s="2"/>
      <c r="F900" s="200">
        <v>-0.7</v>
      </c>
      <c r="H900" s="17"/>
    </row>
    <row r="901" spans="2:8" s="16" customFormat="1" ht="16.899999999999999" customHeight="1" x14ac:dyDescent="0.2">
      <c r="B901" s="17"/>
      <c r="C901" s="83"/>
      <c r="D901" s="83" t="s">
        <v>2176</v>
      </c>
      <c r="E901" s="2"/>
      <c r="F901" s="200">
        <v>4.34</v>
      </c>
      <c r="H901" s="17"/>
    </row>
    <row r="902" spans="2:8" s="16" customFormat="1" ht="16.899999999999999" customHeight="1" x14ac:dyDescent="0.2">
      <c r="B902" s="17"/>
      <c r="C902" s="83"/>
      <c r="D902" s="83" t="s">
        <v>2102</v>
      </c>
      <c r="E902" s="2"/>
      <c r="F902" s="200">
        <v>-0.7</v>
      </c>
      <c r="H902" s="17"/>
    </row>
    <row r="903" spans="2:8" s="16" customFormat="1" ht="16.899999999999999" customHeight="1" x14ac:dyDescent="0.2">
      <c r="B903" s="17"/>
      <c r="C903" s="83"/>
      <c r="D903" s="83" t="s">
        <v>2177</v>
      </c>
      <c r="E903" s="2"/>
      <c r="F903" s="200">
        <v>6.26</v>
      </c>
      <c r="H903" s="17"/>
    </row>
    <row r="904" spans="2:8" s="16" customFormat="1" ht="16.899999999999999" customHeight="1" x14ac:dyDescent="0.2">
      <c r="B904" s="17"/>
      <c r="C904" s="83"/>
      <c r="D904" s="83" t="s">
        <v>2102</v>
      </c>
      <c r="E904" s="2"/>
      <c r="F904" s="200">
        <v>-0.7</v>
      </c>
      <c r="H904" s="17"/>
    </row>
    <row r="905" spans="2:8" s="16" customFormat="1" ht="16.899999999999999" customHeight="1" x14ac:dyDescent="0.2">
      <c r="B905" s="17"/>
      <c r="C905" s="83"/>
      <c r="D905" s="83" t="s">
        <v>2178</v>
      </c>
      <c r="E905" s="2"/>
      <c r="F905" s="200">
        <v>4.34</v>
      </c>
      <c r="H905" s="17"/>
    </row>
    <row r="906" spans="2:8" s="16" customFormat="1" ht="16.899999999999999" customHeight="1" x14ac:dyDescent="0.2">
      <c r="B906" s="17"/>
      <c r="C906" s="83"/>
      <c r="D906" s="83" t="s">
        <v>2102</v>
      </c>
      <c r="E906" s="2"/>
      <c r="F906" s="200">
        <v>-0.7</v>
      </c>
      <c r="H906" s="17"/>
    </row>
    <row r="907" spans="2:8" s="16" customFormat="1" ht="16.899999999999999" customHeight="1" x14ac:dyDescent="0.2">
      <c r="B907" s="17"/>
      <c r="C907" s="83"/>
      <c r="D907" s="83" t="s">
        <v>2179</v>
      </c>
      <c r="E907" s="2"/>
      <c r="F907" s="200">
        <v>6.26</v>
      </c>
      <c r="H907" s="17"/>
    </row>
    <row r="908" spans="2:8" s="16" customFormat="1" ht="16.899999999999999" customHeight="1" x14ac:dyDescent="0.2">
      <c r="B908" s="17"/>
      <c r="C908" s="83"/>
      <c r="D908" s="83" t="s">
        <v>2102</v>
      </c>
      <c r="E908" s="2"/>
      <c r="F908" s="200">
        <v>-0.7</v>
      </c>
      <c r="H908" s="17"/>
    </row>
    <row r="909" spans="2:8" s="16" customFormat="1" ht="16.899999999999999" customHeight="1" x14ac:dyDescent="0.2">
      <c r="B909" s="17"/>
      <c r="C909" s="83"/>
      <c r="D909" s="83" t="s">
        <v>2180</v>
      </c>
      <c r="E909" s="2"/>
      <c r="F909" s="200">
        <v>4.34</v>
      </c>
      <c r="H909" s="17"/>
    </row>
    <row r="910" spans="2:8" s="16" customFormat="1" ht="16.899999999999999" customHeight="1" x14ac:dyDescent="0.2">
      <c r="B910" s="17"/>
      <c r="C910" s="83"/>
      <c r="D910" s="83" t="s">
        <v>2102</v>
      </c>
      <c r="E910" s="2"/>
      <c r="F910" s="200">
        <v>-0.7</v>
      </c>
      <c r="H910" s="17"/>
    </row>
    <row r="911" spans="2:8" s="16" customFormat="1" ht="16.899999999999999" customHeight="1" x14ac:dyDescent="0.2">
      <c r="B911" s="17"/>
      <c r="C911" s="83"/>
      <c r="D911" s="83" t="s">
        <v>2181</v>
      </c>
      <c r="E911" s="2"/>
      <c r="F911" s="200">
        <v>4.34</v>
      </c>
      <c r="H911" s="17"/>
    </row>
    <row r="912" spans="2:8" s="16" customFormat="1" ht="16.899999999999999" customHeight="1" x14ac:dyDescent="0.2">
      <c r="B912" s="17"/>
      <c r="C912" s="83"/>
      <c r="D912" s="83" t="s">
        <v>2102</v>
      </c>
      <c r="E912" s="2"/>
      <c r="F912" s="200">
        <v>-0.7</v>
      </c>
      <c r="H912" s="17"/>
    </row>
    <row r="913" spans="2:8" s="16" customFormat="1" ht="16.899999999999999" customHeight="1" x14ac:dyDescent="0.2">
      <c r="B913" s="17"/>
      <c r="C913" s="83"/>
      <c r="D913" s="83" t="s">
        <v>2182</v>
      </c>
      <c r="E913" s="2"/>
      <c r="F913" s="200">
        <v>5.89</v>
      </c>
      <c r="H913" s="17"/>
    </row>
    <row r="914" spans="2:8" s="16" customFormat="1" ht="16.899999999999999" customHeight="1" x14ac:dyDescent="0.2">
      <c r="B914" s="17"/>
      <c r="C914" s="83"/>
      <c r="D914" s="83" t="s">
        <v>2102</v>
      </c>
      <c r="E914" s="2"/>
      <c r="F914" s="200">
        <v>-0.7</v>
      </c>
      <c r="H914" s="17"/>
    </row>
    <row r="915" spans="2:8" s="16" customFormat="1" ht="16.899999999999999" customHeight="1" x14ac:dyDescent="0.2">
      <c r="B915" s="17"/>
      <c r="C915" s="83"/>
      <c r="D915" s="83" t="s">
        <v>2183</v>
      </c>
      <c r="E915" s="2"/>
      <c r="F915" s="200">
        <v>6.26</v>
      </c>
      <c r="H915" s="17"/>
    </row>
    <row r="916" spans="2:8" s="16" customFormat="1" ht="16.899999999999999" customHeight="1" x14ac:dyDescent="0.2">
      <c r="B916" s="17"/>
      <c r="C916" s="83"/>
      <c r="D916" s="83" t="s">
        <v>2102</v>
      </c>
      <c r="E916" s="2"/>
      <c r="F916" s="200">
        <v>-0.7</v>
      </c>
      <c r="H916" s="17"/>
    </row>
    <row r="917" spans="2:8" s="16" customFormat="1" ht="16.899999999999999" customHeight="1" x14ac:dyDescent="0.2">
      <c r="B917" s="17"/>
      <c r="C917" s="83"/>
      <c r="D917" s="83" t="s">
        <v>2184</v>
      </c>
      <c r="E917" s="2"/>
      <c r="F917" s="200">
        <v>4.34</v>
      </c>
      <c r="H917" s="17"/>
    </row>
    <row r="918" spans="2:8" s="16" customFormat="1" ht="16.899999999999999" customHeight="1" x14ac:dyDescent="0.2">
      <c r="B918" s="17"/>
      <c r="C918" s="83"/>
      <c r="D918" s="83" t="s">
        <v>2102</v>
      </c>
      <c r="E918" s="2"/>
      <c r="F918" s="200">
        <v>-0.7</v>
      </c>
      <c r="H918" s="17"/>
    </row>
    <row r="919" spans="2:8" s="16" customFormat="1" ht="16.899999999999999" customHeight="1" x14ac:dyDescent="0.2">
      <c r="B919" s="17"/>
      <c r="C919" s="83"/>
      <c r="D919" s="83" t="s">
        <v>2185</v>
      </c>
      <c r="E919" s="2"/>
      <c r="F919" s="200">
        <v>6.26</v>
      </c>
      <c r="H919" s="17"/>
    </row>
    <row r="920" spans="2:8" s="16" customFormat="1" ht="16.899999999999999" customHeight="1" x14ac:dyDescent="0.2">
      <c r="B920" s="17"/>
      <c r="C920" s="83"/>
      <c r="D920" s="83" t="s">
        <v>2102</v>
      </c>
      <c r="E920" s="2"/>
      <c r="F920" s="200">
        <v>-0.7</v>
      </c>
      <c r="H920" s="17"/>
    </row>
    <row r="921" spans="2:8" s="16" customFormat="1" ht="16.899999999999999" customHeight="1" x14ac:dyDescent="0.2">
      <c r="B921" s="17"/>
      <c r="C921" s="83"/>
      <c r="D921" s="83" t="s">
        <v>2186</v>
      </c>
      <c r="E921" s="2"/>
      <c r="F921" s="200">
        <v>4.34</v>
      </c>
      <c r="H921" s="17"/>
    </row>
    <row r="922" spans="2:8" s="16" customFormat="1" ht="16.899999999999999" customHeight="1" x14ac:dyDescent="0.2">
      <c r="B922" s="17"/>
      <c r="C922" s="83"/>
      <c r="D922" s="83" t="s">
        <v>2102</v>
      </c>
      <c r="E922" s="2"/>
      <c r="F922" s="200">
        <v>-0.7</v>
      </c>
      <c r="H922" s="17"/>
    </row>
    <row r="923" spans="2:8" s="16" customFormat="1" ht="16.899999999999999" customHeight="1" x14ac:dyDescent="0.2">
      <c r="B923" s="17"/>
      <c r="C923" s="83"/>
      <c r="D923" s="83"/>
      <c r="E923" s="2"/>
      <c r="F923" s="200">
        <v>0</v>
      </c>
      <c r="H923" s="17"/>
    </row>
    <row r="924" spans="2:8" s="16" customFormat="1" ht="16.899999999999999" customHeight="1" x14ac:dyDescent="0.2">
      <c r="B924" s="17"/>
      <c r="C924" s="83"/>
      <c r="D924" s="83" t="s">
        <v>1720</v>
      </c>
      <c r="E924" s="2"/>
      <c r="F924" s="200">
        <v>0</v>
      </c>
      <c r="H924" s="17"/>
    </row>
    <row r="925" spans="2:8" s="16" customFormat="1" ht="16.899999999999999" customHeight="1" x14ac:dyDescent="0.2">
      <c r="B925" s="17"/>
      <c r="C925" s="83"/>
      <c r="D925" s="83" t="s">
        <v>2187</v>
      </c>
      <c r="E925" s="2"/>
      <c r="F925" s="200">
        <v>7.9</v>
      </c>
      <c r="H925" s="17"/>
    </row>
    <row r="926" spans="2:8" s="16" customFormat="1" ht="16.899999999999999" customHeight="1" x14ac:dyDescent="0.2">
      <c r="B926" s="17"/>
      <c r="C926" s="83"/>
      <c r="D926" s="83" t="s">
        <v>1641</v>
      </c>
      <c r="E926" s="2"/>
      <c r="F926" s="200">
        <v>-0.9</v>
      </c>
      <c r="H926" s="17"/>
    </row>
    <row r="927" spans="2:8" s="16" customFormat="1" ht="16.899999999999999" customHeight="1" x14ac:dyDescent="0.2">
      <c r="B927" s="17"/>
      <c r="C927" s="83"/>
      <c r="D927" s="83" t="s">
        <v>2188</v>
      </c>
      <c r="E927" s="2"/>
      <c r="F927" s="200">
        <v>4.5999999999999996</v>
      </c>
      <c r="H927" s="17"/>
    </row>
    <row r="928" spans="2:8" s="16" customFormat="1" ht="16.899999999999999" customHeight="1" x14ac:dyDescent="0.2">
      <c r="B928" s="17"/>
      <c r="C928" s="83"/>
      <c r="D928" s="83" t="s">
        <v>1648</v>
      </c>
      <c r="E928" s="2"/>
      <c r="F928" s="200">
        <v>-0.7</v>
      </c>
      <c r="H928" s="17"/>
    </row>
    <row r="929" spans="2:8" s="16" customFormat="1" ht="16.899999999999999" customHeight="1" x14ac:dyDescent="0.2">
      <c r="B929" s="17"/>
      <c r="C929" s="83"/>
      <c r="D929" s="83" t="s">
        <v>2189</v>
      </c>
      <c r="E929" s="2"/>
      <c r="F929" s="200">
        <v>4.5999999999999996</v>
      </c>
      <c r="H929" s="17"/>
    </row>
    <row r="930" spans="2:8" s="16" customFormat="1" ht="16.899999999999999" customHeight="1" x14ac:dyDescent="0.2">
      <c r="B930" s="17"/>
      <c r="C930" s="83"/>
      <c r="D930" s="83" t="s">
        <v>1648</v>
      </c>
      <c r="E930" s="2"/>
      <c r="F930" s="200">
        <v>-0.7</v>
      </c>
      <c r="H930" s="17"/>
    </row>
    <row r="931" spans="2:8" s="16" customFormat="1" ht="16.899999999999999" customHeight="1" x14ac:dyDescent="0.2">
      <c r="B931" s="17"/>
      <c r="C931" s="83"/>
      <c r="D931" s="83" t="s">
        <v>2190</v>
      </c>
      <c r="E931" s="2"/>
      <c r="F931" s="200">
        <v>7.25</v>
      </c>
      <c r="H931" s="17"/>
    </row>
    <row r="932" spans="2:8" s="16" customFormat="1" ht="16.899999999999999" customHeight="1" x14ac:dyDescent="0.2">
      <c r="B932" s="17"/>
      <c r="C932" s="83"/>
      <c r="D932" s="83" t="s">
        <v>1641</v>
      </c>
      <c r="E932" s="2"/>
      <c r="F932" s="200">
        <v>-0.9</v>
      </c>
      <c r="H932" s="17"/>
    </row>
    <row r="933" spans="2:8" s="16" customFormat="1" ht="16.899999999999999" customHeight="1" x14ac:dyDescent="0.2">
      <c r="B933" s="17"/>
      <c r="C933" s="83"/>
      <c r="D933" s="83" t="s">
        <v>2191</v>
      </c>
      <c r="E933" s="2"/>
      <c r="F933" s="200">
        <v>15.95</v>
      </c>
      <c r="H933" s="17"/>
    </row>
    <row r="934" spans="2:8" s="16" customFormat="1" ht="16.899999999999999" customHeight="1" x14ac:dyDescent="0.2">
      <c r="B934" s="17"/>
      <c r="C934" s="83"/>
      <c r="D934" s="83" t="s">
        <v>2192</v>
      </c>
      <c r="E934" s="2"/>
      <c r="F934" s="200">
        <v>-1.6</v>
      </c>
      <c r="H934" s="17"/>
    </row>
    <row r="935" spans="2:8" s="16" customFormat="1" ht="16.899999999999999" customHeight="1" x14ac:dyDescent="0.2">
      <c r="B935" s="17"/>
      <c r="C935" s="83" t="s">
        <v>220</v>
      </c>
      <c r="D935" s="83" t="s">
        <v>609</v>
      </c>
      <c r="E935" s="2"/>
      <c r="F935" s="200">
        <v>611.16599999999903</v>
      </c>
      <c r="H935" s="17"/>
    </row>
    <row r="936" spans="2:8" s="16" customFormat="1" ht="16.899999999999999" customHeight="1" x14ac:dyDescent="0.2">
      <c r="B936" s="17"/>
      <c r="C936" s="201" t="s">
        <v>8859</v>
      </c>
      <c r="H936" s="17"/>
    </row>
    <row r="937" spans="2:8" s="16" customFormat="1" ht="16.899999999999999" customHeight="1" x14ac:dyDescent="0.2">
      <c r="B937" s="17"/>
      <c r="C937" s="83" t="s">
        <v>2069</v>
      </c>
      <c r="D937" s="83" t="s">
        <v>2070</v>
      </c>
      <c r="E937" s="2" t="s">
        <v>425</v>
      </c>
      <c r="F937" s="200">
        <v>619.78299999999797</v>
      </c>
      <c r="H937" s="17"/>
    </row>
    <row r="938" spans="2:8" s="16" customFormat="1" ht="16.899999999999999" customHeight="1" x14ac:dyDescent="0.2">
      <c r="B938" s="17"/>
      <c r="C938" s="83" t="s">
        <v>2210</v>
      </c>
      <c r="D938" s="83" t="s">
        <v>2211</v>
      </c>
      <c r="E938" s="2" t="s">
        <v>724</v>
      </c>
      <c r="F938" s="200">
        <v>611.16600000000005</v>
      </c>
      <c r="H938" s="17"/>
    </row>
    <row r="939" spans="2:8" s="16" customFormat="1" ht="16.899999999999999" customHeight="1" x14ac:dyDescent="0.2">
      <c r="B939" s="17"/>
      <c r="C939" s="196" t="s">
        <v>222</v>
      </c>
      <c r="D939" s="197"/>
      <c r="E939" s="198"/>
      <c r="F939" s="199">
        <v>284.39999999999998</v>
      </c>
      <c r="H939" s="17"/>
    </row>
    <row r="940" spans="2:8" s="16" customFormat="1" ht="16.899999999999999" customHeight="1" x14ac:dyDescent="0.2">
      <c r="B940" s="17"/>
      <c r="C940" s="83"/>
      <c r="D940" s="83" t="s">
        <v>1571</v>
      </c>
      <c r="E940" s="2"/>
      <c r="F940" s="200">
        <v>0</v>
      </c>
      <c r="H940" s="17"/>
    </row>
    <row r="941" spans="2:8" s="16" customFormat="1" ht="16.899999999999999" customHeight="1" x14ac:dyDescent="0.2">
      <c r="B941" s="17"/>
      <c r="C941" s="83"/>
      <c r="D941" s="83" t="s">
        <v>1509</v>
      </c>
      <c r="E941" s="2"/>
      <c r="F941" s="200">
        <v>0</v>
      </c>
      <c r="H941" s="17"/>
    </row>
    <row r="942" spans="2:8" s="16" customFormat="1" ht="16.899999999999999" customHeight="1" x14ac:dyDescent="0.2">
      <c r="B942" s="17"/>
      <c r="C942" s="83"/>
      <c r="D942" s="83" t="s">
        <v>1572</v>
      </c>
      <c r="E942" s="2"/>
      <c r="F942" s="200">
        <v>28.5</v>
      </c>
      <c r="H942" s="17"/>
    </row>
    <row r="943" spans="2:8" s="16" customFormat="1" ht="16.899999999999999" customHeight="1" x14ac:dyDescent="0.2">
      <c r="B943" s="17"/>
      <c r="C943" s="83"/>
      <c r="D943" s="83" t="s">
        <v>1511</v>
      </c>
      <c r="E943" s="2"/>
      <c r="F943" s="200">
        <v>0</v>
      </c>
      <c r="H943" s="17"/>
    </row>
    <row r="944" spans="2:8" s="16" customFormat="1" ht="16.899999999999999" customHeight="1" x14ac:dyDescent="0.2">
      <c r="B944" s="17"/>
      <c r="C944" s="83"/>
      <c r="D944" s="83" t="s">
        <v>1573</v>
      </c>
      <c r="E944" s="2"/>
      <c r="F944" s="200">
        <v>31.5</v>
      </c>
      <c r="H944" s="17"/>
    </row>
    <row r="945" spans="2:8" s="16" customFormat="1" ht="16.899999999999999" customHeight="1" x14ac:dyDescent="0.2">
      <c r="B945" s="17"/>
      <c r="C945" s="83"/>
      <c r="D945" s="83" t="s">
        <v>1513</v>
      </c>
      <c r="E945" s="2"/>
      <c r="F945" s="200">
        <v>0</v>
      </c>
      <c r="H945" s="17"/>
    </row>
    <row r="946" spans="2:8" s="16" customFormat="1" ht="16.899999999999999" customHeight="1" x14ac:dyDescent="0.2">
      <c r="B946" s="17"/>
      <c r="C946" s="83"/>
      <c r="D946" s="83" t="s">
        <v>1574</v>
      </c>
      <c r="E946" s="2"/>
      <c r="F946" s="200">
        <v>24</v>
      </c>
      <c r="H946" s="17"/>
    </row>
    <row r="947" spans="2:8" s="16" customFormat="1" ht="16.899999999999999" customHeight="1" x14ac:dyDescent="0.2">
      <c r="B947" s="17"/>
      <c r="C947" s="83"/>
      <c r="D947" s="83" t="s">
        <v>1515</v>
      </c>
      <c r="E947" s="2"/>
      <c r="F947" s="200">
        <v>0</v>
      </c>
      <c r="H947" s="17"/>
    </row>
    <row r="948" spans="2:8" s="16" customFormat="1" ht="16.899999999999999" customHeight="1" x14ac:dyDescent="0.2">
      <c r="B948" s="17"/>
      <c r="C948" s="83"/>
      <c r="D948" s="83" t="s">
        <v>1573</v>
      </c>
      <c r="E948" s="2"/>
      <c r="F948" s="200">
        <v>31.5</v>
      </c>
      <c r="H948" s="17"/>
    </row>
    <row r="949" spans="2:8" s="16" customFormat="1" ht="16.899999999999999" customHeight="1" x14ac:dyDescent="0.2">
      <c r="B949" s="17"/>
      <c r="C949" s="83"/>
      <c r="D949" s="83" t="s">
        <v>1516</v>
      </c>
      <c r="E949" s="2"/>
      <c r="F949" s="200">
        <v>0</v>
      </c>
      <c r="H949" s="17"/>
    </row>
    <row r="950" spans="2:8" s="16" customFormat="1" ht="16.899999999999999" customHeight="1" x14ac:dyDescent="0.2">
      <c r="B950" s="17"/>
      <c r="C950" s="83"/>
      <c r="D950" s="83" t="s">
        <v>1575</v>
      </c>
      <c r="E950" s="2"/>
      <c r="F950" s="200">
        <v>26.4</v>
      </c>
      <c r="H950" s="17"/>
    </row>
    <row r="951" spans="2:8" s="16" customFormat="1" ht="16.899999999999999" customHeight="1" x14ac:dyDescent="0.2">
      <c r="B951" s="17"/>
      <c r="C951" s="83"/>
      <c r="D951" s="83" t="s">
        <v>1517</v>
      </c>
      <c r="E951" s="2"/>
      <c r="F951" s="200">
        <v>0</v>
      </c>
      <c r="H951" s="17"/>
    </row>
    <row r="952" spans="2:8" s="16" customFormat="1" ht="16.899999999999999" customHeight="1" x14ac:dyDescent="0.2">
      <c r="B952" s="17"/>
      <c r="C952" s="83"/>
      <c r="D952" s="83" t="s">
        <v>1573</v>
      </c>
      <c r="E952" s="2"/>
      <c r="F952" s="200">
        <v>31.5</v>
      </c>
      <c r="H952" s="17"/>
    </row>
    <row r="953" spans="2:8" s="16" customFormat="1" ht="16.899999999999999" customHeight="1" x14ac:dyDescent="0.2">
      <c r="B953" s="17"/>
      <c r="C953" s="83"/>
      <c r="D953" s="83" t="s">
        <v>1518</v>
      </c>
      <c r="E953" s="2"/>
      <c r="F953" s="200">
        <v>0</v>
      </c>
      <c r="H953" s="17"/>
    </row>
    <row r="954" spans="2:8" s="16" customFormat="1" ht="16.899999999999999" customHeight="1" x14ac:dyDescent="0.2">
      <c r="B954" s="17"/>
      <c r="C954" s="83"/>
      <c r="D954" s="83" t="s">
        <v>1574</v>
      </c>
      <c r="E954" s="2"/>
      <c r="F954" s="200">
        <v>24</v>
      </c>
      <c r="H954" s="17"/>
    </row>
    <row r="955" spans="2:8" s="16" customFormat="1" ht="16.899999999999999" customHeight="1" x14ac:dyDescent="0.2">
      <c r="B955" s="17"/>
      <c r="C955" s="83"/>
      <c r="D955" s="83" t="s">
        <v>1519</v>
      </c>
      <c r="E955" s="2"/>
      <c r="F955" s="200">
        <v>0</v>
      </c>
      <c r="H955" s="17"/>
    </row>
    <row r="956" spans="2:8" s="16" customFormat="1" ht="16.899999999999999" customHeight="1" x14ac:dyDescent="0.2">
      <c r="B956" s="17"/>
      <c r="C956" s="83"/>
      <c r="D956" s="83" t="s">
        <v>1573</v>
      </c>
      <c r="E956" s="2"/>
      <c r="F956" s="200">
        <v>31.5</v>
      </c>
      <c r="H956" s="17"/>
    </row>
    <row r="957" spans="2:8" s="16" customFormat="1" ht="16.899999999999999" customHeight="1" x14ac:dyDescent="0.2">
      <c r="B957" s="17"/>
      <c r="C957" s="83"/>
      <c r="D957" s="83" t="s">
        <v>1520</v>
      </c>
      <c r="E957" s="2"/>
      <c r="F957" s="200">
        <v>0</v>
      </c>
      <c r="H957" s="17"/>
    </row>
    <row r="958" spans="2:8" s="16" customFormat="1" ht="16.899999999999999" customHeight="1" x14ac:dyDescent="0.2">
      <c r="B958" s="17"/>
      <c r="C958" s="83"/>
      <c r="D958" s="83" t="s">
        <v>1574</v>
      </c>
      <c r="E958" s="2"/>
      <c r="F958" s="200">
        <v>24</v>
      </c>
      <c r="H958" s="17"/>
    </row>
    <row r="959" spans="2:8" s="16" customFormat="1" ht="16.899999999999999" customHeight="1" x14ac:dyDescent="0.2">
      <c r="B959" s="17"/>
      <c r="C959" s="83"/>
      <c r="D959" s="83" t="s">
        <v>1521</v>
      </c>
      <c r="E959" s="2"/>
      <c r="F959" s="200">
        <v>0</v>
      </c>
      <c r="H959" s="17"/>
    </row>
    <row r="960" spans="2:8" s="16" customFormat="1" ht="16.899999999999999" customHeight="1" x14ac:dyDescent="0.2">
      <c r="B960" s="17"/>
      <c r="C960" s="83"/>
      <c r="D960" s="83" t="s">
        <v>1573</v>
      </c>
      <c r="E960" s="2"/>
      <c r="F960" s="200">
        <v>31.5</v>
      </c>
      <c r="H960" s="17"/>
    </row>
    <row r="961" spans="2:8" s="16" customFormat="1" ht="16.899999999999999" customHeight="1" x14ac:dyDescent="0.2">
      <c r="B961" s="17"/>
      <c r="C961" s="83" t="s">
        <v>222</v>
      </c>
      <c r="D961" s="83" t="s">
        <v>609</v>
      </c>
      <c r="E961" s="2"/>
      <c r="F961" s="200">
        <v>284.39999999999998</v>
      </c>
      <c r="H961" s="17"/>
    </row>
    <row r="962" spans="2:8" s="16" customFormat="1" ht="16.899999999999999" customHeight="1" x14ac:dyDescent="0.2">
      <c r="B962" s="17"/>
      <c r="C962" s="201" t="s">
        <v>8859</v>
      </c>
      <c r="H962" s="17"/>
    </row>
    <row r="963" spans="2:8" s="16" customFormat="1" ht="16.899999999999999" customHeight="1" x14ac:dyDescent="0.2">
      <c r="B963" s="17"/>
      <c r="C963" s="83" t="s">
        <v>1568</v>
      </c>
      <c r="D963" s="83" t="s">
        <v>1569</v>
      </c>
      <c r="E963" s="2" t="s">
        <v>724</v>
      </c>
      <c r="F963" s="200">
        <v>284.39999999999998</v>
      </c>
      <c r="H963" s="17"/>
    </row>
    <row r="964" spans="2:8" s="16" customFormat="1" ht="16.899999999999999" customHeight="1" x14ac:dyDescent="0.2">
      <c r="B964" s="17"/>
      <c r="C964" s="83" t="s">
        <v>1558</v>
      </c>
      <c r="D964" s="83" t="s">
        <v>1559</v>
      </c>
      <c r="E964" s="2" t="s">
        <v>724</v>
      </c>
      <c r="F964" s="200">
        <v>284.39999999999998</v>
      </c>
      <c r="H964" s="17"/>
    </row>
    <row r="965" spans="2:8" s="16" customFormat="1" ht="16.899999999999999" customHeight="1" x14ac:dyDescent="0.2">
      <c r="B965" s="17"/>
      <c r="C965" s="83" t="s">
        <v>1684</v>
      </c>
      <c r="D965" s="83" t="s">
        <v>1685</v>
      </c>
      <c r="E965" s="2" t="s">
        <v>425</v>
      </c>
      <c r="F965" s="200">
        <v>815.17</v>
      </c>
      <c r="H965" s="17"/>
    </row>
    <row r="966" spans="2:8" s="16" customFormat="1" ht="22.5" x14ac:dyDescent="0.2">
      <c r="B966" s="17"/>
      <c r="C966" s="83" t="s">
        <v>1692</v>
      </c>
      <c r="D966" s="83" t="s">
        <v>1693</v>
      </c>
      <c r="E966" s="2" t="s">
        <v>425</v>
      </c>
      <c r="F966" s="200">
        <v>1089.528</v>
      </c>
      <c r="H966" s="17"/>
    </row>
    <row r="967" spans="2:8" s="16" customFormat="1" ht="16.899999999999999" customHeight="1" x14ac:dyDescent="0.2">
      <c r="B967" s="17"/>
      <c r="C967" s="196" t="s">
        <v>298</v>
      </c>
      <c r="D967" s="197"/>
      <c r="E967" s="198"/>
      <c r="F967" s="199">
        <v>232.77</v>
      </c>
      <c r="H967" s="17"/>
    </row>
    <row r="968" spans="2:8" s="16" customFormat="1" ht="16.899999999999999" customHeight="1" x14ac:dyDescent="0.2">
      <c r="B968" s="17"/>
      <c r="C968" s="83"/>
      <c r="D968" s="83"/>
      <c r="E968" s="2"/>
      <c r="F968" s="200">
        <v>0</v>
      </c>
      <c r="H968" s="17"/>
    </row>
    <row r="969" spans="2:8" s="16" customFormat="1" ht="16.899999999999999" customHeight="1" x14ac:dyDescent="0.2">
      <c r="B969" s="17"/>
      <c r="C969" s="83"/>
      <c r="D969" s="83" t="s">
        <v>2015</v>
      </c>
      <c r="E969" s="2"/>
      <c r="F969" s="200">
        <v>0</v>
      </c>
      <c r="H969" s="17"/>
    </row>
    <row r="970" spans="2:8" s="16" customFormat="1" ht="16.899999999999999" customHeight="1" x14ac:dyDescent="0.2">
      <c r="B970" s="17"/>
      <c r="C970" s="83"/>
      <c r="D970" s="83" t="s">
        <v>2016</v>
      </c>
      <c r="E970" s="2"/>
      <c r="F970" s="200">
        <v>0</v>
      </c>
      <c r="H970" s="17"/>
    </row>
    <row r="971" spans="2:8" s="16" customFormat="1" ht="16.899999999999999" customHeight="1" x14ac:dyDescent="0.2">
      <c r="B971" s="17"/>
      <c r="C971" s="83"/>
      <c r="D971" s="83" t="s">
        <v>2017</v>
      </c>
      <c r="E971" s="2"/>
      <c r="F971" s="200">
        <v>6.62</v>
      </c>
      <c r="H971" s="17"/>
    </row>
    <row r="972" spans="2:8" s="16" customFormat="1" ht="16.899999999999999" customHeight="1" x14ac:dyDescent="0.2">
      <c r="B972" s="17"/>
      <c r="C972" s="83"/>
      <c r="D972" s="83" t="s">
        <v>2018</v>
      </c>
      <c r="E972" s="2"/>
      <c r="F972" s="200">
        <v>0</v>
      </c>
      <c r="H972" s="17"/>
    </row>
    <row r="973" spans="2:8" s="16" customFormat="1" ht="16.899999999999999" customHeight="1" x14ac:dyDescent="0.2">
      <c r="B973" s="17"/>
      <c r="C973" s="83"/>
      <c r="D973" s="83" t="s">
        <v>2019</v>
      </c>
      <c r="E973" s="2"/>
      <c r="F973" s="200">
        <v>13.76</v>
      </c>
      <c r="H973" s="17"/>
    </row>
    <row r="974" spans="2:8" s="16" customFormat="1" ht="16.899999999999999" customHeight="1" x14ac:dyDescent="0.2">
      <c r="B974" s="17"/>
      <c r="C974" s="83"/>
      <c r="D974" s="83" t="s">
        <v>2020</v>
      </c>
      <c r="E974" s="2"/>
      <c r="F974" s="200">
        <v>0</v>
      </c>
      <c r="H974" s="17"/>
    </row>
    <row r="975" spans="2:8" s="16" customFormat="1" ht="16.899999999999999" customHeight="1" x14ac:dyDescent="0.2">
      <c r="B975" s="17"/>
      <c r="C975" s="83"/>
      <c r="D975" s="83" t="s">
        <v>2021</v>
      </c>
      <c r="E975" s="2"/>
      <c r="F975" s="200">
        <v>11.83</v>
      </c>
      <c r="H975" s="17"/>
    </row>
    <row r="976" spans="2:8" s="16" customFormat="1" ht="16.899999999999999" customHeight="1" x14ac:dyDescent="0.2">
      <c r="B976" s="17"/>
      <c r="C976" s="83"/>
      <c r="D976" s="83" t="s">
        <v>2022</v>
      </c>
      <c r="E976" s="2"/>
      <c r="F976" s="200">
        <v>0</v>
      </c>
      <c r="H976" s="17"/>
    </row>
    <row r="977" spans="2:8" s="16" customFormat="1" ht="16.899999999999999" customHeight="1" x14ac:dyDescent="0.2">
      <c r="B977" s="17"/>
      <c r="C977" s="83"/>
      <c r="D977" s="83" t="s">
        <v>2023</v>
      </c>
      <c r="E977" s="2"/>
      <c r="F977" s="200">
        <v>3.72</v>
      </c>
      <c r="H977" s="17"/>
    </row>
    <row r="978" spans="2:8" s="16" customFormat="1" ht="16.899999999999999" customHeight="1" x14ac:dyDescent="0.2">
      <c r="B978" s="17"/>
      <c r="C978" s="83"/>
      <c r="D978" s="83" t="s">
        <v>2024</v>
      </c>
      <c r="E978" s="2"/>
      <c r="F978" s="200">
        <v>0</v>
      </c>
      <c r="H978" s="17"/>
    </row>
    <row r="979" spans="2:8" s="16" customFormat="1" ht="16.899999999999999" customHeight="1" x14ac:dyDescent="0.2">
      <c r="B979" s="17"/>
      <c r="C979" s="83"/>
      <c r="D979" s="83" t="s">
        <v>2025</v>
      </c>
      <c r="E979" s="2"/>
      <c r="F979" s="200">
        <v>63.37</v>
      </c>
      <c r="H979" s="17"/>
    </row>
    <row r="980" spans="2:8" s="16" customFormat="1" ht="16.899999999999999" customHeight="1" x14ac:dyDescent="0.2">
      <c r="B980" s="17"/>
      <c r="C980" s="83"/>
      <c r="D980" s="83" t="s">
        <v>2026</v>
      </c>
      <c r="E980" s="2"/>
      <c r="F980" s="200">
        <v>0</v>
      </c>
      <c r="H980" s="17"/>
    </row>
    <row r="981" spans="2:8" s="16" customFormat="1" ht="16.899999999999999" customHeight="1" x14ac:dyDescent="0.2">
      <c r="B981" s="17"/>
      <c r="C981" s="83"/>
      <c r="D981" s="83" t="s">
        <v>2027</v>
      </c>
      <c r="E981" s="2"/>
      <c r="F981" s="200">
        <v>35.92</v>
      </c>
      <c r="H981" s="17"/>
    </row>
    <row r="982" spans="2:8" s="16" customFormat="1" ht="16.899999999999999" customHeight="1" x14ac:dyDescent="0.2">
      <c r="B982" s="17"/>
      <c r="C982" s="83"/>
      <c r="D982" s="83" t="s">
        <v>2028</v>
      </c>
      <c r="E982" s="2"/>
      <c r="F982" s="200">
        <v>0</v>
      </c>
      <c r="H982" s="17"/>
    </row>
    <row r="983" spans="2:8" s="16" customFormat="1" ht="16.899999999999999" customHeight="1" x14ac:dyDescent="0.2">
      <c r="B983" s="17"/>
      <c r="C983" s="83"/>
      <c r="D983" s="83" t="s">
        <v>2029</v>
      </c>
      <c r="E983" s="2"/>
      <c r="F983" s="200">
        <v>21.42</v>
      </c>
      <c r="H983" s="17"/>
    </row>
    <row r="984" spans="2:8" s="16" customFormat="1" ht="16.899999999999999" customHeight="1" x14ac:dyDescent="0.2">
      <c r="B984" s="17"/>
      <c r="C984" s="83"/>
      <c r="D984" s="83" t="s">
        <v>2030</v>
      </c>
      <c r="E984" s="2"/>
      <c r="F984" s="200">
        <v>0</v>
      </c>
      <c r="H984" s="17"/>
    </row>
    <row r="985" spans="2:8" s="16" customFormat="1" ht="16.899999999999999" customHeight="1" x14ac:dyDescent="0.2">
      <c r="B985" s="17"/>
      <c r="C985" s="83"/>
      <c r="D985" s="83" t="s">
        <v>2031</v>
      </c>
      <c r="E985" s="2"/>
      <c r="F985" s="200">
        <v>25.8</v>
      </c>
      <c r="H985" s="17"/>
    </row>
    <row r="986" spans="2:8" s="16" customFormat="1" ht="16.899999999999999" customHeight="1" x14ac:dyDescent="0.2">
      <c r="B986" s="17"/>
      <c r="C986" s="83"/>
      <c r="D986" s="83" t="s">
        <v>2032</v>
      </c>
      <c r="E986" s="2"/>
      <c r="F986" s="200">
        <v>0</v>
      </c>
      <c r="H986" s="17"/>
    </row>
    <row r="987" spans="2:8" s="16" customFormat="1" ht="16.899999999999999" customHeight="1" x14ac:dyDescent="0.2">
      <c r="B987" s="17"/>
      <c r="C987" s="83"/>
      <c r="D987" s="83" t="s">
        <v>2033</v>
      </c>
      <c r="E987" s="2"/>
      <c r="F987" s="200">
        <v>17.38</v>
      </c>
      <c r="H987" s="17"/>
    </row>
    <row r="988" spans="2:8" s="16" customFormat="1" ht="16.899999999999999" customHeight="1" x14ac:dyDescent="0.2">
      <c r="B988" s="17"/>
      <c r="C988" s="83"/>
      <c r="D988" s="83" t="s">
        <v>2034</v>
      </c>
      <c r="E988" s="2"/>
      <c r="F988" s="200">
        <v>0</v>
      </c>
      <c r="H988" s="17"/>
    </row>
    <row r="989" spans="2:8" s="16" customFormat="1" ht="16.899999999999999" customHeight="1" x14ac:dyDescent="0.2">
      <c r="B989" s="17"/>
      <c r="C989" s="83"/>
      <c r="D989" s="83" t="s">
        <v>2035</v>
      </c>
      <c r="E989" s="2"/>
      <c r="F989" s="200">
        <v>21.64</v>
      </c>
      <c r="H989" s="17"/>
    </row>
    <row r="990" spans="2:8" s="16" customFormat="1" ht="16.899999999999999" customHeight="1" x14ac:dyDescent="0.2">
      <c r="B990" s="17"/>
      <c r="C990" s="83"/>
      <c r="D990" s="83" t="s">
        <v>2036</v>
      </c>
      <c r="E990" s="2"/>
      <c r="F990" s="200">
        <v>0</v>
      </c>
      <c r="H990" s="17"/>
    </row>
    <row r="991" spans="2:8" s="16" customFormat="1" ht="16.899999999999999" customHeight="1" x14ac:dyDescent="0.2">
      <c r="B991" s="17"/>
      <c r="C991" s="83"/>
      <c r="D991" s="83" t="s">
        <v>2037</v>
      </c>
      <c r="E991" s="2"/>
      <c r="F991" s="200">
        <v>11.31</v>
      </c>
      <c r="H991" s="17"/>
    </row>
    <row r="992" spans="2:8" s="16" customFormat="1" ht="16.899999999999999" customHeight="1" x14ac:dyDescent="0.2">
      <c r="B992" s="17"/>
      <c r="C992" s="83" t="s">
        <v>298</v>
      </c>
      <c r="D992" s="83" t="s">
        <v>609</v>
      </c>
      <c r="E992" s="2"/>
      <c r="F992" s="200">
        <v>232.77</v>
      </c>
      <c r="H992" s="17"/>
    </row>
    <row r="993" spans="2:8" s="16" customFormat="1" ht="16.899999999999999" customHeight="1" x14ac:dyDescent="0.2">
      <c r="B993" s="17"/>
      <c r="C993" s="201" t="s">
        <v>8859</v>
      </c>
      <c r="H993" s="17"/>
    </row>
    <row r="994" spans="2:8" s="16" customFormat="1" ht="16.899999999999999" customHeight="1" x14ac:dyDescent="0.2">
      <c r="B994" s="17"/>
      <c r="C994" s="83" t="s">
        <v>2004</v>
      </c>
      <c r="D994" s="83" t="s">
        <v>2005</v>
      </c>
      <c r="E994" s="2" t="s">
        <v>425</v>
      </c>
      <c r="F994" s="200">
        <v>379.73399999999998</v>
      </c>
      <c r="H994" s="17"/>
    </row>
    <row r="995" spans="2:8" s="16" customFormat="1" ht="16.899999999999999" customHeight="1" x14ac:dyDescent="0.2">
      <c r="B995" s="17"/>
      <c r="C995" s="83" t="s">
        <v>2001</v>
      </c>
      <c r="D995" s="83" t="s">
        <v>2002</v>
      </c>
      <c r="E995" s="2" t="s">
        <v>425</v>
      </c>
      <c r="F995" s="200">
        <v>379.73399999999998</v>
      </c>
      <c r="H995" s="17"/>
    </row>
    <row r="996" spans="2:8" s="16" customFormat="1" ht="16.899999999999999" customHeight="1" x14ac:dyDescent="0.2">
      <c r="B996" s="17"/>
      <c r="C996" s="196" t="s">
        <v>224</v>
      </c>
      <c r="D996" s="197"/>
      <c r="E996" s="198"/>
      <c r="F996" s="199">
        <v>334.23</v>
      </c>
      <c r="H996" s="17"/>
    </row>
    <row r="997" spans="2:8" s="16" customFormat="1" ht="16.899999999999999" customHeight="1" x14ac:dyDescent="0.2">
      <c r="B997" s="17"/>
      <c r="C997" s="83"/>
      <c r="D997" s="83" t="s">
        <v>1719</v>
      </c>
      <c r="E997" s="2"/>
      <c r="F997" s="200">
        <v>0</v>
      </c>
      <c r="H997" s="17"/>
    </row>
    <row r="998" spans="2:8" s="16" customFormat="1" ht="16.899999999999999" customHeight="1" x14ac:dyDescent="0.2">
      <c r="B998" s="17"/>
      <c r="C998" s="83"/>
      <c r="D998" s="83" t="s">
        <v>249</v>
      </c>
      <c r="E998" s="2"/>
      <c r="F998" s="200">
        <v>255.733</v>
      </c>
      <c r="H998" s="17"/>
    </row>
    <row r="999" spans="2:8" s="16" customFormat="1" ht="16.899999999999999" customHeight="1" x14ac:dyDescent="0.2">
      <c r="B999" s="17"/>
      <c r="C999" s="83"/>
      <c r="D999" s="83" t="s">
        <v>251</v>
      </c>
      <c r="E999" s="2"/>
      <c r="F999" s="200">
        <v>56.546999999999997</v>
      </c>
      <c r="H999" s="17"/>
    </row>
    <row r="1000" spans="2:8" s="16" customFormat="1" ht="16.899999999999999" customHeight="1" x14ac:dyDescent="0.2">
      <c r="B1000" s="17"/>
      <c r="C1000" s="83"/>
      <c r="D1000" s="83"/>
      <c r="E1000" s="2"/>
      <c r="F1000" s="200">
        <v>0</v>
      </c>
      <c r="H1000" s="17"/>
    </row>
    <row r="1001" spans="2:8" s="16" customFormat="1" ht="16.899999999999999" customHeight="1" x14ac:dyDescent="0.2">
      <c r="B1001" s="17"/>
      <c r="C1001" s="83"/>
      <c r="D1001" s="83" t="s">
        <v>1720</v>
      </c>
      <c r="E1001" s="2"/>
      <c r="F1001" s="200">
        <v>0</v>
      </c>
      <c r="H1001" s="17"/>
    </row>
    <row r="1002" spans="2:8" s="16" customFormat="1" ht="16.899999999999999" customHeight="1" x14ac:dyDescent="0.2">
      <c r="B1002" s="17"/>
      <c r="C1002" s="83"/>
      <c r="D1002" s="83" t="s">
        <v>1721</v>
      </c>
      <c r="E1002" s="2"/>
      <c r="F1002" s="200">
        <v>3.87</v>
      </c>
      <c r="H1002" s="17"/>
    </row>
    <row r="1003" spans="2:8" s="16" customFormat="1" ht="16.899999999999999" customHeight="1" x14ac:dyDescent="0.2">
      <c r="B1003" s="17"/>
      <c r="C1003" s="83"/>
      <c r="D1003" s="83" t="s">
        <v>1722</v>
      </c>
      <c r="E1003" s="2"/>
      <c r="F1003" s="200">
        <v>1.26</v>
      </c>
      <c r="H1003" s="17"/>
    </row>
    <row r="1004" spans="2:8" s="16" customFormat="1" ht="16.899999999999999" customHeight="1" x14ac:dyDescent="0.2">
      <c r="B1004" s="17"/>
      <c r="C1004" s="83"/>
      <c r="D1004" s="83" t="s">
        <v>1723</v>
      </c>
      <c r="E1004" s="2"/>
      <c r="F1004" s="200">
        <v>1.26</v>
      </c>
      <c r="H1004" s="17"/>
    </row>
    <row r="1005" spans="2:8" s="16" customFormat="1" ht="16.899999999999999" customHeight="1" x14ac:dyDescent="0.2">
      <c r="B1005" s="17"/>
      <c r="C1005" s="83"/>
      <c r="D1005" s="83" t="s">
        <v>1724</v>
      </c>
      <c r="E1005" s="2"/>
      <c r="F1005" s="200">
        <v>3.26</v>
      </c>
      <c r="H1005" s="17"/>
    </row>
    <row r="1006" spans="2:8" s="16" customFormat="1" ht="16.899999999999999" customHeight="1" x14ac:dyDescent="0.2">
      <c r="B1006" s="17"/>
      <c r="C1006" s="83"/>
      <c r="D1006" s="83" t="s">
        <v>1725</v>
      </c>
      <c r="E1006" s="2"/>
      <c r="F1006" s="200">
        <v>12.3</v>
      </c>
      <c r="H1006" s="17"/>
    </row>
    <row r="1007" spans="2:8" s="16" customFormat="1" ht="16.899999999999999" customHeight="1" x14ac:dyDescent="0.2">
      <c r="B1007" s="17"/>
      <c r="C1007" s="83" t="s">
        <v>224</v>
      </c>
      <c r="D1007" s="83" t="s">
        <v>351</v>
      </c>
      <c r="E1007" s="2"/>
      <c r="F1007" s="200">
        <v>334.23</v>
      </c>
      <c r="H1007" s="17"/>
    </row>
    <row r="1008" spans="2:8" s="16" customFormat="1" ht="16.899999999999999" customHeight="1" x14ac:dyDescent="0.2">
      <c r="B1008" s="17"/>
      <c r="C1008" s="201" t="s">
        <v>8859</v>
      </c>
      <c r="H1008" s="17"/>
    </row>
    <row r="1009" spans="2:8" s="16" customFormat="1" ht="16.899999999999999" customHeight="1" x14ac:dyDescent="0.2">
      <c r="B1009" s="17"/>
      <c r="C1009" s="83" t="s">
        <v>1716</v>
      </c>
      <c r="D1009" s="83" t="s">
        <v>1717</v>
      </c>
      <c r="E1009" s="2" t="s">
        <v>425</v>
      </c>
      <c r="F1009" s="200">
        <v>334.23</v>
      </c>
      <c r="H1009" s="17"/>
    </row>
    <row r="1010" spans="2:8" s="16" customFormat="1" ht="16.899999999999999" customHeight="1" x14ac:dyDescent="0.2">
      <c r="B1010" s="17"/>
      <c r="C1010" s="83" t="s">
        <v>1548</v>
      </c>
      <c r="D1010" s="83" t="s">
        <v>1549</v>
      </c>
      <c r="E1010" s="2" t="s">
        <v>425</v>
      </c>
      <c r="F1010" s="200">
        <v>1493.7349999999999</v>
      </c>
      <c r="H1010" s="17"/>
    </row>
    <row r="1011" spans="2:8" s="16" customFormat="1" ht="16.899999999999999" customHeight="1" x14ac:dyDescent="0.2">
      <c r="B1011" s="17"/>
      <c r="C1011" s="196" t="s">
        <v>226</v>
      </c>
      <c r="D1011" s="197"/>
      <c r="E1011" s="198"/>
      <c r="F1011" s="199">
        <v>619.78299999999797</v>
      </c>
      <c r="H1011" s="17"/>
    </row>
    <row r="1012" spans="2:8" s="16" customFormat="1" ht="16.899999999999999" customHeight="1" x14ac:dyDescent="0.2">
      <c r="B1012" s="17"/>
      <c r="C1012" s="83"/>
      <c r="D1012" s="83" t="s">
        <v>2072</v>
      </c>
      <c r="E1012" s="2"/>
      <c r="F1012" s="200">
        <v>0</v>
      </c>
      <c r="H1012" s="17"/>
    </row>
    <row r="1013" spans="2:8" s="16" customFormat="1" ht="16.899999999999999" customHeight="1" x14ac:dyDescent="0.2">
      <c r="B1013" s="17"/>
      <c r="C1013" s="83"/>
      <c r="D1013" s="83" t="s">
        <v>357</v>
      </c>
      <c r="E1013" s="2"/>
      <c r="F1013" s="200">
        <v>0</v>
      </c>
      <c r="H1013" s="17"/>
    </row>
    <row r="1014" spans="2:8" s="16" customFormat="1" ht="16.899999999999999" customHeight="1" x14ac:dyDescent="0.2">
      <c r="B1014" s="17"/>
      <c r="C1014" s="83"/>
      <c r="D1014" s="83" t="s">
        <v>2073</v>
      </c>
      <c r="E1014" s="2"/>
      <c r="F1014" s="200">
        <v>0</v>
      </c>
      <c r="H1014" s="17"/>
    </row>
    <row r="1015" spans="2:8" s="16" customFormat="1" ht="16.899999999999999" customHeight="1" x14ac:dyDescent="0.2">
      <c r="B1015" s="17"/>
      <c r="C1015" s="83"/>
      <c r="D1015" s="83" t="s">
        <v>2074</v>
      </c>
      <c r="E1015" s="2"/>
      <c r="F1015" s="200">
        <v>0</v>
      </c>
      <c r="H1015" s="17"/>
    </row>
    <row r="1016" spans="2:8" s="16" customFormat="1" ht="16.899999999999999" customHeight="1" x14ac:dyDescent="0.2">
      <c r="B1016" s="17"/>
      <c r="C1016" s="83"/>
      <c r="D1016" s="83" t="s">
        <v>2075</v>
      </c>
      <c r="E1016" s="2"/>
      <c r="F1016" s="200">
        <v>10.119999999999999</v>
      </c>
      <c r="H1016" s="17"/>
    </row>
    <row r="1017" spans="2:8" s="16" customFormat="1" ht="16.899999999999999" customHeight="1" x14ac:dyDescent="0.2">
      <c r="B1017" s="17"/>
      <c r="C1017" s="83"/>
      <c r="D1017" s="83" t="s">
        <v>560</v>
      </c>
      <c r="E1017" s="2"/>
      <c r="F1017" s="200">
        <v>-1.379</v>
      </c>
      <c r="H1017" s="17"/>
    </row>
    <row r="1018" spans="2:8" s="16" customFormat="1" ht="16.899999999999999" customHeight="1" x14ac:dyDescent="0.2">
      <c r="B1018" s="17"/>
      <c r="C1018" s="83"/>
      <c r="D1018" s="83" t="s">
        <v>651</v>
      </c>
      <c r="E1018" s="2"/>
      <c r="F1018" s="200">
        <v>0</v>
      </c>
      <c r="H1018" s="17"/>
    </row>
    <row r="1019" spans="2:8" s="16" customFormat="1" ht="16.899999999999999" customHeight="1" x14ac:dyDescent="0.2">
      <c r="B1019" s="17"/>
      <c r="C1019" s="83"/>
      <c r="D1019" s="83" t="s">
        <v>2076</v>
      </c>
      <c r="E1019" s="2"/>
      <c r="F1019" s="200">
        <v>4.4000000000000004</v>
      </c>
      <c r="H1019" s="17"/>
    </row>
    <row r="1020" spans="2:8" s="16" customFormat="1" ht="16.899999999999999" customHeight="1" x14ac:dyDescent="0.2">
      <c r="B1020" s="17"/>
      <c r="C1020" s="83"/>
      <c r="D1020" s="83" t="s">
        <v>2077</v>
      </c>
      <c r="E1020" s="2"/>
      <c r="F1020" s="200">
        <v>0</v>
      </c>
      <c r="H1020" s="17"/>
    </row>
    <row r="1021" spans="2:8" s="16" customFormat="1" ht="16.899999999999999" customHeight="1" x14ac:dyDescent="0.2">
      <c r="B1021" s="17"/>
      <c r="C1021" s="83"/>
      <c r="D1021" s="83" t="s">
        <v>2078</v>
      </c>
      <c r="E1021" s="2"/>
      <c r="F1021" s="200">
        <v>7</v>
      </c>
      <c r="H1021" s="17"/>
    </row>
    <row r="1022" spans="2:8" s="16" customFormat="1" ht="16.899999999999999" customHeight="1" x14ac:dyDescent="0.2">
      <c r="B1022" s="17"/>
      <c r="C1022" s="83"/>
      <c r="D1022" s="83"/>
      <c r="E1022" s="2"/>
      <c r="F1022" s="200">
        <v>0</v>
      </c>
      <c r="H1022" s="17"/>
    </row>
    <row r="1023" spans="2:8" s="16" customFormat="1" ht="16.899999999999999" customHeight="1" x14ac:dyDescent="0.2">
      <c r="B1023" s="17"/>
      <c r="C1023" s="83"/>
      <c r="D1023" s="83" t="s">
        <v>362</v>
      </c>
      <c r="E1023" s="2"/>
      <c r="F1023" s="200">
        <v>0</v>
      </c>
      <c r="H1023" s="17"/>
    </row>
    <row r="1024" spans="2:8" s="16" customFormat="1" ht="16.899999999999999" customHeight="1" x14ac:dyDescent="0.2">
      <c r="B1024" s="17"/>
      <c r="C1024" s="83"/>
      <c r="D1024" s="83" t="s">
        <v>2079</v>
      </c>
      <c r="E1024" s="2"/>
      <c r="F1024" s="200">
        <v>0</v>
      </c>
      <c r="H1024" s="17"/>
    </row>
    <row r="1025" spans="2:8" s="16" customFormat="1" ht="16.899999999999999" customHeight="1" x14ac:dyDescent="0.2">
      <c r="B1025" s="17"/>
      <c r="C1025" s="83"/>
      <c r="D1025" s="83" t="s">
        <v>2080</v>
      </c>
      <c r="E1025" s="2"/>
      <c r="F1025" s="200">
        <v>42.24</v>
      </c>
      <c r="H1025" s="17"/>
    </row>
    <row r="1026" spans="2:8" s="16" customFormat="1" ht="16.899999999999999" customHeight="1" x14ac:dyDescent="0.2">
      <c r="B1026" s="17"/>
      <c r="C1026" s="83"/>
      <c r="D1026" s="83" t="s">
        <v>2081</v>
      </c>
      <c r="E1026" s="2"/>
      <c r="F1026" s="200">
        <v>0</v>
      </c>
      <c r="H1026" s="17"/>
    </row>
    <row r="1027" spans="2:8" s="16" customFormat="1" ht="16.899999999999999" customHeight="1" x14ac:dyDescent="0.2">
      <c r="B1027" s="17"/>
      <c r="C1027" s="83"/>
      <c r="D1027" s="83" t="s">
        <v>2082</v>
      </c>
      <c r="E1027" s="2"/>
      <c r="F1027" s="200">
        <v>20</v>
      </c>
      <c r="H1027" s="17"/>
    </row>
    <row r="1028" spans="2:8" s="16" customFormat="1" ht="16.899999999999999" customHeight="1" x14ac:dyDescent="0.2">
      <c r="B1028" s="17"/>
      <c r="C1028" s="83"/>
      <c r="D1028" s="83"/>
      <c r="E1028" s="2"/>
      <c r="F1028" s="200">
        <v>0</v>
      </c>
      <c r="H1028" s="17"/>
    </row>
    <row r="1029" spans="2:8" s="16" customFormat="1" ht="16.899999999999999" customHeight="1" x14ac:dyDescent="0.2">
      <c r="B1029" s="17"/>
      <c r="C1029" s="83"/>
      <c r="D1029" s="83" t="s">
        <v>367</v>
      </c>
      <c r="E1029" s="2"/>
      <c r="F1029" s="200">
        <v>0</v>
      </c>
      <c r="H1029" s="17"/>
    </row>
    <row r="1030" spans="2:8" s="16" customFormat="1" ht="16.899999999999999" customHeight="1" x14ac:dyDescent="0.2">
      <c r="B1030" s="17"/>
      <c r="C1030" s="83"/>
      <c r="D1030" s="83" t="s">
        <v>2083</v>
      </c>
      <c r="E1030" s="2"/>
      <c r="F1030" s="200">
        <v>0</v>
      </c>
      <c r="H1030" s="17"/>
    </row>
    <row r="1031" spans="2:8" s="16" customFormat="1" ht="16.899999999999999" customHeight="1" x14ac:dyDescent="0.2">
      <c r="B1031" s="17"/>
      <c r="C1031" s="83"/>
      <c r="D1031" s="83" t="s">
        <v>2084</v>
      </c>
      <c r="E1031" s="2"/>
      <c r="F1031" s="200">
        <v>49.28</v>
      </c>
      <c r="H1031" s="17"/>
    </row>
    <row r="1032" spans="2:8" s="16" customFormat="1" ht="16.899999999999999" customHeight="1" x14ac:dyDescent="0.2">
      <c r="B1032" s="17"/>
      <c r="C1032" s="83"/>
      <c r="D1032" s="83" t="s">
        <v>2085</v>
      </c>
      <c r="E1032" s="2"/>
      <c r="F1032" s="200">
        <v>4.84</v>
      </c>
      <c r="H1032" s="17"/>
    </row>
    <row r="1033" spans="2:8" s="16" customFormat="1" ht="16.899999999999999" customHeight="1" x14ac:dyDescent="0.2">
      <c r="B1033" s="17"/>
      <c r="C1033" s="83"/>
      <c r="D1033" s="83" t="s">
        <v>2081</v>
      </c>
      <c r="E1033" s="2"/>
      <c r="F1033" s="200">
        <v>0</v>
      </c>
      <c r="H1033" s="17"/>
    </row>
    <row r="1034" spans="2:8" s="16" customFormat="1" ht="16.899999999999999" customHeight="1" x14ac:dyDescent="0.2">
      <c r="B1034" s="17"/>
      <c r="C1034" s="83"/>
      <c r="D1034" s="83" t="s">
        <v>2086</v>
      </c>
      <c r="E1034" s="2"/>
      <c r="F1034" s="200">
        <v>31</v>
      </c>
      <c r="H1034" s="17"/>
    </row>
    <row r="1035" spans="2:8" s="16" customFormat="1" ht="16.899999999999999" customHeight="1" x14ac:dyDescent="0.2">
      <c r="B1035" s="17"/>
      <c r="C1035" s="83"/>
      <c r="D1035" s="83"/>
      <c r="E1035" s="2"/>
      <c r="F1035" s="200">
        <v>0</v>
      </c>
      <c r="H1035" s="17"/>
    </row>
    <row r="1036" spans="2:8" s="16" customFormat="1" ht="16.899999999999999" customHeight="1" x14ac:dyDescent="0.2">
      <c r="B1036" s="17"/>
      <c r="C1036" s="83"/>
      <c r="D1036" s="83" t="s">
        <v>368</v>
      </c>
      <c r="E1036" s="2"/>
      <c r="F1036" s="200">
        <v>0</v>
      </c>
      <c r="H1036" s="17"/>
    </row>
    <row r="1037" spans="2:8" s="16" customFormat="1" ht="16.899999999999999" customHeight="1" x14ac:dyDescent="0.2">
      <c r="B1037" s="17"/>
      <c r="C1037" s="83"/>
      <c r="D1037" s="83" t="s">
        <v>2083</v>
      </c>
      <c r="E1037" s="2"/>
      <c r="F1037" s="200">
        <v>0</v>
      </c>
      <c r="H1037" s="17"/>
    </row>
    <row r="1038" spans="2:8" s="16" customFormat="1" ht="16.899999999999999" customHeight="1" x14ac:dyDescent="0.2">
      <c r="B1038" s="17"/>
      <c r="C1038" s="83"/>
      <c r="D1038" s="83" t="s">
        <v>2084</v>
      </c>
      <c r="E1038" s="2"/>
      <c r="F1038" s="200">
        <v>49.28</v>
      </c>
      <c r="H1038" s="17"/>
    </row>
    <row r="1039" spans="2:8" s="16" customFormat="1" ht="16.899999999999999" customHeight="1" x14ac:dyDescent="0.2">
      <c r="B1039" s="17"/>
      <c r="C1039" s="83"/>
      <c r="D1039" s="83" t="s">
        <v>2087</v>
      </c>
      <c r="E1039" s="2"/>
      <c r="F1039" s="200">
        <v>4.84</v>
      </c>
      <c r="H1039" s="17"/>
    </row>
    <row r="1040" spans="2:8" s="16" customFormat="1" ht="16.899999999999999" customHeight="1" x14ac:dyDescent="0.2">
      <c r="B1040" s="17"/>
      <c r="C1040" s="83"/>
      <c r="D1040" s="83" t="s">
        <v>2088</v>
      </c>
      <c r="E1040" s="2"/>
      <c r="F1040" s="200">
        <v>13.97</v>
      </c>
      <c r="H1040" s="17"/>
    </row>
    <row r="1041" spans="2:8" s="16" customFormat="1" ht="16.899999999999999" customHeight="1" x14ac:dyDescent="0.2">
      <c r="B1041" s="17"/>
      <c r="C1041" s="83"/>
      <c r="D1041" s="83" t="s">
        <v>2077</v>
      </c>
      <c r="E1041" s="2"/>
      <c r="F1041" s="200">
        <v>0</v>
      </c>
      <c r="H1041" s="17"/>
    </row>
    <row r="1042" spans="2:8" s="16" customFormat="1" ht="16.899999999999999" customHeight="1" x14ac:dyDescent="0.2">
      <c r="B1042" s="17"/>
      <c r="C1042" s="83"/>
      <c r="D1042" s="83" t="s">
        <v>2089</v>
      </c>
      <c r="E1042" s="2"/>
      <c r="F1042" s="200">
        <v>33</v>
      </c>
      <c r="H1042" s="17"/>
    </row>
    <row r="1043" spans="2:8" s="16" customFormat="1" ht="16.899999999999999" customHeight="1" x14ac:dyDescent="0.2">
      <c r="B1043" s="17"/>
      <c r="C1043" s="83"/>
      <c r="D1043" s="83"/>
      <c r="E1043" s="2"/>
      <c r="F1043" s="200">
        <v>0</v>
      </c>
      <c r="H1043" s="17"/>
    </row>
    <row r="1044" spans="2:8" s="16" customFormat="1" ht="16.899999999999999" customHeight="1" x14ac:dyDescent="0.2">
      <c r="B1044" s="17"/>
      <c r="C1044" s="83"/>
      <c r="D1044" s="83" t="s">
        <v>370</v>
      </c>
      <c r="E1044" s="2"/>
      <c r="F1044" s="200">
        <v>0</v>
      </c>
      <c r="H1044" s="17"/>
    </row>
    <row r="1045" spans="2:8" s="16" customFormat="1" ht="16.899999999999999" customHeight="1" x14ac:dyDescent="0.2">
      <c r="B1045" s="17"/>
      <c r="C1045" s="83"/>
      <c r="D1045" s="83" t="s">
        <v>2083</v>
      </c>
      <c r="E1045" s="2"/>
      <c r="F1045" s="200">
        <v>0</v>
      </c>
      <c r="H1045" s="17"/>
    </row>
    <row r="1046" spans="2:8" s="16" customFormat="1" ht="16.899999999999999" customHeight="1" x14ac:dyDescent="0.2">
      <c r="B1046" s="17"/>
      <c r="C1046" s="83"/>
      <c r="D1046" s="83" t="s">
        <v>2084</v>
      </c>
      <c r="E1046" s="2"/>
      <c r="F1046" s="200">
        <v>49.28</v>
      </c>
      <c r="H1046" s="17"/>
    </row>
    <row r="1047" spans="2:8" s="16" customFormat="1" ht="16.899999999999999" customHeight="1" x14ac:dyDescent="0.2">
      <c r="B1047" s="17"/>
      <c r="C1047" s="83"/>
      <c r="D1047" s="83" t="s">
        <v>2090</v>
      </c>
      <c r="E1047" s="2"/>
      <c r="F1047" s="200">
        <v>4.84</v>
      </c>
      <c r="H1047" s="17"/>
    </row>
    <row r="1048" spans="2:8" s="16" customFormat="1" ht="16.899999999999999" customHeight="1" x14ac:dyDescent="0.2">
      <c r="B1048" s="17"/>
      <c r="C1048" s="83"/>
      <c r="D1048" s="83" t="s">
        <v>2091</v>
      </c>
      <c r="E1048" s="2"/>
      <c r="F1048" s="200">
        <v>11.44</v>
      </c>
      <c r="H1048" s="17"/>
    </row>
    <row r="1049" spans="2:8" s="16" customFormat="1" ht="16.899999999999999" customHeight="1" x14ac:dyDescent="0.2">
      <c r="B1049" s="17"/>
      <c r="C1049" s="83"/>
      <c r="D1049" s="83" t="s">
        <v>2081</v>
      </c>
      <c r="E1049" s="2"/>
      <c r="F1049" s="200">
        <v>0</v>
      </c>
      <c r="H1049" s="17"/>
    </row>
    <row r="1050" spans="2:8" s="16" customFormat="1" ht="16.899999999999999" customHeight="1" x14ac:dyDescent="0.2">
      <c r="B1050" s="17"/>
      <c r="C1050" s="83"/>
      <c r="D1050" s="83" t="s">
        <v>2092</v>
      </c>
      <c r="E1050" s="2"/>
      <c r="F1050" s="200">
        <v>29</v>
      </c>
      <c r="H1050" s="17"/>
    </row>
    <row r="1051" spans="2:8" s="16" customFormat="1" ht="16.899999999999999" customHeight="1" x14ac:dyDescent="0.2">
      <c r="B1051" s="17"/>
      <c r="C1051" s="83"/>
      <c r="D1051" s="83"/>
      <c r="E1051" s="2"/>
      <c r="F1051" s="200">
        <v>0</v>
      </c>
      <c r="H1051" s="17"/>
    </row>
    <row r="1052" spans="2:8" s="16" customFormat="1" ht="16.899999999999999" customHeight="1" x14ac:dyDescent="0.2">
      <c r="B1052" s="17"/>
      <c r="C1052" s="83"/>
      <c r="D1052" s="83" t="s">
        <v>434</v>
      </c>
      <c r="E1052" s="2"/>
      <c r="F1052" s="200">
        <v>0</v>
      </c>
      <c r="H1052" s="17"/>
    </row>
    <row r="1053" spans="2:8" s="16" customFormat="1" ht="16.899999999999999" customHeight="1" x14ac:dyDescent="0.2">
      <c r="B1053" s="17"/>
      <c r="C1053" s="83"/>
      <c r="D1053" s="83" t="s">
        <v>2083</v>
      </c>
      <c r="E1053" s="2"/>
      <c r="F1053" s="200">
        <v>0</v>
      </c>
      <c r="H1053" s="17"/>
    </row>
    <row r="1054" spans="2:8" s="16" customFormat="1" ht="16.899999999999999" customHeight="1" x14ac:dyDescent="0.2">
      <c r="B1054" s="17"/>
      <c r="C1054" s="83"/>
      <c r="D1054" s="83" t="s">
        <v>2093</v>
      </c>
      <c r="E1054" s="2"/>
      <c r="F1054" s="200">
        <v>51.281999999999996</v>
      </c>
      <c r="H1054" s="17"/>
    </row>
    <row r="1055" spans="2:8" s="16" customFormat="1" ht="16.899999999999999" customHeight="1" x14ac:dyDescent="0.2">
      <c r="B1055" s="17"/>
      <c r="C1055" s="83"/>
      <c r="D1055" s="83" t="s">
        <v>2081</v>
      </c>
      <c r="E1055" s="2"/>
      <c r="F1055" s="200">
        <v>0</v>
      </c>
      <c r="H1055" s="17"/>
    </row>
    <row r="1056" spans="2:8" s="16" customFormat="1" ht="16.899999999999999" customHeight="1" x14ac:dyDescent="0.2">
      <c r="B1056" s="17"/>
      <c r="C1056" s="83"/>
      <c r="D1056" s="83" t="s">
        <v>2094</v>
      </c>
      <c r="E1056" s="2"/>
      <c r="F1056" s="200">
        <v>22</v>
      </c>
      <c r="H1056" s="17"/>
    </row>
    <row r="1057" spans="2:8" s="16" customFormat="1" ht="16.899999999999999" customHeight="1" x14ac:dyDescent="0.2">
      <c r="B1057" s="17"/>
      <c r="C1057" s="83"/>
      <c r="D1057" s="83"/>
      <c r="E1057" s="2"/>
      <c r="F1057" s="200">
        <v>0</v>
      </c>
      <c r="H1057" s="17"/>
    </row>
    <row r="1058" spans="2:8" s="16" customFormat="1" ht="16.899999999999999" customHeight="1" x14ac:dyDescent="0.2">
      <c r="B1058" s="17"/>
      <c r="C1058" s="83"/>
      <c r="D1058" s="83" t="s">
        <v>2095</v>
      </c>
      <c r="E1058" s="2"/>
      <c r="F1058" s="200">
        <v>0</v>
      </c>
      <c r="H1058" s="17"/>
    </row>
    <row r="1059" spans="2:8" s="16" customFormat="1" ht="16.899999999999999" customHeight="1" x14ac:dyDescent="0.2">
      <c r="B1059" s="17"/>
      <c r="C1059" s="83"/>
      <c r="D1059" s="83" t="s">
        <v>2096</v>
      </c>
      <c r="E1059" s="2"/>
      <c r="F1059" s="200">
        <v>0</v>
      </c>
      <c r="H1059" s="17"/>
    </row>
    <row r="1060" spans="2:8" s="16" customFormat="1" ht="16.899999999999999" customHeight="1" x14ac:dyDescent="0.2">
      <c r="B1060" s="17"/>
      <c r="C1060" s="83"/>
      <c r="D1060" s="83" t="s">
        <v>2097</v>
      </c>
      <c r="E1060" s="2"/>
      <c r="F1060" s="200">
        <v>0</v>
      </c>
      <c r="H1060" s="17"/>
    </row>
    <row r="1061" spans="2:8" s="16" customFormat="1" ht="16.899999999999999" customHeight="1" x14ac:dyDescent="0.2">
      <c r="B1061" s="17"/>
      <c r="C1061" s="83"/>
      <c r="D1061" s="83" t="s">
        <v>2098</v>
      </c>
      <c r="E1061" s="2"/>
      <c r="F1061" s="200">
        <v>6.7</v>
      </c>
      <c r="H1061" s="17"/>
    </row>
    <row r="1062" spans="2:8" s="16" customFormat="1" ht="16.899999999999999" customHeight="1" x14ac:dyDescent="0.2">
      <c r="B1062" s="17"/>
      <c r="C1062" s="83"/>
      <c r="D1062" s="83" t="s">
        <v>1601</v>
      </c>
      <c r="E1062" s="2"/>
      <c r="F1062" s="200">
        <v>-0.8</v>
      </c>
      <c r="H1062" s="17"/>
    </row>
    <row r="1063" spans="2:8" s="16" customFormat="1" ht="16.899999999999999" customHeight="1" x14ac:dyDescent="0.2">
      <c r="B1063" s="17"/>
      <c r="C1063" s="83"/>
      <c r="D1063" s="83" t="s">
        <v>1600</v>
      </c>
      <c r="E1063" s="2"/>
      <c r="F1063" s="200">
        <v>20.149999999999999</v>
      </c>
      <c r="H1063" s="17"/>
    </row>
    <row r="1064" spans="2:8" s="16" customFormat="1" ht="16.899999999999999" customHeight="1" x14ac:dyDescent="0.2">
      <c r="B1064" s="17"/>
      <c r="C1064" s="83"/>
      <c r="D1064" s="83" t="s">
        <v>1601</v>
      </c>
      <c r="E1064" s="2"/>
      <c r="F1064" s="200">
        <v>-0.8</v>
      </c>
      <c r="H1064" s="17"/>
    </row>
    <row r="1065" spans="2:8" s="16" customFormat="1" ht="16.899999999999999" customHeight="1" x14ac:dyDescent="0.2">
      <c r="B1065" s="17"/>
      <c r="C1065" s="83"/>
      <c r="D1065" s="83" t="s">
        <v>2099</v>
      </c>
      <c r="E1065" s="2"/>
      <c r="F1065" s="200">
        <v>10.06</v>
      </c>
      <c r="H1065" s="17"/>
    </row>
    <row r="1066" spans="2:8" s="16" customFormat="1" ht="16.899999999999999" customHeight="1" x14ac:dyDescent="0.2">
      <c r="B1066" s="17"/>
      <c r="C1066" s="83"/>
      <c r="D1066" s="83" t="s">
        <v>2100</v>
      </c>
      <c r="E1066" s="2"/>
      <c r="F1066" s="200">
        <v>-1.4</v>
      </c>
      <c r="H1066" s="17"/>
    </row>
    <row r="1067" spans="2:8" s="16" customFormat="1" ht="16.899999999999999" customHeight="1" x14ac:dyDescent="0.2">
      <c r="B1067" s="17"/>
      <c r="C1067" s="83"/>
      <c r="D1067" s="83" t="s">
        <v>1653</v>
      </c>
      <c r="E1067" s="2"/>
      <c r="F1067" s="200">
        <v>13.3</v>
      </c>
      <c r="H1067" s="17"/>
    </row>
    <row r="1068" spans="2:8" s="16" customFormat="1" ht="16.899999999999999" customHeight="1" x14ac:dyDescent="0.2">
      <c r="B1068" s="17"/>
      <c r="C1068" s="83"/>
      <c r="D1068" s="83" t="s">
        <v>1601</v>
      </c>
      <c r="E1068" s="2"/>
      <c r="F1068" s="200">
        <v>-0.8</v>
      </c>
      <c r="H1068" s="17"/>
    </row>
    <row r="1069" spans="2:8" s="16" customFormat="1" ht="16.899999999999999" customHeight="1" x14ac:dyDescent="0.2">
      <c r="B1069" s="17"/>
      <c r="C1069" s="83"/>
      <c r="D1069" s="83" t="s">
        <v>2101</v>
      </c>
      <c r="E1069" s="2"/>
      <c r="F1069" s="200">
        <v>6.26</v>
      </c>
      <c r="H1069" s="17"/>
    </row>
    <row r="1070" spans="2:8" s="16" customFormat="1" ht="16.899999999999999" customHeight="1" x14ac:dyDescent="0.2">
      <c r="B1070" s="17"/>
      <c r="C1070" s="83"/>
      <c r="D1070" s="83" t="s">
        <v>2102</v>
      </c>
      <c r="E1070" s="2"/>
      <c r="F1070" s="200">
        <v>-0.7</v>
      </c>
      <c r="H1070" s="17"/>
    </row>
    <row r="1071" spans="2:8" s="16" customFormat="1" ht="16.899999999999999" customHeight="1" x14ac:dyDescent="0.2">
      <c r="B1071" s="17"/>
      <c r="C1071" s="83"/>
      <c r="D1071" s="83" t="s">
        <v>2103</v>
      </c>
      <c r="E1071" s="2"/>
      <c r="F1071" s="200">
        <v>4.34</v>
      </c>
      <c r="H1071" s="17"/>
    </row>
    <row r="1072" spans="2:8" s="16" customFormat="1" ht="16.899999999999999" customHeight="1" x14ac:dyDescent="0.2">
      <c r="B1072" s="17"/>
      <c r="C1072" s="83"/>
      <c r="D1072" s="83" t="s">
        <v>2102</v>
      </c>
      <c r="E1072" s="2"/>
      <c r="F1072" s="200">
        <v>-0.7</v>
      </c>
      <c r="H1072" s="17"/>
    </row>
    <row r="1073" spans="2:8" s="16" customFormat="1" ht="16.899999999999999" customHeight="1" x14ac:dyDescent="0.2">
      <c r="B1073" s="17"/>
      <c r="C1073" s="83"/>
      <c r="D1073" s="83" t="s">
        <v>2104</v>
      </c>
      <c r="E1073" s="2"/>
      <c r="F1073" s="200">
        <v>6.26</v>
      </c>
      <c r="H1073" s="17"/>
    </row>
    <row r="1074" spans="2:8" s="16" customFormat="1" ht="16.899999999999999" customHeight="1" x14ac:dyDescent="0.2">
      <c r="B1074" s="17"/>
      <c r="C1074" s="83"/>
      <c r="D1074" s="83" t="s">
        <v>2102</v>
      </c>
      <c r="E1074" s="2"/>
      <c r="F1074" s="200">
        <v>-0.7</v>
      </c>
      <c r="H1074" s="17"/>
    </row>
    <row r="1075" spans="2:8" s="16" customFormat="1" ht="16.899999999999999" customHeight="1" x14ac:dyDescent="0.2">
      <c r="B1075" s="17"/>
      <c r="C1075" s="83"/>
      <c r="D1075" s="83" t="s">
        <v>2105</v>
      </c>
      <c r="E1075" s="2"/>
      <c r="F1075" s="200">
        <v>4.34</v>
      </c>
      <c r="H1075" s="17"/>
    </row>
    <row r="1076" spans="2:8" s="16" customFormat="1" ht="16.899999999999999" customHeight="1" x14ac:dyDescent="0.2">
      <c r="B1076" s="17"/>
      <c r="C1076" s="83"/>
      <c r="D1076" s="83" t="s">
        <v>2102</v>
      </c>
      <c r="E1076" s="2"/>
      <c r="F1076" s="200">
        <v>-0.7</v>
      </c>
      <c r="H1076" s="17"/>
    </row>
    <row r="1077" spans="2:8" s="16" customFormat="1" ht="16.899999999999999" customHeight="1" x14ac:dyDescent="0.2">
      <c r="B1077" s="17"/>
      <c r="C1077" s="83"/>
      <c r="D1077" s="83" t="s">
        <v>2106</v>
      </c>
      <c r="E1077" s="2"/>
      <c r="F1077" s="200">
        <v>4.34</v>
      </c>
      <c r="H1077" s="17"/>
    </row>
    <row r="1078" spans="2:8" s="16" customFormat="1" ht="16.899999999999999" customHeight="1" x14ac:dyDescent="0.2">
      <c r="B1078" s="17"/>
      <c r="C1078" s="83"/>
      <c r="D1078" s="83" t="s">
        <v>2102</v>
      </c>
      <c r="E1078" s="2"/>
      <c r="F1078" s="200">
        <v>-0.7</v>
      </c>
      <c r="H1078" s="17"/>
    </row>
    <row r="1079" spans="2:8" s="16" customFormat="1" ht="16.899999999999999" customHeight="1" x14ac:dyDescent="0.2">
      <c r="B1079" s="17"/>
      <c r="C1079" s="83"/>
      <c r="D1079" s="83" t="s">
        <v>2107</v>
      </c>
      <c r="E1079" s="2"/>
      <c r="F1079" s="200">
        <v>5.89</v>
      </c>
      <c r="H1079" s="17"/>
    </row>
    <row r="1080" spans="2:8" s="16" customFormat="1" ht="16.899999999999999" customHeight="1" x14ac:dyDescent="0.2">
      <c r="B1080" s="17"/>
      <c r="C1080" s="83"/>
      <c r="D1080" s="83" t="s">
        <v>2102</v>
      </c>
      <c r="E1080" s="2"/>
      <c r="F1080" s="200">
        <v>-0.7</v>
      </c>
      <c r="H1080" s="17"/>
    </row>
    <row r="1081" spans="2:8" s="16" customFormat="1" ht="16.899999999999999" customHeight="1" x14ac:dyDescent="0.2">
      <c r="B1081" s="17"/>
      <c r="C1081" s="83"/>
      <c r="D1081" s="83" t="s">
        <v>2108</v>
      </c>
      <c r="E1081" s="2"/>
      <c r="F1081" s="200">
        <v>6.26</v>
      </c>
      <c r="H1081" s="17"/>
    </row>
    <row r="1082" spans="2:8" s="16" customFormat="1" ht="16.899999999999999" customHeight="1" x14ac:dyDescent="0.2">
      <c r="B1082" s="17"/>
      <c r="C1082" s="83"/>
      <c r="D1082" s="83" t="s">
        <v>2102</v>
      </c>
      <c r="E1082" s="2"/>
      <c r="F1082" s="200">
        <v>-0.7</v>
      </c>
      <c r="H1082" s="17"/>
    </row>
    <row r="1083" spans="2:8" s="16" customFormat="1" ht="16.899999999999999" customHeight="1" x14ac:dyDescent="0.2">
      <c r="B1083" s="17"/>
      <c r="C1083" s="83"/>
      <c r="D1083" s="83" t="s">
        <v>2109</v>
      </c>
      <c r="E1083" s="2"/>
      <c r="F1083" s="200">
        <v>4.34</v>
      </c>
      <c r="H1083" s="17"/>
    </row>
    <row r="1084" spans="2:8" s="16" customFormat="1" ht="16.899999999999999" customHeight="1" x14ac:dyDescent="0.2">
      <c r="B1084" s="17"/>
      <c r="C1084" s="83"/>
      <c r="D1084" s="83" t="s">
        <v>2102</v>
      </c>
      <c r="E1084" s="2"/>
      <c r="F1084" s="200">
        <v>-0.7</v>
      </c>
      <c r="H1084" s="17"/>
    </row>
    <row r="1085" spans="2:8" s="16" customFormat="1" ht="16.899999999999999" customHeight="1" x14ac:dyDescent="0.2">
      <c r="B1085" s="17"/>
      <c r="C1085" s="83"/>
      <c r="D1085" s="83" t="s">
        <v>2110</v>
      </c>
      <c r="E1085" s="2"/>
      <c r="F1085" s="200">
        <v>6.26</v>
      </c>
      <c r="H1085" s="17"/>
    </row>
    <row r="1086" spans="2:8" s="16" customFormat="1" ht="16.899999999999999" customHeight="1" x14ac:dyDescent="0.2">
      <c r="B1086" s="17"/>
      <c r="C1086" s="83"/>
      <c r="D1086" s="83" t="s">
        <v>2102</v>
      </c>
      <c r="E1086" s="2"/>
      <c r="F1086" s="200">
        <v>-0.7</v>
      </c>
      <c r="H1086" s="17"/>
    </row>
    <row r="1087" spans="2:8" s="16" customFormat="1" ht="16.899999999999999" customHeight="1" x14ac:dyDescent="0.2">
      <c r="B1087" s="17"/>
      <c r="C1087" s="83"/>
      <c r="D1087" s="83" t="s">
        <v>2111</v>
      </c>
      <c r="E1087" s="2"/>
      <c r="F1087" s="200">
        <v>4.71</v>
      </c>
      <c r="H1087" s="17"/>
    </row>
    <row r="1088" spans="2:8" s="16" customFormat="1" ht="16.899999999999999" customHeight="1" x14ac:dyDescent="0.2">
      <c r="B1088" s="17"/>
      <c r="C1088" s="83"/>
      <c r="D1088" s="83" t="s">
        <v>2102</v>
      </c>
      <c r="E1088" s="2"/>
      <c r="F1088" s="200">
        <v>-0.7</v>
      </c>
      <c r="H1088" s="17"/>
    </row>
    <row r="1089" spans="2:8" s="16" customFormat="1" ht="16.899999999999999" customHeight="1" x14ac:dyDescent="0.2">
      <c r="B1089" s="17"/>
      <c r="C1089" s="83"/>
      <c r="D1089" s="83" t="s">
        <v>2112</v>
      </c>
      <c r="E1089" s="2"/>
      <c r="F1089" s="200">
        <v>5.4</v>
      </c>
      <c r="H1089" s="17"/>
    </row>
    <row r="1090" spans="2:8" s="16" customFormat="1" ht="16.899999999999999" customHeight="1" x14ac:dyDescent="0.2">
      <c r="B1090" s="17"/>
      <c r="C1090" s="83"/>
      <c r="D1090" s="83" t="s">
        <v>2102</v>
      </c>
      <c r="E1090" s="2"/>
      <c r="F1090" s="200">
        <v>-0.7</v>
      </c>
      <c r="H1090" s="17"/>
    </row>
    <row r="1091" spans="2:8" s="16" customFormat="1" ht="16.899999999999999" customHeight="1" x14ac:dyDescent="0.2">
      <c r="B1091" s="17"/>
      <c r="C1091" s="83"/>
      <c r="D1091" s="83" t="s">
        <v>2113</v>
      </c>
      <c r="E1091" s="2"/>
      <c r="F1091" s="200">
        <v>6.45</v>
      </c>
      <c r="H1091" s="17"/>
    </row>
    <row r="1092" spans="2:8" s="16" customFormat="1" ht="16.899999999999999" customHeight="1" x14ac:dyDescent="0.2">
      <c r="B1092" s="17"/>
      <c r="C1092" s="83"/>
      <c r="D1092" s="83" t="s">
        <v>2102</v>
      </c>
      <c r="E1092" s="2"/>
      <c r="F1092" s="200">
        <v>-0.7</v>
      </c>
      <c r="H1092" s="17"/>
    </row>
    <row r="1093" spans="2:8" s="16" customFormat="1" ht="16.899999999999999" customHeight="1" x14ac:dyDescent="0.2">
      <c r="B1093" s="17"/>
      <c r="C1093" s="83"/>
      <c r="D1093" s="83"/>
      <c r="E1093" s="2"/>
      <c r="F1093" s="200">
        <v>0</v>
      </c>
      <c r="H1093" s="17"/>
    </row>
    <row r="1094" spans="2:8" s="16" customFormat="1" ht="16.899999999999999" customHeight="1" x14ac:dyDescent="0.2">
      <c r="B1094" s="17"/>
      <c r="C1094" s="83"/>
      <c r="D1094" s="83" t="s">
        <v>1654</v>
      </c>
      <c r="E1094" s="2"/>
      <c r="F1094" s="200">
        <v>7.1</v>
      </c>
      <c r="H1094" s="17"/>
    </row>
    <row r="1095" spans="2:8" s="16" customFormat="1" ht="16.899999999999999" customHeight="1" x14ac:dyDescent="0.2">
      <c r="B1095" s="17"/>
      <c r="C1095" s="83"/>
      <c r="D1095" s="83" t="s">
        <v>1601</v>
      </c>
      <c r="E1095" s="2"/>
      <c r="F1095" s="200">
        <v>-0.8</v>
      </c>
      <c r="H1095" s="17"/>
    </row>
    <row r="1096" spans="2:8" s="16" customFormat="1" ht="16.899999999999999" customHeight="1" x14ac:dyDescent="0.2">
      <c r="B1096" s="17"/>
      <c r="C1096" s="83"/>
      <c r="D1096" s="83" t="s">
        <v>1615</v>
      </c>
      <c r="E1096" s="2"/>
      <c r="F1096" s="200">
        <v>20.149999999999999</v>
      </c>
      <c r="H1096" s="17"/>
    </row>
    <row r="1097" spans="2:8" s="16" customFormat="1" ht="16.899999999999999" customHeight="1" x14ac:dyDescent="0.2">
      <c r="B1097" s="17"/>
      <c r="C1097" s="83"/>
      <c r="D1097" s="83" t="s">
        <v>1601</v>
      </c>
      <c r="E1097" s="2"/>
      <c r="F1097" s="200">
        <v>-0.8</v>
      </c>
      <c r="H1097" s="17"/>
    </row>
    <row r="1098" spans="2:8" s="16" customFormat="1" ht="16.899999999999999" customHeight="1" x14ac:dyDescent="0.2">
      <c r="B1098" s="17"/>
      <c r="C1098" s="83"/>
      <c r="D1098" s="83" t="s">
        <v>1655</v>
      </c>
      <c r="E1098" s="2"/>
      <c r="F1098" s="200">
        <v>13.348000000000001</v>
      </c>
      <c r="H1098" s="17"/>
    </row>
    <row r="1099" spans="2:8" s="16" customFormat="1" ht="16.899999999999999" customHeight="1" x14ac:dyDescent="0.2">
      <c r="B1099" s="17"/>
      <c r="C1099" s="83"/>
      <c r="D1099" s="83" t="s">
        <v>1601</v>
      </c>
      <c r="E1099" s="2"/>
      <c r="F1099" s="200">
        <v>-0.8</v>
      </c>
      <c r="H1099" s="17"/>
    </row>
    <row r="1100" spans="2:8" s="16" customFormat="1" ht="16.899999999999999" customHeight="1" x14ac:dyDescent="0.2">
      <c r="B1100" s="17"/>
      <c r="C1100" s="83"/>
      <c r="D1100" s="83" t="s">
        <v>2114</v>
      </c>
      <c r="E1100" s="2"/>
      <c r="F1100" s="200">
        <v>5.3</v>
      </c>
      <c r="H1100" s="17"/>
    </row>
    <row r="1101" spans="2:8" s="16" customFormat="1" ht="16.899999999999999" customHeight="1" x14ac:dyDescent="0.2">
      <c r="B1101" s="17"/>
      <c r="C1101" s="83"/>
      <c r="D1101" s="83" t="s">
        <v>2100</v>
      </c>
      <c r="E1101" s="2"/>
      <c r="F1101" s="200">
        <v>-1.4</v>
      </c>
      <c r="H1101" s="17"/>
    </row>
    <row r="1102" spans="2:8" s="16" customFormat="1" ht="16.899999999999999" customHeight="1" x14ac:dyDescent="0.2">
      <c r="B1102" s="17"/>
      <c r="C1102" s="83"/>
      <c r="D1102" s="83" t="s">
        <v>2115</v>
      </c>
      <c r="E1102" s="2"/>
      <c r="F1102" s="200">
        <v>5.0599999999999996</v>
      </c>
      <c r="H1102" s="17"/>
    </row>
    <row r="1103" spans="2:8" s="16" customFormat="1" ht="16.899999999999999" customHeight="1" x14ac:dyDescent="0.2">
      <c r="B1103" s="17"/>
      <c r="C1103" s="83"/>
      <c r="D1103" s="83" t="s">
        <v>1648</v>
      </c>
      <c r="E1103" s="2"/>
      <c r="F1103" s="200">
        <v>-0.7</v>
      </c>
      <c r="H1103" s="17"/>
    </row>
    <row r="1104" spans="2:8" s="16" customFormat="1" ht="16.899999999999999" customHeight="1" x14ac:dyDescent="0.2">
      <c r="B1104" s="17"/>
      <c r="C1104" s="83"/>
      <c r="D1104" s="83" t="s">
        <v>2116</v>
      </c>
      <c r="E1104" s="2"/>
      <c r="F1104" s="200">
        <v>4.9000000000000004</v>
      </c>
      <c r="H1104" s="17"/>
    </row>
    <row r="1105" spans="2:8" s="16" customFormat="1" ht="16.899999999999999" customHeight="1" x14ac:dyDescent="0.2">
      <c r="B1105" s="17"/>
      <c r="C1105" s="83"/>
      <c r="D1105" s="83" t="s">
        <v>1648</v>
      </c>
      <c r="E1105" s="2"/>
      <c r="F1105" s="200">
        <v>-0.7</v>
      </c>
      <c r="H1105" s="17"/>
    </row>
    <row r="1106" spans="2:8" s="16" customFormat="1" ht="16.899999999999999" customHeight="1" x14ac:dyDescent="0.2">
      <c r="B1106" s="17"/>
      <c r="C1106" s="83"/>
      <c r="D1106" s="83" t="s">
        <v>2117</v>
      </c>
      <c r="E1106" s="2"/>
      <c r="F1106" s="200">
        <v>4.8</v>
      </c>
      <c r="H1106" s="17"/>
    </row>
    <row r="1107" spans="2:8" s="16" customFormat="1" ht="16.899999999999999" customHeight="1" x14ac:dyDescent="0.2">
      <c r="B1107" s="17"/>
      <c r="C1107" s="83"/>
      <c r="D1107" s="83" t="s">
        <v>2100</v>
      </c>
      <c r="E1107" s="2"/>
      <c r="F1107" s="200">
        <v>-1.4</v>
      </c>
      <c r="H1107" s="17"/>
    </row>
    <row r="1108" spans="2:8" s="16" customFormat="1" ht="16.899999999999999" customHeight="1" x14ac:dyDescent="0.2">
      <c r="B1108" s="17"/>
      <c r="C1108" s="83"/>
      <c r="D1108" s="83" t="s">
        <v>2118</v>
      </c>
      <c r="E1108" s="2"/>
      <c r="F1108" s="200">
        <v>4.4000000000000004</v>
      </c>
      <c r="H1108" s="17"/>
    </row>
    <row r="1109" spans="2:8" s="16" customFormat="1" ht="16.899999999999999" customHeight="1" x14ac:dyDescent="0.2">
      <c r="B1109" s="17"/>
      <c r="C1109" s="83"/>
      <c r="D1109" s="83" t="s">
        <v>2100</v>
      </c>
      <c r="E1109" s="2"/>
      <c r="F1109" s="200">
        <v>-1.4</v>
      </c>
      <c r="H1109" s="17"/>
    </row>
    <row r="1110" spans="2:8" s="16" customFormat="1" ht="16.899999999999999" customHeight="1" x14ac:dyDescent="0.2">
      <c r="B1110" s="17"/>
      <c r="C1110" s="83"/>
      <c r="D1110" s="83" t="s">
        <v>2119</v>
      </c>
      <c r="E1110" s="2"/>
      <c r="F1110" s="200">
        <v>4.0599999999999996</v>
      </c>
      <c r="H1110" s="17"/>
    </row>
    <row r="1111" spans="2:8" s="16" customFormat="1" ht="16.899999999999999" customHeight="1" x14ac:dyDescent="0.2">
      <c r="B1111" s="17"/>
      <c r="C1111" s="83"/>
      <c r="D1111" s="83" t="s">
        <v>1648</v>
      </c>
      <c r="E1111" s="2"/>
      <c r="F1111" s="200">
        <v>-0.7</v>
      </c>
      <c r="H1111" s="17"/>
    </row>
    <row r="1112" spans="2:8" s="16" customFormat="1" ht="16.899999999999999" customHeight="1" x14ac:dyDescent="0.2">
      <c r="B1112" s="17"/>
      <c r="C1112" s="83"/>
      <c r="D1112" s="83" t="s">
        <v>2120</v>
      </c>
      <c r="E1112" s="2"/>
      <c r="F1112" s="200">
        <v>10.86</v>
      </c>
      <c r="H1112" s="17"/>
    </row>
    <row r="1113" spans="2:8" s="16" customFormat="1" ht="16.899999999999999" customHeight="1" x14ac:dyDescent="0.2">
      <c r="B1113" s="17"/>
      <c r="C1113" s="83"/>
      <c r="D1113" s="83" t="s">
        <v>1588</v>
      </c>
      <c r="E1113" s="2"/>
      <c r="F1113" s="200">
        <v>-0.9</v>
      </c>
      <c r="H1113" s="17"/>
    </row>
    <row r="1114" spans="2:8" s="16" customFormat="1" ht="16.899999999999999" customHeight="1" x14ac:dyDescent="0.2">
      <c r="B1114" s="17"/>
      <c r="C1114" s="83"/>
      <c r="D1114" s="83" t="s">
        <v>2121</v>
      </c>
      <c r="E1114" s="2"/>
      <c r="F1114" s="200">
        <v>6.26</v>
      </c>
      <c r="H1114" s="17"/>
    </row>
    <row r="1115" spans="2:8" s="16" customFormat="1" ht="16.899999999999999" customHeight="1" x14ac:dyDescent="0.2">
      <c r="B1115" s="17"/>
      <c r="C1115" s="83"/>
      <c r="D1115" s="83" t="s">
        <v>2102</v>
      </c>
      <c r="E1115" s="2"/>
      <c r="F1115" s="200">
        <v>-0.7</v>
      </c>
      <c r="H1115" s="17"/>
    </row>
    <row r="1116" spans="2:8" s="16" customFormat="1" ht="16.899999999999999" customHeight="1" x14ac:dyDescent="0.2">
      <c r="B1116" s="17"/>
      <c r="C1116" s="83"/>
      <c r="D1116" s="83" t="s">
        <v>2122</v>
      </c>
      <c r="E1116" s="2"/>
      <c r="F1116" s="200">
        <v>4.34</v>
      </c>
      <c r="H1116" s="17"/>
    </row>
    <row r="1117" spans="2:8" s="16" customFormat="1" ht="16.899999999999999" customHeight="1" x14ac:dyDescent="0.2">
      <c r="B1117" s="17"/>
      <c r="C1117" s="83"/>
      <c r="D1117" s="83" t="s">
        <v>2102</v>
      </c>
      <c r="E1117" s="2"/>
      <c r="F1117" s="200">
        <v>-0.7</v>
      </c>
      <c r="H1117" s="17"/>
    </row>
    <row r="1118" spans="2:8" s="16" customFormat="1" ht="16.899999999999999" customHeight="1" x14ac:dyDescent="0.2">
      <c r="B1118" s="17"/>
      <c r="C1118" s="83"/>
      <c r="D1118" s="83" t="s">
        <v>2123</v>
      </c>
      <c r="E1118" s="2"/>
      <c r="F1118" s="200">
        <v>6.26</v>
      </c>
      <c r="H1118" s="17"/>
    </row>
    <row r="1119" spans="2:8" s="16" customFormat="1" ht="16.899999999999999" customHeight="1" x14ac:dyDescent="0.2">
      <c r="B1119" s="17"/>
      <c r="C1119" s="83"/>
      <c r="D1119" s="83" t="s">
        <v>2102</v>
      </c>
      <c r="E1119" s="2"/>
      <c r="F1119" s="200">
        <v>-0.7</v>
      </c>
      <c r="H1119" s="17"/>
    </row>
    <row r="1120" spans="2:8" s="16" customFormat="1" ht="16.899999999999999" customHeight="1" x14ac:dyDescent="0.2">
      <c r="B1120" s="17"/>
      <c r="C1120" s="83"/>
      <c r="D1120" s="83" t="s">
        <v>2124</v>
      </c>
      <c r="E1120" s="2"/>
      <c r="F1120" s="200">
        <v>4.34</v>
      </c>
      <c r="H1120" s="17"/>
    </row>
    <row r="1121" spans="2:8" s="16" customFormat="1" ht="16.899999999999999" customHeight="1" x14ac:dyDescent="0.2">
      <c r="B1121" s="17"/>
      <c r="C1121" s="83"/>
      <c r="D1121" s="83" t="s">
        <v>2102</v>
      </c>
      <c r="E1121" s="2"/>
      <c r="F1121" s="200">
        <v>-0.7</v>
      </c>
      <c r="H1121" s="17"/>
    </row>
    <row r="1122" spans="2:8" s="16" customFormat="1" ht="16.899999999999999" customHeight="1" x14ac:dyDescent="0.2">
      <c r="B1122" s="17"/>
      <c r="C1122" s="83"/>
      <c r="D1122" s="83" t="s">
        <v>2125</v>
      </c>
      <c r="E1122" s="2"/>
      <c r="F1122" s="200">
        <v>6.26</v>
      </c>
      <c r="H1122" s="17"/>
    </row>
    <row r="1123" spans="2:8" s="16" customFormat="1" ht="16.899999999999999" customHeight="1" x14ac:dyDescent="0.2">
      <c r="B1123" s="17"/>
      <c r="C1123" s="83"/>
      <c r="D1123" s="83" t="s">
        <v>2102</v>
      </c>
      <c r="E1123" s="2"/>
      <c r="F1123" s="200">
        <v>-0.7</v>
      </c>
      <c r="H1123" s="17"/>
    </row>
    <row r="1124" spans="2:8" s="16" customFormat="1" ht="16.899999999999999" customHeight="1" x14ac:dyDescent="0.2">
      <c r="B1124" s="17"/>
      <c r="C1124" s="83"/>
      <c r="D1124" s="83" t="s">
        <v>2126</v>
      </c>
      <c r="E1124" s="2"/>
      <c r="F1124" s="200">
        <v>4.34</v>
      </c>
      <c r="H1124" s="17"/>
    </row>
    <row r="1125" spans="2:8" s="16" customFormat="1" ht="16.899999999999999" customHeight="1" x14ac:dyDescent="0.2">
      <c r="B1125" s="17"/>
      <c r="C1125" s="83"/>
      <c r="D1125" s="83" t="s">
        <v>2102</v>
      </c>
      <c r="E1125" s="2"/>
      <c r="F1125" s="200">
        <v>-0.7</v>
      </c>
      <c r="H1125" s="17"/>
    </row>
    <row r="1126" spans="2:8" s="16" customFormat="1" ht="16.899999999999999" customHeight="1" x14ac:dyDescent="0.2">
      <c r="B1126" s="17"/>
      <c r="C1126" s="83"/>
      <c r="D1126" s="83" t="s">
        <v>2127</v>
      </c>
      <c r="E1126" s="2"/>
      <c r="F1126" s="200">
        <v>4.34</v>
      </c>
      <c r="H1126" s="17"/>
    </row>
    <row r="1127" spans="2:8" s="16" customFormat="1" ht="16.899999999999999" customHeight="1" x14ac:dyDescent="0.2">
      <c r="B1127" s="17"/>
      <c r="C1127" s="83"/>
      <c r="D1127" s="83" t="s">
        <v>2102</v>
      </c>
      <c r="E1127" s="2"/>
      <c r="F1127" s="200">
        <v>-0.7</v>
      </c>
      <c r="H1127" s="17"/>
    </row>
    <row r="1128" spans="2:8" s="16" customFormat="1" ht="16.899999999999999" customHeight="1" x14ac:dyDescent="0.2">
      <c r="B1128" s="17"/>
      <c r="C1128" s="83"/>
      <c r="D1128" s="83" t="s">
        <v>2128</v>
      </c>
      <c r="E1128" s="2"/>
      <c r="F1128" s="200">
        <v>5.89</v>
      </c>
      <c r="H1128" s="17"/>
    </row>
    <row r="1129" spans="2:8" s="16" customFormat="1" ht="16.899999999999999" customHeight="1" x14ac:dyDescent="0.2">
      <c r="B1129" s="17"/>
      <c r="C1129" s="83"/>
      <c r="D1129" s="83" t="s">
        <v>2102</v>
      </c>
      <c r="E1129" s="2"/>
      <c r="F1129" s="200">
        <v>-0.7</v>
      </c>
      <c r="H1129" s="17"/>
    </row>
    <row r="1130" spans="2:8" s="16" customFormat="1" ht="16.899999999999999" customHeight="1" x14ac:dyDescent="0.2">
      <c r="B1130" s="17"/>
      <c r="C1130" s="83"/>
      <c r="D1130" s="83" t="s">
        <v>2129</v>
      </c>
      <c r="E1130" s="2"/>
      <c r="F1130" s="200">
        <v>6.26</v>
      </c>
      <c r="H1130" s="17"/>
    </row>
    <row r="1131" spans="2:8" s="16" customFormat="1" ht="16.899999999999999" customHeight="1" x14ac:dyDescent="0.2">
      <c r="B1131" s="17"/>
      <c r="C1131" s="83"/>
      <c r="D1131" s="83" t="s">
        <v>2102</v>
      </c>
      <c r="E1131" s="2"/>
      <c r="F1131" s="200">
        <v>-0.7</v>
      </c>
      <c r="H1131" s="17"/>
    </row>
    <row r="1132" spans="2:8" s="16" customFormat="1" ht="16.899999999999999" customHeight="1" x14ac:dyDescent="0.2">
      <c r="B1132" s="17"/>
      <c r="C1132" s="83"/>
      <c r="D1132" s="83" t="s">
        <v>2130</v>
      </c>
      <c r="E1132" s="2"/>
      <c r="F1132" s="200">
        <v>4.34</v>
      </c>
      <c r="H1132" s="17"/>
    </row>
    <row r="1133" spans="2:8" s="16" customFormat="1" ht="16.899999999999999" customHeight="1" x14ac:dyDescent="0.2">
      <c r="B1133" s="17"/>
      <c r="C1133" s="83"/>
      <c r="D1133" s="83" t="s">
        <v>2102</v>
      </c>
      <c r="E1133" s="2"/>
      <c r="F1133" s="200">
        <v>-0.7</v>
      </c>
      <c r="H1133" s="17"/>
    </row>
    <row r="1134" spans="2:8" s="16" customFormat="1" ht="16.899999999999999" customHeight="1" x14ac:dyDescent="0.2">
      <c r="B1134" s="17"/>
      <c r="C1134" s="83"/>
      <c r="D1134" s="83" t="s">
        <v>2131</v>
      </c>
      <c r="E1134" s="2"/>
      <c r="F1134" s="200">
        <v>6.26</v>
      </c>
      <c r="H1134" s="17"/>
    </row>
    <row r="1135" spans="2:8" s="16" customFormat="1" ht="16.899999999999999" customHeight="1" x14ac:dyDescent="0.2">
      <c r="B1135" s="17"/>
      <c r="C1135" s="83"/>
      <c r="D1135" s="83" t="s">
        <v>2102</v>
      </c>
      <c r="E1135" s="2"/>
      <c r="F1135" s="200">
        <v>-0.7</v>
      </c>
      <c r="H1135" s="17"/>
    </row>
    <row r="1136" spans="2:8" s="16" customFormat="1" ht="16.899999999999999" customHeight="1" x14ac:dyDescent="0.2">
      <c r="B1136" s="17"/>
      <c r="C1136" s="83"/>
      <c r="D1136" s="83" t="s">
        <v>2132</v>
      </c>
      <c r="E1136" s="2"/>
      <c r="F1136" s="200">
        <v>4.71</v>
      </c>
      <c r="H1136" s="17"/>
    </row>
    <row r="1137" spans="2:8" s="16" customFormat="1" ht="16.899999999999999" customHeight="1" x14ac:dyDescent="0.2">
      <c r="B1137" s="17"/>
      <c r="C1137" s="83"/>
      <c r="D1137" s="83" t="s">
        <v>2102</v>
      </c>
      <c r="E1137" s="2"/>
      <c r="F1137" s="200">
        <v>-0.7</v>
      </c>
      <c r="H1137" s="17"/>
    </row>
    <row r="1138" spans="2:8" s="16" customFormat="1" ht="16.899999999999999" customHeight="1" x14ac:dyDescent="0.2">
      <c r="B1138" s="17"/>
      <c r="C1138" s="83"/>
      <c r="D1138" s="83" t="s">
        <v>2133</v>
      </c>
      <c r="E1138" s="2"/>
      <c r="F1138" s="200">
        <v>5.4</v>
      </c>
      <c r="H1138" s="17"/>
    </row>
    <row r="1139" spans="2:8" s="16" customFormat="1" ht="16.899999999999999" customHeight="1" x14ac:dyDescent="0.2">
      <c r="B1139" s="17"/>
      <c r="C1139" s="83"/>
      <c r="D1139" s="83" t="s">
        <v>2102</v>
      </c>
      <c r="E1139" s="2"/>
      <c r="F1139" s="200">
        <v>-0.7</v>
      </c>
      <c r="H1139" s="17"/>
    </row>
    <row r="1140" spans="2:8" s="16" customFormat="1" ht="16.899999999999999" customHeight="1" x14ac:dyDescent="0.2">
      <c r="B1140" s="17"/>
      <c r="C1140" s="83"/>
      <c r="D1140" s="83" t="s">
        <v>2134</v>
      </c>
      <c r="E1140" s="2"/>
      <c r="F1140" s="200">
        <v>6.45</v>
      </c>
      <c r="H1140" s="17"/>
    </row>
    <row r="1141" spans="2:8" s="16" customFormat="1" ht="16.899999999999999" customHeight="1" x14ac:dyDescent="0.2">
      <c r="B1141" s="17"/>
      <c r="C1141" s="83"/>
      <c r="D1141" s="83" t="s">
        <v>2102</v>
      </c>
      <c r="E1141" s="2"/>
      <c r="F1141" s="200">
        <v>-0.7</v>
      </c>
      <c r="H1141" s="17"/>
    </row>
    <row r="1142" spans="2:8" s="16" customFormat="1" ht="16.899999999999999" customHeight="1" x14ac:dyDescent="0.2">
      <c r="B1142" s="17"/>
      <c r="C1142" s="83"/>
      <c r="D1142" s="83"/>
      <c r="E1142" s="2"/>
      <c r="F1142" s="200">
        <v>0</v>
      </c>
      <c r="H1142" s="17"/>
    </row>
    <row r="1143" spans="2:8" s="16" customFormat="1" ht="16.899999999999999" customHeight="1" x14ac:dyDescent="0.2">
      <c r="B1143" s="17"/>
      <c r="C1143" s="83"/>
      <c r="D1143" s="83" t="s">
        <v>2135</v>
      </c>
      <c r="E1143" s="2"/>
      <c r="F1143" s="200">
        <v>6.7</v>
      </c>
      <c r="H1143" s="17"/>
    </row>
    <row r="1144" spans="2:8" s="16" customFormat="1" ht="16.899999999999999" customHeight="1" x14ac:dyDescent="0.2">
      <c r="B1144" s="17"/>
      <c r="C1144" s="83"/>
      <c r="D1144" s="83" t="s">
        <v>1601</v>
      </c>
      <c r="E1144" s="2"/>
      <c r="F1144" s="200">
        <v>-0.8</v>
      </c>
      <c r="H1144" s="17"/>
    </row>
    <row r="1145" spans="2:8" s="16" customFormat="1" ht="16.899999999999999" customHeight="1" x14ac:dyDescent="0.2">
      <c r="B1145" s="17"/>
      <c r="C1145" s="83"/>
      <c r="D1145" s="83" t="s">
        <v>1623</v>
      </c>
      <c r="E1145" s="2"/>
      <c r="F1145" s="200">
        <v>20.149999999999999</v>
      </c>
      <c r="H1145" s="17"/>
    </row>
    <row r="1146" spans="2:8" s="16" customFormat="1" ht="16.899999999999999" customHeight="1" x14ac:dyDescent="0.2">
      <c r="B1146" s="17"/>
      <c r="C1146" s="83"/>
      <c r="D1146" s="83" t="s">
        <v>1601</v>
      </c>
      <c r="E1146" s="2"/>
      <c r="F1146" s="200">
        <v>-0.8</v>
      </c>
      <c r="H1146" s="17"/>
    </row>
    <row r="1147" spans="2:8" s="16" customFormat="1" ht="16.899999999999999" customHeight="1" x14ac:dyDescent="0.2">
      <c r="B1147" s="17"/>
      <c r="C1147" s="83"/>
      <c r="D1147" s="83" t="s">
        <v>1660</v>
      </c>
      <c r="E1147" s="2"/>
      <c r="F1147" s="200">
        <v>13.348000000000001</v>
      </c>
      <c r="H1147" s="17"/>
    </row>
    <row r="1148" spans="2:8" s="16" customFormat="1" ht="16.899999999999999" customHeight="1" x14ac:dyDescent="0.2">
      <c r="B1148" s="17"/>
      <c r="C1148" s="83"/>
      <c r="D1148" s="83" t="s">
        <v>1601</v>
      </c>
      <c r="E1148" s="2"/>
      <c r="F1148" s="200">
        <v>-0.8</v>
      </c>
      <c r="H1148" s="17"/>
    </row>
    <row r="1149" spans="2:8" s="16" customFormat="1" ht="16.899999999999999" customHeight="1" x14ac:dyDescent="0.2">
      <c r="B1149" s="17"/>
      <c r="C1149" s="83"/>
      <c r="D1149" s="83" t="s">
        <v>2136</v>
      </c>
      <c r="E1149" s="2"/>
      <c r="F1149" s="200">
        <v>6.06</v>
      </c>
      <c r="H1149" s="17"/>
    </row>
    <row r="1150" spans="2:8" s="16" customFormat="1" ht="16.899999999999999" customHeight="1" x14ac:dyDescent="0.2">
      <c r="B1150" s="17"/>
      <c r="C1150" s="83"/>
      <c r="D1150" s="83" t="s">
        <v>1601</v>
      </c>
      <c r="E1150" s="2"/>
      <c r="F1150" s="200">
        <v>-0.8</v>
      </c>
      <c r="H1150" s="17"/>
    </row>
    <row r="1151" spans="2:8" s="16" customFormat="1" ht="16.899999999999999" customHeight="1" x14ac:dyDescent="0.2">
      <c r="B1151" s="17"/>
      <c r="C1151" s="83"/>
      <c r="D1151" s="83" t="s">
        <v>2137</v>
      </c>
      <c r="E1151" s="2"/>
      <c r="F1151" s="200">
        <v>10.86</v>
      </c>
      <c r="H1151" s="17"/>
    </row>
    <row r="1152" spans="2:8" s="16" customFormat="1" ht="16.899999999999999" customHeight="1" x14ac:dyDescent="0.2">
      <c r="B1152" s="17"/>
      <c r="C1152" s="83"/>
      <c r="D1152" s="83" t="s">
        <v>1588</v>
      </c>
      <c r="E1152" s="2"/>
      <c r="F1152" s="200">
        <v>-0.9</v>
      </c>
      <c r="H1152" s="17"/>
    </row>
    <row r="1153" spans="2:8" s="16" customFormat="1" ht="16.899999999999999" customHeight="1" x14ac:dyDescent="0.2">
      <c r="B1153" s="17"/>
      <c r="C1153" s="83"/>
      <c r="D1153" s="83" t="s">
        <v>2138</v>
      </c>
      <c r="E1153" s="2"/>
      <c r="F1153" s="200">
        <v>6.26</v>
      </c>
      <c r="H1153" s="17"/>
    </row>
    <row r="1154" spans="2:8" s="16" customFormat="1" ht="16.899999999999999" customHeight="1" x14ac:dyDescent="0.2">
      <c r="B1154" s="17"/>
      <c r="C1154" s="83"/>
      <c r="D1154" s="83" t="s">
        <v>2102</v>
      </c>
      <c r="E1154" s="2"/>
      <c r="F1154" s="200">
        <v>-0.7</v>
      </c>
      <c r="H1154" s="17"/>
    </row>
    <row r="1155" spans="2:8" s="16" customFormat="1" ht="16.899999999999999" customHeight="1" x14ac:dyDescent="0.2">
      <c r="B1155" s="17"/>
      <c r="C1155" s="83"/>
      <c r="D1155" s="83" t="s">
        <v>2139</v>
      </c>
      <c r="E1155" s="2"/>
      <c r="F1155" s="200">
        <v>4.34</v>
      </c>
      <c r="H1155" s="17"/>
    </row>
    <row r="1156" spans="2:8" s="16" customFormat="1" ht="16.899999999999999" customHeight="1" x14ac:dyDescent="0.2">
      <c r="B1156" s="17"/>
      <c r="C1156" s="83"/>
      <c r="D1156" s="83" t="s">
        <v>2102</v>
      </c>
      <c r="E1156" s="2"/>
      <c r="F1156" s="200">
        <v>-0.7</v>
      </c>
      <c r="H1156" s="17"/>
    </row>
    <row r="1157" spans="2:8" s="16" customFormat="1" ht="16.899999999999999" customHeight="1" x14ac:dyDescent="0.2">
      <c r="B1157" s="17"/>
      <c r="C1157" s="83"/>
      <c r="D1157" s="83" t="s">
        <v>2140</v>
      </c>
      <c r="E1157" s="2"/>
      <c r="F1157" s="200">
        <v>6.26</v>
      </c>
      <c r="H1157" s="17"/>
    </row>
    <row r="1158" spans="2:8" s="16" customFormat="1" ht="16.899999999999999" customHeight="1" x14ac:dyDescent="0.2">
      <c r="B1158" s="17"/>
      <c r="C1158" s="83"/>
      <c r="D1158" s="83" t="s">
        <v>2102</v>
      </c>
      <c r="E1158" s="2"/>
      <c r="F1158" s="200">
        <v>-0.7</v>
      </c>
      <c r="H1158" s="17"/>
    </row>
    <row r="1159" spans="2:8" s="16" customFormat="1" ht="16.899999999999999" customHeight="1" x14ac:dyDescent="0.2">
      <c r="B1159" s="17"/>
      <c r="C1159" s="83"/>
      <c r="D1159" s="83" t="s">
        <v>2141</v>
      </c>
      <c r="E1159" s="2"/>
      <c r="F1159" s="200">
        <v>4.34</v>
      </c>
      <c r="H1159" s="17"/>
    </row>
    <row r="1160" spans="2:8" s="16" customFormat="1" ht="16.899999999999999" customHeight="1" x14ac:dyDescent="0.2">
      <c r="B1160" s="17"/>
      <c r="C1160" s="83"/>
      <c r="D1160" s="83" t="s">
        <v>2102</v>
      </c>
      <c r="E1160" s="2"/>
      <c r="F1160" s="200">
        <v>-0.7</v>
      </c>
      <c r="H1160" s="17"/>
    </row>
    <row r="1161" spans="2:8" s="16" customFormat="1" ht="16.899999999999999" customHeight="1" x14ac:dyDescent="0.2">
      <c r="B1161" s="17"/>
      <c r="C1161" s="83"/>
      <c r="D1161" s="83" t="s">
        <v>2142</v>
      </c>
      <c r="E1161" s="2"/>
      <c r="F1161" s="200">
        <v>6.26</v>
      </c>
      <c r="H1161" s="17"/>
    </row>
    <row r="1162" spans="2:8" s="16" customFormat="1" ht="16.899999999999999" customHeight="1" x14ac:dyDescent="0.2">
      <c r="B1162" s="17"/>
      <c r="C1162" s="83"/>
      <c r="D1162" s="83" t="s">
        <v>2102</v>
      </c>
      <c r="E1162" s="2"/>
      <c r="F1162" s="200">
        <v>-0.7</v>
      </c>
      <c r="H1162" s="17"/>
    </row>
    <row r="1163" spans="2:8" s="16" customFormat="1" ht="16.899999999999999" customHeight="1" x14ac:dyDescent="0.2">
      <c r="B1163" s="17"/>
      <c r="C1163" s="83"/>
      <c r="D1163" s="83" t="s">
        <v>2143</v>
      </c>
      <c r="E1163" s="2"/>
      <c r="F1163" s="200">
        <v>4.34</v>
      </c>
      <c r="H1163" s="17"/>
    </row>
    <row r="1164" spans="2:8" s="16" customFormat="1" ht="16.899999999999999" customHeight="1" x14ac:dyDescent="0.2">
      <c r="B1164" s="17"/>
      <c r="C1164" s="83"/>
      <c r="D1164" s="83" t="s">
        <v>2102</v>
      </c>
      <c r="E1164" s="2"/>
      <c r="F1164" s="200">
        <v>-0.7</v>
      </c>
      <c r="H1164" s="17"/>
    </row>
    <row r="1165" spans="2:8" s="16" customFormat="1" ht="16.899999999999999" customHeight="1" x14ac:dyDescent="0.2">
      <c r="B1165" s="17"/>
      <c r="C1165" s="83"/>
      <c r="D1165" s="83" t="s">
        <v>2144</v>
      </c>
      <c r="E1165" s="2"/>
      <c r="F1165" s="200">
        <v>4.34</v>
      </c>
      <c r="H1165" s="17"/>
    </row>
    <row r="1166" spans="2:8" s="16" customFormat="1" ht="16.899999999999999" customHeight="1" x14ac:dyDescent="0.2">
      <c r="B1166" s="17"/>
      <c r="C1166" s="83"/>
      <c r="D1166" s="83" t="s">
        <v>2102</v>
      </c>
      <c r="E1166" s="2"/>
      <c r="F1166" s="200">
        <v>-0.7</v>
      </c>
      <c r="H1166" s="17"/>
    </row>
    <row r="1167" spans="2:8" s="16" customFormat="1" ht="16.899999999999999" customHeight="1" x14ac:dyDescent="0.2">
      <c r="B1167" s="17"/>
      <c r="C1167" s="83"/>
      <c r="D1167" s="83" t="s">
        <v>2145</v>
      </c>
      <c r="E1167" s="2"/>
      <c r="F1167" s="200">
        <v>5.89</v>
      </c>
      <c r="H1167" s="17"/>
    </row>
    <row r="1168" spans="2:8" s="16" customFormat="1" ht="16.899999999999999" customHeight="1" x14ac:dyDescent="0.2">
      <c r="B1168" s="17"/>
      <c r="C1168" s="83"/>
      <c r="D1168" s="83" t="s">
        <v>2102</v>
      </c>
      <c r="E1168" s="2"/>
      <c r="F1168" s="200">
        <v>-0.7</v>
      </c>
      <c r="H1168" s="17"/>
    </row>
    <row r="1169" spans="2:8" s="16" customFormat="1" ht="16.899999999999999" customHeight="1" x14ac:dyDescent="0.2">
      <c r="B1169" s="17"/>
      <c r="C1169" s="83"/>
      <c r="D1169" s="83" t="s">
        <v>2146</v>
      </c>
      <c r="E1169" s="2"/>
      <c r="F1169" s="200">
        <v>6.26</v>
      </c>
      <c r="H1169" s="17"/>
    </row>
    <row r="1170" spans="2:8" s="16" customFormat="1" ht="16.899999999999999" customHeight="1" x14ac:dyDescent="0.2">
      <c r="B1170" s="17"/>
      <c r="C1170" s="83"/>
      <c r="D1170" s="83" t="s">
        <v>2102</v>
      </c>
      <c r="E1170" s="2"/>
      <c r="F1170" s="200">
        <v>-0.7</v>
      </c>
      <c r="H1170" s="17"/>
    </row>
    <row r="1171" spans="2:8" s="16" customFormat="1" ht="16.899999999999999" customHeight="1" x14ac:dyDescent="0.2">
      <c r="B1171" s="17"/>
      <c r="C1171" s="83"/>
      <c r="D1171" s="83" t="s">
        <v>2147</v>
      </c>
      <c r="E1171" s="2"/>
      <c r="F1171" s="200">
        <v>4.34</v>
      </c>
      <c r="H1171" s="17"/>
    </row>
    <row r="1172" spans="2:8" s="16" customFormat="1" ht="16.899999999999999" customHeight="1" x14ac:dyDescent="0.2">
      <c r="B1172" s="17"/>
      <c r="C1172" s="83"/>
      <c r="D1172" s="83" t="s">
        <v>2102</v>
      </c>
      <c r="E1172" s="2"/>
      <c r="F1172" s="200">
        <v>-0.7</v>
      </c>
      <c r="H1172" s="17"/>
    </row>
    <row r="1173" spans="2:8" s="16" customFormat="1" ht="16.899999999999999" customHeight="1" x14ac:dyDescent="0.2">
      <c r="B1173" s="17"/>
      <c r="C1173" s="83"/>
      <c r="D1173" s="83" t="s">
        <v>2148</v>
      </c>
      <c r="E1173" s="2"/>
      <c r="F1173" s="200">
        <v>6.26</v>
      </c>
      <c r="H1173" s="17"/>
    </row>
    <row r="1174" spans="2:8" s="16" customFormat="1" ht="16.899999999999999" customHeight="1" x14ac:dyDescent="0.2">
      <c r="B1174" s="17"/>
      <c r="C1174" s="83"/>
      <c r="D1174" s="83" t="s">
        <v>2102</v>
      </c>
      <c r="E1174" s="2"/>
      <c r="F1174" s="200">
        <v>-0.7</v>
      </c>
      <c r="H1174" s="17"/>
    </row>
    <row r="1175" spans="2:8" s="16" customFormat="1" ht="16.899999999999999" customHeight="1" x14ac:dyDescent="0.2">
      <c r="B1175" s="17"/>
      <c r="C1175" s="83"/>
      <c r="D1175" s="83" t="s">
        <v>2149</v>
      </c>
      <c r="E1175" s="2"/>
      <c r="F1175" s="200">
        <v>4.71</v>
      </c>
      <c r="H1175" s="17"/>
    </row>
    <row r="1176" spans="2:8" s="16" customFormat="1" ht="16.899999999999999" customHeight="1" x14ac:dyDescent="0.2">
      <c r="B1176" s="17"/>
      <c r="C1176" s="83"/>
      <c r="D1176" s="83" t="s">
        <v>2102</v>
      </c>
      <c r="E1176" s="2"/>
      <c r="F1176" s="200">
        <v>-0.7</v>
      </c>
      <c r="H1176" s="17"/>
    </row>
    <row r="1177" spans="2:8" s="16" customFormat="1" ht="16.899999999999999" customHeight="1" x14ac:dyDescent="0.2">
      <c r="B1177" s="17"/>
      <c r="C1177" s="83"/>
      <c r="D1177" s="83" t="s">
        <v>2150</v>
      </c>
      <c r="E1177" s="2"/>
      <c r="F1177" s="200">
        <v>5.4</v>
      </c>
      <c r="H1177" s="17"/>
    </row>
    <row r="1178" spans="2:8" s="16" customFormat="1" ht="16.899999999999999" customHeight="1" x14ac:dyDescent="0.2">
      <c r="B1178" s="17"/>
      <c r="C1178" s="83"/>
      <c r="D1178" s="83" t="s">
        <v>2102</v>
      </c>
      <c r="E1178" s="2"/>
      <c r="F1178" s="200">
        <v>-0.7</v>
      </c>
      <c r="H1178" s="17"/>
    </row>
    <row r="1179" spans="2:8" s="16" customFormat="1" ht="16.899999999999999" customHeight="1" x14ac:dyDescent="0.2">
      <c r="B1179" s="17"/>
      <c r="C1179" s="83"/>
      <c r="D1179" s="83" t="s">
        <v>2151</v>
      </c>
      <c r="E1179" s="2"/>
      <c r="F1179" s="200">
        <v>6.45</v>
      </c>
      <c r="H1179" s="17"/>
    </row>
    <row r="1180" spans="2:8" s="16" customFormat="1" ht="16.899999999999999" customHeight="1" x14ac:dyDescent="0.2">
      <c r="B1180" s="17"/>
      <c r="C1180" s="83"/>
      <c r="D1180" s="83" t="s">
        <v>2102</v>
      </c>
      <c r="E1180" s="2"/>
      <c r="F1180" s="200">
        <v>-0.7</v>
      </c>
      <c r="H1180" s="17"/>
    </row>
    <row r="1181" spans="2:8" s="16" customFormat="1" ht="16.899999999999999" customHeight="1" x14ac:dyDescent="0.2">
      <c r="B1181" s="17"/>
      <c r="C1181" s="83"/>
      <c r="D1181" s="83" t="s">
        <v>2152</v>
      </c>
      <c r="E1181" s="2"/>
      <c r="F1181" s="200">
        <v>11.9</v>
      </c>
      <c r="H1181" s="17"/>
    </row>
    <row r="1182" spans="2:8" s="16" customFormat="1" ht="16.899999999999999" customHeight="1" x14ac:dyDescent="0.2">
      <c r="B1182" s="17"/>
      <c r="C1182" s="83"/>
      <c r="D1182" s="83" t="s">
        <v>2102</v>
      </c>
      <c r="E1182" s="2"/>
      <c r="F1182" s="200">
        <v>-0.7</v>
      </c>
      <c r="H1182" s="17"/>
    </row>
    <row r="1183" spans="2:8" s="16" customFormat="1" ht="16.899999999999999" customHeight="1" x14ac:dyDescent="0.2">
      <c r="B1183" s="17"/>
      <c r="C1183" s="83"/>
      <c r="D1183" s="83" t="s">
        <v>2153</v>
      </c>
      <c r="E1183" s="2"/>
      <c r="F1183" s="200">
        <v>5.3</v>
      </c>
      <c r="H1183" s="17"/>
    </row>
    <row r="1184" spans="2:8" s="16" customFormat="1" ht="16.899999999999999" customHeight="1" x14ac:dyDescent="0.2">
      <c r="B1184" s="17"/>
      <c r="C1184" s="83"/>
      <c r="D1184" s="83" t="s">
        <v>2102</v>
      </c>
      <c r="E1184" s="2"/>
      <c r="F1184" s="200">
        <v>-0.7</v>
      </c>
      <c r="H1184" s="17"/>
    </row>
    <row r="1185" spans="2:8" s="16" customFormat="1" ht="16.899999999999999" customHeight="1" x14ac:dyDescent="0.2">
      <c r="B1185" s="17"/>
      <c r="C1185" s="83"/>
      <c r="D1185" s="83" t="s">
        <v>2154</v>
      </c>
      <c r="E1185" s="2"/>
      <c r="F1185" s="200">
        <v>5.3</v>
      </c>
      <c r="H1185" s="17"/>
    </row>
    <row r="1186" spans="2:8" s="16" customFormat="1" ht="16.899999999999999" customHeight="1" x14ac:dyDescent="0.2">
      <c r="B1186" s="17"/>
      <c r="C1186" s="83"/>
      <c r="D1186" s="83" t="s">
        <v>2102</v>
      </c>
      <c r="E1186" s="2"/>
      <c r="F1186" s="200">
        <v>-0.7</v>
      </c>
      <c r="H1186" s="17"/>
    </row>
    <row r="1187" spans="2:8" s="16" customFormat="1" ht="16.899999999999999" customHeight="1" x14ac:dyDescent="0.2">
      <c r="B1187" s="17"/>
      <c r="C1187" s="83"/>
      <c r="D1187" s="83" t="s">
        <v>1626</v>
      </c>
      <c r="E1187" s="2"/>
      <c r="F1187" s="200">
        <v>9.75</v>
      </c>
      <c r="H1187" s="17"/>
    </row>
    <row r="1188" spans="2:8" s="16" customFormat="1" ht="16.899999999999999" customHeight="1" x14ac:dyDescent="0.2">
      <c r="B1188" s="17"/>
      <c r="C1188" s="83"/>
      <c r="D1188" s="83" t="s">
        <v>1601</v>
      </c>
      <c r="E1188" s="2"/>
      <c r="F1188" s="200">
        <v>-0.8</v>
      </c>
      <c r="H1188" s="17"/>
    </row>
    <row r="1189" spans="2:8" s="16" customFormat="1" ht="16.899999999999999" customHeight="1" x14ac:dyDescent="0.2">
      <c r="B1189" s="17"/>
      <c r="C1189" s="83"/>
      <c r="D1189" s="83"/>
      <c r="E1189" s="2"/>
      <c r="F1189" s="200">
        <v>0</v>
      </c>
      <c r="H1189" s="17"/>
    </row>
    <row r="1190" spans="2:8" s="16" customFormat="1" ht="16.899999999999999" customHeight="1" x14ac:dyDescent="0.2">
      <c r="B1190" s="17"/>
      <c r="C1190" s="83"/>
      <c r="D1190" s="83" t="s">
        <v>1662</v>
      </c>
      <c r="E1190" s="2"/>
      <c r="F1190" s="200">
        <v>7.1</v>
      </c>
      <c r="H1190" s="17"/>
    </row>
    <row r="1191" spans="2:8" s="16" customFormat="1" ht="16.899999999999999" customHeight="1" x14ac:dyDescent="0.2">
      <c r="B1191" s="17"/>
      <c r="C1191" s="83"/>
      <c r="D1191" s="83" t="s">
        <v>1601</v>
      </c>
      <c r="E1191" s="2"/>
      <c r="F1191" s="200">
        <v>-0.8</v>
      </c>
      <c r="H1191" s="17"/>
    </row>
    <row r="1192" spans="2:8" s="16" customFormat="1" ht="16.899999999999999" customHeight="1" x14ac:dyDescent="0.2">
      <c r="B1192" s="17"/>
      <c r="C1192" s="83"/>
      <c r="D1192" s="83" t="s">
        <v>1630</v>
      </c>
      <c r="E1192" s="2"/>
      <c r="F1192" s="200">
        <v>20.149999999999999</v>
      </c>
      <c r="H1192" s="17"/>
    </row>
    <row r="1193" spans="2:8" s="16" customFormat="1" ht="16.899999999999999" customHeight="1" x14ac:dyDescent="0.2">
      <c r="B1193" s="17"/>
      <c r="C1193" s="83"/>
      <c r="D1193" s="83" t="s">
        <v>1631</v>
      </c>
      <c r="E1193" s="2"/>
      <c r="F1193" s="200">
        <v>-0.8</v>
      </c>
      <c r="H1193" s="17"/>
    </row>
    <row r="1194" spans="2:8" s="16" customFormat="1" ht="16.899999999999999" customHeight="1" x14ac:dyDescent="0.2">
      <c r="B1194" s="17"/>
      <c r="C1194" s="83"/>
      <c r="D1194" s="83" t="s">
        <v>2155</v>
      </c>
      <c r="E1194" s="2"/>
      <c r="F1194" s="200">
        <v>10.86</v>
      </c>
      <c r="H1194" s="17"/>
    </row>
    <row r="1195" spans="2:8" s="16" customFormat="1" ht="16.899999999999999" customHeight="1" x14ac:dyDescent="0.2">
      <c r="B1195" s="17"/>
      <c r="C1195" s="83"/>
      <c r="D1195" s="83" t="s">
        <v>1588</v>
      </c>
      <c r="E1195" s="2"/>
      <c r="F1195" s="200">
        <v>-0.9</v>
      </c>
      <c r="H1195" s="17"/>
    </row>
    <row r="1196" spans="2:8" s="16" customFormat="1" ht="16.899999999999999" customHeight="1" x14ac:dyDescent="0.2">
      <c r="B1196" s="17"/>
      <c r="C1196" s="83"/>
      <c r="D1196" s="83" t="s">
        <v>2156</v>
      </c>
      <c r="E1196" s="2"/>
      <c r="F1196" s="200">
        <v>6.26</v>
      </c>
      <c r="H1196" s="17"/>
    </row>
    <row r="1197" spans="2:8" s="16" customFormat="1" ht="16.899999999999999" customHeight="1" x14ac:dyDescent="0.2">
      <c r="B1197" s="17"/>
      <c r="C1197" s="83"/>
      <c r="D1197" s="83" t="s">
        <v>2102</v>
      </c>
      <c r="E1197" s="2"/>
      <c r="F1197" s="200">
        <v>-0.7</v>
      </c>
      <c r="H1197" s="17"/>
    </row>
    <row r="1198" spans="2:8" s="16" customFormat="1" ht="16.899999999999999" customHeight="1" x14ac:dyDescent="0.2">
      <c r="B1198" s="17"/>
      <c r="C1198" s="83"/>
      <c r="D1198" s="83" t="s">
        <v>2157</v>
      </c>
      <c r="E1198" s="2"/>
      <c r="F1198" s="200">
        <v>4.34</v>
      </c>
      <c r="H1198" s="17"/>
    </row>
    <row r="1199" spans="2:8" s="16" customFormat="1" ht="16.899999999999999" customHeight="1" x14ac:dyDescent="0.2">
      <c r="B1199" s="17"/>
      <c r="C1199" s="83"/>
      <c r="D1199" s="83" t="s">
        <v>2102</v>
      </c>
      <c r="E1199" s="2"/>
      <c r="F1199" s="200">
        <v>-0.7</v>
      </c>
      <c r="H1199" s="17"/>
    </row>
    <row r="1200" spans="2:8" s="16" customFormat="1" ht="16.899999999999999" customHeight="1" x14ac:dyDescent="0.2">
      <c r="B1200" s="17"/>
      <c r="C1200" s="83"/>
      <c r="D1200" s="83" t="s">
        <v>2158</v>
      </c>
      <c r="E1200" s="2"/>
      <c r="F1200" s="200">
        <v>6.26</v>
      </c>
      <c r="H1200" s="17"/>
    </row>
    <row r="1201" spans="2:8" s="16" customFormat="1" ht="16.899999999999999" customHeight="1" x14ac:dyDescent="0.2">
      <c r="B1201" s="17"/>
      <c r="C1201" s="83"/>
      <c r="D1201" s="83" t="s">
        <v>2102</v>
      </c>
      <c r="E1201" s="2"/>
      <c r="F1201" s="200">
        <v>-0.7</v>
      </c>
      <c r="H1201" s="17"/>
    </row>
    <row r="1202" spans="2:8" s="16" customFormat="1" ht="16.899999999999999" customHeight="1" x14ac:dyDescent="0.2">
      <c r="B1202" s="17"/>
      <c r="C1202" s="83"/>
      <c r="D1202" s="83" t="s">
        <v>2159</v>
      </c>
      <c r="E1202" s="2"/>
      <c r="F1202" s="200">
        <v>4.34</v>
      </c>
      <c r="H1202" s="17"/>
    </row>
    <row r="1203" spans="2:8" s="16" customFormat="1" ht="16.899999999999999" customHeight="1" x14ac:dyDescent="0.2">
      <c r="B1203" s="17"/>
      <c r="C1203" s="83"/>
      <c r="D1203" s="83" t="s">
        <v>2102</v>
      </c>
      <c r="E1203" s="2"/>
      <c r="F1203" s="200">
        <v>-0.7</v>
      </c>
      <c r="H1203" s="17"/>
    </row>
    <row r="1204" spans="2:8" s="16" customFormat="1" ht="16.899999999999999" customHeight="1" x14ac:dyDescent="0.2">
      <c r="B1204" s="17"/>
      <c r="C1204" s="83"/>
      <c r="D1204" s="83" t="s">
        <v>2160</v>
      </c>
      <c r="E1204" s="2"/>
      <c r="F1204" s="200">
        <v>6.26</v>
      </c>
      <c r="H1204" s="17"/>
    </row>
    <row r="1205" spans="2:8" s="16" customFormat="1" ht="16.899999999999999" customHeight="1" x14ac:dyDescent="0.2">
      <c r="B1205" s="17"/>
      <c r="C1205" s="83"/>
      <c r="D1205" s="83" t="s">
        <v>2102</v>
      </c>
      <c r="E1205" s="2"/>
      <c r="F1205" s="200">
        <v>-0.7</v>
      </c>
      <c r="H1205" s="17"/>
    </row>
    <row r="1206" spans="2:8" s="16" customFormat="1" ht="16.899999999999999" customHeight="1" x14ac:dyDescent="0.2">
      <c r="B1206" s="17"/>
      <c r="C1206" s="83"/>
      <c r="D1206" s="83" t="s">
        <v>2161</v>
      </c>
      <c r="E1206" s="2"/>
      <c r="F1206" s="200">
        <v>4.34</v>
      </c>
      <c r="H1206" s="17"/>
    </row>
    <row r="1207" spans="2:8" s="16" customFormat="1" ht="16.899999999999999" customHeight="1" x14ac:dyDescent="0.2">
      <c r="B1207" s="17"/>
      <c r="C1207" s="83"/>
      <c r="D1207" s="83" t="s">
        <v>2102</v>
      </c>
      <c r="E1207" s="2"/>
      <c r="F1207" s="200">
        <v>-0.7</v>
      </c>
      <c r="H1207" s="17"/>
    </row>
    <row r="1208" spans="2:8" s="16" customFormat="1" ht="16.899999999999999" customHeight="1" x14ac:dyDescent="0.2">
      <c r="B1208" s="17"/>
      <c r="C1208" s="83"/>
      <c r="D1208" s="83" t="s">
        <v>2162</v>
      </c>
      <c r="E1208" s="2"/>
      <c r="F1208" s="200">
        <v>4.34</v>
      </c>
      <c r="H1208" s="17"/>
    </row>
    <row r="1209" spans="2:8" s="16" customFormat="1" ht="16.899999999999999" customHeight="1" x14ac:dyDescent="0.2">
      <c r="B1209" s="17"/>
      <c r="C1209" s="83"/>
      <c r="D1209" s="83" t="s">
        <v>2102</v>
      </c>
      <c r="E1209" s="2"/>
      <c r="F1209" s="200">
        <v>-0.7</v>
      </c>
      <c r="H1209" s="17"/>
    </row>
    <row r="1210" spans="2:8" s="16" customFormat="1" ht="16.899999999999999" customHeight="1" x14ac:dyDescent="0.2">
      <c r="B1210" s="17"/>
      <c r="C1210" s="83"/>
      <c r="D1210" s="83" t="s">
        <v>2163</v>
      </c>
      <c r="E1210" s="2"/>
      <c r="F1210" s="200">
        <v>5.89</v>
      </c>
      <c r="H1210" s="17"/>
    </row>
    <row r="1211" spans="2:8" s="16" customFormat="1" ht="16.899999999999999" customHeight="1" x14ac:dyDescent="0.2">
      <c r="B1211" s="17"/>
      <c r="C1211" s="83"/>
      <c r="D1211" s="83" t="s">
        <v>2102</v>
      </c>
      <c r="E1211" s="2"/>
      <c r="F1211" s="200">
        <v>-0.7</v>
      </c>
      <c r="H1211" s="17"/>
    </row>
    <row r="1212" spans="2:8" s="16" customFormat="1" ht="16.899999999999999" customHeight="1" x14ac:dyDescent="0.2">
      <c r="B1212" s="17"/>
      <c r="C1212" s="83"/>
      <c r="D1212" s="83" t="s">
        <v>2164</v>
      </c>
      <c r="E1212" s="2"/>
      <c r="F1212" s="200">
        <v>6.26</v>
      </c>
      <c r="H1212" s="17"/>
    </row>
    <row r="1213" spans="2:8" s="16" customFormat="1" ht="16.899999999999999" customHeight="1" x14ac:dyDescent="0.2">
      <c r="B1213" s="17"/>
      <c r="C1213" s="83"/>
      <c r="D1213" s="83" t="s">
        <v>2102</v>
      </c>
      <c r="E1213" s="2"/>
      <c r="F1213" s="200">
        <v>-0.7</v>
      </c>
      <c r="H1213" s="17"/>
    </row>
    <row r="1214" spans="2:8" s="16" customFormat="1" ht="16.899999999999999" customHeight="1" x14ac:dyDescent="0.2">
      <c r="B1214" s="17"/>
      <c r="C1214" s="83"/>
      <c r="D1214" s="83" t="s">
        <v>2165</v>
      </c>
      <c r="E1214" s="2"/>
      <c r="F1214" s="200">
        <v>4.34</v>
      </c>
      <c r="H1214" s="17"/>
    </row>
    <row r="1215" spans="2:8" s="16" customFormat="1" ht="16.899999999999999" customHeight="1" x14ac:dyDescent="0.2">
      <c r="B1215" s="17"/>
      <c r="C1215" s="83"/>
      <c r="D1215" s="83" t="s">
        <v>2102</v>
      </c>
      <c r="E1215" s="2"/>
      <c r="F1215" s="200">
        <v>-0.7</v>
      </c>
      <c r="H1215" s="17"/>
    </row>
    <row r="1216" spans="2:8" s="16" customFormat="1" ht="16.899999999999999" customHeight="1" x14ac:dyDescent="0.2">
      <c r="B1216" s="17"/>
      <c r="C1216" s="83"/>
      <c r="D1216" s="83" t="s">
        <v>2166</v>
      </c>
      <c r="E1216" s="2"/>
      <c r="F1216" s="200">
        <v>6.26</v>
      </c>
      <c r="H1216" s="17"/>
    </row>
    <row r="1217" spans="2:8" s="16" customFormat="1" ht="16.899999999999999" customHeight="1" x14ac:dyDescent="0.2">
      <c r="B1217" s="17"/>
      <c r="C1217" s="83"/>
      <c r="D1217" s="83" t="s">
        <v>2102</v>
      </c>
      <c r="E1217" s="2"/>
      <c r="F1217" s="200">
        <v>-0.7</v>
      </c>
      <c r="H1217" s="17"/>
    </row>
    <row r="1218" spans="2:8" s="16" customFormat="1" ht="16.899999999999999" customHeight="1" x14ac:dyDescent="0.2">
      <c r="B1218" s="17"/>
      <c r="C1218" s="83"/>
      <c r="D1218" s="83" t="s">
        <v>2167</v>
      </c>
      <c r="E1218" s="2"/>
      <c r="F1218" s="200">
        <v>4.71</v>
      </c>
      <c r="H1218" s="17"/>
    </row>
    <row r="1219" spans="2:8" s="16" customFormat="1" ht="16.899999999999999" customHeight="1" x14ac:dyDescent="0.2">
      <c r="B1219" s="17"/>
      <c r="C1219" s="83"/>
      <c r="D1219" s="83" t="s">
        <v>2102</v>
      </c>
      <c r="E1219" s="2"/>
      <c r="F1219" s="200">
        <v>-0.7</v>
      </c>
      <c r="H1219" s="17"/>
    </row>
    <row r="1220" spans="2:8" s="16" customFormat="1" ht="16.899999999999999" customHeight="1" x14ac:dyDescent="0.2">
      <c r="B1220" s="17"/>
      <c r="C1220" s="83"/>
      <c r="D1220" s="83" t="s">
        <v>2168</v>
      </c>
      <c r="E1220" s="2"/>
      <c r="F1220" s="200">
        <v>5.4</v>
      </c>
      <c r="H1220" s="17"/>
    </row>
    <row r="1221" spans="2:8" s="16" customFormat="1" ht="16.899999999999999" customHeight="1" x14ac:dyDescent="0.2">
      <c r="B1221" s="17"/>
      <c r="C1221" s="83"/>
      <c r="D1221" s="83" t="s">
        <v>2102</v>
      </c>
      <c r="E1221" s="2"/>
      <c r="F1221" s="200">
        <v>-0.7</v>
      </c>
      <c r="H1221" s="17"/>
    </row>
    <row r="1222" spans="2:8" s="16" customFormat="1" ht="16.899999999999999" customHeight="1" x14ac:dyDescent="0.2">
      <c r="B1222" s="17"/>
      <c r="C1222" s="83"/>
      <c r="D1222" s="83" t="s">
        <v>2169</v>
      </c>
      <c r="E1222" s="2"/>
      <c r="F1222" s="200">
        <v>6.45</v>
      </c>
      <c r="H1222" s="17"/>
    </row>
    <row r="1223" spans="2:8" s="16" customFormat="1" ht="16.899999999999999" customHeight="1" x14ac:dyDescent="0.2">
      <c r="B1223" s="17"/>
      <c r="C1223" s="83"/>
      <c r="D1223" s="83" t="s">
        <v>2102</v>
      </c>
      <c r="E1223" s="2"/>
      <c r="F1223" s="200">
        <v>-0.7</v>
      </c>
      <c r="H1223" s="17"/>
    </row>
    <row r="1224" spans="2:8" s="16" customFormat="1" ht="16.899999999999999" customHeight="1" x14ac:dyDescent="0.2">
      <c r="B1224" s="17"/>
      <c r="C1224" s="83"/>
      <c r="D1224" s="83" t="s">
        <v>2170</v>
      </c>
      <c r="E1224" s="2"/>
      <c r="F1224" s="200">
        <v>9.57</v>
      </c>
      <c r="H1224" s="17"/>
    </row>
    <row r="1225" spans="2:8" s="16" customFormat="1" ht="16.899999999999999" customHeight="1" x14ac:dyDescent="0.2">
      <c r="B1225" s="17"/>
      <c r="C1225" s="83"/>
      <c r="D1225" s="83" t="s">
        <v>2102</v>
      </c>
      <c r="E1225" s="2"/>
      <c r="F1225" s="200">
        <v>-0.7</v>
      </c>
      <c r="H1225" s="17"/>
    </row>
    <row r="1226" spans="2:8" s="16" customFormat="1" ht="16.899999999999999" customHeight="1" x14ac:dyDescent="0.2">
      <c r="B1226" s="17"/>
      <c r="C1226" s="83"/>
      <c r="D1226" s="83" t="s">
        <v>2171</v>
      </c>
      <c r="E1226" s="2"/>
      <c r="F1226" s="200">
        <v>9.6999999999999993</v>
      </c>
      <c r="H1226" s="17"/>
    </row>
    <row r="1227" spans="2:8" s="16" customFormat="1" ht="16.899999999999999" customHeight="1" x14ac:dyDescent="0.2">
      <c r="B1227" s="17"/>
      <c r="C1227" s="83"/>
      <c r="D1227" s="83" t="s">
        <v>1588</v>
      </c>
      <c r="E1227" s="2"/>
      <c r="F1227" s="200">
        <v>-0.9</v>
      </c>
      <c r="H1227" s="17"/>
    </row>
    <row r="1228" spans="2:8" s="16" customFormat="1" ht="16.899999999999999" customHeight="1" x14ac:dyDescent="0.2">
      <c r="B1228" s="17"/>
      <c r="C1228" s="83"/>
      <c r="D1228" s="83"/>
      <c r="E1228" s="2"/>
      <c r="F1228" s="200">
        <v>0</v>
      </c>
      <c r="H1228" s="17"/>
    </row>
    <row r="1229" spans="2:8" s="16" customFormat="1" ht="16.899999999999999" customHeight="1" x14ac:dyDescent="0.2">
      <c r="B1229" s="17"/>
      <c r="C1229" s="83"/>
      <c r="D1229" s="83" t="s">
        <v>2172</v>
      </c>
      <c r="E1229" s="2"/>
      <c r="F1229" s="200">
        <v>6.8</v>
      </c>
      <c r="H1229" s="17"/>
    </row>
    <row r="1230" spans="2:8" s="16" customFormat="1" ht="16.899999999999999" customHeight="1" x14ac:dyDescent="0.2">
      <c r="B1230" s="17"/>
      <c r="C1230" s="83"/>
      <c r="D1230" s="83" t="s">
        <v>1601</v>
      </c>
      <c r="E1230" s="2"/>
      <c r="F1230" s="200">
        <v>-0.8</v>
      </c>
      <c r="H1230" s="17"/>
    </row>
    <row r="1231" spans="2:8" s="16" customFormat="1" ht="16.899999999999999" customHeight="1" x14ac:dyDescent="0.2">
      <c r="B1231" s="17"/>
      <c r="C1231" s="83"/>
      <c r="D1231" s="83" t="s">
        <v>2173</v>
      </c>
      <c r="E1231" s="2"/>
      <c r="F1231" s="200">
        <v>4.34</v>
      </c>
      <c r="H1231" s="17"/>
    </row>
    <row r="1232" spans="2:8" s="16" customFormat="1" ht="16.899999999999999" customHeight="1" x14ac:dyDescent="0.2">
      <c r="B1232" s="17"/>
      <c r="C1232" s="83"/>
      <c r="D1232" s="83" t="s">
        <v>2102</v>
      </c>
      <c r="E1232" s="2"/>
      <c r="F1232" s="200">
        <v>-0.7</v>
      </c>
      <c r="H1232" s="17"/>
    </row>
    <row r="1233" spans="2:8" s="16" customFormat="1" ht="16.899999999999999" customHeight="1" x14ac:dyDescent="0.2">
      <c r="B1233" s="17"/>
      <c r="C1233" s="83"/>
      <c r="D1233" s="83" t="s">
        <v>2174</v>
      </c>
      <c r="E1233" s="2"/>
      <c r="F1233" s="200">
        <v>6.06</v>
      </c>
      <c r="H1233" s="17"/>
    </row>
    <row r="1234" spans="2:8" s="16" customFormat="1" ht="16.899999999999999" customHeight="1" x14ac:dyDescent="0.2">
      <c r="B1234" s="17"/>
      <c r="C1234" s="83"/>
      <c r="D1234" s="83" t="s">
        <v>2102</v>
      </c>
      <c r="E1234" s="2"/>
      <c r="F1234" s="200">
        <v>-0.7</v>
      </c>
      <c r="H1234" s="17"/>
    </row>
    <row r="1235" spans="2:8" s="16" customFormat="1" ht="16.899999999999999" customHeight="1" x14ac:dyDescent="0.2">
      <c r="B1235" s="17"/>
      <c r="C1235" s="83"/>
      <c r="D1235" s="83" t="s">
        <v>2175</v>
      </c>
      <c r="E1235" s="2"/>
      <c r="F1235" s="200">
        <v>6.26</v>
      </c>
      <c r="H1235" s="17"/>
    </row>
    <row r="1236" spans="2:8" s="16" customFormat="1" ht="16.899999999999999" customHeight="1" x14ac:dyDescent="0.2">
      <c r="B1236" s="17"/>
      <c r="C1236" s="83"/>
      <c r="D1236" s="83" t="s">
        <v>2102</v>
      </c>
      <c r="E1236" s="2"/>
      <c r="F1236" s="200">
        <v>-0.7</v>
      </c>
      <c r="H1236" s="17"/>
    </row>
    <row r="1237" spans="2:8" s="16" customFormat="1" ht="16.899999999999999" customHeight="1" x14ac:dyDescent="0.2">
      <c r="B1237" s="17"/>
      <c r="C1237" s="83"/>
      <c r="D1237" s="83" t="s">
        <v>2176</v>
      </c>
      <c r="E1237" s="2"/>
      <c r="F1237" s="200">
        <v>4.34</v>
      </c>
      <c r="H1237" s="17"/>
    </row>
    <row r="1238" spans="2:8" s="16" customFormat="1" ht="16.899999999999999" customHeight="1" x14ac:dyDescent="0.2">
      <c r="B1238" s="17"/>
      <c r="C1238" s="83"/>
      <c r="D1238" s="83" t="s">
        <v>2102</v>
      </c>
      <c r="E1238" s="2"/>
      <c r="F1238" s="200">
        <v>-0.7</v>
      </c>
      <c r="H1238" s="17"/>
    </row>
    <row r="1239" spans="2:8" s="16" customFormat="1" ht="16.899999999999999" customHeight="1" x14ac:dyDescent="0.2">
      <c r="B1239" s="17"/>
      <c r="C1239" s="83"/>
      <c r="D1239" s="83" t="s">
        <v>2177</v>
      </c>
      <c r="E1239" s="2"/>
      <c r="F1239" s="200">
        <v>6.26</v>
      </c>
      <c r="H1239" s="17"/>
    </row>
    <row r="1240" spans="2:8" s="16" customFormat="1" ht="16.899999999999999" customHeight="1" x14ac:dyDescent="0.2">
      <c r="B1240" s="17"/>
      <c r="C1240" s="83"/>
      <c r="D1240" s="83" t="s">
        <v>2102</v>
      </c>
      <c r="E1240" s="2"/>
      <c r="F1240" s="200">
        <v>-0.7</v>
      </c>
      <c r="H1240" s="17"/>
    </row>
    <row r="1241" spans="2:8" s="16" customFormat="1" ht="16.899999999999999" customHeight="1" x14ac:dyDescent="0.2">
      <c r="B1241" s="17"/>
      <c r="C1241" s="83"/>
      <c r="D1241" s="83" t="s">
        <v>2178</v>
      </c>
      <c r="E1241" s="2"/>
      <c r="F1241" s="200">
        <v>4.34</v>
      </c>
      <c r="H1241" s="17"/>
    </row>
    <row r="1242" spans="2:8" s="16" customFormat="1" ht="16.899999999999999" customHeight="1" x14ac:dyDescent="0.2">
      <c r="B1242" s="17"/>
      <c r="C1242" s="83"/>
      <c r="D1242" s="83" t="s">
        <v>2102</v>
      </c>
      <c r="E1242" s="2"/>
      <c r="F1242" s="200">
        <v>-0.7</v>
      </c>
      <c r="H1242" s="17"/>
    </row>
    <row r="1243" spans="2:8" s="16" customFormat="1" ht="16.899999999999999" customHeight="1" x14ac:dyDescent="0.2">
      <c r="B1243" s="17"/>
      <c r="C1243" s="83"/>
      <c r="D1243" s="83" t="s">
        <v>2179</v>
      </c>
      <c r="E1243" s="2"/>
      <c r="F1243" s="200">
        <v>6.26</v>
      </c>
      <c r="H1243" s="17"/>
    </row>
    <row r="1244" spans="2:8" s="16" customFormat="1" ht="16.899999999999999" customHeight="1" x14ac:dyDescent="0.2">
      <c r="B1244" s="17"/>
      <c r="C1244" s="83"/>
      <c r="D1244" s="83" t="s">
        <v>2102</v>
      </c>
      <c r="E1244" s="2"/>
      <c r="F1244" s="200">
        <v>-0.7</v>
      </c>
      <c r="H1244" s="17"/>
    </row>
    <row r="1245" spans="2:8" s="16" customFormat="1" ht="16.899999999999999" customHeight="1" x14ac:dyDescent="0.2">
      <c r="B1245" s="17"/>
      <c r="C1245" s="83"/>
      <c r="D1245" s="83" t="s">
        <v>2180</v>
      </c>
      <c r="E1245" s="2"/>
      <c r="F1245" s="200">
        <v>4.34</v>
      </c>
      <c r="H1245" s="17"/>
    </row>
    <row r="1246" spans="2:8" s="16" customFormat="1" ht="16.899999999999999" customHeight="1" x14ac:dyDescent="0.2">
      <c r="B1246" s="17"/>
      <c r="C1246" s="83"/>
      <c r="D1246" s="83" t="s">
        <v>2102</v>
      </c>
      <c r="E1246" s="2"/>
      <c r="F1246" s="200">
        <v>-0.7</v>
      </c>
      <c r="H1246" s="17"/>
    </row>
    <row r="1247" spans="2:8" s="16" customFormat="1" ht="16.899999999999999" customHeight="1" x14ac:dyDescent="0.2">
      <c r="B1247" s="17"/>
      <c r="C1247" s="83"/>
      <c r="D1247" s="83" t="s">
        <v>2181</v>
      </c>
      <c r="E1247" s="2"/>
      <c r="F1247" s="200">
        <v>4.34</v>
      </c>
      <c r="H1247" s="17"/>
    </row>
    <row r="1248" spans="2:8" s="16" customFormat="1" ht="16.899999999999999" customHeight="1" x14ac:dyDescent="0.2">
      <c r="B1248" s="17"/>
      <c r="C1248" s="83"/>
      <c r="D1248" s="83" t="s">
        <v>2102</v>
      </c>
      <c r="E1248" s="2"/>
      <c r="F1248" s="200">
        <v>-0.7</v>
      </c>
      <c r="H1248" s="17"/>
    </row>
    <row r="1249" spans="2:8" s="16" customFormat="1" ht="16.899999999999999" customHeight="1" x14ac:dyDescent="0.2">
      <c r="B1249" s="17"/>
      <c r="C1249" s="83"/>
      <c r="D1249" s="83" t="s">
        <v>2182</v>
      </c>
      <c r="E1249" s="2"/>
      <c r="F1249" s="200">
        <v>5.89</v>
      </c>
      <c r="H1249" s="17"/>
    </row>
    <row r="1250" spans="2:8" s="16" customFormat="1" ht="16.899999999999999" customHeight="1" x14ac:dyDescent="0.2">
      <c r="B1250" s="17"/>
      <c r="C1250" s="83"/>
      <c r="D1250" s="83" t="s">
        <v>2102</v>
      </c>
      <c r="E1250" s="2"/>
      <c r="F1250" s="200">
        <v>-0.7</v>
      </c>
      <c r="H1250" s="17"/>
    </row>
    <row r="1251" spans="2:8" s="16" customFormat="1" ht="16.899999999999999" customHeight="1" x14ac:dyDescent="0.2">
      <c r="B1251" s="17"/>
      <c r="C1251" s="83"/>
      <c r="D1251" s="83" t="s">
        <v>2183</v>
      </c>
      <c r="E1251" s="2"/>
      <c r="F1251" s="200">
        <v>6.26</v>
      </c>
      <c r="H1251" s="17"/>
    </row>
    <row r="1252" spans="2:8" s="16" customFormat="1" ht="16.899999999999999" customHeight="1" x14ac:dyDescent="0.2">
      <c r="B1252" s="17"/>
      <c r="C1252" s="83"/>
      <c r="D1252" s="83" t="s">
        <v>2102</v>
      </c>
      <c r="E1252" s="2"/>
      <c r="F1252" s="200">
        <v>-0.7</v>
      </c>
      <c r="H1252" s="17"/>
    </row>
    <row r="1253" spans="2:8" s="16" customFormat="1" ht="16.899999999999999" customHeight="1" x14ac:dyDescent="0.2">
      <c r="B1253" s="17"/>
      <c r="C1253" s="83"/>
      <c r="D1253" s="83" t="s">
        <v>2184</v>
      </c>
      <c r="E1253" s="2"/>
      <c r="F1253" s="200">
        <v>4.34</v>
      </c>
      <c r="H1253" s="17"/>
    </row>
    <row r="1254" spans="2:8" s="16" customFormat="1" ht="16.899999999999999" customHeight="1" x14ac:dyDescent="0.2">
      <c r="B1254" s="17"/>
      <c r="C1254" s="83"/>
      <c r="D1254" s="83" t="s">
        <v>2102</v>
      </c>
      <c r="E1254" s="2"/>
      <c r="F1254" s="200">
        <v>-0.7</v>
      </c>
      <c r="H1254" s="17"/>
    </row>
    <row r="1255" spans="2:8" s="16" customFormat="1" ht="16.899999999999999" customHeight="1" x14ac:dyDescent="0.2">
      <c r="B1255" s="17"/>
      <c r="C1255" s="83"/>
      <c r="D1255" s="83" t="s">
        <v>2185</v>
      </c>
      <c r="E1255" s="2"/>
      <c r="F1255" s="200">
        <v>6.26</v>
      </c>
      <c r="H1255" s="17"/>
    </row>
    <row r="1256" spans="2:8" s="16" customFormat="1" ht="16.899999999999999" customHeight="1" x14ac:dyDescent="0.2">
      <c r="B1256" s="17"/>
      <c r="C1256" s="83"/>
      <c r="D1256" s="83" t="s">
        <v>2102</v>
      </c>
      <c r="E1256" s="2"/>
      <c r="F1256" s="200">
        <v>-0.7</v>
      </c>
      <c r="H1256" s="17"/>
    </row>
    <row r="1257" spans="2:8" s="16" customFormat="1" ht="16.899999999999999" customHeight="1" x14ac:dyDescent="0.2">
      <c r="B1257" s="17"/>
      <c r="C1257" s="83"/>
      <c r="D1257" s="83" t="s">
        <v>2186</v>
      </c>
      <c r="E1257" s="2"/>
      <c r="F1257" s="200">
        <v>4.34</v>
      </c>
      <c r="H1257" s="17"/>
    </row>
    <row r="1258" spans="2:8" s="16" customFormat="1" ht="16.899999999999999" customHeight="1" x14ac:dyDescent="0.2">
      <c r="B1258" s="17"/>
      <c r="C1258" s="83"/>
      <c r="D1258" s="83" t="s">
        <v>2102</v>
      </c>
      <c r="E1258" s="2"/>
      <c r="F1258" s="200">
        <v>-0.7</v>
      </c>
      <c r="H1258" s="17"/>
    </row>
    <row r="1259" spans="2:8" s="16" customFormat="1" ht="16.899999999999999" customHeight="1" x14ac:dyDescent="0.2">
      <c r="B1259" s="17"/>
      <c r="C1259" s="83"/>
      <c r="D1259" s="83"/>
      <c r="E1259" s="2"/>
      <c r="F1259" s="200">
        <v>0</v>
      </c>
      <c r="H1259" s="17"/>
    </row>
    <row r="1260" spans="2:8" s="16" customFormat="1" ht="16.899999999999999" customHeight="1" x14ac:dyDescent="0.2">
      <c r="B1260" s="17"/>
      <c r="C1260" s="83"/>
      <c r="D1260" s="83" t="s">
        <v>1720</v>
      </c>
      <c r="E1260" s="2"/>
      <c r="F1260" s="200">
        <v>0</v>
      </c>
      <c r="H1260" s="17"/>
    </row>
    <row r="1261" spans="2:8" s="16" customFormat="1" ht="16.899999999999999" customHeight="1" x14ac:dyDescent="0.2">
      <c r="B1261" s="17"/>
      <c r="C1261" s="83"/>
      <c r="D1261" s="83" t="s">
        <v>2187</v>
      </c>
      <c r="E1261" s="2"/>
      <c r="F1261" s="200">
        <v>7.9</v>
      </c>
      <c r="H1261" s="17"/>
    </row>
    <row r="1262" spans="2:8" s="16" customFormat="1" ht="16.899999999999999" customHeight="1" x14ac:dyDescent="0.2">
      <c r="B1262" s="17"/>
      <c r="C1262" s="83"/>
      <c r="D1262" s="83" t="s">
        <v>1641</v>
      </c>
      <c r="E1262" s="2"/>
      <c r="F1262" s="200">
        <v>-0.9</v>
      </c>
      <c r="H1262" s="17"/>
    </row>
    <row r="1263" spans="2:8" s="16" customFormat="1" ht="16.899999999999999" customHeight="1" x14ac:dyDescent="0.2">
      <c r="B1263" s="17"/>
      <c r="C1263" s="83"/>
      <c r="D1263" s="83" t="s">
        <v>2188</v>
      </c>
      <c r="E1263" s="2"/>
      <c r="F1263" s="200">
        <v>4.5999999999999996</v>
      </c>
      <c r="H1263" s="17"/>
    </row>
    <row r="1264" spans="2:8" s="16" customFormat="1" ht="16.899999999999999" customHeight="1" x14ac:dyDescent="0.2">
      <c r="B1264" s="17"/>
      <c r="C1264" s="83"/>
      <c r="D1264" s="83" t="s">
        <v>1648</v>
      </c>
      <c r="E1264" s="2"/>
      <c r="F1264" s="200">
        <v>-0.7</v>
      </c>
      <c r="H1264" s="17"/>
    </row>
    <row r="1265" spans="2:8" s="16" customFormat="1" ht="16.899999999999999" customHeight="1" x14ac:dyDescent="0.2">
      <c r="B1265" s="17"/>
      <c r="C1265" s="83"/>
      <c r="D1265" s="83" t="s">
        <v>2189</v>
      </c>
      <c r="E1265" s="2"/>
      <c r="F1265" s="200">
        <v>4.5999999999999996</v>
      </c>
      <c r="H1265" s="17"/>
    </row>
    <row r="1266" spans="2:8" s="16" customFormat="1" ht="16.899999999999999" customHeight="1" x14ac:dyDescent="0.2">
      <c r="B1266" s="17"/>
      <c r="C1266" s="83"/>
      <c r="D1266" s="83" t="s">
        <v>1648</v>
      </c>
      <c r="E1266" s="2"/>
      <c r="F1266" s="200">
        <v>-0.7</v>
      </c>
      <c r="H1266" s="17"/>
    </row>
    <row r="1267" spans="2:8" s="16" customFormat="1" ht="16.899999999999999" customHeight="1" x14ac:dyDescent="0.2">
      <c r="B1267" s="17"/>
      <c r="C1267" s="83"/>
      <c r="D1267" s="83" t="s">
        <v>2190</v>
      </c>
      <c r="E1267" s="2"/>
      <c r="F1267" s="200">
        <v>7.25</v>
      </c>
      <c r="H1267" s="17"/>
    </row>
    <row r="1268" spans="2:8" s="16" customFormat="1" ht="16.899999999999999" customHeight="1" x14ac:dyDescent="0.2">
      <c r="B1268" s="17"/>
      <c r="C1268" s="83"/>
      <c r="D1268" s="83" t="s">
        <v>1641</v>
      </c>
      <c r="E1268" s="2"/>
      <c r="F1268" s="200">
        <v>-0.9</v>
      </c>
      <c r="H1268" s="17"/>
    </row>
    <row r="1269" spans="2:8" s="16" customFormat="1" ht="16.899999999999999" customHeight="1" x14ac:dyDescent="0.2">
      <c r="B1269" s="17"/>
      <c r="C1269" s="83"/>
      <c r="D1269" s="83" t="s">
        <v>2191</v>
      </c>
      <c r="E1269" s="2"/>
      <c r="F1269" s="200">
        <v>15.95</v>
      </c>
      <c r="H1269" s="17"/>
    </row>
    <row r="1270" spans="2:8" s="16" customFormat="1" ht="16.899999999999999" customHeight="1" x14ac:dyDescent="0.2">
      <c r="B1270" s="17"/>
      <c r="C1270" s="83"/>
      <c r="D1270" s="83" t="s">
        <v>2192</v>
      </c>
      <c r="E1270" s="2"/>
      <c r="F1270" s="200">
        <v>-1.6</v>
      </c>
      <c r="H1270" s="17"/>
    </row>
    <row r="1271" spans="2:8" s="16" customFormat="1" ht="16.899999999999999" customHeight="1" x14ac:dyDescent="0.2">
      <c r="B1271" s="17"/>
      <c r="C1271" s="83"/>
      <c r="D1271" s="83"/>
      <c r="E1271" s="2"/>
      <c r="F1271" s="200">
        <v>0</v>
      </c>
      <c r="H1271" s="17"/>
    </row>
    <row r="1272" spans="2:8" s="16" customFormat="1" ht="16.899999999999999" customHeight="1" x14ac:dyDescent="0.2">
      <c r="B1272" s="17"/>
      <c r="C1272" s="83"/>
      <c r="D1272" s="83" t="s">
        <v>2193</v>
      </c>
      <c r="E1272" s="2"/>
      <c r="F1272" s="200">
        <v>0</v>
      </c>
      <c r="H1272" s="17"/>
    </row>
    <row r="1273" spans="2:8" s="16" customFormat="1" ht="16.899999999999999" customHeight="1" x14ac:dyDescent="0.2">
      <c r="B1273" s="17"/>
      <c r="C1273" s="83"/>
      <c r="D1273" s="83" t="s">
        <v>2194</v>
      </c>
      <c r="E1273" s="2"/>
      <c r="F1273" s="200">
        <v>-611.16600000000005</v>
      </c>
      <c r="H1273" s="17"/>
    </row>
    <row r="1274" spans="2:8" s="16" customFormat="1" ht="16.899999999999999" customHeight="1" x14ac:dyDescent="0.2">
      <c r="B1274" s="17"/>
      <c r="C1274" s="83"/>
      <c r="D1274" s="83"/>
      <c r="E1274" s="2"/>
      <c r="F1274" s="200">
        <v>0</v>
      </c>
      <c r="H1274" s="17"/>
    </row>
    <row r="1275" spans="2:8" s="16" customFormat="1" ht="16.899999999999999" customHeight="1" x14ac:dyDescent="0.2">
      <c r="B1275" s="17"/>
      <c r="C1275" s="83"/>
      <c r="D1275" s="83" t="s">
        <v>2195</v>
      </c>
      <c r="E1275" s="2"/>
      <c r="F1275" s="200">
        <v>0</v>
      </c>
      <c r="H1275" s="17"/>
    </row>
    <row r="1276" spans="2:8" s="16" customFormat="1" ht="16.899999999999999" customHeight="1" x14ac:dyDescent="0.2">
      <c r="B1276" s="17"/>
      <c r="C1276" s="83"/>
      <c r="D1276" s="83" t="s">
        <v>2196</v>
      </c>
      <c r="E1276" s="2"/>
      <c r="F1276" s="200">
        <v>183.35</v>
      </c>
      <c r="H1276" s="17"/>
    </row>
    <row r="1277" spans="2:8" s="16" customFormat="1" ht="16.899999999999999" customHeight="1" x14ac:dyDescent="0.2">
      <c r="B1277" s="17"/>
      <c r="C1277" s="83" t="s">
        <v>226</v>
      </c>
      <c r="D1277" s="83" t="s">
        <v>351</v>
      </c>
      <c r="E1277" s="2"/>
      <c r="F1277" s="200">
        <v>619.78299999999797</v>
      </c>
      <c r="H1277" s="17"/>
    </row>
    <row r="1278" spans="2:8" s="16" customFormat="1" ht="16.899999999999999" customHeight="1" x14ac:dyDescent="0.2">
      <c r="B1278" s="17"/>
      <c r="C1278" s="201" t="s">
        <v>8859</v>
      </c>
      <c r="H1278" s="17"/>
    </row>
    <row r="1279" spans="2:8" s="16" customFormat="1" ht="16.899999999999999" customHeight="1" x14ac:dyDescent="0.2">
      <c r="B1279" s="17"/>
      <c r="C1279" s="83" t="s">
        <v>2069</v>
      </c>
      <c r="D1279" s="83" t="s">
        <v>2070</v>
      </c>
      <c r="E1279" s="2" t="s">
        <v>425</v>
      </c>
      <c r="F1279" s="200">
        <v>619.78299999999797</v>
      </c>
      <c r="H1279" s="17"/>
    </row>
    <row r="1280" spans="2:8" s="16" customFormat="1" ht="16.899999999999999" customHeight="1" x14ac:dyDescent="0.2">
      <c r="B1280" s="17"/>
      <c r="C1280" s="83" t="s">
        <v>2065</v>
      </c>
      <c r="D1280" s="83" t="s">
        <v>2066</v>
      </c>
      <c r="E1280" s="2" t="s">
        <v>425</v>
      </c>
      <c r="F1280" s="200">
        <v>1786.0029999999999</v>
      </c>
      <c r="H1280" s="17"/>
    </row>
    <row r="1281" spans="2:8" s="16" customFormat="1" ht="16.899999999999999" customHeight="1" x14ac:dyDescent="0.2">
      <c r="B1281" s="17"/>
      <c r="C1281" s="196" t="s">
        <v>234</v>
      </c>
      <c r="D1281" s="197"/>
      <c r="E1281" s="198"/>
      <c r="F1281" s="199">
        <v>335.79</v>
      </c>
      <c r="H1281" s="17"/>
    </row>
    <row r="1282" spans="2:8" s="16" customFormat="1" ht="16.899999999999999" customHeight="1" x14ac:dyDescent="0.2">
      <c r="B1282" s="17"/>
      <c r="C1282" s="83"/>
      <c r="D1282" s="83" t="s">
        <v>2438</v>
      </c>
      <c r="E1282" s="2"/>
      <c r="F1282" s="200">
        <v>0</v>
      </c>
      <c r="H1282" s="17"/>
    </row>
    <row r="1283" spans="2:8" s="16" customFormat="1" ht="16.899999999999999" customHeight="1" x14ac:dyDescent="0.2">
      <c r="B1283" s="17"/>
      <c r="C1283" s="83"/>
      <c r="D1283" s="83" t="s">
        <v>277</v>
      </c>
      <c r="E1283" s="2"/>
      <c r="F1283" s="200">
        <v>102.72</v>
      </c>
      <c r="H1283" s="17"/>
    </row>
    <row r="1284" spans="2:8" s="16" customFormat="1" ht="16.899999999999999" customHeight="1" x14ac:dyDescent="0.2">
      <c r="B1284" s="17"/>
      <c r="C1284" s="83"/>
      <c r="D1284" s="83" t="s">
        <v>2345</v>
      </c>
      <c r="E1284" s="2"/>
      <c r="F1284" s="200">
        <v>0</v>
      </c>
      <c r="H1284" s="17"/>
    </row>
    <row r="1285" spans="2:8" s="16" customFormat="1" ht="16.899999999999999" customHeight="1" x14ac:dyDescent="0.2">
      <c r="B1285" s="17"/>
      <c r="C1285" s="83"/>
      <c r="D1285" s="83" t="s">
        <v>275</v>
      </c>
      <c r="E1285" s="2"/>
      <c r="F1285" s="200">
        <v>233.07</v>
      </c>
      <c r="H1285" s="17"/>
    </row>
    <row r="1286" spans="2:8" s="16" customFormat="1" ht="16.899999999999999" customHeight="1" x14ac:dyDescent="0.2">
      <c r="B1286" s="17"/>
      <c r="C1286" s="83" t="s">
        <v>234</v>
      </c>
      <c r="D1286" s="83" t="s">
        <v>351</v>
      </c>
      <c r="E1286" s="2"/>
      <c r="F1286" s="200">
        <v>335.79</v>
      </c>
      <c r="H1286" s="17"/>
    </row>
    <row r="1287" spans="2:8" s="16" customFormat="1" ht="16.899999999999999" customHeight="1" x14ac:dyDescent="0.2">
      <c r="B1287" s="17"/>
      <c r="C1287" s="201" t="s">
        <v>8859</v>
      </c>
      <c r="H1287" s="17"/>
    </row>
    <row r="1288" spans="2:8" s="16" customFormat="1" ht="16.899999999999999" customHeight="1" x14ac:dyDescent="0.2">
      <c r="B1288" s="17"/>
      <c r="C1288" s="83" t="s">
        <v>2435</v>
      </c>
      <c r="D1288" s="83" t="s">
        <v>2436</v>
      </c>
      <c r="E1288" s="2" t="s">
        <v>425</v>
      </c>
      <c r="F1288" s="200">
        <v>335.79</v>
      </c>
      <c r="H1288" s="17"/>
    </row>
    <row r="1289" spans="2:8" s="16" customFormat="1" ht="16.899999999999999" customHeight="1" x14ac:dyDescent="0.2">
      <c r="B1289" s="17"/>
      <c r="C1289" s="83" t="s">
        <v>2325</v>
      </c>
      <c r="D1289" s="83" t="s">
        <v>2326</v>
      </c>
      <c r="E1289" s="2" t="s">
        <v>425</v>
      </c>
      <c r="F1289" s="200">
        <v>3984.6060000000002</v>
      </c>
      <c r="H1289" s="17"/>
    </row>
    <row r="1290" spans="2:8" s="16" customFormat="1" ht="16.899999999999999" customHeight="1" x14ac:dyDescent="0.2">
      <c r="B1290" s="17"/>
      <c r="C1290" s="83" t="s">
        <v>2334</v>
      </c>
      <c r="D1290" s="83" t="s">
        <v>2335</v>
      </c>
      <c r="E1290" s="2" t="s">
        <v>425</v>
      </c>
      <c r="F1290" s="200">
        <v>335.79</v>
      </c>
      <c r="H1290" s="17"/>
    </row>
    <row r="1291" spans="2:8" s="16" customFormat="1" ht="16.899999999999999" customHeight="1" x14ac:dyDescent="0.2">
      <c r="B1291" s="17"/>
      <c r="C1291" s="196" t="s">
        <v>237</v>
      </c>
      <c r="D1291" s="197"/>
      <c r="E1291" s="198"/>
      <c r="F1291" s="199">
        <v>932.84</v>
      </c>
      <c r="H1291" s="17"/>
    </row>
    <row r="1292" spans="2:8" s="16" customFormat="1" ht="16.899999999999999" customHeight="1" x14ac:dyDescent="0.2">
      <c r="B1292" s="17"/>
      <c r="C1292" s="83"/>
      <c r="D1292" s="83" t="s">
        <v>2216</v>
      </c>
      <c r="E1292" s="2"/>
      <c r="F1292" s="200">
        <v>0</v>
      </c>
      <c r="H1292" s="17"/>
    </row>
    <row r="1293" spans="2:8" s="16" customFormat="1" ht="16.899999999999999" customHeight="1" x14ac:dyDescent="0.2">
      <c r="B1293" s="17"/>
      <c r="C1293" s="83"/>
      <c r="D1293" s="83" t="s">
        <v>680</v>
      </c>
      <c r="E1293" s="2"/>
      <c r="F1293" s="200">
        <v>0</v>
      </c>
      <c r="H1293" s="17"/>
    </row>
    <row r="1294" spans="2:8" s="16" customFormat="1" ht="16.899999999999999" customHeight="1" x14ac:dyDescent="0.2">
      <c r="B1294" s="17"/>
      <c r="C1294" s="83"/>
      <c r="D1294" s="83" t="s">
        <v>2217</v>
      </c>
      <c r="E1294" s="2"/>
      <c r="F1294" s="200">
        <v>912.84</v>
      </c>
      <c r="H1294" s="17"/>
    </row>
    <row r="1295" spans="2:8" s="16" customFormat="1" ht="16.899999999999999" customHeight="1" x14ac:dyDescent="0.2">
      <c r="B1295" s="17"/>
      <c r="C1295" s="83"/>
      <c r="D1295" s="83" t="s">
        <v>716</v>
      </c>
      <c r="E1295" s="2"/>
      <c r="F1295" s="200">
        <v>0</v>
      </c>
      <c r="H1295" s="17"/>
    </row>
    <row r="1296" spans="2:8" s="16" customFormat="1" ht="16.899999999999999" customHeight="1" x14ac:dyDescent="0.2">
      <c r="B1296" s="17"/>
      <c r="C1296" s="83"/>
      <c r="D1296" s="83" t="s">
        <v>980</v>
      </c>
      <c r="E1296" s="2"/>
      <c r="F1296" s="200">
        <v>20</v>
      </c>
      <c r="H1296" s="17"/>
    </row>
    <row r="1297" spans="2:8" s="16" customFormat="1" ht="16.899999999999999" customHeight="1" x14ac:dyDescent="0.2">
      <c r="B1297" s="17"/>
      <c r="C1297" s="83" t="s">
        <v>237</v>
      </c>
      <c r="D1297" s="83" t="s">
        <v>609</v>
      </c>
      <c r="E1297" s="2"/>
      <c r="F1297" s="200">
        <v>932.84</v>
      </c>
      <c r="H1297" s="17"/>
    </row>
    <row r="1298" spans="2:8" s="16" customFormat="1" ht="16.899999999999999" customHeight="1" x14ac:dyDescent="0.2">
      <c r="B1298" s="17"/>
      <c r="C1298" s="201" t="s">
        <v>8859</v>
      </c>
      <c r="H1298" s="17"/>
    </row>
    <row r="1299" spans="2:8" s="16" customFormat="1" ht="16.899999999999999" customHeight="1" x14ac:dyDescent="0.2">
      <c r="B1299" s="17"/>
      <c r="C1299" s="83" t="s">
        <v>2213</v>
      </c>
      <c r="D1299" s="83" t="s">
        <v>2214</v>
      </c>
      <c r="E1299" s="2" t="s">
        <v>425</v>
      </c>
      <c r="F1299" s="200">
        <v>932.84</v>
      </c>
      <c r="H1299" s="17"/>
    </row>
    <row r="1300" spans="2:8" s="16" customFormat="1" ht="16.899999999999999" customHeight="1" x14ac:dyDescent="0.2">
      <c r="B1300" s="17"/>
      <c r="C1300" s="83" t="s">
        <v>709</v>
      </c>
      <c r="D1300" s="83" t="s">
        <v>710</v>
      </c>
      <c r="E1300" s="2" t="s">
        <v>425</v>
      </c>
      <c r="F1300" s="200">
        <v>8593.9920000000002</v>
      </c>
      <c r="H1300" s="17"/>
    </row>
    <row r="1301" spans="2:8" s="16" customFormat="1" ht="16.899999999999999" customHeight="1" x14ac:dyDescent="0.2">
      <c r="B1301" s="17"/>
      <c r="C1301" s="83" t="s">
        <v>2060</v>
      </c>
      <c r="D1301" s="83" t="s">
        <v>2061</v>
      </c>
      <c r="E1301" s="2" t="s">
        <v>425</v>
      </c>
      <c r="F1301" s="200">
        <v>10722.981</v>
      </c>
      <c r="H1301" s="17"/>
    </row>
    <row r="1302" spans="2:8" s="16" customFormat="1" ht="16.899999999999999" customHeight="1" x14ac:dyDescent="0.2">
      <c r="B1302" s="17"/>
      <c r="C1302" s="83" t="s">
        <v>2065</v>
      </c>
      <c r="D1302" s="83" t="s">
        <v>2066</v>
      </c>
      <c r="E1302" s="2" t="s">
        <v>425</v>
      </c>
      <c r="F1302" s="200">
        <v>1786.0029999999999</v>
      </c>
      <c r="H1302" s="17"/>
    </row>
    <row r="1303" spans="2:8" s="16" customFormat="1" ht="16.899999999999999" customHeight="1" x14ac:dyDescent="0.2">
      <c r="B1303" s="17"/>
      <c r="C1303" s="83" t="s">
        <v>2264</v>
      </c>
      <c r="D1303" s="83" t="s">
        <v>2265</v>
      </c>
      <c r="E1303" s="2" t="s">
        <v>724</v>
      </c>
      <c r="F1303" s="200">
        <v>1525.8440000000001</v>
      </c>
      <c r="H1303" s="17"/>
    </row>
    <row r="1304" spans="2:8" s="16" customFormat="1" ht="16.899999999999999" customHeight="1" x14ac:dyDescent="0.2">
      <c r="B1304" s="17"/>
      <c r="C1304" s="83" t="s">
        <v>2338</v>
      </c>
      <c r="D1304" s="83" t="s">
        <v>2339</v>
      </c>
      <c r="E1304" s="2" t="s">
        <v>425</v>
      </c>
      <c r="F1304" s="200">
        <v>3648.8159999999998</v>
      </c>
      <c r="H1304" s="17"/>
    </row>
    <row r="1305" spans="2:8" s="16" customFormat="1" ht="16.899999999999999" customHeight="1" x14ac:dyDescent="0.2">
      <c r="B1305" s="17"/>
      <c r="C1305" s="196" t="s">
        <v>239</v>
      </c>
      <c r="D1305" s="197"/>
      <c r="E1305" s="198"/>
      <c r="F1305" s="199">
        <v>215.51</v>
      </c>
      <c r="H1305" s="17"/>
    </row>
    <row r="1306" spans="2:8" s="16" customFormat="1" ht="16.899999999999999" customHeight="1" x14ac:dyDescent="0.2">
      <c r="B1306" s="17"/>
      <c r="C1306" s="83"/>
      <c r="D1306" s="83" t="s">
        <v>2226</v>
      </c>
      <c r="E1306" s="2"/>
      <c r="F1306" s="200">
        <v>0</v>
      </c>
      <c r="H1306" s="17"/>
    </row>
    <row r="1307" spans="2:8" s="16" customFormat="1" ht="16.899999999999999" customHeight="1" x14ac:dyDescent="0.2">
      <c r="B1307" s="17"/>
      <c r="C1307" s="83"/>
      <c r="D1307" s="83" t="s">
        <v>680</v>
      </c>
      <c r="E1307" s="2"/>
      <c r="F1307" s="200">
        <v>0</v>
      </c>
      <c r="H1307" s="17"/>
    </row>
    <row r="1308" spans="2:8" s="16" customFormat="1" ht="16.899999999999999" customHeight="1" x14ac:dyDescent="0.2">
      <c r="B1308" s="17"/>
      <c r="C1308" s="83"/>
      <c r="D1308" s="83" t="s">
        <v>2227</v>
      </c>
      <c r="E1308" s="2"/>
      <c r="F1308" s="200">
        <v>210.51</v>
      </c>
      <c r="H1308" s="17"/>
    </row>
    <row r="1309" spans="2:8" s="16" customFormat="1" ht="16.899999999999999" customHeight="1" x14ac:dyDescent="0.2">
      <c r="B1309" s="17"/>
      <c r="C1309" s="83"/>
      <c r="D1309" s="83" t="s">
        <v>716</v>
      </c>
      <c r="E1309" s="2"/>
      <c r="F1309" s="200">
        <v>0</v>
      </c>
      <c r="H1309" s="17"/>
    </row>
    <row r="1310" spans="2:8" s="16" customFormat="1" ht="16.899999999999999" customHeight="1" x14ac:dyDescent="0.2">
      <c r="B1310" s="17"/>
      <c r="C1310" s="83"/>
      <c r="D1310" s="83" t="s">
        <v>2228</v>
      </c>
      <c r="E1310" s="2"/>
      <c r="F1310" s="200">
        <v>5</v>
      </c>
      <c r="H1310" s="17"/>
    </row>
    <row r="1311" spans="2:8" s="16" customFormat="1" ht="16.899999999999999" customHeight="1" x14ac:dyDescent="0.2">
      <c r="B1311" s="17"/>
      <c r="C1311" s="83" t="s">
        <v>239</v>
      </c>
      <c r="D1311" s="83" t="s">
        <v>609</v>
      </c>
      <c r="E1311" s="2"/>
      <c r="F1311" s="200">
        <v>215.51</v>
      </c>
      <c r="H1311" s="17"/>
    </row>
    <row r="1312" spans="2:8" s="16" customFormat="1" ht="16.899999999999999" customHeight="1" x14ac:dyDescent="0.2">
      <c r="B1312" s="17"/>
      <c r="C1312" s="201" t="s">
        <v>8859</v>
      </c>
      <c r="H1312" s="17"/>
    </row>
    <row r="1313" spans="2:8" s="16" customFormat="1" ht="16.899999999999999" customHeight="1" x14ac:dyDescent="0.2">
      <c r="B1313" s="17"/>
      <c r="C1313" s="83" t="s">
        <v>2223</v>
      </c>
      <c r="D1313" s="83" t="s">
        <v>2224</v>
      </c>
      <c r="E1313" s="2" t="s">
        <v>425</v>
      </c>
      <c r="F1313" s="200">
        <v>215.51</v>
      </c>
      <c r="H1313" s="17"/>
    </row>
    <row r="1314" spans="2:8" s="16" customFormat="1" ht="16.899999999999999" customHeight="1" x14ac:dyDescent="0.2">
      <c r="B1314" s="17"/>
      <c r="C1314" s="83" t="s">
        <v>709</v>
      </c>
      <c r="D1314" s="83" t="s">
        <v>710</v>
      </c>
      <c r="E1314" s="2" t="s">
        <v>425</v>
      </c>
      <c r="F1314" s="200">
        <v>8593.9920000000002</v>
      </c>
      <c r="H1314" s="17"/>
    </row>
    <row r="1315" spans="2:8" s="16" customFormat="1" ht="16.899999999999999" customHeight="1" x14ac:dyDescent="0.2">
      <c r="B1315" s="17"/>
      <c r="C1315" s="83" t="s">
        <v>2060</v>
      </c>
      <c r="D1315" s="83" t="s">
        <v>2061</v>
      </c>
      <c r="E1315" s="2" t="s">
        <v>425</v>
      </c>
      <c r="F1315" s="200">
        <v>10722.981</v>
      </c>
      <c r="H1315" s="17"/>
    </row>
    <row r="1316" spans="2:8" s="16" customFormat="1" ht="16.899999999999999" customHeight="1" x14ac:dyDescent="0.2">
      <c r="B1316" s="17"/>
      <c r="C1316" s="83" t="s">
        <v>2065</v>
      </c>
      <c r="D1316" s="83" t="s">
        <v>2066</v>
      </c>
      <c r="E1316" s="2" t="s">
        <v>425</v>
      </c>
      <c r="F1316" s="200">
        <v>1786.0029999999999</v>
      </c>
      <c r="H1316" s="17"/>
    </row>
    <row r="1317" spans="2:8" s="16" customFormat="1" ht="16.899999999999999" customHeight="1" x14ac:dyDescent="0.2">
      <c r="B1317" s="17"/>
      <c r="C1317" s="83" t="s">
        <v>2264</v>
      </c>
      <c r="D1317" s="83" t="s">
        <v>2265</v>
      </c>
      <c r="E1317" s="2" t="s">
        <v>724</v>
      </c>
      <c r="F1317" s="200">
        <v>1525.8440000000001</v>
      </c>
      <c r="H1317" s="17"/>
    </row>
    <row r="1318" spans="2:8" s="16" customFormat="1" ht="16.899999999999999" customHeight="1" x14ac:dyDescent="0.2">
      <c r="B1318" s="17"/>
      <c r="C1318" s="83" t="s">
        <v>2338</v>
      </c>
      <c r="D1318" s="83" t="s">
        <v>2339</v>
      </c>
      <c r="E1318" s="2" t="s">
        <v>425</v>
      </c>
      <c r="F1318" s="200">
        <v>3648.8159999999998</v>
      </c>
      <c r="H1318" s="17"/>
    </row>
    <row r="1319" spans="2:8" s="16" customFormat="1" ht="16.899999999999999" customHeight="1" x14ac:dyDescent="0.2">
      <c r="B1319" s="17"/>
      <c r="C1319" s="83" t="s">
        <v>2230</v>
      </c>
      <c r="D1319" s="83" t="s">
        <v>2231</v>
      </c>
      <c r="E1319" s="2" t="s">
        <v>425</v>
      </c>
      <c r="F1319" s="200">
        <v>247.04</v>
      </c>
      <c r="H1319" s="17"/>
    </row>
    <row r="1320" spans="2:8" s="16" customFormat="1" ht="16.899999999999999" customHeight="1" x14ac:dyDescent="0.2">
      <c r="B1320" s="17"/>
      <c r="C1320" s="196" t="s">
        <v>241</v>
      </c>
      <c r="D1320" s="197"/>
      <c r="E1320" s="198"/>
      <c r="F1320" s="199">
        <v>17.87</v>
      </c>
      <c r="H1320" s="17"/>
    </row>
    <row r="1321" spans="2:8" s="16" customFormat="1" ht="16.899999999999999" customHeight="1" x14ac:dyDescent="0.2">
      <c r="B1321" s="17"/>
      <c r="C1321" s="83"/>
      <c r="D1321" s="83" t="s">
        <v>1986</v>
      </c>
      <c r="E1321" s="2"/>
      <c r="F1321" s="200">
        <v>0</v>
      </c>
      <c r="H1321" s="17"/>
    </row>
    <row r="1322" spans="2:8" s="16" customFormat="1" ht="16.899999999999999" customHeight="1" x14ac:dyDescent="0.2">
      <c r="B1322" s="17"/>
      <c r="C1322" s="83"/>
      <c r="D1322" s="83" t="s">
        <v>680</v>
      </c>
      <c r="E1322" s="2"/>
      <c r="F1322" s="200">
        <v>0</v>
      </c>
      <c r="H1322" s="17"/>
    </row>
    <row r="1323" spans="2:8" s="16" customFormat="1" ht="16.899999999999999" customHeight="1" x14ac:dyDescent="0.2">
      <c r="B1323" s="17"/>
      <c r="C1323" s="83"/>
      <c r="D1323" s="83" t="s">
        <v>242</v>
      </c>
      <c r="E1323" s="2"/>
      <c r="F1323" s="200">
        <v>17.87</v>
      </c>
      <c r="H1323" s="17"/>
    </row>
    <row r="1324" spans="2:8" s="16" customFormat="1" ht="16.899999999999999" customHeight="1" x14ac:dyDescent="0.2">
      <c r="B1324" s="17"/>
      <c r="C1324" s="83" t="s">
        <v>241</v>
      </c>
      <c r="D1324" s="83" t="s">
        <v>609</v>
      </c>
      <c r="E1324" s="2"/>
      <c r="F1324" s="200">
        <v>17.87</v>
      </c>
      <c r="H1324" s="17"/>
    </row>
    <row r="1325" spans="2:8" s="16" customFormat="1" ht="16.899999999999999" customHeight="1" x14ac:dyDescent="0.2">
      <c r="B1325" s="17"/>
      <c r="C1325" s="201" t="s">
        <v>8859</v>
      </c>
      <c r="H1325" s="17"/>
    </row>
    <row r="1326" spans="2:8" s="16" customFormat="1" ht="16.899999999999999" customHeight="1" x14ac:dyDescent="0.2">
      <c r="B1326" s="17"/>
      <c r="C1326" s="83" t="s">
        <v>1983</v>
      </c>
      <c r="D1326" s="83" t="s">
        <v>1984</v>
      </c>
      <c r="E1326" s="2" t="s">
        <v>425</v>
      </c>
      <c r="F1326" s="200">
        <v>17.87</v>
      </c>
      <c r="H1326" s="17"/>
    </row>
    <row r="1327" spans="2:8" s="16" customFormat="1" ht="16.899999999999999" customHeight="1" x14ac:dyDescent="0.2">
      <c r="B1327" s="17"/>
      <c r="C1327" s="83" t="s">
        <v>1803</v>
      </c>
      <c r="D1327" s="83" t="s">
        <v>1804</v>
      </c>
      <c r="E1327" s="2" t="s">
        <v>425</v>
      </c>
      <c r="F1327" s="200">
        <v>1959.8789999999999</v>
      </c>
      <c r="H1327" s="17"/>
    </row>
    <row r="1328" spans="2:8" s="16" customFormat="1" ht="16.899999999999999" customHeight="1" x14ac:dyDescent="0.2">
      <c r="B1328" s="17"/>
      <c r="C1328" s="83" t="s">
        <v>2065</v>
      </c>
      <c r="D1328" s="83" t="s">
        <v>2066</v>
      </c>
      <c r="E1328" s="2" t="s">
        <v>425</v>
      </c>
      <c r="F1328" s="200">
        <v>1786.0029999999999</v>
      </c>
      <c r="H1328" s="17"/>
    </row>
    <row r="1329" spans="2:8" s="16" customFormat="1" ht="16.899999999999999" customHeight="1" x14ac:dyDescent="0.2">
      <c r="B1329" s="17"/>
      <c r="C1329" s="196" t="s">
        <v>290</v>
      </c>
      <c r="D1329" s="197"/>
      <c r="E1329" s="198"/>
      <c r="F1329" s="199">
        <v>48.62</v>
      </c>
      <c r="H1329" s="17"/>
    </row>
    <row r="1330" spans="2:8" s="16" customFormat="1" ht="16.899999999999999" customHeight="1" x14ac:dyDescent="0.2">
      <c r="B1330" s="17"/>
      <c r="C1330" s="83"/>
      <c r="D1330" s="83"/>
      <c r="E1330" s="2"/>
      <c r="F1330" s="200">
        <v>0</v>
      </c>
      <c r="H1330" s="17"/>
    </row>
    <row r="1331" spans="2:8" s="16" customFormat="1" ht="16.899999999999999" customHeight="1" x14ac:dyDescent="0.2">
      <c r="B1331" s="17"/>
      <c r="C1331" s="83"/>
      <c r="D1331" s="83" t="s">
        <v>883</v>
      </c>
      <c r="E1331" s="2"/>
      <c r="F1331" s="200">
        <v>0</v>
      </c>
      <c r="H1331" s="17"/>
    </row>
    <row r="1332" spans="2:8" s="16" customFormat="1" ht="16.899999999999999" customHeight="1" x14ac:dyDescent="0.2">
      <c r="B1332" s="17"/>
      <c r="C1332" s="83"/>
      <c r="D1332" s="83" t="s">
        <v>884</v>
      </c>
      <c r="E1332" s="2"/>
      <c r="F1332" s="200">
        <v>0</v>
      </c>
      <c r="H1332" s="17"/>
    </row>
    <row r="1333" spans="2:8" s="16" customFormat="1" ht="16.899999999999999" customHeight="1" x14ac:dyDescent="0.2">
      <c r="B1333" s="17"/>
      <c r="C1333" s="83"/>
      <c r="D1333" s="83"/>
      <c r="E1333" s="2"/>
      <c r="F1333" s="200">
        <v>0</v>
      </c>
      <c r="H1333" s="17"/>
    </row>
    <row r="1334" spans="2:8" s="16" customFormat="1" ht="16.899999999999999" customHeight="1" x14ac:dyDescent="0.2">
      <c r="B1334" s="17"/>
      <c r="C1334" s="83"/>
      <c r="D1334" s="83" t="s">
        <v>885</v>
      </c>
      <c r="E1334" s="2"/>
      <c r="F1334" s="200">
        <v>0</v>
      </c>
      <c r="H1334" s="17"/>
    </row>
    <row r="1335" spans="2:8" s="16" customFormat="1" ht="16.899999999999999" customHeight="1" x14ac:dyDescent="0.2">
      <c r="B1335" s="17"/>
      <c r="C1335" s="83"/>
      <c r="D1335" s="83" t="s">
        <v>291</v>
      </c>
      <c r="E1335" s="2"/>
      <c r="F1335" s="200">
        <v>48.62</v>
      </c>
      <c r="H1335" s="17"/>
    </row>
    <row r="1336" spans="2:8" s="16" customFormat="1" ht="16.899999999999999" customHeight="1" x14ac:dyDescent="0.2">
      <c r="B1336" s="17"/>
      <c r="C1336" s="83" t="s">
        <v>290</v>
      </c>
      <c r="D1336" s="83" t="s">
        <v>609</v>
      </c>
      <c r="E1336" s="2"/>
      <c r="F1336" s="200">
        <v>48.62</v>
      </c>
      <c r="H1336" s="17"/>
    </row>
    <row r="1337" spans="2:8" s="16" customFormat="1" ht="16.899999999999999" customHeight="1" x14ac:dyDescent="0.2">
      <c r="B1337" s="17"/>
      <c r="C1337" s="201" t="s">
        <v>8859</v>
      </c>
      <c r="H1337" s="17"/>
    </row>
    <row r="1338" spans="2:8" s="16" customFormat="1" ht="16.899999999999999" customHeight="1" x14ac:dyDescent="0.2">
      <c r="B1338" s="17"/>
      <c r="C1338" s="83" t="s">
        <v>871</v>
      </c>
      <c r="D1338" s="83" t="s">
        <v>872</v>
      </c>
      <c r="E1338" s="2" t="s">
        <v>425</v>
      </c>
      <c r="F1338" s="200">
        <v>4598.04</v>
      </c>
      <c r="H1338" s="17"/>
    </row>
    <row r="1339" spans="2:8" s="16" customFormat="1" ht="16.899999999999999" customHeight="1" x14ac:dyDescent="0.2">
      <c r="B1339" s="17"/>
      <c r="C1339" s="196" t="s">
        <v>243</v>
      </c>
      <c r="D1339" s="197"/>
      <c r="E1339" s="198"/>
      <c r="F1339" s="199">
        <v>164.64</v>
      </c>
      <c r="H1339" s="17"/>
    </row>
    <row r="1340" spans="2:8" s="16" customFormat="1" ht="16.899999999999999" customHeight="1" x14ac:dyDescent="0.2">
      <c r="B1340" s="17"/>
      <c r="C1340" s="83"/>
      <c r="D1340" s="83"/>
      <c r="E1340" s="2"/>
      <c r="F1340" s="200">
        <v>0</v>
      </c>
      <c r="H1340" s="17"/>
    </row>
    <row r="1341" spans="2:8" s="16" customFormat="1" ht="16.899999999999999" customHeight="1" x14ac:dyDescent="0.2">
      <c r="B1341" s="17"/>
      <c r="C1341" s="83"/>
      <c r="D1341" s="83" t="s">
        <v>886</v>
      </c>
      <c r="E1341" s="2"/>
      <c r="F1341" s="200">
        <v>0</v>
      </c>
      <c r="H1341" s="17"/>
    </row>
    <row r="1342" spans="2:8" s="16" customFormat="1" ht="16.899999999999999" customHeight="1" x14ac:dyDescent="0.2">
      <c r="B1342" s="17"/>
      <c r="C1342" s="83"/>
      <c r="D1342" s="83" t="s">
        <v>244</v>
      </c>
      <c r="E1342" s="2"/>
      <c r="F1342" s="200">
        <v>164.64</v>
      </c>
      <c r="H1342" s="17"/>
    </row>
    <row r="1343" spans="2:8" s="16" customFormat="1" ht="16.899999999999999" customHeight="1" x14ac:dyDescent="0.2">
      <c r="B1343" s="17"/>
      <c r="C1343" s="83" t="s">
        <v>243</v>
      </c>
      <c r="D1343" s="83" t="s">
        <v>609</v>
      </c>
      <c r="E1343" s="2"/>
      <c r="F1343" s="200">
        <v>164.64</v>
      </c>
      <c r="H1343" s="17"/>
    </row>
    <row r="1344" spans="2:8" s="16" customFormat="1" ht="16.899999999999999" customHeight="1" x14ac:dyDescent="0.2">
      <c r="B1344" s="17"/>
      <c r="C1344" s="201" t="s">
        <v>8859</v>
      </c>
      <c r="H1344" s="17"/>
    </row>
    <row r="1345" spans="2:8" s="16" customFormat="1" ht="16.899999999999999" customHeight="1" x14ac:dyDescent="0.2">
      <c r="B1345" s="17"/>
      <c r="C1345" s="83" t="s">
        <v>871</v>
      </c>
      <c r="D1345" s="83" t="s">
        <v>872</v>
      </c>
      <c r="E1345" s="2" t="s">
        <v>425</v>
      </c>
      <c r="F1345" s="200">
        <v>4598.04</v>
      </c>
      <c r="H1345" s="17"/>
    </row>
    <row r="1346" spans="2:8" s="16" customFormat="1" ht="16.899999999999999" customHeight="1" x14ac:dyDescent="0.2">
      <c r="B1346" s="17"/>
      <c r="C1346" s="83" t="s">
        <v>951</v>
      </c>
      <c r="D1346" s="83" t="s">
        <v>952</v>
      </c>
      <c r="E1346" s="2" t="s">
        <v>425</v>
      </c>
      <c r="F1346" s="200">
        <v>3407.24</v>
      </c>
      <c r="H1346" s="17"/>
    </row>
    <row r="1347" spans="2:8" s="16" customFormat="1" ht="16.899999999999999" customHeight="1" x14ac:dyDescent="0.2">
      <c r="B1347" s="17"/>
      <c r="C1347" s="196" t="s">
        <v>245</v>
      </c>
      <c r="D1347" s="197"/>
      <c r="E1347" s="198"/>
      <c r="F1347" s="199">
        <v>51.78</v>
      </c>
      <c r="H1347" s="17"/>
    </row>
    <row r="1348" spans="2:8" s="16" customFormat="1" ht="16.899999999999999" customHeight="1" x14ac:dyDescent="0.2">
      <c r="B1348" s="17"/>
      <c r="C1348" s="83"/>
      <c r="D1348" s="83"/>
      <c r="E1348" s="2"/>
      <c r="F1348" s="200">
        <v>0</v>
      </c>
      <c r="H1348" s="17"/>
    </row>
    <row r="1349" spans="2:8" s="16" customFormat="1" ht="16.899999999999999" customHeight="1" x14ac:dyDescent="0.2">
      <c r="B1349" s="17"/>
      <c r="C1349" s="83"/>
      <c r="D1349" s="83" t="s">
        <v>887</v>
      </c>
      <c r="E1349" s="2"/>
      <c r="F1349" s="200">
        <v>0</v>
      </c>
      <c r="H1349" s="17"/>
    </row>
    <row r="1350" spans="2:8" s="16" customFormat="1" ht="16.899999999999999" customHeight="1" x14ac:dyDescent="0.2">
      <c r="B1350" s="17"/>
      <c r="C1350" s="83"/>
      <c r="D1350" s="83" t="s">
        <v>246</v>
      </c>
      <c r="E1350" s="2"/>
      <c r="F1350" s="200">
        <v>51.78</v>
      </c>
      <c r="H1350" s="17"/>
    </row>
    <row r="1351" spans="2:8" s="16" customFormat="1" ht="16.899999999999999" customHeight="1" x14ac:dyDescent="0.2">
      <c r="B1351" s="17"/>
      <c r="C1351" s="83" t="s">
        <v>245</v>
      </c>
      <c r="D1351" s="83" t="s">
        <v>609</v>
      </c>
      <c r="E1351" s="2"/>
      <c r="F1351" s="200">
        <v>51.78</v>
      </c>
      <c r="H1351" s="17"/>
    </row>
    <row r="1352" spans="2:8" s="16" customFormat="1" ht="16.899999999999999" customHeight="1" x14ac:dyDescent="0.2">
      <c r="B1352" s="17"/>
      <c r="C1352" s="201" t="s">
        <v>8859</v>
      </c>
      <c r="H1352" s="17"/>
    </row>
    <row r="1353" spans="2:8" s="16" customFormat="1" ht="16.899999999999999" customHeight="1" x14ac:dyDescent="0.2">
      <c r="B1353" s="17"/>
      <c r="C1353" s="83" t="s">
        <v>871</v>
      </c>
      <c r="D1353" s="83" t="s">
        <v>872</v>
      </c>
      <c r="E1353" s="2" t="s">
        <v>425</v>
      </c>
      <c r="F1353" s="200">
        <v>4598.04</v>
      </c>
      <c r="H1353" s="17"/>
    </row>
    <row r="1354" spans="2:8" s="16" customFormat="1" ht="16.899999999999999" customHeight="1" x14ac:dyDescent="0.2">
      <c r="B1354" s="17"/>
      <c r="C1354" s="83" t="s">
        <v>951</v>
      </c>
      <c r="D1354" s="83" t="s">
        <v>952</v>
      </c>
      <c r="E1354" s="2" t="s">
        <v>425</v>
      </c>
      <c r="F1354" s="200">
        <v>3407.24</v>
      </c>
      <c r="H1354" s="17"/>
    </row>
    <row r="1355" spans="2:8" s="16" customFormat="1" ht="16.899999999999999" customHeight="1" x14ac:dyDescent="0.2">
      <c r="B1355" s="17"/>
      <c r="C1355" s="196" t="s">
        <v>289</v>
      </c>
      <c r="D1355" s="197"/>
      <c r="E1355" s="198"/>
      <c r="F1355" s="199">
        <v>84.35</v>
      </c>
      <c r="H1355" s="17"/>
    </row>
    <row r="1356" spans="2:8" s="16" customFormat="1" ht="16.899999999999999" customHeight="1" x14ac:dyDescent="0.2">
      <c r="B1356" s="17"/>
      <c r="C1356" s="83"/>
      <c r="D1356" s="83"/>
      <c r="E1356" s="2"/>
      <c r="F1356" s="200">
        <v>0</v>
      </c>
      <c r="H1356" s="17"/>
    </row>
    <row r="1357" spans="2:8" s="16" customFormat="1" ht="16.899999999999999" customHeight="1" x14ac:dyDescent="0.2">
      <c r="B1357" s="17"/>
      <c r="C1357" s="83"/>
      <c r="D1357" s="83" t="s">
        <v>888</v>
      </c>
      <c r="E1357" s="2"/>
      <c r="F1357" s="200">
        <v>0</v>
      </c>
      <c r="H1357" s="17"/>
    </row>
    <row r="1358" spans="2:8" s="16" customFormat="1" ht="16.899999999999999" customHeight="1" x14ac:dyDescent="0.2">
      <c r="B1358" s="17"/>
      <c r="C1358" s="83"/>
      <c r="D1358" s="83" t="s">
        <v>187</v>
      </c>
      <c r="E1358" s="2"/>
      <c r="F1358" s="200">
        <v>84.35</v>
      </c>
      <c r="H1358" s="17"/>
    </row>
    <row r="1359" spans="2:8" s="16" customFormat="1" ht="16.899999999999999" customHeight="1" x14ac:dyDescent="0.2">
      <c r="B1359" s="17"/>
      <c r="C1359" s="83" t="s">
        <v>289</v>
      </c>
      <c r="D1359" s="83" t="s">
        <v>609</v>
      </c>
      <c r="E1359" s="2"/>
      <c r="F1359" s="200">
        <v>84.35</v>
      </c>
      <c r="H1359" s="17"/>
    </row>
    <row r="1360" spans="2:8" s="16" customFormat="1" ht="16.899999999999999" customHeight="1" x14ac:dyDescent="0.2">
      <c r="B1360" s="17"/>
      <c r="C1360" s="201" t="s">
        <v>8859</v>
      </c>
      <c r="H1360" s="17"/>
    </row>
    <row r="1361" spans="2:8" s="16" customFormat="1" ht="16.899999999999999" customHeight="1" x14ac:dyDescent="0.2">
      <c r="B1361" s="17"/>
      <c r="C1361" s="83" t="s">
        <v>871</v>
      </c>
      <c r="D1361" s="83" t="s">
        <v>872</v>
      </c>
      <c r="E1361" s="2" t="s">
        <v>425</v>
      </c>
      <c r="F1361" s="200">
        <v>4598.04</v>
      </c>
      <c r="H1361" s="17"/>
    </row>
    <row r="1362" spans="2:8" s="16" customFormat="1" ht="16.899999999999999" customHeight="1" x14ac:dyDescent="0.2">
      <c r="B1362" s="17"/>
      <c r="C1362" s="196" t="s">
        <v>247</v>
      </c>
      <c r="D1362" s="197"/>
      <c r="E1362" s="198"/>
      <c r="F1362" s="199">
        <v>1287.3900000000001</v>
      </c>
      <c r="H1362" s="17"/>
    </row>
    <row r="1363" spans="2:8" s="16" customFormat="1" ht="16.899999999999999" customHeight="1" x14ac:dyDescent="0.2">
      <c r="B1363" s="17"/>
      <c r="C1363" s="83"/>
      <c r="D1363" s="83"/>
      <c r="E1363" s="2"/>
      <c r="F1363" s="200">
        <v>0</v>
      </c>
      <c r="H1363" s="17"/>
    </row>
    <row r="1364" spans="2:8" s="16" customFormat="1" ht="16.899999999999999" customHeight="1" x14ac:dyDescent="0.2">
      <c r="B1364" s="17"/>
      <c r="C1364" s="83"/>
      <c r="D1364" s="83" t="s">
        <v>889</v>
      </c>
      <c r="E1364" s="2"/>
      <c r="F1364" s="200">
        <v>0</v>
      </c>
      <c r="H1364" s="17"/>
    </row>
    <row r="1365" spans="2:8" s="16" customFormat="1" ht="16.899999999999999" customHeight="1" x14ac:dyDescent="0.2">
      <c r="B1365" s="17"/>
      <c r="C1365" s="83"/>
      <c r="D1365" s="83" t="s">
        <v>248</v>
      </c>
      <c r="E1365" s="2"/>
      <c r="F1365" s="200">
        <v>1287.3900000000001</v>
      </c>
      <c r="H1365" s="17"/>
    </row>
    <row r="1366" spans="2:8" s="16" customFormat="1" ht="16.899999999999999" customHeight="1" x14ac:dyDescent="0.2">
      <c r="B1366" s="17"/>
      <c r="C1366" s="83" t="s">
        <v>247</v>
      </c>
      <c r="D1366" s="83" t="s">
        <v>609</v>
      </c>
      <c r="E1366" s="2"/>
      <c r="F1366" s="200">
        <v>1287.3900000000001</v>
      </c>
      <c r="H1366" s="17"/>
    </row>
    <row r="1367" spans="2:8" s="16" customFormat="1" ht="16.899999999999999" customHeight="1" x14ac:dyDescent="0.2">
      <c r="B1367" s="17"/>
      <c r="C1367" s="201" t="s">
        <v>8859</v>
      </c>
      <c r="H1367" s="17"/>
    </row>
    <row r="1368" spans="2:8" s="16" customFormat="1" ht="16.899999999999999" customHeight="1" x14ac:dyDescent="0.2">
      <c r="B1368" s="17"/>
      <c r="C1368" s="83" t="s">
        <v>871</v>
      </c>
      <c r="D1368" s="83" t="s">
        <v>872</v>
      </c>
      <c r="E1368" s="2" t="s">
        <v>425</v>
      </c>
      <c r="F1368" s="200">
        <v>4598.04</v>
      </c>
      <c r="H1368" s="17"/>
    </row>
    <row r="1369" spans="2:8" s="16" customFormat="1" ht="16.899999999999999" customHeight="1" x14ac:dyDescent="0.2">
      <c r="B1369" s="17"/>
      <c r="C1369" s="83" t="s">
        <v>784</v>
      </c>
      <c r="D1369" s="83" t="s">
        <v>785</v>
      </c>
      <c r="E1369" s="2" t="s">
        <v>425</v>
      </c>
      <c r="F1369" s="200">
        <v>1287.3900000000001</v>
      </c>
      <c r="H1369" s="17"/>
    </row>
    <row r="1370" spans="2:8" s="16" customFormat="1" ht="16.899999999999999" customHeight="1" x14ac:dyDescent="0.2">
      <c r="B1370" s="17"/>
      <c r="C1370" s="83" t="s">
        <v>803</v>
      </c>
      <c r="D1370" s="83" t="s">
        <v>804</v>
      </c>
      <c r="E1370" s="2" t="s">
        <v>425</v>
      </c>
      <c r="F1370" s="200">
        <v>2588.48</v>
      </c>
      <c r="H1370" s="17"/>
    </row>
    <row r="1371" spans="2:8" s="16" customFormat="1" ht="16.899999999999999" customHeight="1" x14ac:dyDescent="0.2">
      <c r="B1371" s="17"/>
      <c r="C1371" s="83" t="s">
        <v>837</v>
      </c>
      <c r="D1371" s="83" t="s">
        <v>838</v>
      </c>
      <c r="E1371" s="2" t="s">
        <v>425</v>
      </c>
      <c r="F1371" s="200">
        <v>3174.8760000000002</v>
      </c>
      <c r="H1371" s="17"/>
    </row>
    <row r="1372" spans="2:8" s="16" customFormat="1" ht="16.899999999999999" customHeight="1" x14ac:dyDescent="0.2">
      <c r="B1372" s="17"/>
      <c r="C1372" s="83" t="s">
        <v>1038</v>
      </c>
      <c r="D1372" s="83" t="s">
        <v>1039</v>
      </c>
      <c r="E1372" s="2" t="s">
        <v>425</v>
      </c>
      <c r="F1372" s="200">
        <v>3023.69</v>
      </c>
      <c r="H1372" s="17"/>
    </row>
    <row r="1373" spans="2:8" s="16" customFormat="1" ht="16.899999999999999" customHeight="1" x14ac:dyDescent="0.2">
      <c r="B1373" s="17"/>
      <c r="C1373" s="83" t="s">
        <v>951</v>
      </c>
      <c r="D1373" s="83" t="s">
        <v>952</v>
      </c>
      <c r="E1373" s="2" t="s">
        <v>425</v>
      </c>
      <c r="F1373" s="200">
        <v>3407.24</v>
      </c>
      <c r="H1373" s="17"/>
    </row>
    <row r="1374" spans="2:8" s="16" customFormat="1" ht="16.899999999999999" customHeight="1" x14ac:dyDescent="0.2">
      <c r="B1374" s="17"/>
      <c r="C1374" s="83" t="s">
        <v>1054</v>
      </c>
      <c r="D1374" s="83" t="s">
        <v>1055</v>
      </c>
      <c r="E1374" s="2" t="s">
        <v>425</v>
      </c>
      <c r="F1374" s="200">
        <v>1313.1379999999999</v>
      </c>
      <c r="H1374" s="17"/>
    </row>
    <row r="1375" spans="2:8" s="16" customFormat="1" ht="16.899999999999999" customHeight="1" x14ac:dyDescent="0.2">
      <c r="B1375" s="17"/>
      <c r="C1375" s="196" t="s">
        <v>249</v>
      </c>
      <c r="D1375" s="197"/>
      <c r="E1375" s="198"/>
      <c r="F1375" s="199">
        <v>255.733</v>
      </c>
      <c r="H1375" s="17"/>
    </row>
    <row r="1376" spans="2:8" s="16" customFormat="1" ht="16.899999999999999" customHeight="1" x14ac:dyDescent="0.2">
      <c r="B1376" s="17"/>
      <c r="C1376" s="83"/>
      <c r="D1376" s="83"/>
      <c r="E1376" s="2"/>
      <c r="F1376" s="200">
        <v>0</v>
      </c>
      <c r="H1376" s="17"/>
    </row>
    <row r="1377" spans="2:8" s="16" customFormat="1" ht="16.899999999999999" customHeight="1" x14ac:dyDescent="0.2">
      <c r="B1377" s="17"/>
      <c r="C1377" s="83"/>
      <c r="D1377" s="83" t="s">
        <v>890</v>
      </c>
      <c r="E1377" s="2"/>
      <c r="F1377" s="200">
        <v>0</v>
      </c>
      <c r="H1377" s="17"/>
    </row>
    <row r="1378" spans="2:8" s="16" customFormat="1" ht="16.899999999999999" customHeight="1" x14ac:dyDescent="0.2">
      <c r="B1378" s="17"/>
      <c r="C1378" s="83"/>
      <c r="D1378" s="83" t="s">
        <v>891</v>
      </c>
      <c r="E1378" s="2"/>
      <c r="F1378" s="200">
        <v>312.27999999999997</v>
      </c>
      <c r="H1378" s="17"/>
    </row>
    <row r="1379" spans="2:8" s="16" customFormat="1" ht="16.899999999999999" customHeight="1" x14ac:dyDescent="0.2">
      <c r="B1379" s="17"/>
      <c r="C1379" s="83"/>
      <c r="D1379" s="83" t="s">
        <v>892</v>
      </c>
      <c r="E1379" s="2"/>
      <c r="F1379" s="200">
        <v>0</v>
      </c>
      <c r="H1379" s="17"/>
    </row>
    <row r="1380" spans="2:8" s="16" customFormat="1" ht="16.899999999999999" customHeight="1" x14ac:dyDescent="0.2">
      <c r="B1380" s="17"/>
      <c r="C1380" s="83"/>
      <c r="D1380" s="83" t="s">
        <v>893</v>
      </c>
      <c r="E1380" s="2"/>
      <c r="F1380" s="200">
        <v>-56.546999999999997</v>
      </c>
      <c r="H1380" s="17"/>
    </row>
    <row r="1381" spans="2:8" s="16" customFormat="1" ht="16.899999999999999" customHeight="1" x14ac:dyDescent="0.2">
      <c r="B1381" s="17"/>
      <c r="C1381" s="83" t="s">
        <v>249</v>
      </c>
      <c r="D1381" s="83" t="s">
        <v>609</v>
      </c>
      <c r="E1381" s="2"/>
      <c r="F1381" s="200">
        <v>255.733</v>
      </c>
      <c r="H1381" s="17"/>
    </row>
    <row r="1382" spans="2:8" s="16" customFormat="1" ht="16.899999999999999" customHeight="1" x14ac:dyDescent="0.2">
      <c r="B1382" s="17"/>
      <c r="C1382" s="201" t="s">
        <v>8859</v>
      </c>
      <c r="H1382" s="17"/>
    </row>
    <row r="1383" spans="2:8" s="16" customFormat="1" ht="16.899999999999999" customHeight="1" x14ac:dyDescent="0.2">
      <c r="B1383" s="17"/>
      <c r="C1383" s="83" t="s">
        <v>871</v>
      </c>
      <c r="D1383" s="83" t="s">
        <v>872</v>
      </c>
      <c r="E1383" s="2" t="s">
        <v>425</v>
      </c>
      <c r="F1383" s="200">
        <v>4598.04</v>
      </c>
      <c r="H1383" s="17"/>
    </row>
    <row r="1384" spans="2:8" s="16" customFormat="1" ht="16.899999999999999" customHeight="1" x14ac:dyDescent="0.2">
      <c r="B1384" s="17"/>
      <c r="C1384" s="83" t="s">
        <v>775</v>
      </c>
      <c r="D1384" s="83" t="s">
        <v>776</v>
      </c>
      <c r="E1384" s="2" t="s">
        <v>342</v>
      </c>
      <c r="F1384" s="200">
        <v>33.024000000000001</v>
      </c>
      <c r="H1384" s="17"/>
    </row>
    <row r="1385" spans="2:8" s="16" customFormat="1" ht="16.899999999999999" customHeight="1" x14ac:dyDescent="0.2">
      <c r="B1385" s="17"/>
      <c r="C1385" s="83" t="s">
        <v>803</v>
      </c>
      <c r="D1385" s="83" t="s">
        <v>804</v>
      </c>
      <c r="E1385" s="2" t="s">
        <v>425</v>
      </c>
      <c r="F1385" s="200">
        <v>2588.48</v>
      </c>
      <c r="H1385" s="17"/>
    </row>
    <row r="1386" spans="2:8" s="16" customFormat="1" ht="16.899999999999999" customHeight="1" x14ac:dyDescent="0.2">
      <c r="B1386" s="17"/>
      <c r="C1386" s="83" t="s">
        <v>813</v>
      </c>
      <c r="D1386" s="83" t="s">
        <v>814</v>
      </c>
      <c r="E1386" s="2" t="s">
        <v>425</v>
      </c>
      <c r="F1386" s="200">
        <v>573.66999999999996</v>
      </c>
      <c r="H1386" s="17"/>
    </row>
    <row r="1387" spans="2:8" s="16" customFormat="1" ht="16.899999999999999" customHeight="1" x14ac:dyDescent="0.2">
      <c r="B1387" s="17"/>
      <c r="C1387" s="83" t="s">
        <v>837</v>
      </c>
      <c r="D1387" s="83" t="s">
        <v>838</v>
      </c>
      <c r="E1387" s="2" t="s">
        <v>425</v>
      </c>
      <c r="F1387" s="200">
        <v>3174.8760000000002</v>
      </c>
      <c r="H1387" s="17"/>
    </row>
    <row r="1388" spans="2:8" s="16" customFormat="1" ht="16.899999999999999" customHeight="1" x14ac:dyDescent="0.2">
      <c r="B1388" s="17"/>
      <c r="C1388" s="83" t="s">
        <v>1038</v>
      </c>
      <c r="D1388" s="83" t="s">
        <v>1039</v>
      </c>
      <c r="E1388" s="2" t="s">
        <v>425</v>
      </c>
      <c r="F1388" s="200">
        <v>3023.69</v>
      </c>
      <c r="H1388" s="17"/>
    </row>
    <row r="1389" spans="2:8" s="16" customFormat="1" ht="16.899999999999999" customHeight="1" x14ac:dyDescent="0.2">
      <c r="B1389" s="17"/>
      <c r="C1389" s="83" t="s">
        <v>1716</v>
      </c>
      <c r="D1389" s="83" t="s">
        <v>1717</v>
      </c>
      <c r="E1389" s="2" t="s">
        <v>425</v>
      </c>
      <c r="F1389" s="200">
        <v>334.23</v>
      </c>
      <c r="H1389" s="17"/>
    </row>
    <row r="1390" spans="2:8" s="16" customFormat="1" ht="16.899999999999999" customHeight="1" x14ac:dyDescent="0.2">
      <c r="B1390" s="17"/>
      <c r="C1390" s="83" t="s">
        <v>951</v>
      </c>
      <c r="D1390" s="83" t="s">
        <v>952</v>
      </c>
      <c r="E1390" s="2" t="s">
        <v>425</v>
      </c>
      <c r="F1390" s="200">
        <v>3407.24</v>
      </c>
      <c r="H1390" s="17"/>
    </row>
    <row r="1391" spans="2:8" s="16" customFormat="1" ht="16.899999999999999" customHeight="1" x14ac:dyDescent="0.2">
      <c r="B1391" s="17"/>
      <c r="C1391" s="83" t="s">
        <v>1050</v>
      </c>
      <c r="D1391" s="83" t="s">
        <v>1051</v>
      </c>
      <c r="E1391" s="2" t="s">
        <v>425</v>
      </c>
      <c r="F1391" s="200">
        <v>790.12300000000005</v>
      </c>
      <c r="H1391" s="17"/>
    </row>
    <row r="1392" spans="2:8" s="16" customFormat="1" ht="16.899999999999999" customHeight="1" x14ac:dyDescent="0.2">
      <c r="B1392" s="17"/>
      <c r="C1392" s="196" t="s">
        <v>251</v>
      </c>
      <c r="D1392" s="197"/>
      <c r="E1392" s="198"/>
      <c r="F1392" s="199">
        <v>56.546999999999997</v>
      </c>
      <c r="H1392" s="17"/>
    </row>
    <row r="1393" spans="2:8" s="16" customFormat="1" ht="16.899999999999999" customHeight="1" x14ac:dyDescent="0.2">
      <c r="B1393" s="17"/>
      <c r="C1393" s="83"/>
      <c r="D1393" s="83"/>
      <c r="E1393" s="2"/>
      <c r="F1393" s="200">
        <v>0</v>
      </c>
      <c r="H1393" s="17"/>
    </row>
    <row r="1394" spans="2:8" s="16" customFormat="1" ht="16.899999999999999" customHeight="1" x14ac:dyDescent="0.2">
      <c r="B1394" s="17"/>
      <c r="C1394" s="83"/>
      <c r="D1394" s="83" t="s">
        <v>894</v>
      </c>
      <c r="E1394" s="2"/>
      <c r="F1394" s="200">
        <v>0</v>
      </c>
      <c r="H1394" s="17"/>
    </row>
    <row r="1395" spans="2:8" s="16" customFormat="1" ht="16.899999999999999" customHeight="1" x14ac:dyDescent="0.2">
      <c r="B1395" s="17"/>
      <c r="C1395" s="83"/>
      <c r="D1395" s="83" t="s">
        <v>362</v>
      </c>
      <c r="E1395" s="2"/>
      <c r="F1395" s="200">
        <v>0</v>
      </c>
      <c r="H1395" s="17"/>
    </row>
    <row r="1396" spans="2:8" s="16" customFormat="1" ht="16.899999999999999" customHeight="1" x14ac:dyDescent="0.2">
      <c r="B1396" s="17"/>
      <c r="C1396" s="83"/>
      <c r="D1396" s="83" t="s">
        <v>895</v>
      </c>
      <c r="E1396" s="2"/>
      <c r="F1396" s="200">
        <v>7.9649999999999999</v>
      </c>
      <c r="H1396" s="17"/>
    </row>
    <row r="1397" spans="2:8" s="16" customFormat="1" ht="16.899999999999999" customHeight="1" x14ac:dyDescent="0.2">
      <c r="B1397" s="17"/>
      <c r="C1397" s="83"/>
      <c r="D1397" s="83" t="s">
        <v>367</v>
      </c>
      <c r="E1397" s="2"/>
      <c r="F1397" s="200">
        <v>0</v>
      </c>
      <c r="H1397" s="17"/>
    </row>
    <row r="1398" spans="2:8" s="16" customFormat="1" ht="16.899999999999999" customHeight="1" x14ac:dyDescent="0.2">
      <c r="B1398" s="17"/>
      <c r="C1398" s="83"/>
      <c r="D1398" s="83" t="s">
        <v>896</v>
      </c>
      <c r="E1398" s="2"/>
      <c r="F1398" s="200">
        <v>9.2929999999999993</v>
      </c>
      <c r="H1398" s="17"/>
    </row>
    <row r="1399" spans="2:8" s="16" customFormat="1" ht="16.899999999999999" customHeight="1" x14ac:dyDescent="0.2">
      <c r="B1399" s="17"/>
      <c r="C1399" s="83"/>
      <c r="D1399" s="83" t="s">
        <v>897</v>
      </c>
      <c r="E1399" s="2"/>
      <c r="F1399" s="200">
        <v>1.43</v>
      </c>
      <c r="H1399" s="17"/>
    </row>
    <row r="1400" spans="2:8" s="16" customFormat="1" ht="16.899999999999999" customHeight="1" x14ac:dyDescent="0.2">
      <c r="B1400" s="17"/>
      <c r="C1400" s="83"/>
      <c r="D1400" s="83" t="s">
        <v>368</v>
      </c>
      <c r="E1400" s="2"/>
      <c r="F1400" s="200">
        <v>0</v>
      </c>
      <c r="H1400" s="17"/>
    </row>
    <row r="1401" spans="2:8" s="16" customFormat="1" ht="16.899999999999999" customHeight="1" x14ac:dyDescent="0.2">
      <c r="B1401" s="17"/>
      <c r="C1401" s="83"/>
      <c r="D1401" s="83" t="s">
        <v>896</v>
      </c>
      <c r="E1401" s="2"/>
      <c r="F1401" s="200">
        <v>9.2929999999999993</v>
      </c>
      <c r="H1401" s="17"/>
    </row>
    <row r="1402" spans="2:8" s="16" customFormat="1" ht="16.899999999999999" customHeight="1" x14ac:dyDescent="0.2">
      <c r="B1402" s="17"/>
      <c r="C1402" s="83"/>
      <c r="D1402" s="83" t="s">
        <v>897</v>
      </c>
      <c r="E1402" s="2"/>
      <c r="F1402" s="200">
        <v>1.43</v>
      </c>
      <c r="H1402" s="17"/>
    </row>
    <row r="1403" spans="2:8" s="16" customFormat="1" ht="16.899999999999999" customHeight="1" x14ac:dyDescent="0.2">
      <c r="B1403" s="17"/>
      <c r="C1403" s="83"/>
      <c r="D1403" s="83" t="s">
        <v>898</v>
      </c>
      <c r="E1403" s="2"/>
      <c r="F1403" s="200">
        <v>4.7300000000000004</v>
      </c>
      <c r="H1403" s="17"/>
    </row>
    <row r="1404" spans="2:8" s="16" customFormat="1" ht="16.899999999999999" customHeight="1" x14ac:dyDescent="0.2">
      <c r="B1404" s="17"/>
      <c r="C1404" s="83"/>
      <c r="D1404" s="83" t="s">
        <v>370</v>
      </c>
      <c r="E1404" s="2"/>
      <c r="F1404" s="200">
        <v>0</v>
      </c>
      <c r="H1404" s="17"/>
    </row>
    <row r="1405" spans="2:8" s="16" customFormat="1" ht="16.899999999999999" customHeight="1" x14ac:dyDescent="0.2">
      <c r="B1405" s="17"/>
      <c r="C1405" s="83"/>
      <c r="D1405" s="83" t="s">
        <v>896</v>
      </c>
      <c r="E1405" s="2"/>
      <c r="F1405" s="200">
        <v>9.2929999999999993</v>
      </c>
      <c r="H1405" s="17"/>
    </row>
    <row r="1406" spans="2:8" s="16" customFormat="1" ht="16.899999999999999" customHeight="1" x14ac:dyDescent="0.2">
      <c r="B1406" s="17"/>
      <c r="C1406" s="83"/>
      <c r="D1406" s="83" t="s">
        <v>899</v>
      </c>
      <c r="E1406" s="2"/>
      <c r="F1406" s="200">
        <v>2.86</v>
      </c>
      <c r="H1406" s="17"/>
    </row>
    <row r="1407" spans="2:8" s="16" customFormat="1" ht="16.899999999999999" customHeight="1" x14ac:dyDescent="0.2">
      <c r="B1407" s="17"/>
      <c r="C1407" s="83"/>
      <c r="D1407" s="83" t="s">
        <v>900</v>
      </c>
      <c r="E1407" s="2"/>
      <c r="F1407" s="200">
        <v>0.96</v>
      </c>
      <c r="H1407" s="17"/>
    </row>
    <row r="1408" spans="2:8" s="16" customFormat="1" ht="16.899999999999999" customHeight="1" x14ac:dyDescent="0.2">
      <c r="B1408" s="17"/>
      <c r="C1408" s="83"/>
      <c r="D1408" s="83" t="s">
        <v>434</v>
      </c>
      <c r="E1408" s="2"/>
      <c r="F1408" s="200">
        <v>0</v>
      </c>
      <c r="H1408" s="17"/>
    </row>
    <row r="1409" spans="2:8" s="16" customFormat="1" ht="16.899999999999999" customHeight="1" x14ac:dyDescent="0.2">
      <c r="B1409" s="17"/>
      <c r="C1409" s="83"/>
      <c r="D1409" s="83" t="s">
        <v>896</v>
      </c>
      <c r="E1409" s="2"/>
      <c r="F1409" s="200">
        <v>9.2929999999999993</v>
      </c>
      <c r="H1409" s="17"/>
    </row>
    <row r="1410" spans="2:8" s="16" customFormat="1" ht="16.899999999999999" customHeight="1" x14ac:dyDescent="0.2">
      <c r="B1410" s="17"/>
      <c r="C1410" s="83" t="s">
        <v>251</v>
      </c>
      <c r="D1410" s="83" t="s">
        <v>609</v>
      </c>
      <c r="E1410" s="2"/>
      <c r="F1410" s="200">
        <v>56.546999999999997</v>
      </c>
      <c r="H1410" s="17"/>
    </row>
    <row r="1411" spans="2:8" s="16" customFormat="1" ht="16.899999999999999" customHeight="1" x14ac:dyDescent="0.2">
      <c r="B1411" s="17"/>
      <c r="C1411" s="201" t="s">
        <v>8859</v>
      </c>
      <c r="H1411" s="17"/>
    </row>
    <row r="1412" spans="2:8" s="16" customFormat="1" ht="16.899999999999999" customHeight="1" x14ac:dyDescent="0.2">
      <c r="B1412" s="17"/>
      <c r="C1412" s="83" t="s">
        <v>871</v>
      </c>
      <c r="D1412" s="83" t="s">
        <v>872</v>
      </c>
      <c r="E1412" s="2" t="s">
        <v>425</v>
      </c>
      <c r="F1412" s="200">
        <v>4598.04</v>
      </c>
      <c r="H1412" s="17"/>
    </row>
    <row r="1413" spans="2:8" s="16" customFormat="1" ht="16.899999999999999" customHeight="1" x14ac:dyDescent="0.2">
      <c r="B1413" s="17"/>
      <c r="C1413" s="83" t="s">
        <v>803</v>
      </c>
      <c r="D1413" s="83" t="s">
        <v>804</v>
      </c>
      <c r="E1413" s="2" t="s">
        <v>425</v>
      </c>
      <c r="F1413" s="200">
        <v>2588.48</v>
      </c>
      <c r="H1413" s="17"/>
    </row>
    <row r="1414" spans="2:8" s="16" customFormat="1" ht="16.899999999999999" customHeight="1" x14ac:dyDescent="0.2">
      <c r="B1414" s="17"/>
      <c r="C1414" s="83" t="s">
        <v>813</v>
      </c>
      <c r="D1414" s="83" t="s">
        <v>814</v>
      </c>
      <c r="E1414" s="2" t="s">
        <v>425</v>
      </c>
      <c r="F1414" s="200">
        <v>573.66999999999996</v>
      </c>
      <c r="H1414" s="17"/>
    </row>
    <row r="1415" spans="2:8" s="16" customFormat="1" ht="16.899999999999999" customHeight="1" x14ac:dyDescent="0.2">
      <c r="B1415" s="17"/>
      <c r="C1415" s="83" t="s">
        <v>837</v>
      </c>
      <c r="D1415" s="83" t="s">
        <v>838</v>
      </c>
      <c r="E1415" s="2" t="s">
        <v>425</v>
      </c>
      <c r="F1415" s="200">
        <v>3174.8760000000002</v>
      </c>
      <c r="H1415" s="17"/>
    </row>
    <row r="1416" spans="2:8" s="16" customFormat="1" ht="16.899999999999999" customHeight="1" x14ac:dyDescent="0.2">
      <c r="B1416" s="17"/>
      <c r="C1416" s="83" t="s">
        <v>1038</v>
      </c>
      <c r="D1416" s="83" t="s">
        <v>1039</v>
      </c>
      <c r="E1416" s="2" t="s">
        <v>425</v>
      </c>
      <c r="F1416" s="200">
        <v>3023.69</v>
      </c>
      <c r="H1416" s="17"/>
    </row>
    <row r="1417" spans="2:8" s="16" customFormat="1" ht="16.899999999999999" customHeight="1" x14ac:dyDescent="0.2">
      <c r="B1417" s="17"/>
      <c r="C1417" s="83" t="s">
        <v>1716</v>
      </c>
      <c r="D1417" s="83" t="s">
        <v>1717</v>
      </c>
      <c r="E1417" s="2" t="s">
        <v>425</v>
      </c>
      <c r="F1417" s="200">
        <v>334.23</v>
      </c>
      <c r="H1417" s="17"/>
    </row>
    <row r="1418" spans="2:8" s="16" customFormat="1" ht="16.899999999999999" customHeight="1" x14ac:dyDescent="0.2">
      <c r="B1418" s="17"/>
      <c r="C1418" s="83" t="s">
        <v>951</v>
      </c>
      <c r="D1418" s="83" t="s">
        <v>952</v>
      </c>
      <c r="E1418" s="2" t="s">
        <v>425</v>
      </c>
      <c r="F1418" s="200">
        <v>3407.24</v>
      </c>
      <c r="H1418" s="17"/>
    </row>
    <row r="1419" spans="2:8" s="16" customFormat="1" ht="16.899999999999999" customHeight="1" x14ac:dyDescent="0.2">
      <c r="B1419" s="17"/>
      <c r="C1419" s="83" t="s">
        <v>1050</v>
      </c>
      <c r="D1419" s="83" t="s">
        <v>1051</v>
      </c>
      <c r="E1419" s="2" t="s">
        <v>425</v>
      </c>
      <c r="F1419" s="200">
        <v>790.12300000000005</v>
      </c>
      <c r="H1419" s="17"/>
    </row>
    <row r="1420" spans="2:8" s="16" customFormat="1" ht="16.899999999999999" customHeight="1" x14ac:dyDescent="0.2">
      <c r="B1420" s="17"/>
      <c r="C1420" s="196" t="s">
        <v>253</v>
      </c>
      <c r="D1420" s="197"/>
      <c r="E1420" s="198"/>
      <c r="F1420" s="199">
        <v>526.46</v>
      </c>
      <c r="H1420" s="17"/>
    </row>
    <row r="1421" spans="2:8" s="16" customFormat="1" ht="16.899999999999999" customHeight="1" x14ac:dyDescent="0.2">
      <c r="B1421" s="17"/>
      <c r="C1421" s="83"/>
      <c r="D1421" s="83"/>
      <c r="E1421" s="2"/>
      <c r="F1421" s="200">
        <v>0</v>
      </c>
      <c r="H1421" s="17"/>
    </row>
    <row r="1422" spans="2:8" s="16" customFormat="1" ht="16.899999999999999" customHeight="1" x14ac:dyDescent="0.2">
      <c r="B1422" s="17"/>
      <c r="C1422" s="83"/>
      <c r="D1422" s="83" t="s">
        <v>901</v>
      </c>
      <c r="E1422" s="2"/>
      <c r="F1422" s="200">
        <v>0</v>
      </c>
      <c r="H1422" s="17"/>
    </row>
    <row r="1423" spans="2:8" s="16" customFormat="1" ht="16.899999999999999" customHeight="1" x14ac:dyDescent="0.2">
      <c r="B1423" s="17"/>
      <c r="C1423" s="83"/>
      <c r="D1423" s="83" t="s">
        <v>254</v>
      </c>
      <c r="E1423" s="2"/>
      <c r="F1423" s="200">
        <v>526.46</v>
      </c>
      <c r="H1423" s="17"/>
    </row>
    <row r="1424" spans="2:8" s="16" customFormat="1" ht="16.899999999999999" customHeight="1" x14ac:dyDescent="0.2">
      <c r="B1424" s="17"/>
      <c r="C1424" s="83" t="s">
        <v>253</v>
      </c>
      <c r="D1424" s="83" t="s">
        <v>609</v>
      </c>
      <c r="E1424" s="2"/>
      <c r="F1424" s="200">
        <v>526.46</v>
      </c>
      <c r="H1424" s="17"/>
    </row>
    <row r="1425" spans="2:8" s="16" customFormat="1" ht="16.899999999999999" customHeight="1" x14ac:dyDescent="0.2">
      <c r="B1425" s="17"/>
      <c r="C1425" s="201" t="s">
        <v>8859</v>
      </c>
      <c r="H1425" s="17"/>
    </row>
    <row r="1426" spans="2:8" s="16" customFormat="1" ht="16.899999999999999" customHeight="1" x14ac:dyDescent="0.2">
      <c r="B1426" s="17"/>
      <c r="C1426" s="83" t="s">
        <v>871</v>
      </c>
      <c r="D1426" s="83" t="s">
        <v>872</v>
      </c>
      <c r="E1426" s="2" t="s">
        <v>425</v>
      </c>
      <c r="F1426" s="200">
        <v>4598.04</v>
      </c>
      <c r="H1426" s="17"/>
    </row>
    <row r="1427" spans="2:8" s="16" customFormat="1" ht="16.899999999999999" customHeight="1" x14ac:dyDescent="0.2">
      <c r="B1427" s="17"/>
      <c r="C1427" s="83" t="s">
        <v>789</v>
      </c>
      <c r="D1427" s="83" t="s">
        <v>790</v>
      </c>
      <c r="E1427" s="2" t="s">
        <v>425</v>
      </c>
      <c r="F1427" s="200">
        <v>727.42</v>
      </c>
      <c r="H1427" s="17"/>
    </row>
    <row r="1428" spans="2:8" s="16" customFormat="1" ht="16.899999999999999" customHeight="1" x14ac:dyDescent="0.2">
      <c r="B1428" s="17"/>
      <c r="C1428" s="83" t="s">
        <v>803</v>
      </c>
      <c r="D1428" s="83" t="s">
        <v>804</v>
      </c>
      <c r="E1428" s="2" t="s">
        <v>425</v>
      </c>
      <c r="F1428" s="200">
        <v>2588.48</v>
      </c>
      <c r="H1428" s="17"/>
    </row>
    <row r="1429" spans="2:8" s="16" customFormat="1" ht="16.899999999999999" customHeight="1" x14ac:dyDescent="0.2">
      <c r="B1429" s="17"/>
      <c r="C1429" s="83" t="s">
        <v>837</v>
      </c>
      <c r="D1429" s="83" t="s">
        <v>838</v>
      </c>
      <c r="E1429" s="2" t="s">
        <v>425</v>
      </c>
      <c r="F1429" s="200">
        <v>3174.8760000000002</v>
      </c>
      <c r="H1429" s="17"/>
    </row>
    <row r="1430" spans="2:8" s="16" customFormat="1" ht="16.899999999999999" customHeight="1" x14ac:dyDescent="0.2">
      <c r="B1430" s="17"/>
      <c r="C1430" s="83" t="s">
        <v>1038</v>
      </c>
      <c r="D1430" s="83" t="s">
        <v>1039</v>
      </c>
      <c r="E1430" s="2" t="s">
        <v>425</v>
      </c>
      <c r="F1430" s="200">
        <v>3023.69</v>
      </c>
      <c r="H1430" s="17"/>
    </row>
    <row r="1431" spans="2:8" s="16" customFormat="1" ht="16.899999999999999" customHeight="1" x14ac:dyDescent="0.2">
      <c r="B1431" s="17"/>
      <c r="C1431" s="83" t="s">
        <v>951</v>
      </c>
      <c r="D1431" s="83" t="s">
        <v>952</v>
      </c>
      <c r="E1431" s="2" t="s">
        <v>425</v>
      </c>
      <c r="F1431" s="200">
        <v>3407.24</v>
      </c>
      <c r="H1431" s="17"/>
    </row>
    <row r="1432" spans="2:8" s="16" customFormat="1" ht="16.899999999999999" customHeight="1" x14ac:dyDescent="0.2">
      <c r="B1432" s="17"/>
      <c r="C1432" s="83" t="s">
        <v>1045</v>
      </c>
      <c r="D1432" s="83" t="s">
        <v>1046</v>
      </c>
      <c r="E1432" s="2" t="s">
        <v>425</v>
      </c>
      <c r="F1432" s="200">
        <v>536.98900000000003</v>
      </c>
      <c r="H1432" s="17"/>
    </row>
    <row r="1433" spans="2:8" s="16" customFormat="1" ht="16.899999999999999" customHeight="1" x14ac:dyDescent="0.2">
      <c r="B1433" s="17"/>
      <c r="C1433" s="196" t="s">
        <v>255</v>
      </c>
      <c r="D1433" s="197"/>
      <c r="E1433" s="198"/>
      <c r="F1433" s="199">
        <v>406.21499999999997</v>
      </c>
      <c r="H1433" s="17"/>
    </row>
    <row r="1434" spans="2:8" s="16" customFormat="1" ht="16.899999999999999" customHeight="1" x14ac:dyDescent="0.2">
      <c r="B1434" s="17"/>
      <c r="C1434" s="83"/>
      <c r="D1434" s="83"/>
      <c r="E1434" s="2"/>
      <c r="F1434" s="200">
        <v>0</v>
      </c>
      <c r="H1434" s="17"/>
    </row>
    <row r="1435" spans="2:8" s="16" customFormat="1" ht="16.899999999999999" customHeight="1" x14ac:dyDescent="0.2">
      <c r="B1435" s="17"/>
      <c r="C1435" s="83"/>
      <c r="D1435" s="83" t="s">
        <v>902</v>
      </c>
      <c r="E1435" s="2"/>
      <c r="F1435" s="200">
        <v>0</v>
      </c>
      <c r="H1435" s="17"/>
    </row>
    <row r="1436" spans="2:8" s="16" customFormat="1" ht="16.899999999999999" customHeight="1" x14ac:dyDescent="0.2">
      <c r="B1436" s="17"/>
      <c r="C1436" s="83"/>
      <c r="D1436" s="83" t="s">
        <v>903</v>
      </c>
      <c r="E1436" s="2"/>
      <c r="F1436" s="200">
        <v>333.37</v>
      </c>
      <c r="H1436" s="17"/>
    </row>
    <row r="1437" spans="2:8" s="16" customFormat="1" ht="16.899999999999999" customHeight="1" x14ac:dyDescent="0.2">
      <c r="B1437" s="17"/>
      <c r="C1437" s="83"/>
      <c r="D1437" s="83" t="s">
        <v>904</v>
      </c>
      <c r="E1437" s="2"/>
      <c r="F1437" s="200">
        <v>97.47</v>
      </c>
      <c r="H1437" s="17"/>
    </row>
    <row r="1438" spans="2:8" s="16" customFormat="1" ht="16.899999999999999" customHeight="1" x14ac:dyDescent="0.2">
      <c r="B1438" s="17"/>
      <c r="C1438" s="83"/>
      <c r="D1438" s="83" t="s">
        <v>905</v>
      </c>
      <c r="E1438" s="2"/>
      <c r="F1438" s="200">
        <v>0</v>
      </c>
      <c r="H1438" s="17"/>
    </row>
    <row r="1439" spans="2:8" s="16" customFormat="1" ht="16.899999999999999" customHeight="1" x14ac:dyDescent="0.2">
      <c r="B1439" s="17"/>
      <c r="C1439" s="83"/>
      <c r="D1439" s="83" t="s">
        <v>906</v>
      </c>
      <c r="E1439" s="2"/>
      <c r="F1439" s="200">
        <v>-24.625</v>
      </c>
      <c r="H1439" s="17"/>
    </row>
    <row r="1440" spans="2:8" s="16" customFormat="1" ht="16.899999999999999" customHeight="1" x14ac:dyDescent="0.2">
      <c r="B1440" s="17"/>
      <c r="C1440" s="83" t="s">
        <v>255</v>
      </c>
      <c r="D1440" s="83" t="s">
        <v>609</v>
      </c>
      <c r="E1440" s="2"/>
      <c r="F1440" s="200">
        <v>406.21499999999997</v>
      </c>
      <c r="H1440" s="17"/>
    </row>
    <row r="1441" spans="2:8" s="16" customFormat="1" ht="16.899999999999999" customHeight="1" x14ac:dyDescent="0.2">
      <c r="B1441" s="17"/>
      <c r="C1441" s="201" t="s">
        <v>8859</v>
      </c>
      <c r="H1441" s="17"/>
    </row>
    <row r="1442" spans="2:8" s="16" customFormat="1" ht="16.899999999999999" customHeight="1" x14ac:dyDescent="0.2">
      <c r="B1442" s="17"/>
      <c r="C1442" s="83" t="s">
        <v>871</v>
      </c>
      <c r="D1442" s="83" t="s">
        <v>872</v>
      </c>
      <c r="E1442" s="2" t="s">
        <v>425</v>
      </c>
      <c r="F1442" s="200">
        <v>4598.04</v>
      </c>
      <c r="H1442" s="17"/>
    </row>
    <row r="1443" spans="2:8" s="16" customFormat="1" ht="16.899999999999999" customHeight="1" x14ac:dyDescent="0.2">
      <c r="B1443" s="17"/>
      <c r="C1443" s="83" t="s">
        <v>798</v>
      </c>
      <c r="D1443" s="83" t="s">
        <v>799</v>
      </c>
      <c r="E1443" s="2" t="s">
        <v>425</v>
      </c>
      <c r="F1443" s="200">
        <v>410.58499999999998</v>
      </c>
      <c r="H1443" s="17"/>
    </row>
    <row r="1444" spans="2:8" s="16" customFormat="1" ht="16.899999999999999" customHeight="1" x14ac:dyDescent="0.2">
      <c r="B1444" s="17"/>
      <c r="C1444" s="83" t="s">
        <v>819</v>
      </c>
      <c r="D1444" s="83" t="s">
        <v>820</v>
      </c>
      <c r="E1444" s="2" t="s">
        <v>425</v>
      </c>
      <c r="F1444" s="200">
        <v>435.21</v>
      </c>
      <c r="H1444" s="17"/>
    </row>
    <row r="1445" spans="2:8" s="16" customFormat="1" ht="16.899999999999999" customHeight="1" x14ac:dyDescent="0.2">
      <c r="B1445" s="17"/>
      <c r="C1445" s="83" t="s">
        <v>837</v>
      </c>
      <c r="D1445" s="83" t="s">
        <v>838</v>
      </c>
      <c r="E1445" s="2" t="s">
        <v>425</v>
      </c>
      <c r="F1445" s="200">
        <v>3174.8760000000002</v>
      </c>
      <c r="H1445" s="17"/>
    </row>
    <row r="1446" spans="2:8" s="16" customFormat="1" ht="16.899999999999999" customHeight="1" x14ac:dyDescent="0.2">
      <c r="B1446" s="17"/>
      <c r="C1446" s="83" t="s">
        <v>851</v>
      </c>
      <c r="D1446" s="83" t="s">
        <v>852</v>
      </c>
      <c r="E1446" s="2" t="s">
        <v>425</v>
      </c>
      <c r="F1446" s="200">
        <v>546.58299999999997</v>
      </c>
      <c r="H1446" s="17"/>
    </row>
    <row r="1447" spans="2:8" s="16" customFormat="1" ht="16.899999999999999" customHeight="1" x14ac:dyDescent="0.2">
      <c r="B1447" s="17"/>
      <c r="C1447" s="83" t="s">
        <v>856</v>
      </c>
      <c r="D1447" s="83" t="s">
        <v>857</v>
      </c>
      <c r="E1447" s="2" t="s">
        <v>425</v>
      </c>
      <c r="F1447" s="200">
        <v>546.58299999999997</v>
      </c>
      <c r="H1447" s="17"/>
    </row>
    <row r="1448" spans="2:8" s="16" customFormat="1" ht="16.899999999999999" customHeight="1" x14ac:dyDescent="0.2">
      <c r="B1448" s="17"/>
      <c r="C1448" s="83" t="s">
        <v>1009</v>
      </c>
      <c r="D1448" s="83" t="s">
        <v>1010</v>
      </c>
      <c r="E1448" s="2" t="s">
        <v>425</v>
      </c>
      <c r="F1448" s="200">
        <v>437.82600000000002</v>
      </c>
      <c r="H1448" s="17"/>
    </row>
    <row r="1449" spans="2:8" s="16" customFormat="1" ht="16.899999999999999" customHeight="1" x14ac:dyDescent="0.2">
      <c r="B1449" s="17"/>
      <c r="C1449" s="83" t="s">
        <v>1038</v>
      </c>
      <c r="D1449" s="83" t="s">
        <v>1039</v>
      </c>
      <c r="E1449" s="2" t="s">
        <v>425</v>
      </c>
      <c r="F1449" s="200">
        <v>3023.69</v>
      </c>
      <c r="H1449" s="17"/>
    </row>
    <row r="1450" spans="2:8" s="16" customFormat="1" ht="16.899999999999999" customHeight="1" x14ac:dyDescent="0.2">
      <c r="B1450" s="17"/>
      <c r="C1450" s="83" t="s">
        <v>951</v>
      </c>
      <c r="D1450" s="83" t="s">
        <v>952</v>
      </c>
      <c r="E1450" s="2" t="s">
        <v>425</v>
      </c>
      <c r="F1450" s="200">
        <v>3407.24</v>
      </c>
      <c r="H1450" s="17"/>
    </row>
    <row r="1451" spans="2:8" s="16" customFormat="1" ht="16.899999999999999" customHeight="1" x14ac:dyDescent="0.2">
      <c r="B1451" s="17"/>
      <c r="C1451" s="83" t="s">
        <v>1015</v>
      </c>
      <c r="D1451" s="83" t="s">
        <v>1016</v>
      </c>
      <c r="E1451" s="2" t="s">
        <v>425</v>
      </c>
      <c r="F1451" s="200">
        <v>503.49900000000002</v>
      </c>
      <c r="H1451" s="17"/>
    </row>
    <row r="1452" spans="2:8" s="16" customFormat="1" ht="16.899999999999999" customHeight="1" x14ac:dyDescent="0.2">
      <c r="B1452" s="17"/>
      <c r="C1452" s="83" t="s">
        <v>1059</v>
      </c>
      <c r="D1452" s="83" t="s">
        <v>1060</v>
      </c>
      <c r="E1452" s="2" t="s">
        <v>425</v>
      </c>
      <c r="F1452" s="200">
        <v>443.91399999999999</v>
      </c>
      <c r="H1452" s="17"/>
    </row>
    <row r="1453" spans="2:8" s="16" customFormat="1" ht="16.899999999999999" customHeight="1" x14ac:dyDescent="0.2">
      <c r="B1453" s="17"/>
      <c r="C1453" s="196" t="s">
        <v>257</v>
      </c>
      <c r="D1453" s="197"/>
      <c r="E1453" s="198"/>
      <c r="F1453" s="199">
        <v>24.625</v>
      </c>
      <c r="H1453" s="17"/>
    </row>
    <row r="1454" spans="2:8" s="16" customFormat="1" ht="16.899999999999999" customHeight="1" x14ac:dyDescent="0.2">
      <c r="B1454" s="17"/>
      <c r="C1454" s="83"/>
      <c r="D1454" s="83"/>
      <c r="E1454" s="2"/>
      <c r="F1454" s="200">
        <v>0</v>
      </c>
      <c r="H1454" s="17"/>
    </row>
    <row r="1455" spans="2:8" s="16" customFormat="1" ht="16.899999999999999" customHeight="1" x14ac:dyDescent="0.2">
      <c r="B1455" s="17"/>
      <c r="C1455" s="83"/>
      <c r="D1455" s="83" t="s">
        <v>907</v>
      </c>
      <c r="E1455" s="2"/>
      <c r="F1455" s="200">
        <v>0</v>
      </c>
      <c r="H1455" s="17"/>
    </row>
    <row r="1456" spans="2:8" s="16" customFormat="1" ht="16.899999999999999" customHeight="1" x14ac:dyDescent="0.2">
      <c r="B1456" s="17"/>
      <c r="C1456" s="83"/>
      <c r="D1456" s="83" t="s">
        <v>908</v>
      </c>
      <c r="E1456" s="2"/>
      <c r="F1456" s="200">
        <v>24.625</v>
      </c>
      <c r="H1456" s="17"/>
    </row>
    <row r="1457" spans="2:8" s="16" customFormat="1" ht="16.899999999999999" customHeight="1" x14ac:dyDescent="0.2">
      <c r="B1457" s="17"/>
      <c r="C1457" s="83" t="s">
        <v>257</v>
      </c>
      <c r="D1457" s="83" t="s">
        <v>609</v>
      </c>
      <c r="E1457" s="2"/>
      <c r="F1457" s="200">
        <v>24.625</v>
      </c>
      <c r="H1457" s="17"/>
    </row>
    <row r="1458" spans="2:8" s="16" customFormat="1" ht="16.899999999999999" customHeight="1" x14ac:dyDescent="0.2">
      <c r="B1458" s="17"/>
      <c r="C1458" s="201" t="s">
        <v>8859</v>
      </c>
      <c r="H1458" s="17"/>
    </row>
    <row r="1459" spans="2:8" s="16" customFormat="1" ht="16.899999999999999" customHeight="1" x14ac:dyDescent="0.2">
      <c r="B1459" s="17"/>
      <c r="C1459" s="83" t="s">
        <v>871</v>
      </c>
      <c r="D1459" s="83" t="s">
        <v>872</v>
      </c>
      <c r="E1459" s="2" t="s">
        <v>425</v>
      </c>
      <c r="F1459" s="200">
        <v>4598.04</v>
      </c>
      <c r="H1459" s="17"/>
    </row>
    <row r="1460" spans="2:8" s="16" customFormat="1" ht="16.899999999999999" customHeight="1" x14ac:dyDescent="0.2">
      <c r="B1460" s="17"/>
      <c r="C1460" s="83" t="s">
        <v>775</v>
      </c>
      <c r="D1460" s="83" t="s">
        <v>776</v>
      </c>
      <c r="E1460" s="2" t="s">
        <v>342</v>
      </c>
      <c r="F1460" s="200">
        <v>33.024000000000001</v>
      </c>
      <c r="H1460" s="17"/>
    </row>
    <row r="1461" spans="2:8" s="16" customFormat="1" ht="16.899999999999999" customHeight="1" x14ac:dyDescent="0.2">
      <c r="B1461" s="17"/>
      <c r="C1461" s="83" t="s">
        <v>819</v>
      </c>
      <c r="D1461" s="83" t="s">
        <v>820</v>
      </c>
      <c r="E1461" s="2" t="s">
        <v>425</v>
      </c>
      <c r="F1461" s="200">
        <v>435.21</v>
      </c>
      <c r="H1461" s="17"/>
    </row>
    <row r="1462" spans="2:8" s="16" customFormat="1" ht="16.899999999999999" customHeight="1" x14ac:dyDescent="0.2">
      <c r="B1462" s="17"/>
      <c r="C1462" s="83" t="s">
        <v>824</v>
      </c>
      <c r="D1462" s="83" t="s">
        <v>825</v>
      </c>
      <c r="E1462" s="2" t="s">
        <v>425</v>
      </c>
      <c r="F1462" s="200">
        <v>221.625</v>
      </c>
      <c r="H1462" s="17"/>
    </row>
    <row r="1463" spans="2:8" s="16" customFormat="1" ht="16.899999999999999" customHeight="1" x14ac:dyDescent="0.2">
      <c r="B1463" s="17"/>
      <c r="C1463" s="83" t="s">
        <v>837</v>
      </c>
      <c r="D1463" s="83" t="s">
        <v>838</v>
      </c>
      <c r="E1463" s="2" t="s">
        <v>425</v>
      </c>
      <c r="F1463" s="200">
        <v>3174.8760000000002</v>
      </c>
      <c r="H1463" s="17"/>
    </row>
    <row r="1464" spans="2:8" s="16" customFormat="1" ht="16.899999999999999" customHeight="1" x14ac:dyDescent="0.2">
      <c r="B1464" s="17"/>
      <c r="C1464" s="83" t="s">
        <v>1038</v>
      </c>
      <c r="D1464" s="83" t="s">
        <v>1039</v>
      </c>
      <c r="E1464" s="2" t="s">
        <v>425</v>
      </c>
      <c r="F1464" s="200">
        <v>3023.69</v>
      </c>
      <c r="H1464" s="17"/>
    </row>
    <row r="1465" spans="2:8" s="16" customFormat="1" ht="16.899999999999999" customHeight="1" x14ac:dyDescent="0.2">
      <c r="B1465" s="17"/>
      <c r="C1465" s="83" t="s">
        <v>951</v>
      </c>
      <c r="D1465" s="83" t="s">
        <v>952</v>
      </c>
      <c r="E1465" s="2" t="s">
        <v>425</v>
      </c>
      <c r="F1465" s="200">
        <v>3407.24</v>
      </c>
      <c r="H1465" s="17"/>
    </row>
    <row r="1466" spans="2:8" s="16" customFormat="1" ht="16.899999999999999" customHeight="1" x14ac:dyDescent="0.2">
      <c r="B1466" s="17"/>
      <c r="C1466" s="83" t="s">
        <v>1059</v>
      </c>
      <c r="D1466" s="83" t="s">
        <v>1060</v>
      </c>
      <c r="E1466" s="2" t="s">
        <v>425</v>
      </c>
      <c r="F1466" s="200">
        <v>443.91399999999999</v>
      </c>
      <c r="H1466" s="17"/>
    </row>
    <row r="1467" spans="2:8" s="16" customFormat="1" ht="16.899999999999999" customHeight="1" x14ac:dyDescent="0.2">
      <c r="B1467" s="17"/>
      <c r="C1467" s="196" t="s">
        <v>259</v>
      </c>
      <c r="D1467" s="197"/>
      <c r="E1467" s="198"/>
      <c r="F1467" s="199">
        <v>4.37</v>
      </c>
      <c r="H1467" s="17"/>
    </row>
    <row r="1468" spans="2:8" s="16" customFormat="1" ht="16.899999999999999" customHeight="1" x14ac:dyDescent="0.2">
      <c r="B1468" s="17"/>
      <c r="C1468" s="83"/>
      <c r="D1468" s="83"/>
      <c r="E1468" s="2"/>
      <c r="F1468" s="200">
        <v>0</v>
      </c>
      <c r="H1468" s="17"/>
    </row>
    <row r="1469" spans="2:8" s="16" customFormat="1" ht="16.899999999999999" customHeight="1" x14ac:dyDescent="0.2">
      <c r="B1469" s="17"/>
      <c r="C1469" s="83"/>
      <c r="D1469" s="83" t="s">
        <v>909</v>
      </c>
      <c r="E1469" s="2"/>
      <c r="F1469" s="200">
        <v>0</v>
      </c>
      <c r="H1469" s="17"/>
    </row>
    <row r="1470" spans="2:8" s="16" customFormat="1" ht="16.899999999999999" customHeight="1" x14ac:dyDescent="0.2">
      <c r="B1470" s="17"/>
      <c r="C1470" s="83"/>
      <c r="D1470" s="83" t="s">
        <v>260</v>
      </c>
      <c r="E1470" s="2"/>
      <c r="F1470" s="200">
        <v>4.37</v>
      </c>
      <c r="H1470" s="17"/>
    </row>
    <row r="1471" spans="2:8" s="16" customFormat="1" ht="16.899999999999999" customHeight="1" x14ac:dyDescent="0.2">
      <c r="B1471" s="17"/>
      <c r="C1471" s="83" t="s">
        <v>259</v>
      </c>
      <c r="D1471" s="83" t="s">
        <v>609</v>
      </c>
      <c r="E1471" s="2"/>
      <c r="F1471" s="200">
        <v>4.37</v>
      </c>
      <c r="H1471" s="17"/>
    </row>
    <row r="1472" spans="2:8" s="16" customFormat="1" ht="16.899999999999999" customHeight="1" x14ac:dyDescent="0.2">
      <c r="B1472" s="17"/>
      <c r="C1472" s="201" t="s">
        <v>8859</v>
      </c>
      <c r="H1472" s="17"/>
    </row>
    <row r="1473" spans="2:8" s="16" customFormat="1" ht="16.899999999999999" customHeight="1" x14ac:dyDescent="0.2">
      <c r="B1473" s="17"/>
      <c r="C1473" s="83" t="s">
        <v>871</v>
      </c>
      <c r="D1473" s="83" t="s">
        <v>872</v>
      </c>
      <c r="E1473" s="2" t="s">
        <v>425</v>
      </c>
      <c r="F1473" s="200">
        <v>4598.04</v>
      </c>
      <c r="H1473" s="17"/>
    </row>
    <row r="1474" spans="2:8" s="16" customFormat="1" ht="16.899999999999999" customHeight="1" x14ac:dyDescent="0.2">
      <c r="B1474" s="17"/>
      <c r="C1474" s="83" t="s">
        <v>798</v>
      </c>
      <c r="D1474" s="83" t="s">
        <v>799</v>
      </c>
      <c r="E1474" s="2" t="s">
        <v>425</v>
      </c>
      <c r="F1474" s="200">
        <v>410.58499999999998</v>
      </c>
      <c r="H1474" s="17"/>
    </row>
    <row r="1475" spans="2:8" s="16" customFormat="1" ht="16.899999999999999" customHeight="1" x14ac:dyDescent="0.2">
      <c r="B1475" s="17"/>
      <c r="C1475" s="83" t="s">
        <v>819</v>
      </c>
      <c r="D1475" s="83" t="s">
        <v>820</v>
      </c>
      <c r="E1475" s="2" t="s">
        <v>425</v>
      </c>
      <c r="F1475" s="200">
        <v>435.21</v>
      </c>
      <c r="H1475" s="17"/>
    </row>
    <row r="1476" spans="2:8" s="16" customFormat="1" ht="16.899999999999999" customHeight="1" x14ac:dyDescent="0.2">
      <c r="B1476" s="17"/>
      <c r="C1476" s="83" t="s">
        <v>837</v>
      </c>
      <c r="D1476" s="83" t="s">
        <v>838</v>
      </c>
      <c r="E1476" s="2" t="s">
        <v>425</v>
      </c>
      <c r="F1476" s="200">
        <v>3174.8760000000002</v>
      </c>
      <c r="H1476" s="17"/>
    </row>
    <row r="1477" spans="2:8" s="16" customFormat="1" ht="16.899999999999999" customHeight="1" x14ac:dyDescent="0.2">
      <c r="B1477" s="17"/>
      <c r="C1477" s="83" t="s">
        <v>1009</v>
      </c>
      <c r="D1477" s="83" t="s">
        <v>1010</v>
      </c>
      <c r="E1477" s="2" t="s">
        <v>425</v>
      </c>
      <c r="F1477" s="200">
        <v>437.82600000000002</v>
      </c>
      <c r="H1477" s="17"/>
    </row>
    <row r="1478" spans="2:8" s="16" customFormat="1" ht="16.899999999999999" customHeight="1" x14ac:dyDescent="0.2">
      <c r="B1478" s="17"/>
      <c r="C1478" s="83" t="s">
        <v>1038</v>
      </c>
      <c r="D1478" s="83" t="s">
        <v>1039</v>
      </c>
      <c r="E1478" s="2" t="s">
        <v>425</v>
      </c>
      <c r="F1478" s="200">
        <v>3023.69</v>
      </c>
      <c r="H1478" s="17"/>
    </row>
    <row r="1479" spans="2:8" s="16" customFormat="1" ht="16.899999999999999" customHeight="1" x14ac:dyDescent="0.2">
      <c r="B1479" s="17"/>
      <c r="C1479" s="83" t="s">
        <v>951</v>
      </c>
      <c r="D1479" s="83" t="s">
        <v>952</v>
      </c>
      <c r="E1479" s="2" t="s">
        <v>425</v>
      </c>
      <c r="F1479" s="200">
        <v>3407.24</v>
      </c>
      <c r="H1479" s="17"/>
    </row>
    <row r="1480" spans="2:8" s="16" customFormat="1" ht="16.899999999999999" customHeight="1" x14ac:dyDescent="0.2">
      <c r="B1480" s="17"/>
      <c r="C1480" s="83" t="s">
        <v>1015</v>
      </c>
      <c r="D1480" s="83" t="s">
        <v>1016</v>
      </c>
      <c r="E1480" s="2" t="s">
        <v>425</v>
      </c>
      <c r="F1480" s="200">
        <v>503.49900000000002</v>
      </c>
      <c r="H1480" s="17"/>
    </row>
    <row r="1481" spans="2:8" s="16" customFormat="1" ht="16.899999999999999" customHeight="1" x14ac:dyDescent="0.2">
      <c r="B1481" s="17"/>
      <c r="C1481" s="83" t="s">
        <v>1059</v>
      </c>
      <c r="D1481" s="83" t="s">
        <v>1060</v>
      </c>
      <c r="E1481" s="2" t="s">
        <v>425</v>
      </c>
      <c r="F1481" s="200">
        <v>443.91399999999999</v>
      </c>
      <c r="H1481" s="17"/>
    </row>
    <row r="1482" spans="2:8" s="16" customFormat="1" ht="16.899999999999999" customHeight="1" x14ac:dyDescent="0.2">
      <c r="B1482" s="17"/>
      <c r="C1482" s="196" t="s">
        <v>261</v>
      </c>
      <c r="D1482" s="197"/>
      <c r="E1482" s="198"/>
      <c r="F1482" s="199">
        <v>140.36799999999999</v>
      </c>
      <c r="H1482" s="17"/>
    </row>
    <row r="1483" spans="2:8" s="16" customFormat="1" ht="16.899999999999999" customHeight="1" x14ac:dyDescent="0.2">
      <c r="B1483" s="17"/>
      <c r="C1483" s="83"/>
      <c r="D1483" s="83"/>
      <c r="E1483" s="2"/>
      <c r="F1483" s="200">
        <v>0</v>
      </c>
      <c r="H1483" s="17"/>
    </row>
    <row r="1484" spans="2:8" s="16" customFormat="1" ht="16.899999999999999" customHeight="1" x14ac:dyDescent="0.2">
      <c r="B1484" s="17"/>
      <c r="C1484" s="83"/>
      <c r="D1484" s="83" t="s">
        <v>910</v>
      </c>
      <c r="E1484" s="2"/>
      <c r="F1484" s="200">
        <v>0</v>
      </c>
      <c r="H1484" s="17"/>
    </row>
    <row r="1485" spans="2:8" s="16" customFormat="1" ht="16.899999999999999" customHeight="1" x14ac:dyDescent="0.2">
      <c r="B1485" s="17"/>
      <c r="C1485" s="83"/>
      <c r="D1485" s="83" t="s">
        <v>911</v>
      </c>
      <c r="E1485" s="2"/>
      <c r="F1485" s="200">
        <v>0</v>
      </c>
      <c r="H1485" s="17"/>
    </row>
    <row r="1486" spans="2:8" s="16" customFormat="1" ht="16.899999999999999" customHeight="1" x14ac:dyDescent="0.2">
      <c r="B1486" s="17"/>
      <c r="C1486" s="83"/>
      <c r="D1486" s="83" t="s">
        <v>912</v>
      </c>
      <c r="E1486" s="2"/>
      <c r="F1486" s="200">
        <v>102.85</v>
      </c>
      <c r="H1486" s="17"/>
    </row>
    <row r="1487" spans="2:8" s="16" customFormat="1" ht="16.899999999999999" customHeight="1" x14ac:dyDescent="0.2">
      <c r="B1487" s="17"/>
      <c r="C1487" s="83"/>
      <c r="D1487" s="83" t="s">
        <v>913</v>
      </c>
      <c r="E1487" s="2"/>
      <c r="F1487" s="200">
        <v>7.65</v>
      </c>
      <c r="H1487" s="17"/>
    </row>
    <row r="1488" spans="2:8" s="16" customFormat="1" ht="16.899999999999999" customHeight="1" x14ac:dyDescent="0.2">
      <c r="B1488" s="17"/>
      <c r="C1488" s="83"/>
      <c r="D1488" s="83"/>
      <c r="E1488" s="2"/>
      <c r="F1488" s="200">
        <v>0</v>
      </c>
      <c r="H1488" s="17"/>
    </row>
    <row r="1489" spans="2:8" s="16" customFormat="1" ht="16.899999999999999" customHeight="1" x14ac:dyDescent="0.2">
      <c r="B1489" s="17"/>
      <c r="C1489" s="83"/>
      <c r="D1489" s="83" t="s">
        <v>914</v>
      </c>
      <c r="E1489" s="2"/>
      <c r="F1489" s="200">
        <v>0</v>
      </c>
      <c r="H1489" s="17"/>
    </row>
    <row r="1490" spans="2:8" s="16" customFormat="1" ht="16.899999999999999" customHeight="1" x14ac:dyDescent="0.2">
      <c r="B1490" s="17"/>
      <c r="C1490" s="83"/>
      <c r="D1490" s="83" t="s">
        <v>915</v>
      </c>
      <c r="E1490" s="2"/>
      <c r="F1490" s="200">
        <v>26.268000000000001</v>
      </c>
      <c r="H1490" s="17"/>
    </row>
    <row r="1491" spans="2:8" s="16" customFormat="1" ht="16.899999999999999" customHeight="1" x14ac:dyDescent="0.2">
      <c r="B1491" s="17"/>
      <c r="C1491" s="83"/>
      <c r="D1491" s="83" t="s">
        <v>916</v>
      </c>
      <c r="E1491" s="2"/>
      <c r="F1491" s="200">
        <v>3.6</v>
      </c>
      <c r="H1491" s="17"/>
    </row>
    <row r="1492" spans="2:8" s="16" customFormat="1" ht="16.899999999999999" customHeight="1" x14ac:dyDescent="0.2">
      <c r="B1492" s="17"/>
      <c r="C1492" s="83" t="s">
        <v>261</v>
      </c>
      <c r="D1492" s="83" t="s">
        <v>609</v>
      </c>
      <c r="E1492" s="2"/>
      <c r="F1492" s="200">
        <v>140.36799999999999</v>
      </c>
      <c r="H1492" s="17"/>
    </row>
    <row r="1493" spans="2:8" s="16" customFormat="1" ht="16.899999999999999" customHeight="1" x14ac:dyDescent="0.2">
      <c r="B1493" s="17"/>
      <c r="C1493" s="201" t="s">
        <v>8859</v>
      </c>
      <c r="H1493" s="17"/>
    </row>
    <row r="1494" spans="2:8" s="16" customFormat="1" ht="16.899999999999999" customHeight="1" x14ac:dyDescent="0.2">
      <c r="B1494" s="17"/>
      <c r="C1494" s="83" t="s">
        <v>871</v>
      </c>
      <c r="D1494" s="83" t="s">
        <v>872</v>
      </c>
      <c r="E1494" s="2" t="s">
        <v>425</v>
      </c>
      <c r="F1494" s="200">
        <v>4598.04</v>
      </c>
      <c r="H1494" s="17"/>
    </row>
    <row r="1495" spans="2:8" s="16" customFormat="1" ht="16.899999999999999" customHeight="1" x14ac:dyDescent="0.2">
      <c r="B1495" s="17"/>
      <c r="C1495" s="83" t="s">
        <v>769</v>
      </c>
      <c r="D1495" s="83" t="s">
        <v>770</v>
      </c>
      <c r="E1495" s="2" t="s">
        <v>342</v>
      </c>
      <c r="F1495" s="200">
        <v>5.6150000000000002</v>
      </c>
      <c r="H1495" s="17"/>
    </row>
    <row r="1496" spans="2:8" s="16" customFormat="1" ht="16.899999999999999" customHeight="1" x14ac:dyDescent="0.2">
      <c r="B1496" s="17"/>
      <c r="C1496" s="83" t="s">
        <v>808</v>
      </c>
      <c r="D1496" s="83" t="s">
        <v>809</v>
      </c>
      <c r="E1496" s="2" t="s">
        <v>425</v>
      </c>
      <c r="F1496" s="200">
        <v>140.36799999999999</v>
      </c>
      <c r="H1496" s="17"/>
    </row>
    <row r="1497" spans="2:8" s="16" customFormat="1" ht="16.899999999999999" customHeight="1" x14ac:dyDescent="0.2">
      <c r="B1497" s="17"/>
      <c r="C1497" s="83" t="s">
        <v>851</v>
      </c>
      <c r="D1497" s="83" t="s">
        <v>852</v>
      </c>
      <c r="E1497" s="2" t="s">
        <v>425</v>
      </c>
      <c r="F1497" s="200">
        <v>546.58299999999997</v>
      </c>
      <c r="H1497" s="17"/>
    </row>
    <row r="1498" spans="2:8" s="16" customFormat="1" ht="16.899999999999999" customHeight="1" x14ac:dyDescent="0.2">
      <c r="B1498" s="17"/>
      <c r="C1498" s="83" t="s">
        <v>856</v>
      </c>
      <c r="D1498" s="83" t="s">
        <v>857</v>
      </c>
      <c r="E1498" s="2" t="s">
        <v>425</v>
      </c>
      <c r="F1498" s="200">
        <v>546.58299999999997</v>
      </c>
      <c r="H1498" s="17"/>
    </row>
    <row r="1499" spans="2:8" s="16" customFormat="1" ht="16.899999999999999" customHeight="1" x14ac:dyDescent="0.2">
      <c r="B1499" s="17"/>
      <c r="C1499" s="83" t="s">
        <v>951</v>
      </c>
      <c r="D1499" s="83" t="s">
        <v>952</v>
      </c>
      <c r="E1499" s="2" t="s">
        <v>425</v>
      </c>
      <c r="F1499" s="200">
        <v>3407.24</v>
      </c>
      <c r="H1499" s="17"/>
    </row>
    <row r="1500" spans="2:8" s="16" customFormat="1" ht="16.899999999999999" customHeight="1" x14ac:dyDescent="0.2">
      <c r="B1500" s="17"/>
      <c r="C1500" s="196" t="s">
        <v>263</v>
      </c>
      <c r="D1500" s="197"/>
      <c r="E1500" s="198"/>
      <c r="F1500" s="199">
        <v>26.762</v>
      </c>
      <c r="H1500" s="17"/>
    </row>
    <row r="1501" spans="2:8" s="16" customFormat="1" ht="16.899999999999999" customHeight="1" x14ac:dyDescent="0.2">
      <c r="B1501" s="17"/>
      <c r="C1501" s="83"/>
      <c r="D1501" s="83"/>
      <c r="E1501" s="2"/>
      <c r="F1501" s="200">
        <v>0</v>
      </c>
      <c r="H1501" s="17"/>
    </row>
    <row r="1502" spans="2:8" s="16" customFormat="1" ht="16.899999999999999" customHeight="1" x14ac:dyDescent="0.2">
      <c r="B1502" s="17"/>
      <c r="C1502" s="83"/>
      <c r="D1502" s="83" t="s">
        <v>917</v>
      </c>
      <c r="E1502" s="2"/>
      <c r="F1502" s="200">
        <v>0</v>
      </c>
      <c r="H1502" s="17"/>
    </row>
    <row r="1503" spans="2:8" s="16" customFormat="1" ht="16.899999999999999" customHeight="1" x14ac:dyDescent="0.2">
      <c r="B1503" s="17"/>
      <c r="C1503" s="83"/>
      <c r="D1503" s="83" t="s">
        <v>918</v>
      </c>
      <c r="E1503" s="2"/>
      <c r="F1503" s="200">
        <v>0</v>
      </c>
      <c r="H1503" s="17"/>
    </row>
    <row r="1504" spans="2:8" s="16" customFormat="1" ht="16.899999999999999" customHeight="1" x14ac:dyDescent="0.2">
      <c r="B1504" s="17"/>
      <c r="C1504" s="83"/>
      <c r="D1504" s="83" t="s">
        <v>919</v>
      </c>
      <c r="E1504" s="2"/>
      <c r="F1504" s="200">
        <v>0</v>
      </c>
      <c r="H1504" s="17"/>
    </row>
    <row r="1505" spans="2:8" s="16" customFormat="1" ht="16.899999999999999" customHeight="1" x14ac:dyDescent="0.2">
      <c r="B1505" s="17"/>
      <c r="C1505" s="83"/>
      <c r="D1505" s="83" t="s">
        <v>920</v>
      </c>
      <c r="E1505" s="2"/>
      <c r="F1505" s="200">
        <v>6.26</v>
      </c>
      <c r="H1505" s="17"/>
    </row>
    <row r="1506" spans="2:8" s="16" customFormat="1" ht="16.899999999999999" customHeight="1" x14ac:dyDescent="0.2">
      <c r="B1506" s="17"/>
      <c r="C1506" s="83"/>
      <c r="D1506" s="83" t="s">
        <v>921</v>
      </c>
      <c r="E1506" s="2"/>
      <c r="F1506" s="200">
        <v>0</v>
      </c>
      <c r="H1506" s="17"/>
    </row>
    <row r="1507" spans="2:8" s="16" customFormat="1" ht="16.899999999999999" customHeight="1" x14ac:dyDescent="0.2">
      <c r="B1507" s="17"/>
      <c r="C1507" s="83"/>
      <c r="D1507" s="83" t="s">
        <v>922</v>
      </c>
      <c r="E1507" s="2"/>
      <c r="F1507" s="200">
        <v>20.501999999999999</v>
      </c>
      <c r="H1507" s="17"/>
    </row>
    <row r="1508" spans="2:8" s="16" customFormat="1" ht="16.899999999999999" customHeight="1" x14ac:dyDescent="0.2">
      <c r="B1508" s="17"/>
      <c r="C1508" s="83" t="s">
        <v>263</v>
      </c>
      <c r="D1508" s="83" t="s">
        <v>609</v>
      </c>
      <c r="E1508" s="2"/>
      <c r="F1508" s="200">
        <v>26.762</v>
      </c>
      <c r="H1508" s="17"/>
    </row>
    <row r="1509" spans="2:8" s="16" customFormat="1" ht="16.899999999999999" customHeight="1" x14ac:dyDescent="0.2">
      <c r="B1509" s="17"/>
      <c r="C1509" s="201" t="s">
        <v>8859</v>
      </c>
      <c r="H1509" s="17"/>
    </row>
    <row r="1510" spans="2:8" s="16" customFormat="1" ht="16.899999999999999" customHeight="1" x14ac:dyDescent="0.2">
      <c r="B1510" s="17"/>
      <c r="C1510" s="83" t="s">
        <v>871</v>
      </c>
      <c r="D1510" s="83" t="s">
        <v>872</v>
      </c>
      <c r="E1510" s="2" t="s">
        <v>425</v>
      </c>
      <c r="F1510" s="200">
        <v>4598.04</v>
      </c>
      <c r="H1510" s="17"/>
    </row>
    <row r="1511" spans="2:8" s="16" customFormat="1" ht="16.899999999999999" customHeight="1" x14ac:dyDescent="0.2">
      <c r="B1511" s="17"/>
      <c r="C1511" s="83" t="s">
        <v>340</v>
      </c>
      <c r="D1511" s="83" t="s">
        <v>341</v>
      </c>
      <c r="E1511" s="2" t="s">
        <v>342</v>
      </c>
      <c r="F1511" s="200">
        <v>4.9160000000000004</v>
      </c>
      <c r="H1511" s="17"/>
    </row>
    <row r="1512" spans="2:8" s="16" customFormat="1" ht="16.899999999999999" customHeight="1" x14ac:dyDescent="0.2">
      <c r="B1512" s="17"/>
      <c r="C1512" s="83" t="s">
        <v>763</v>
      </c>
      <c r="D1512" s="83" t="s">
        <v>764</v>
      </c>
      <c r="E1512" s="2" t="s">
        <v>342</v>
      </c>
      <c r="F1512" s="200">
        <v>3.0470000000000002</v>
      </c>
      <c r="H1512" s="17"/>
    </row>
    <row r="1513" spans="2:8" s="16" customFormat="1" ht="16.899999999999999" customHeight="1" x14ac:dyDescent="0.2">
      <c r="B1513" s="17"/>
      <c r="C1513" s="83" t="s">
        <v>951</v>
      </c>
      <c r="D1513" s="83" t="s">
        <v>952</v>
      </c>
      <c r="E1513" s="2" t="s">
        <v>425</v>
      </c>
      <c r="F1513" s="200">
        <v>3407.24</v>
      </c>
      <c r="H1513" s="17"/>
    </row>
    <row r="1514" spans="2:8" s="16" customFormat="1" ht="16.899999999999999" customHeight="1" x14ac:dyDescent="0.2">
      <c r="B1514" s="17"/>
      <c r="C1514" s="196" t="s">
        <v>265</v>
      </c>
      <c r="D1514" s="197"/>
      <c r="E1514" s="198"/>
      <c r="F1514" s="199">
        <v>261.39</v>
      </c>
      <c r="H1514" s="17"/>
    </row>
    <row r="1515" spans="2:8" s="16" customFormat="1" ht="16.899999999999999" customHeight="1" x14ac:dyDescent="0.2">
      <c r="B1515" s="17"/>
      <c r="C1515" s="83"/>
      <c r="D1515" s="83"/>
      <c r="E1515" s="2"/>
      <c r="F1515" s="200">
        <v>0</v>
      </c>
      <c r="H1515" s="17"/>
    </row>
    <row r="1516" spans="2:8" s="16" customFormat="1" ht="16.899999999999999" customHeight="1" x14ac:dyDescent="0.2">
      <c r="B1516" s="17"/>
      <c r="C1516" s="83"/>
      <c r="D1516" s="83" t="s">
        <v>923</v>
      </c>
      <c r="E1516" s="2"/>
      <c r="F1516" s="200">
        <v>0</v>
      </c>
      <c r="H1516" s="17"/>
    </row>
    <row r="1517" spans="2:8" s="16" customFormat="1" ht="16.899999999999999" customHeight="1" x14ac:dyDescent="0.2">
      <c r="B1517" s="17"/>
      <c r="C1517" s="83"/>
      <c r="D1517" s="83" t="s">
        <v>266</v>
      </c>
      <c r="E1517" s="2"/>
      <c r="F1517" s="200">
        <v>261.39</v>
      </c>
      <c r="H1517" s="17"/>
    </row>
    <row r="1518" spans="2:8" s="16" customFormat="1" ht="16.899999999999999" customHeight="1" x14ac:dyDescent="0.2">
      <c r="B1518" s="17"/>
      <c r="C1518" s="83" t="s">
        <v>265</v>
      </c>
      <c r="D1518" s="83" t="s">
        <v>609</v>
      </c>
      <c r="E1518" s="2"/>
      <c r="F1518" s="200">
        <v>261.39</v>
      </c>
      <c r="H1518" s="17"/>
    </row>
    <row r="1519" spans="2:8" s="16" customFormat="1" ht="16.899999999999999" customHeight="1" x14ac:dyDescent="0.2">
      <c r="B1519" s="17"/>
      <c r="C1519" s="201" t="s">
        <v>8859</v>
      </c>
      <c r="H1519" s="17"/>
    </row>
    <row r="1520" spans="2:8" s="16" customFormat="1" ht="16.899999999999999" customHeight="1" x14ac:dyDescent="0.2">
      <c r="B1520" s="17"/>
      <c r="C1520" s="83" t="s">
        <v>871</v>
      </c>
      <c r="D1520" s="83" t="s">
        <v>872</v>
      </c>
      <c r="E1520" s="2" t="s">
        <v>425</v>
      </c>
      <c r="F1520" s="200">
        <v>4598.04</v>
      </c>
      <c r="H1520" s="17"/>
    </row>
    <row r="1521" spans="2:8" s="16" customFormat="1" ht="16.899999999999999" customHeight="1" x14ac:dyDescent="0.2">
      <c r="B1521" s="17"/>
      <c r="C1521" s="83" t="s">
        <v>803</v>
      </c>
      <c r="D1521" s="83" t="s">
        <v>804</v>
      </c>
      <c r="E1521" s="2" t="s">
        <v>425</v>
      </c>
      <c r="F1521" s="200">
        <v>2588.48</v>
      </c>
      <c r="H1521" s="17"/>
    </row>
    <row r="1522" spans="2:8" s="16" customFormat="1" ht="16.899999999999999" customHeight="1" x14ac:dyDescent="0.2">
      <c r="B1522" s="17"/>
      <c r="C1522" s="83" t="s">
        <v>813</v>
      </c>
      <c r="D1522" s="83" t="s">
        <v>814</v>
      </c>
      <c r="E1522" s="2" t="s">
        <v>425</v>
      </c>
      <c r="F1522" s="200">
        <v>573.66999999999996</v>
      </c>
      <c r="H1522" s="17"/>
    </row>
    <row r="1523" spans="2:8" s="16" customFormat="1" ht="16.899999999999999" customHeight="1" x14ac:dyDescent="0.2">
      <c r="B1523" s="17"/>
      <c r="C1523" s="83" t="s">
        <v>837</v>
      </c>
      <c r="D1523" s="83" t="s">
        <v>838</v>
      </c>
      <c r="E1523" s="2" t="s">
        <v>425</v>
      </c>
      <c r="F1523" s="200">
        <v>3174.8760000000002</v>
      </c>
      <c r="H1523" s="17"/>
    </row>
    <row r="1524" spans="2:8" s="16" customFormat="1" ht="16.899999999999999" customHeight="1" x14ac:dyDescent="0.2">
      <c r="B1524" s="17"/>
      <c r="C1524" s="83" t="s">
        <v>1038</v>
      </c>
      <c r="D1524" s="83" t="s">
        <v>1039</v>
      </c>
      <c r="E1524" s="2" t="s">
        <v>425</v>
      </c>
      <c r="F1524" s="200">
        <v>3023.69</v>
      </c>
      <c r="H1524" s="17"/>
    </row>
    <row r="1525" spans="2:8" s="16" customFormat="1" ht="16.899999999999999" customHeight="1" x14ac:dyDescent="0.2">
      <c r="B1525" s="17"/>
      <c r="C1525" s="83" t="s">
        <v>951</v>
      </c>
      <c r="D1525" s="83" t="s">
        <v>952</v>
      </c>
      <c r="E1525" s="2" t="s">
        <v>425</v>
      </c>
      <c r="F1525" s="200">
        <v>3407.24</v>
      </c>
      <c r="H1525" s="17"/>
    </row>
    <row r="1526" spans="2:8" s="16" customFormat="1" ht="16.899999999999999" customHeight="1" x14ac:dyDescent="0.2">
      <c r="B1526" s="17"/>
      <c r="C1526" s="83" t="s">
        <v>1050</v>
      </c>
      <c r="D1526" s="83" t="s">
        <v>1051</v>
      </c>
      <c r="E1526" s="2" t="s">
        <v>425</v>
      </c>
      <c r="F1526" s="200">
        <v>790.12300000000005</v>
      </c>
      <c r="H1526" s="17"/>
    </row>
    <row r="1527" spans="2:8" s="16" customFormat="1" ht="16.899999999999999" customHeight="1" x14ac:dyDescent="0.2">
      <c r="B1527" s="17"/>
      <c r="C1527" s="196" t="s">
        <v>228</v>
      </c>
      <c r="D1527" s="197"/>
      <c r="E1527" s="198"/>
      <c r="F1527" s="199">
        <v>200.96</v>
      </c>
      <c r="H1527" s="17"/>
    </row>
    <row r="1528" spans="2:8" s="16" customFormat="1" ht="16.899999999999999" customHeight="1" x14ac:dyDescent="0.2">
      <c r="B1528" s="17"/>
      <c r="C1528" s="83"/>
      <c r="D1528" s="83"/>
      <c r="E1528" s="2"/>
      <c r="F1528" s="200">
        <v>0</v>
      </c>
      <c r="H1528" s="17"/>
    </row>
    <row r="1529" spans="2:8" s="16" customFormat="1" ht="16.899999999999999" customHeight="1" x14ac:dyDescent="0.2">
      <c r="B1529" s="17"/>
      <c r="C1529" s="83"/>
      <c r="D1529" s="83" t="s">
        <v>924</v>
      </c>
      <c r="E1529" s="2"/>
      <c r="F1529" s="200">
        <v>0</v>
      </c>
      <c r="H1529" s="17"/>
    </row>
    <row r="1530" spans="2:8" s="16" customFormat="1" ht="16.899999999999999" customHeight="1" x14ac:dyDescent="0.2">
      <c r="B1530" s="17"/>
      <c r="C1530" s="83"/>
      <c r="D1530" s="83" t="s">
        <v>229</v>
      </c>
      <c r="E1530" s="2"/>
      <c r="F1530" s="200">
        <v>200.96</v>
      </c>
      <c r="H1530" s="17"/>
    </row>
    <row r="1531" spans="2:8" s="16" customFormat="1" ht="16.899999999999999" customHeight="1" x14ac:dyDescent="0.2">
      <c r="B1531" s="17"/>
      <c r="C1531" s="83" t="s">
        <v>228</v>
      </c>
      <c r="D1531" s="83" t="s">
        <v>609</v>
      </c>
      <c r="E1531" s="2"/>
      <c r="F1531" s="200">
        <v>200.96</v>
      </c>
      <c r="H1531" s="17"/>
    </row>
    <row r="1532" spans="2:8" s="16" customFormat="1" ht="16.899999999999999" customHeight="1" x14ac:dyDescent="0.2">
      <c r="B1532" s="17"/>
      <c r="C1532" s="201" t="s">
        <v>8859</v>
      </c>
      <c r="H1532" s="17"/>
    </row>
    <row r="1533" spans="2:8" s="16" customFormat="1" ht="16.899999999999999" customHeight="1" x14ac:dyDescent="0.2">
      <c r="B1533" s="17"/>
      <c r="C1533" s="83" t="s">
        <v>871</v>
      </c>
      <c r="D1533" s="83" t="s">
        <v>872</v>
      </c>
      <c r="E1533" s="2" t="s">
        <v>425</v>
      </c>
      <c r="F1533" s="200">
        <v>4598.04</v>
      </c>
      <c r="H1533" s="17"/>
    </row>
    <row r="1534" spans="2:8" s="16" customFormat="1" ht="16.899999999999999" customHeight="1" x14ac:dyDescent="0.2">
      <c r="B1534" s="17"/>
      <c r="C1534" s="83" t="s">
        <v>789</v>
      </c>
      <c r="D1534" s="83" t="s">
        <v>790</v>
      </c>
      <c r="E1534" s="2" t="s">
        <v>425</v>
      </c>
      <c r="F1534" s="200">
        <v>727.42</v>
      </c>
      <c r="H1534" s="17"/>
    </row>
    <row r="1535" spans="2:8" s="16" customFormat="1" ht="16.899999999999999" customHeight="1" x14ac:dyDescent="0.2">
      <c r="B1535" s="17"/>
      <c r="C1535" s="83" t="s">
        <v>803</v>
      </c>
      <c r="D1535" s="83" t="s">
        <v>804</v>
      </c>
      <c r="E1535" s="2" t="s">
        <v>425</v>
      </c>
      <c r="F1535" s="200">
        <v>2588.48</v>
      </c>
      <c r="H1535" s="17"/>
    </row>
    <row r="1536" spans="2:8" s="16" customFormat="1" ht="16.899999999999999" customHeight="1" x14ac:dyDescent="0.2">
      <c r="B1536" s="17"/>
      <c r="C1536" s="83" t="s">
        <v>837</v>
      </c>
      <c r="D1536" s="83" t="s">
        <v>838</v>
      </c>
      <c r="E1536" s="2" t="s">
        <v>425</v>
      </c>
      <c r="F1536" s="200">
        <v>3174.8760000000002</v>
      </c>
      <c r="H1536" s="17"/>
    </row>
    <row r="1537" spans="2:8" s="16" customFormat="1" ht="16.899999999999999" customHeight="1" x14ac:dyDescent="0.2">
      <c r="B1537" s="17"/>
      <c r="C1537" s="83" t="s">
        <v>1038</v>
      </c>
      <c r="D1537" s="83" t="s">
        <v>1039</v>
      </c>
      <c r="E1537" s="2" t="s">
        <v>425</v>
      </c>
      <c r="F1537" s="200">
        <v>3023.69</v>
      </c>
      <c r="H1537" s="17"/>
    </row>
    <row r="1538" spans="2:8" s="16" customFormat="1" ht="16.899999999999999" customHeight="1" x14ac:dyDescent="0.2">
      <c r="B1538" s="17"/>
      <c r="C1538" s="83" t="s">
        <v>951</v>
      </c>
      <c r="D1538" s="83" t="s">
        <v>952</v>
      </c>
      <c r="E1538" s="2" t="s">
        <v>425</v>
      </c>
      <c r="F1538" s="200">
        <v>3407.24</v>
      </c>
      <c r="H1538" s="17"/>
    </row>
    <row r="1539" spans="2:8" s="16" customFormat="1" ht="16.899999999999999" customHeight="1" x14ac:dyDescent="0.2">
      <c r="B1539" s="17"/>
      <c r="C1539" s="83" t="s">
        <v>1050</v>
      </c>
      <c r="D1539" s="83" t="s">
        <v>1051</v>
      </c>
      <c r="E1539" s="2" t="s">
        <v>425</v>
      </c>
      <c r="F1539" s="200">
        <v>790.12300000000005</v>
      </c>
      <c r="H1539" s="17"/>
    </row>
    <row r="1540" spans="2:8" s="16" customFormat="1" ht="16.899999999999999" customHeight="1" x14ac:dyDescent="0.2">
      <c r="B1540" s="17"/>
      <c r="C1540" s="196" t="s">
        <v>267</v>
      </c>
      <c r="D1540" s="197"/>
      <c r="E1540" s="198"/>
      <c r="F1540" s="199">
        <v>7327.5789999999997</v>
      </c>
      <c r="H1540" s="17"/>
    </row>
    <row r="1541" spans="2:8" s="16" customFormat="1" ht="16.899999999999999" customHeight="1" x14ac:dyDescent="0.2">
      <c r="B1541" s="17"/>
      <c r="C1541" s="83"/>
      <c r="D1541" s="83" t="s">
        <v>680</v>
      </c>
      <c r="E1541" s="2"/>
      <c r="F1541" s="200">
        <v>0</v>
      </c>
      <c r="H1541" s="17"/>
    </row>
    <row r="1542" spans="2:8" s="16" customFormat="1" ht="16.899999999999999" customHeight="1" x14ac:dyDescent="0.2">
      <c r="B1542" s="17"/>
      <c r="C1542" s="83"/>
      <c r="D1542" s="83" t="s">
        <v>712</v>
      </c>
      <c r="E1542" s="2"/>
      <c r="F1542" s="200">
        <v>540.79999999999995</v>
      </c>
      <c r="H1542" s="17"/>
    </row>
    <row r="1543" spans="2:8" s="16" customFormat="1" ht="16.899999999999999" customHeight="1" x14ac:dyDescent="0.2">
      <c r="B1543" s="17"/>
      <c r="C1543" s="83"/>
      <c r="D1543" s="83" t="s">
        <v>713</v>
      </c>
      <c r="E1543" s="2"/>
      <c r="F1543" s="200">
        <v>7058.06</v>
      </c>
      <c r="H1543" s="17"/>
    </row>
    <row r="1544" spans="2:8" s="16" customFormat="1" ht="16.899999999999999" customHeight="1" x14ac:dyDescent="0.2">
      <c r="B1544" s="17"/>
      <c r="C1544" s="83"/>
      <c r="D1544" s="83" t="s">
        <v>683</v>
      </c>
      <c r="E1544" s="2"/>
      <c r="F1544" s="200">
        <v>0</v>
      </c>
      <c r="H1544" s="17"/>
    </row>
    <row r="1545" spans="2:8" s="16" customFormat="1" ht="16.899999999999999" customHeight="1" x14ac:dyDescent="0.2">
      <c r="B1545" s="17"/>
      <c r="C1545" s="83"/>
      <c r="D1545" s="83" t="s">
        <v>714</v>
      </c>
      <c r="E1545" s="2"/>
      <c r="F1545" s="200">
        <v>-271.28100000000001</v>
      </c>
      <c r="H1545" s="17"/>
    </row>
    <row r="1546" spans="2:8" s="16" customFormat="1" ht="16.899999999999999" customHeight="1" x14ac:dyDescent="0.2">
      <c r="B1546" s="17"/>
      <c r="C1546" s="83" t="s">
        <v>267</v>
      </c>
      <c r="D1546" s="83" t="s">
        <v>609</v>
      </c>
      <c r="E1546" s="2"/>
      <c r="F1546" s="200">
        <v>7327.5789999999997</v>
      </c>
      <c r="H1546" s="17"/>
    </row>
    <row r="1547" spans="2:8" s="16" customFormat="1" ht="16.899999999999999" customHeight="1" x14ac:dyDescent="0.2">
      <c r="B1547" s="17"/>
      <c r="C1547" s="201" t="s">
        <v>8859</v>
      </c>
      <c r="H1547" s="17"/>
    </row>
    <row r="1548" spans="2:8" s="16" customFormat="1" ht="16.899999999999999" customHeight="1" x14ac:dyDescent="0.2">
      <c r="B1548" s="17"/>
      <c r="C1548" s="83" t="s">
        <v>709</v>
      </c>
      <c r="D1548" s="83" t="s">
        <v>710</v>
      </c>
      <c r="E1548" s="2" t="s">
        <v>425</v>
      </c>
      <c r="F1548" s="200">
        <v>8593.9920000000002</v>
      </c>
      <c r="H1548" s="17"/>
    </row>
    <row r="1549" spans="2:8" s="16" customFormat="1" ht="16.899999999999999" customHeight="1" x14ac:dyDescent="0.2">
      <c r="B1549" s="17"/>
      <c r="C1549" s="83" t="s">
        <v>2060</v>
      </c>
      <c r="D1549" s="83" t="s">
        <v>2061</v>
      </c>
      <c r="E1549" s="2" t="s">
        <v>425</v>
      </c>
      <c r="F1549" s="200">
        <v>10722.981</v>
      </c>
      <c r="H1549" s="17"/>
    </row>
    <row r="1550" spans="2:8" s="16" customFormat="1" ht="16.899999999999999" customHeight="1" x14ac:dyDescent="0.2">
      <c r="B1550" s="17"/>
      <c r="C1550" s="196" t="s">
        <v>269</v>
      </c>
      <c r="D1550" s="197"/>
      <c r="E1550" s="198"/>
      <c r="F1550" s="199">
        <v>33.53</v>
      </c>
      <c r="H1550" s="17"/>
    </row>
    <row r="1551" spans="2:8" s="16" customFormat="1" ht="16.899999999999999" customHeight="1" x14ac:dyDescent="0.2">
      <c r="B1551" s="17"/>
      <c r="C1551" s="83"/>
      <c r="D1551" s="83" t="s">
        <v>625</v>
      </c>
      <c r="E1551" s="2"/>
      <c r="F1551" s="200">
        <v>7.34</v>
      </c>
      <c r="H1551" s="17"/>
    </row>
    <row r="1552" spans="2:8" s="16" customFormat="1" ht="16.899999999999999" customHeight="1" x14ac:dyDescent="0.2">
      <c r="B1552" s="17"/>
      <c r="C1552" s="83"/>
      <c r="D1552" s="83" t="s">
        <v>626</v>
      </c>
      <c r="E1552" s="2"/>
      <c r="F1552" s="200">
        <v>7.44</v>
      </c>
      <c r="H1552" s="17"/>
    </row>
    <row r="1553" spans="2:8" s="16" customFormat="1" ht="16.899999999999999" customHeight="1" x14ac:dyDescent="0.2">
      <c r="B1553" s="17"/>
      <c r="C1553" s="83"/>
      <c r="D1553" s="83" t="s">
        <v>627</v>
      </c>
      <c r="E1553" s="2"/>
      <c r="F1553" s="200">
        <v>7.44</v>
      </c>
      <c r="H1553" s="17"/>
    </row>
    <row r="1554" spans="2:8" s="16" customFormat="1" ht="16.899999999999999" customHeight="1" x14ac:dyDescent="0.2">
      <c r="B1554" s="17"/>
      <c r="C1554" s="83"/>
      <c r="D1554" s="83" t="s">
        <v>628</v>
      </c>
      <c r="E1554" s="2"/>
      <c r="F1554" s="200">
        <v>11.31</v>
      </c>
      <c r="H1554" s="17"/>
    </row>
    <row r="1555" spans="2:8" s="16" customFormat="1" ht="16.899999999999999" customHeight="1" x14ac:dyDescent="0.2">
      <c r="B1555" s="17"/>
      <c r="C1555" s="83" t="s">
        <v>269</v>
      </c>
      <c r="D1555" s="83" t="s">
        <v>351</v>
      </c>
      <c r="E1555" s="2"/>
      <c r="F1555" s="200">
        <v>33.53</v>
      </c>
      <c r="H1555" s="17"/>
    </row>
    <row r="1556" spans="2:8" s="16" customFormat="1" ht="16.899999999999999" customHeight="1" x14ac:dyDescent="0.2">
      <c r="B1556" s="17"/>
      <c r="C1556" s="201" t="s">
        <v>8859</v>
      </c>
      <c r="H1556" s="17"/>
    </row>
    <row r="1557" spans="2:8" s="16" customFormat="1" ht="16.899999999999999" customHeight="1" x14ac:dyDescent="0.2">
      <c r="B1557" s="17"/>
      <c r="C1557" s="83" t="s">
        <v>622</v>
      </c>
      <c r="D1557" s="83" t="s">
        <v>623</v>
      </c>
      <c r="E1557" s="2" t="s">
        <v>425</v>
      </c>
      <c r="F1557" s="200">
        <v>33.53</v>
      </c>
      <c r="H1557" s="17"/>
    </row>
    <row r="1558" spans="2:8" s="16" customFormat="1" ht="16.899999999999999" customHeight="1" x14ac:dyDescent="0.2">
      <c r="B1558" s="17"/>
      <c r="C1558" s="83" t="s">
        <v>2338</v>
      </c>
      <c r="D1558" s="83" t="s">
        <v>2339</v>
      </c>
      <c r="E1558" s="2" t="s">
        <v>425</v>
      </c>
      <c r="F1558" s="200">
        <v>3648.8159999999998</v>
      </c>
      <c r="H1558" s="17"/>
    </row>
    <row r="1559" spans="2:8" s="16" customFormat="1" ht="16.899999999999999" customHeight="1" x14ac:dyDescent="0.2">
      <c r="B1559" s="17"/>
      <c r="C1559" s="196" t="s">
        <v>271</v>
      </c>
      <c r="D1559" s="197"/>
      <c r="E1559" s="198"/>
      <c r="F1559" s="199">
        <v>271.28100000000001</v>
      </c>
      <c r="H1559" s="17"/>
    </row>
    <row r="1560" spans="2:8" s="16" customFormat="1" ht="16.899999999999999" customHeight="1" x14ac:dyDescent="0.2">
      <c r="B1560" s="17"/>
      <c r="C1560" s="83"/>
      <c r="D1560" s="83"/>
      <c r="E1560" s="2"/>
      <c r="F1560" s="200">
        <v>0</v>
      </c>
      <c r="H1560" s="17"/>
    </row>
    <row r="1561" spans="2:8" s="16" customFormat="1" ht="16.899999999999999" customHeight="1" x14ac:dyDescent="0.2">
      <c r="B1561" s="17"/>
      <c r="C1561" s="83"/>
      <c r="D1561" s="83" t="s">
        <v>610</v>
      </c>
      <c r="E1561" s="2"/>
      <c r="F1561" s="200">
        <v>0</v>
      </c>
      <c r="H1561" s="17"/>
    </row>
    <row r="1562" spans="2:8" s="16" customFormat="1" ht="16.899999999999999" customHeight="1" x14ac:dyDescent="0.2">
      <c r="B1562" s="17"/>
      <c r="C1562" s="83"/>
      <c r="D1562" s="83" t="s">
        <v>612</v>
      </c>
      <c r="E1562" s="2"/>
      <c r="F1562" s="200">
        <v>0</v>
      </c>
      <c r="H1562" s="17"/>
    </row>
    <row r="1563" spans="2:8" s="16" customFormat="1" ht="16.899999999999999" customHeight="1" x14ac:dyDescent="0.2">
      <c r="B1563" s="17"/>
      <c r="C1563" s="83"/>
      <c r="D1563" s="83" t="s">
        <v>635</v>
      </c>
      <c r="E1563" s="2"/>
      <c r="F1563" s="200">
        <v>85.004999999999995</v>
      </c>
      <c r="H1563" s="17"/>
    </row>
    <row r="1564" spans="2:8" s="16" customFormat="1" ht="16.899999999999999" customHeight="1" x14ac:dyDescent="0.2">
      <c r="B1564" s="17"/>
      <c r="C1564" s="83"/>
      <c r="D1564" s="83" t="s">
        <v>633</v>
      </c>
      <c r="E1564" s="2"/>
      <c r="F1564" s="200">
        <v>0</v>
      </c>
      <c r="H1564" s="17"/>
    </row>
    <row r="1565" spans="2:8" s="16" customFormat="1" ht="16.899999999999999" customHeight="1" x14ac:dyDescent="0.2">
      <c r="B1565" s="17"/>
      <c r="C1565" s="83"/>
      <c r="D1565" s="83" t="s">
        <v>636</v>
      </c>
      <c r="E1565" s="2"/>
      <c r="F1565" s="200">
        <v>186.27600000000001</v>
      </c>
      <c r="H1565" s="17"/>
    </row>
    <row r="1566" spans="2:8" s="16" customFormat="1" ht="16.899999999999999" customHeight="1" x14ac:dyDescent="0.2">
      <c r="B1566" s="17"/>
      <c r="C1566" s="83" t="s">
        <v>271</v>
      </c>
      <c r="D1566" s="83" t="s">
        <v>609</v>
      </c>
      <c r="E1566" s="2"/>
      <c r="F1566" s="200">
        <v>271.28100000000001</v>
      </c>
      <c r="H1566" s="17"/>
    </row>
    <row r="1567" spans="2:8" s="16" customFormat="1" ht="16.899999999999999" customHeight="1" x14ac:dyDescent="0.2">
      <c r="B1567" s="17"/>
      <c r="C1567" s="201" t="s">
        <v>8859</v>
      </c>
      <c r="H1567" s="17"/>
    </row>
    <row r="1568" spans="2:8" s="16" customFormat="1" ht="16.899999999999999" customHeight="1" x14ac:dyDescent="0.2">
      <c r="B1568" s="17"/>
      <c r="C1568" s="83" t="s">
        <v>629</v>
      </c>
      <c r="D1568" s="83" t="s">
        <v>630</v>
      </c>
      <c r="E1568" s="2" t="s">
        <v>425</v>
      </c>
      <c r="F1568" s="200">
        <v>406.58100000000002</v>
      </c>
      <c r="H1568" s="17"/>
    </row>
    <row r="1569" spans="2:8" s="16" customFormat="1" ht="16.899999999999999" customHeight="1" x14ac:dyDescent="0.2">
      <c r="B1569" s="17"/>
      <c r="C1569" s="83" t="s">
        <v>573</v>
      </c>
      <c r="D1569" s="83" t="s">
        <v>574</v>
      </c>
      <c r="E1569" s="2" t="s">
        <v>425</v>
      </c>
      <c r="F1569" s="200">
        <v>406.58100000000002</v>
      </c>
      <c r="H1569" s="17"/>
    </row>
    <row r="1570" spans="2:8" s="16" customFormat="1" ht="16.899999999999999" customHeight="1" x14ac:dyDescent="0.2">
      <c r="B1570" s="17"/>
      <c r="C1570" s="83" t="s">
        <v>709</v>
      </c>
      <c r="D1570" s="83" t="s">
        <v>710</v>
      </c>
      <c r="E1570" s="2" t="s">
        <v>425</v>
      </c>
      <c r="F1570" s="200">
        <v>8593.9920000000002</v>
      </c>
      <c r="H1570" s="17"/>
    </row>
    <row r="1571" spans="2:8" s="16" customFormat="1" ht="16.899999999999999" customHeight="1" x14ac:dyDescent="0.2">
      <c r="B1571" s="17"/>
      <c r="C1571" s="83" t="s">
        <v>2060</v>
      </c>
      <c r="D1571" s="83" t="s">
        <v>2061</v>
      </c>
      <c r="E1571" s="2" t="s">
        <v>425</v>
      </c>
      <c r="F1571" s="200">
        <v>10722.981</v>
      </c>
      <c r="H1571" s="17"/>
    </row>
    <row r="1572" spans="2:8" s="16" customFormat="1" ht="16.899999999999999" customHeight="1" x14ac:dyDescent="0.2">
      <c r="B1572" s="17"/>
      <c r="C1572" s="196" t="s">
        <v>273</v>
      </c>
      <c r="D1572" s="197"/>
      <c r="E1572" s="198"/>
      <c r="F1572" s="199">
        <v>135.30000000000001</v>
      </c>
      <c r="H1572" s="17"/>
    </row>
    <row r="1573" spans="2:8" s="16" customFormat="1" ht="16.899999999999999" customHeight="1" x14ac:dyDescent="0.2">
      <c r="B1573" s="17"/>
      <c r="C1573" s="83"/>
      <c r="D1573" s="83" t="s">
        <v>604</v>
      </c>
      <c r="E1573" s="2"/>
      <c r="F1573" s="200">
        <v>0</v>
      </c>
      <c r="H1573" s="17"/>
    </row>
    <row r="1574" spans="2:8" s="16" customFormat="1" ht="16.899999999999999" customHeight="1" x14ac:dyDescent="0.2">
      <c r="B1574" s="17"/>
      <c r="C1574" s="83"/>
      <c r="D1574" s="83" t="s">
        <v>612</v>
      </c>
      <c r="E1574" s="2"/>
      <c r="F1574" s="200">
        <v>0</v>
      </c>
      <c r="H1574" s="17"/>
    </row>
    <row r="1575" spans="2:8" s="16" customFormat="1" ht="16.899999999999999" customHeight="1" x14ac:dyDescent="0.2">
      <c r="B1575" s="17"/>
      <c r="C1575" s="83"/>
      <c r="D1575" s="83" t="s">
        <v>632</v>
      </c>
      <c r="E1575" s="2"/>
      <c r="F1575" s="200">
        <v>73.5</v>
      </c>
      <c r="H1575" s="17"/>
    </row>
    <row r="1576" spans="2:8" s="16" customFormat="1" ht="16.899999999999999" customHeight="1" x14ac:dyDescent="0.2">
      <c r="B1576" s="17"/>
      <c r="C1576" s="83"/>
      <c r="D1576" s="83" t="s">
        <v>633</v>
      </c>
      <c r="E1576" s="2"/>
      <c r="F1576" s="200">
        <v>0</v>
      </c>
      <c r="H1576" s="17"/>
    </row>
    <row r="1577" spans="2:8" s="16" customFormat="1" ht="16.899999999999999" customHeight="1" x14ac:dyDescent="0.2">
      <c r="B1577" s="17"/>
      <c r="C1577" s="83"/>
      <c r="D1577" s="83" t="s">
        <v>634</v>
      </c>
      <c r="E1577" s="2"/>
      <c r="F1577" s="200">
        <v>61.8</v>
      </c>
      <c r="H1577" s="17"/>
    </row>
    <row r="1578" spans="2:8" s="16" customFormat="1" ht="16.899999999999999" customHeight="1" x14ac:dyDescent="0.2">
      <c r="B1578" s="17"/>
      <c r="C1578" s="83" t="s">
        <v>273</v>
      </c>
      <c r="D1578" s="83" t="s">
        <v>609</v>
      </c>
      <c r="E1578" s="2"/>
      <c r="F1578" s="200">
        <v>135.30000000000001</v>
      </c>
      <c r="H1578" s="17"/>
    </row>
    <row r="1579" spans="2:8" s="16" customFormat="1" ht="16.899999999999999" customHeight="1" x14ac:dyDescent="0.2">
      <c r="B1579" s="17"/>
      <c r="C1579" s="201" t="s">
        <v>8859</v>
      </c>
      <c r="H1579" s="17"/>
    </row>
    <row r="1580" spans="2:8" s="16" customFormat="1" ht="16.899999999999999" customHeight="1" x14ac:dyDescent="0.2">
      <c r="B1580" s="17"/>
      <c r="C1580" s="83" t="s">
        <v>629</v>
      </c>
      <c r="D1580" s="83" t="s">
        <v>630</v>
      </c>
      <c r="E1580" s="2" t="s">
        <v>425</v>
      </c>
      <c r="F1580" s="200">
        <v>406.58100000000002</v>
      </c>
      <c r="H1580" s="17"/>
    </row>
    <row r="1581" spans="2:8" s="16" customFormat="1" ht="16.899999999999999" customHeight="1" x14ac:dyDescent="0.2">
      <c r="B1581" s="17"/>
      <c r="C1581" s="83" t="s">
        <v>573</v>
      </c>
      <c r="D1581" s="83" t="s">
        <v>574</v>
      </c>
      <c r="E1581" s="2" t="s">
        <v>425</v>
      </c>
      <c r="F1581" s="200">
        <v>406.58100000000002</v>
      </c>
      <c r="H1581" s="17"/>
    </row>
    <row r="1582" spans="2:8" s="16" customFormat="1" ht="16.899999999999999" customHeight="1" x14ac:dyDescent="0.2">
      <c r="B1582" s="17"/>
      <c r="C1582" s="83" t="s">
        <v>2060</v>
      </c>
      <c r="D1582" s="83" t="s">
        <v>2061</v>
      </c>
      <c r="E1582" s="2" t="s">
        <v>425</v>
      </c>
      <c r="F1582" s="200">
        <v>10722.981</v>
      </c>
      <c r="H1582" s="17"/>
    </row>
    <row r="1583" spans="2:8" s="16" customFormat="1" ht="16.899999999999999" customHeight="1" x14ac:dyDescent="0.2">
      <c r="B1583" s="17"/>
      <c r="C1583" s="196" t="s">
        <v>275</v>
      </c>
      <c r="D1583" s="197"/>
      <c r="E1583" s="198"/>
      <c r="F1583" s="199">
        <v>233.07</v>
      </c>
      <c r="H1583" s="17"/>
    </row>
    <row r="1584" spans="2:8" s="16" customFormat="1" ht="16.899999999999999" customHeight="1" x14ac:dyDescent="0.2">
      <c r="B1584" s="17"/>
      <c r="C1584" s="83"/>
      <c r="D1584" s="83" t="s">
        <v>680</v>
      </c>
      <c r="E1584" s="2"/>
      <c r="F1584" s="200">
        <v>0</v>
      </c>
      <c r="H1584" s="17"/>
    </row>
    <row r="1585" spans="2:8" s="16" customFormat="1" ht="16.899999999999999" customHeight="1" x14ac:dyDescent="0.2">
      <c r="B1585" s="17"/>
      <c r="C1585" s="83"/>
      <c r="D1585" s="83" t="s">
        <v>689</v>
      </c>
      <c r="E1585" s="2"/>
      <c r="F1585" s="200">
        <v>4.4800000000000004</v>
      </c>
      <c r="H1585" s="17"/>
    </row>
    <row r="1586" spans="2:8" s="16" customFormat="1" ht="16.899999999999999" customHeight="1" x14ac:dyDescent="0.2">
      <c r="B1586" s="17"/>
      <c r="C1586" s="83"/>
      <c r="D1586" s="83" t="s">
        <v>690</v>
      </c>
      <c r="E1586" s="2"/>
      <c r="F1586" s="200">
        <v>228.59</v>
      </c>
      <c r="H1586" s="17"/>
    </row>
    <row r="1587" spans="2:8" s="16" customFormat="1" ht="16.899999999999999" customHeight="1" x14ac:dyDescent="0.2">
      <c r="B1587" s="17"/>
      <c r="C1587" s="83" t="s">
        <v>275</v>
      </c>
      <c r="D1587" s="83" t="s">
        <v>609</v>
      </c>
      <c r="E1587" s="2"/>
      <c r="F1587" s="200">
        <v>233.07</v>
      </c>
      <c r="H1587" s="17"/>
    </row>
    <row r="1588" spans="2:8" s="16" customFormat="1" ht="16.899999999999999" customHeight="1" x14ac:dyDescent="0.2">
      <c r="B1588" s="17"/>
      <c r="C1588" s="201" t="s">
        <v>8859</v>
      </c>
      <c r="H1588" s="17"/>
    </row>
    <row r="1589" spans="2:8" s="16" customFormat="1" ht="16.899999999999999" customHeight="1" x14ac:dyDescent="0.2">
      <c r="B1589" s="17"/>
      <c r="C1589" s="83" t="s">
        <v>686</v>
      </c>
      <c r="D1589" s="83" t="s">
        <v>687</v>
      </c>
      <c r="E1589" s="2" t="s">
        <v>425</v>
      </c>
      <c r="F1589" s="200">
        <v>247.971</v>
      </c>
      <c r="H1589" s="17"/>
    </row>
    <row r="1590" spans="2:8" s="16" customFormat="1" ht="16.899999999999999" customHeight="1" x14ac:dyDescent="0.2">
      <c r="B1590" s="17"/>
      <c r="C1590" s="83" t="s">
        <v>647</v>
      </c>
      <c r="D1590" s="83" t="s">
        <v>648</v>
      </c>
      <c r="E1590" s="2" t="s">
        <v>425</v>
      </c>
      <c r="F1590" s="200">
        <v>247.971</v>
      </c>
      <c r="H1590" s="17"/>
    </row>
    <row r="1591" spans="2:8" s="16" customFormat="1" ht="16.899999999999999" customHeight="1" x14ac:dyDescent="0.2">
      <c r="B1591" s="17"/>
      <c r="C1591" s="83" t="s">
        <v>705</v>
      </c>
      <c r="D1591" s="83" t="s">
        <v>706</v>
      </c>
      <c r="E1591" s="2" t="s">
        <v>425</v>
      </c>
      <c r="F1591" s="200">
        <v>233.07</v>
      </c>
      <c r="H1591" s="17"/>
    </row>
    <row r="1592" spans="2:8" s="16" customFormat="1" ht="16.899999999999999" customHeight="1" x14ac:dyDescent="0.2">
      <c r="B1592" s="17"/>
      <c r="C1592" s="83" t="s">
        <v>2060</v>
      </c>
      <c r="D1592" s="83" t="s">
        <v>2061</v>
      </c>
      <c r="E1592" s="2" t="s">
        <v>425</v>
      </c>
      <c r="F1592" s="200">
        <v>10722.981</v>
      </c>
      <c r="H1592" s="17"/>
    </row>
    <row r="1593" spans="2:8" s="16" customFormat="1" ht="16.899999999999999" customHeight="1" x14ac:dyDescent="0.2">
      <c r="B1593" s="17"/>
      <c r="C1593" s="83" t="s">
        <v>2435</v>
      </c>
      <c r="D1593" s="83" t="s">
        <v>2436</v>
      </c>
      <c r="E1593" s="2" t="s">
        <v>425</v>
      </c>
      <c r="F1593" s="200">
        <v>335.79</v>
      </c>
      <c r="H1593" s="17"/>
    </row>
    <row r="1594" spans="2:8" s="16" customFormat="1" ht="16.899999999999999" customHeight="1" x14ac:dyDescent="0.2">
      <c r="B1594" s="17"/>
      <c r="C1594" s="196" t="s">
        <v>277</v>
      </c>
      <c r="D1594" s="197"/>
      <c r="E1594" s="198"/>
      <c r="F1594" s="199">
        <v>102.72</v>
      </c>
      <c r="H1594" s="17"/>
    </row>
    <row r="1595" spans="2:8" s="16" customFormat="1" ht="16.899999999999999" customHeight="1" x14ac:dyDescent="0.2">
      <c r="B1595" s="17"/>
      <c r="C1595" s="83"/>
      <c r="D1595" s="83" t="s">
        <v>581</v>
      </c>
      <c r="E1595" s="2"/>
      <c r="F1595" s="200">
        <v>11.83</v>
      </c>
      <c r="H1595" s="17"/>
    </row>
    <row r="1596" spans="2:8" s="16" customFormat="1" ht="16.899999999999999" customHeight="1" x14ac:dyDescent="0.2">
      <c r="B1596" s="17"/>
      <c r="C1596" s="83"/>
      <c r="D1596" s="83" t="s">
        <v>582</v>
      </c>
      <c r="E1596" s="2"/>
      <c r="F1596" s="200">
        <v>3.72</v>
      </c>
      <c r="H1596" s="17"/>
    </row>
    <row r="1597" spans="2:8" s="16" customFormat="1" ht="16.899999999999999" customHeight="1" x14ac:dyDescent="0.2">
      <c r="B1597" s="17"/>
      <c r="C1597" s="83"/>
      <c r="D1597" s="83" t="s">
        <v>583</v>
      </c>
      <c r="E1597" s="2"/>
      <c r="F1597" s="200">
        <v>35.92</v>
      </c>
      <c r="H1597" s="17"/>
    </row>
    <row r="1598" spans="2:8" s="16" customFormat="1" ht="16.899999999999999" customHeight="1" x14ac:dyDescent="0.2">
      <c r="B1598" s="17"/>
      <c r="C1598" s="83"/>
      <c r="D1598" s="83" t="s">
        <v>584</v>
      </c>
      <c r="E1598" s="2"/>
      <c r="F1598" s="200">
        <v>4.03</v>
      </c>
      <c r="H1598" s="17"/>
    </row>
    <row r="1599" spans="2:8" s="16" customFormat="1" ht="16.899999999999999" customHeight="1" x14ac:dyDescent="0.2">
      <c r="B1599" s="17"/>
      <c r="C1599" s="83"/>
      <c r="D1599" s="83" t="s">
        <v>585</v>
      </c>
      <c r="E1599" s="2"/>
      <c r="F1599" s="200">
        <v>21.42</v>
      </c>
      <c r="H1599" s="17"/>
    </row>
    <row r="1600" spans="2:8" s="16" customFormat="1" ht="16.899999999999999" customHeight="1" x14ac:dyDescent="0.2">
      <c r="B1600" s="17"/>
      <c r="C1600" s="83"/>
      <c r="D1600" s="83" t="s">
        <v>586</v>
      </c>
      <c r="E1600" s="2"/>
      <c r="F1600" s="200">
        <v>25.8</v>
      </c>
      <c r="H1600" s="17"/>
    </row>
    <row r="1601" spans="2:8" s="16" customFormat="1" ht="16.899999999999999" customHeight="1" x14ac:dyDescent="0.2">
      <c r="B1601" s="17"/>
      <c r="C1601" s="83" t="s">
        <v>277</v>
      </c>
      <c r="D1601" s="83" t="s">
        <v>351</v>
      </c>
      <c r="E1601" s="2"/>
      <c r="F1601" s="200">
        <v>102.72</v>
      </c>
      <c r="H1601" s="17"/>
    </row>
    <row r="1602" spans="2:8" s="16" customFormat="1" ht="16.899999999999999" customHeight="1" x14ac:dyDescent="0.2">
      <c r="B1602" s="17"/>
      <c r="C1602" s="201" t="s">
        <v>8859</v>
      </c>
      <c r="H1602" s="17"/>
    </row>
    <row r="1603" spans="2:8" s="16" customFormat="1" ht="16.899999999999999" customHeight="1" x14ac:dyDescent="0.2">
      <c r="B1603" s="17"/>
      <c r="C1603" s="83" t="s">
        <v>578</v>
      </c>
      <c r="D1603" s="83" t="s">
        <v>579</v>
      </c>
      <c r="E1603" s="2" t="s">
        <v>425</v>
      </c>
      <c r="F1603" s="200">
        <v>102.72</v>
      </c>
      <c r="H1603" s="17"/>
    </row>
    <row r="1604" spans="2:8" s="16" customFormat="1" ht="16.899999999999999" customHeight="1" x14ac:dyDescent="0.2">
      <c r="B1604" s="17"/>
      <c r="C1604" s="83" t="s">
        <v>615</v>
      </c>
      <c r="D1604" s="83" t="s">
        <v>616</v>
      </c>
      <c r="E1604" s="2" t="s">
        <v>425</v>
      </c>
      <c r="F1604" s="200">
        <v>102.72</v>
      </c>
      <c r="H1604" s="17"/>
    </row>
    <row r="1605" spans="2:8" s="16" customFormat="1" ht="16.899999999999999" customHeight="1" x14ac:dyDescent="0.2">
      <c r="B1605" s="17"/>
      <c r="C1605" s="83" t="s">
        <v>618</v>
      </c>
      <c r="D1605" s="83" t="s">
        <v>619</v>
      </c>
      <c r="E1605" s="2" t="s">
        <v>425</v>
      </c>
      <c r="F1605" s="200">
        <v>102.72</v>
      </c>
      <c r="H1605" s="17"/>
    </row>
    <row r="1606" spans="2:8" s="16" customFormat="1" ht="16.899999999999999" customHeight="1" x14ac:dyDescent="0.2">
      <c r="B1606" s="17"/>
      <c r="C1606" s="83" t="s">
        <v>2060</v>
      </c>
      <c r="D1606" s="83" t="s">
        <v>2061</v>
      </c>
      <c r="E1606" s="2" t="s">
        <v>425</v>
      </c>
      <c r="F1606" s="200">
        <v>10722.981</v>
      </c>
      <c r="H1606" s="17"/>
    </row>
    <row r="1607" spans="2:8" s="16" customFormat="1" ht="16.899999999999999" customHeight="1" x14ac:dyDescent="0.2">
      <c r="B1607" s="17"/>
      <c r="C1607" s="83" t="s">
        <v>2435</v>
      </c>
      <c r="D1607" s="83" t="s">
        <v>2436</v>
      </c>
      <c r="E1607" s="2" t="s">
        <v>425</v>
      </c>
      <c r="F1607" s="200">
        <v>335.79</v>
      </c>
      <c r="H1607" s="17"/>
    </row>
    <row r="1608" spans="2:8" s="16" customFormat="1" ht="16.899999999999999" customHeight="1" x14ac:dyDescent="0.2">
      <c r="B1608" s="17"/>
      <c r="C1608" s="196" t="s">
        <v>279</v>
      </c>
      <c r="D1608" s="197"/>
      <c r="E1608" s="198"/>
      <c r="F1608" s="199">
        <v>14.901</v>
      </c>
      <c r="H1608" s="17"/>
    </row>
    <row r="1609" spans="2:8" s="16" customFormat="1" ht="16.899999999999999" customHeight="1" x14ac:dyDescent="0.2">
      <c r="B1609" s="17"/>
      <c r="C1609" s="83"/>
      <c r="D1609" s="83"/>
      <c r="E1609" s="2"/>
      <c r="F1609" s="200">
        <v>0</v>
      </c>
      <c r="H1609" s="17"/>
    </row>
    <row r="1610" spans="2:8" s="16" customFormat="1" ht="16.899999999999999" customHeight="1" x14ac:dyDescent="0.2">
      <c r="B1610" s="17"/>
      <c r="C1610" s="83"/>
      <c r="D1610" s="83" t="s">
        <v>650</v>
      </c>
      <c r="E1610" s="2"/>
      <c r="F1610" s="200">
        <v>0</v>
      </c>
      <c r="H1610" s="17"/>
    </row>
    <row r="1611" spans="2:8" s="16" customFormat="1" ht="16.899999999999999" customHeight="1" x14ac:dyDescent="0.2">
      <c r="B1611" s="17"/>
      <c r="C1611" s="83"/>
      <c r="D1611" s="83" t="s">
        <v>651</v>
      </c>
      <c r="E1611" s="2"/>
      <c r="F1611" s="200">
        <v>0</v>
      </c>
      <c r="H1611" s="17"/>
    </row>
    <row r="1612" spans="2:8" s="16" customFormat="1" ht="16.899999999999999" customHeight="1" x14ac:dyDescent="0.2">
      <c r="B1612" s="17"/>
      <c r="C1612" s="83"/>
      <c r="D1612" s="83" t="s">
        <v>652</v>
      </c>
      <c r="E1612" s="2"/>
      <c r="F1612" s="200">
        <v>14.901</v>
      </c>
      <c r="H1612" s="17"/>
    </row>
    <row r="1613" spans="2:8" s="16" customFormat="1" ht="16.899999999999999" customHeight="1" x14ac:dyDescent="0.2">
      <c r="B1613" s="17"/>
      <c r="C1613" s="83" t="s">
        <v>279</v>
      </c>
      <c r="D1613" s="83" t="s">
        <v>609</v>
      </c>
      <c r="E1613" s="2"/>
      <c r="F1613" s="200">
        <v>14.901</v>
      </c>
      <c r="H1613" s="17"/>
    </row>
    <row r="1614" spans="2:8" s="16" customFormat="1" ht="16.899999999999999" customHeight="1" x14ac:dyDescent="0.2">
      <c r="B1614" s="17"/>
      <c r="C1614" s="201" t="s">
        <v>8859</v>
      </c>
      <c r="H1614" s="17"/>
    </row>
    <row r="1615" spans="2:8" s="16" customFormat="1" ht="16.899999999999999" customHeight="1" x14ac:dyDescent="0.2">
      <c r="B1615" s="17"/>
      <c r="C1615" s="83" t="s">
        <v>686</v>
      </c>
      <c r="D1615" s="83" t="s">
        <v>687</v>
      </c>
      <c r="E1615" s="2" t="s">
        <v>425</v>
      </c>
      <c r="F1615" s="200">
        <v>247.971</v>
      </c>
      <c r="H1615" s="17"/>
    </row>
    <row r="1616" spans="2:8" s="16" customFormat="1" ht="16.899999999999999" customHeight="1" x14ac:dyDescent="0.2">
      <c r="B1616" s="17"/>
      <c r="C1616" s="83" t="s">
        <v>709</v>
      </c>
      <c r="D1616" s="83" t="s">
        <v>710</v>
      </c>
      <c r="E1616" s="2" t="s">
        <v>425</v>
      </c>
      <c r="F1616" s="200">
        <v>8593.9920000000002</v>
      </c>
      <c r="H1616" s="17"/>
    </row>
    <row r="1617" spans="2:8" s="16" customFormat="1" ht="16.899999999999999" customHeight="1" x14ac:dyDescent="0.2">
      <c r="B1617" s="17"/>
      <c r="C1617" s="196" t="s">
        <v>281</v>
      </c>
      <c r="D1617" s="197"/>
      <c r="E1617" s="198"/>
      <c r="F1617" s="199">
        <v>516.89499999999998</v>
      </c>
      <c r="H1617" s="17"/>
    </row>
    <row r="1618" spans="2:8" s="16" customFormat="1" ht="16.899999999999999" customHeight="1" x14ac:dyDescent="0.2">
      <c r="B1618" s="17"/>
      <c r="C1618" s="83"/>
      <c r="D1618" s="83" t="s">
        <v>1185</v>
      </c>
      <c r="E1618" s="2"/>
      <c r="F1618" s="200">
        <v>0</v>
      </c>
      <c r="H1618" s="17"/>
    </row>
    <row r="1619" spans="2:8" s="16" customFormat="1" ht="16.899999999999999" customHeight="1" x14ac:dyDescent="0.2">
      <c r="B1619" s="17"/>
      <c r="C1619" s="83"/>
      <c r="D1619" s="83" t="s">
        <v>357</v>
      </c>
      <c r="E1619" s="2"/>
      <c r="F1619" s="200">
        <v>0</v>
      </c>
      <c r="H1619" s="17"/>
    </row>
    <row r="1620" spans="2:8" s="16" customFormat="1" ht="16.899999999999999" customHeight="1" x14ac:dyDescent="0.2">
      <c r="B1620" s="17"/>
      <c r="C1620" s="83"/>
      <c r="D1620" s="83" t="s">
        <v>1186</v>
      </c>
      <c r="E1620" s="2"/>
      <c r="F1620" s="200">
        <v>0</v>
      </c>
      <c r="H1620" s="17"/>
    </row>
    <row r="1621" spans="2:8" s="16" customFormat="1" ht="16.899999999999999" customHeight="1" x14ac:dyDescent="0.2">
      <c r="B1621" s="17"/>
      <c r="C1621" s="83"/>
      <c r="D1621" s="83" t="s">
        <v>1187</v>
      </c>
      <c r="E1621" s="2"/>
      <c r="F1621" s="200">
        <v>2.4</v>
      </c>
      <c r="H1621" s="17"/>
    </row>
    <row r="1622" spans="2:8" s="16" customFormat="1" ht="16.899999999999999" customHeight="1" x14ac:dyDescent="0.2">
      <c r="B1622" s="17"/>
      <c r="C1622" s="83"/>
      <c r="D1622" s="83"/>
      <c r="E1622" s="2"/>
      <c r="F1622" s="200">
        <v>0</v>
      </c>
      <c r="H1622" s="17"/>
    </row>
    <row r="1623" spans="2:8" s="16" customFormat="1" ht="16.899999999999999" customHeight="1" x14ac:dyDescent="0.2">
      <c r="B1623" s="17"/>
      <c r="C1623" s="83"/>
      <c r="D1623" s="83" t="s">
        <v>1188</v>
      </c>
      <c r="E1623" s="2"/>
      <c r="F1623" s="200">
        <v>0</v>
      </c>
      <c r="H1623" s="17"/>
    </row>
    <row r="1624" spans="2:8" s="16" customFormat="1" ht="16.899999999999999" customHeight="1" x14ac:dyDescent="0.2">
      <c r="B1624" s="17"/>
      <c r="C1624" s="83"/>
      <c r="D1624" s="83" t="s">
        <v>357</v>
      </c>
      <c r="E1624" s="2"/>
      <c r="F1624" s="200">
        <v>0</v>
      </c>
      <c r="H1624" s="17"/>
    </row>
    <row r="1625" spans="2:8" s="16" customFormat="1" ht="16.899999999999999" customHeight="1" x14ac:dyDescent="0.2">
      <c r="B1625" s="17"/>
      <c r="C1625" s="83"/>
      <c r="D1625" s="83" t="s">
        <v>1118</v>
      </c>
      <c r="E1625" s="2"/>
      <c r="F1625" s="200">
        <v>0</v>
      </c>
      <c r="H1625" s="17"/>
    </row>
    <row r="1626" spans="2:8" s="16" customFormat="1" ht="16.899999999999999" customHeight="1" x14ac:dyDescent="0.2">
      <c r="B1626" s="17"/>
      <c r="C1626" s="83"/>
      <c r="D1626" s="83" t="s">
        <v>1189</v>
      </c>
      <c r="E1626" s="2"/>
      <c r="F1626" s="200">
        <v>12.2</v>
      </c>
      <c r="H1626" s="17"/>
    </row>
    <row r="1627" spans="2:8" s="16" customFormat="1" ht="16.899999999999999" customHeight="1" x14ac:dyDescent="0.2">
      <c r="B1627" s="17"/>
      <c r="C1627" s="83"/>
      <c r="D1627" s="83" t="s">
        <v>1190</v>
      </c>
      <c r="E1627" s="2"/>
      <c r="F1627" s="200">
        <v>0</v>
      </c>
      <c r="H1627" s="17"/>
    </row>
    <row r="1628" spans="2:8" s="16" customFormat="1" ht="16.899999999999999" customHeight="1" x14ac:dyDescent="0.2">
      <c r="B1628" s="17"/>
      <c r="C1628" s="83"/>
      <c r="D1628" s="83" t="s">
        <v>1191</v>
      </c>
      <c r="E1628" s="2"/>
      <c r="F1628" s="200">
        <v>2.25</v>
      </c>
      <c r="H1628" s="17"/>
    </row>
    <row r="1629" spans="2:8" s="16" customFormat="1" ht="16.899999999999999" customHeight="1" x14ac:dyDescent="0.2">
      <c r="B1629" s="17"/>
      <c r="C1629" s="83"/>
      <c r="D1629" s="83" t="s">
        <v>362</v>
      </c>
      <c r="E1629" s="2"/>
      <c r="F1629" s="200">
        <v>0</v>
      </c>
      <c r="H1629" s="17"/>
    </row>
    <row r="1630" spans="2:8" s="16" customFormat="1" ht="16.899999999999999" customHeight="1" x14ac:dyDescent="0.2">
      <c r="B1630" s="17"/>
      <c r="C1630" s="83"/>
      <c r="D1630" s="83" t="s">
        <v>1192</v>
      </c>
      <c r="E1630" s="2"/>
      <c r="F1630" s="200">
        <v>0</v>
      </c>
      <c r="H1630" s="17"/>
    </row>
    <row r="1631" spans="2:8" s="16" customFormat="1" ht="16.899999999999999" customHeight="1" x14ac:dyDescent="0.2">
      <c r="B1631" s="17"/>
      <c r="C1631" s="83"/>
      <c r="D1631" s="83" t="s">
        <v>1193</v>
      </c>
      <c r="E1631" s="2"/>
      <c r="F1631" s="200">
        <v>24.75</v>
      </c>
      <c r="H1631" s="17"/>
    </row>
    <row r="1632" spans="2:8" s="16" customFormat="1" ht="16.899999999999999" customHeight="1" x14ac:dyDescent="0.2">
      <c r="B1632" s="17"/>
      <c r="C1632" s="83"/>
      <c r="D1632" s="83" t="s">
        <v>1194</v>
      </c>
      <c r="E1632" s="2"/>
      <c r="F1632" s="200">
        <v>0</v>
      </c>
      <c r="H1632" s="17"/>
    </row>
    <row r="1633" spans="2:8" s="16" customFormat="1" ht="16.899999999999999" customHeight="1" x14ac:dyDescent="0.2">
      <c r="B1633" s="17"/>
      <c r="C1633" s="83"/>
      <c r="D1633" s="83" t="s">
        <v>1195</v>
      </c>
      <c r="E1633" s="2"/>
      <c r="F1633" s="200">
        <v>3.35</v>
      </c>
      <c r="H1633" s="17"/>
    </row>
    <row r="1634" spans="2:8" s="16" customFormat="1" ht="16.899999999999999" customHeight="1" x14ac:dyDescent="0.2">
      <c r="B1634" s="17"/>
      <c r="C1634" s="83"/>
      <c r="D1634" s="83" t="s">
        <v>1196</v>
      </c>
      <c r="E1634" s="2"/>
      <c r="F1634" s="200">
        <v>0</v>
      </c>
      <c r="H1634" s="17"/>
    </row>
    <row r="1635" spans="2:8" s="16" customFormat="1" ht="16.899999999999999" customHeight="1" x14ac:dyDescent="0.2">
      <c r="B1635" s="17"/>
      <c r="C1635" s="83"/>
      <c r="D1635" s="83" t="s">
        <v>1197</v>
      </c>
      <c r="E1635" s="2"/>
      <c r="F1635" s="200">
        <v>32.6</v>
      </c>
      <c r="H1635" s="17"/>
    </row>
    <row r="1636" spans="2:8" s="16" customFormat="1" ht="16.899999999999999" customHeight="1" x14ac:dyDescent="0.2">
      <c r="B1636" s="17"/>
      <c r="C1636" s="83"/>
      <c r="D1636" s="83"/>
      <c r="E1636" s="2"/>
      <c r="F1636" s="200">
        <v>0</v>
      </c>
      <c r="H1636" s="17"/>
    </row>
    <row r="1637" spans="2:8" s="16" customFormat="1" ht="16.899999999999999" customHeight="1" x14ac:dyDescent="0.2">
      <c r="B1637" s="17"/>
      <c r="C1637" s="83"/>
      <c r="D1637" s="83" t="s">
        <v>1076</v>
      </c>
      <c r="E1637" s="2"/>
      <c r="F1637" s="200">
        <v>0</v>
      </c>
      <c r="H1637" s="17"/>
    </row>
    <row r="1638" spans="2:8" s="16" customFormat="1" ht="16.899999999999999" customHeight="1" x14ac:dyDescent="0.2">
      <c r="B1638" s="17"/>
      <c r="C1638" s="83"/>
      <c r="D1638" s="83" t="s">
        <v>1198</v>
      </c>
      <c r="E1638" s="2"/>
      <c r="F1638" s="200">
        <v>107.25</v>
      </c>
      <c r="H1638" s="17"/>
    </row>
    <row r="1639" spans="2:8" s="16" customFormat="1" ht="16.899999999999999" customHeight="1" x14ac:dyDescent="0.2">
      <c r="B1639" s="17"/>
      <c r="C1639" s="83"/>
      <c r="D1639" s="83" t="s">
        <v>1199</v>
      </c>
      <c r="E1639" s="2"/>
      <c r="F1639" s="200">
        <v>10.050000000000001</v>
      </c>
      <c r="H1639" s="17"/>
    </row>
    <row r="1640" spans="2:8" s="16" customFormat="1" ht="16.899999999999999" customHeight="1" x14ac:dyDescent="0.2">
      <c r="B1640" s="17"/>
      <c r="C1640" s="83"/>
      <c r="D1640" s="83" t="s">
        <v>1200</v>
      </c>
      <c r="E1640" s="2"/>
      <c r="F1640" s="200">
        <v>0</v>
      </c>
      <c r="H1640" s="17"/>
    </row>
    <row r="1641" spans="2:8" s="16" customFormat="1" ht="16.899999999999999" customHeight="1" x14ac:dyDescent="0.2">
      <c r="B1641" s="17"/>
      <c r="C1641" s="83"/>
      <c r="D1641" s="83" t="s">
        <v>1201</v>
      </c>
      <c r="E1641" s="2"/>
      <c r="F1641" s="200">
        <v>121.8</v>
      </c>
      <c r="H1641" s="17"/>
    </row>
    <row r="1642" spans="2:8" s="16" customFormat="1" ht="16.899999999999999" customHeight="1" x14ac:dyDescent="0.2">
      <c r="B1642" s="17"/>
      <c r="C1642" s="83"/>
      <c r="D1642" s="83"/>
      <c r="E1642" s="2"/>
      <c r="F1642" s="200">
        <v>0</v>
      </c>
      <c r="H1642" s="17"/>
    </row>
    <row r="1643" spans="2:8" s="16" customFormat="1" ht="16.899999999999999" customHeight="1" x14ac:dyDescent="0.2">
      <c r="B1643" s="17"/>
      <c r="C1643" s="83"/>
      <c r="D1643" s="83" t="s">
        <v>1202</v>
      </c>
      <c r="E1643" s="2"/>
      <c r="F1643" s="200">
        <v>0</v>
      </c>
      <c r="H1643" s="17"/>
    </row>
    <row r="1644" spans="2:8" s="16" customFormat="1" ht="16.899999999999999" customHeight="1" x14ac:dyDescent="0.2">
      <c r="B1644" s="17"/>
      <c r="C1644" s="83"/>
      <c r="D1644" s="83" t="s">
        <v>1203</v>
      </c>
      <c r="E1644" s="2"/>
      <c r="F1644" s="200">
        <v>2.95</v>
      </c>
      <c r="H1644" s="17"/>
    </row>
    <row r="1645" spans="2:8" s="16" customFormat="1" ht="16.899999999999999" customHeight="1" x14ac:dyDescent="0.2">
      <c r="B1645" s="17"/>
      <c r="C1645" s="83"/>
      <c r="D1645" s="83" t="s">
        <v>1204</v>
      </c>
      <c r="E1645" s="2"/>
      <c r="F1645" s="200">
        <v>2.84</v>
      </c>
      <c r="H1645" s="17"/>
    </row>
    <row r="1646" spans="2:8" s="16" customFormat="1" ht="16.899999999999999" customHeight="1" x14ac:dyDescent="0.2">
      <c r="B1646" s="17"/>
      <c r="C1646" s="83"/>
      <c r="D1646" s="83" t="s">
        <v>1205</v>
      </c>
      <c r="E1646" s="2"/>
      <c r="F1646" s="200">
        <v>25.38</v>
      </c>
      <c r="H1646" s="17"/>
    </row>
    <row r="1647" spans="2:8" s="16" customFormat="1" ht="16.899999999999999" customHeight="1" x14ac:dyDescent="0.2">
      <c r="B1647" s="17"/>
      <c r="C1647" s="83"/>
      <c r="D1647" s="83" t="s">
        <v>1206</v>
      </c>
      <c r="E1647" s="2"/>
      <c r="F1647" s="200">
        <v>3.4</v>
      </c>
      <c r="H1647" s="17"/>
    </row>
    <row r="1648" spans="2:8" s="16" customFormat="1" ht="16.899999999999999" customHeight="1" x14ac:dyDescent="0.2">
      <c r="B1648" s="17"/>
      <c r="C1648" s="83"/>
      <c r="D1648" s="83" t="s">
        <v>1207</v>
      </c>
      <c r="E1648" s="2"/>
      <c r="F1648" s="200">
        <v>2.875</v>
      </c>
      <c r="H1648" s="17"/>
    </row>
    <row r="1649" spans="2:8" s="16" customFormat="1" ht="16.899999999999999" customHeight="1" x14ac:dyDescent="0.2">
      <c r="B1649" s="17"/>
      <c r="C1649" s="83"/>
      <c r="D1649" s="83" t="s">
        <v>1208</v>
      </c>
      <c r="E1649" s="2"/>
      <c r="F1649" s="200">
        <v>2.87</v>
      </c>
      <c r="H1649" s="17"/>
    </row>
    <row r="1650" spans="2:8" s="16" customFormat="1" ht="16.899999999999999" customHeight="1" x14ac:dyDescent="0.2">
      <c r="B1650" s="17"/>
      <c r="C1650" s="83"/>
      <c r="D1650" s="83" t="s">
        <v>1209</v>
      </c>
      <c r="E1650" s="2"/>
      <c r="F1650" s="200">
        <v>3.37</v>
      </c>
      <c r="H1650" s="17"/>
    </row>
    <row r="1651" spans="2:8" s="16" customFormat="1" ht="16.899999999999999" customHeight="1" x14ac:dyDescent="0.2">
      <c r="B1651" s="17"/>
      <c r="C1651" s="83"/>
      <c r="D1651" s="83" t="s">
        <v>1210</v>
      </c>
      <c r="E1651" s="2"/>
      <c r="F1651" s="200">
        <v>3.95</v>
      </c>
      <c r="H1651" s="17"/>
    </row>
    <row r="1652" spans="2:8" s="16" customFormat="1" ht="16.899999999999999" customHeight="1" x14ac:dyDescent="0.2">
      <c r="B1652" s="17"/>
      <c r="C1652" s="83"/>
      <c r="D1652" s="83"/>
      <c r="E1652" s="2"/>
      <c r="F1652" s="200">
        <v>0</v>
      </c>
      <c r="H1652" s="17"/>
    </row>
    <row r="1653" spans="2:8" s="16" customFormat="1" ht="16.899999999999999" customHeight="1" x14ac:dyDescent="0.2">
      <c r="B1653" s="17"/>
      <c r="C1653" s="83"/>
      <c r="D1653" s="83" t="s">
        <v>1211</v>
      </c>
      <c r="E1653" s="2"/>
      <c r="F1653" s="200">
        <v>0</v>
      </c>
      <c r="H1653" s="17"/>
    </row>
    <row r="1654" spans="2:8" s="16" customFormat="1" ht="16.899999999999999" customHeight="1" x14ac:dyDescent="0.2">
      <c r="B1654" s="17"/>
      <c r="C1654" s="83"/>
      <c r="D1654" s="83" t="s">
        <v>357</v>
      </c>
      <c r="E1654" s="2"/>
      <c r="F1654" s="200">
        <v>0</v>
      </c>
      <c r="H1654" s="17"/>
    </row>
    <row r="1655" spans="2:8" s="16" customFormat="1" ht="16.899999999999999" customHeight="1" x14ac:dyDescent="0.2">
      <c r="B1655" s="17"/>
      <c r="C1655" s="83"/>
      <c r="D1655" s="83" t="s">
        <v>1212</v>
      </c>
      <c r="E1655" s="2"/>
      <c r="F1655" s="200">
        <v>3.05</v>
      </c>
      <c r="H1655" s="17"/>
    </row>
    <row r="1656" spans="2:8" s="16" customFormat="1" ht="16.899999999999999" customHeight="1" x14ac:dyDescent="0.2">
      <c r="B1656" s="17"/>
      <c r="C1656" s="83"/>
      <c r="D1656" s="83" t="s">
        <v>1213</v>
      </c>
      <c r="E1656" s="2"/>
      <c r="F1656" s="200">
        <v>35.200000000000003</v>
      </c>
      <c r="H1656" s="17"/>
    </row>
    <row r="1657" spans="2:8" s="16" customFormat="1" ht="16.899999999999999" customHeight="1" x14ac:dyDescent="0.2">
      <c r="B1657" s="17"/>
      <c r="C1657" s="83"/>
      <c r="D1657" s="83" t="s">
        <v>1214</v>
      </c>
      <c r="E1657" s="2"/>
      <c r="F1657" s="200">
        <v>40</v>
      </c>
      <c r="H1657" s="17"/>
    </row>
    <row r="1658" spans="2:8" s="16" customFormat="1" ht="16.899999999999999" customHeight="1" x14ac:dyDescent="0.2">
      <c r="B1658" s="17"/>
      <c r="C1658" s="83"/>
      <c r="D1658" s="83" t="s">
        <v>1215</v>
      </c>
      <c r="E1658" s="2"/>
      <c r="F1658" s="200">
        <v>53.88</v>
      </c>
      <c r="H1658" s="17"/>
    </row>
    <row r="1659" spans="2:8" s="16" customFormat="1" ht="16.899999999999999" customHeight="1" x14ac:dyDescent="0.2">
      <c r="B1659" s="17"/>
      <c r="C1659" s="83"/>
      <c r="D1659" s="83" t="s">
        <v>1216</v>
      </c>
      <c r="E1659" s="2"/>
      <c r="F1659" s="200">
        <v>4.9800000000000004</v>
      </c>
      <c r="H1659" s="17"/>
    </row>
    <row r="1660" spans="2:8" s="16" customFormat="1" ht="16.899999999999999" customHeight="1" x14ac:dyDescent="0.2">
      <c r="B1660" s="17"/>
      <c r="C1660" s="83"/>
      <c r="D1660" s="83" t="s">
        <v>362</v>
      </c>
      <c r="E1660" s="2"/>
      <c r="F1660" s="200">
        <v>0</v>
      </c>
      <c r="H1660" s="17"/>
    </row>
    <row r="1661" spans="2:8" s="16" customFormat="1" ht="16.899999999999999" customHeight="1" x14ac:dyDescent="0.2">
      <c r="B1661" s="17"/>
      <c r="C1661" s="83"/>
      <c r="D1661" s="83" t="s">
        <v>1217</v>
      </c>
      <c r="E1661" s="2"/>
      <c r="F1661" s="200">
        <v>4</v>
      </c>
      <c r="H1661" s="17"/>
    </row>
    <row r="1662" spans="2:8" s="16" customFormat="1" ht="16.899999999999999" customHeight="1" x14ac:dyDescent="0.2">
      <c r="B1662" s="17"/>
      <c r="C1662" s="83"/>
      <c r="D1662" s="83" t="s">
        <v>434</v>
      </c>
      <c r="E1662" s="2"/>
      <c r="F1662" s="200">
        <v>0</v>
      </c>
      <c r="H1662" s="17"/>
    </row>
    <row r="1663" spans="2:8" s="16" customFormat="1" ht="16.899999999999999" customHeight="1" x14ac:dyDescent="0.2">
      <c r="B1663" s="17"/>
      <c r="C1663" s="83"/>
      <c r="D1663" s="83" t="s">
        <v>1218</v>
      </c>
      <c r="E1663" s="2"/>
      <c r="F1663" s="200">
        <v>4.5</v>
      </c>
      <c r="H1663" s="17"/>
    </row>
    <row r="1664" spans="2:8" s="16" customFormat="1" ht="16.899999999999999" customHeight="1" x14ac:dyDescent="0.2">
      <c r="B1664" s="17"/>
      <c r="C1664" s="83"/>
      <c r="D1664" s="83" t="s">
        <v>1219</v>
      </c>
      <c r="E1664" s="2"/>
      <c r="F1664" s="200">
        <v>7</v>
      </c>
      <c r="H1664" s="17"/>
    </row>
    <row r="1665" spans="2:8" s="16" customFormat="1" ht="16.899999999999999" customHeight="1" x14ac:dyDescent="0.2">
      <c r="B1665" s="17"/>
      <c r="C1665" s="83" t="s">
        <v>281</v>
      </c>
      <c r="D1665" s="83" t="s">
        <v>351</v>
      </c>
      <c r="E1665" s="2"/>
      <c r="F1665" s="200">
        <v>516.89499999999998</v>
      </c>
      <c r="H1665" s="17"/>
    </row>
    <row r="1666" spans="2:8" s="16" customFormat="1" ht="16.899999999999999" customHeight="1" x14ac:dyDescent="0.2">
      <c r="B1666" s="17"/>
      <c r="C1666" s="201" t="s">
        <v>8859</v>
      </c>
      <c r="H1666" s="17"/>
    </row>
    <row r="1667" spans="2:8" s="16" customFormat="1" ht="16.899999999999999" customHeight="1" x14ac:dyDescent="0.2">
      <c r="B1667" s="17"/>
      <c r="C1667" s="83" t="s">
        <v>1182</v>
      </c>
      <c r="D1667" s="83" t="s">
        <v>1183</v>
      </c>
      <c r="E1667" s="2" t="s">
        <v>724</v>
      </c>
      <c r="F1667" s="200">
        <v>516.89499999999998</v>
      </c>
      <c r="H1667" s="17"/>
    </row>
    <row r="1668" spans="2:8" s="16" customFormat="1" ht="16.899999999999999" customHeight="1" x14ac:dyDescent="0.2">
      <c r="B1668" s="17"/>
      <c r="C1668" s="83" t="s">
        <v>2338</v>
      </c>
      <c r="D1668" s="83" t="s">
        <v>2339</v>
      </c>
      <c r="E1668" s="2" t="s">
        <v>425</v>
      </c>
      <c r="F1668" s="200">
        <v>3648.8159999999998</v>
      </c>
      <c r="H1668" s="17"/>
    </row>
    <row r="1669" spans="2:8" s="16" customFormat="1" ht="16.899999999999999" customHeight="1" x14ac:dyDescent="0.2">
      <c r="B1669" s="17"/>
      <c r="C1669" s="196" t="s">
        <v>283</v>
      </c>
      <c r="D1669" s="197"/>
      <c r="E1669" s="198"/>
      <c r="F1669" s="199">
        <v>72.796000000000006</v>
      </c>
      <c r="H1669" s="17"/>
    </row>
    <row r="1670" spans="2:8" s="16" customFormat="1" ht="16.899999999999999" customHeight="1" x14ac:dyDescent="0.2">
      <c r="B1670" s="17"/>
      <c r="C1670" s="83"/>
      <c r="D1670" s="83" t="s">
        <v>662</v>
      </c>
      <c r="E1670" s="2"/>
      <c r="F1670" s="200">
        <v>0</v>
      </c>
      <c r="H1670" s="17"/>
    </row>
    <row r="1671" spans="2:8" s="16" customFormat="1" ht="16.899999999999999" customHeight="1" x14ac:dyDescent="0.2">
      <c r="B1671" s="17"/>
      <c r="C1671" s="83"/>
      <c r="D1671" s="83" t="s">
        <v>663</v>
      </c>
      <c r="E1671" s="2"/>
      <c r="F1671" s="200">
        <v>0</v>
      </c>
      <c r="H1671" s="17"/>
    </row>
    <row r="1672" spans="2:8" s="16" customFormat="1" ht="16.899999999999999" customHeight="1" x14ac:dyDescent="0.2">
      <c r="B1672" s="17"/>
      <c r="C1672" s="83"/>
      <c r="D1672" s="83" t="s">
        <v>664</v>
      </c>
      <c r="E1672" s="2"/>
      <c r="F1672" s="200">
        <v>14.026999999999999</v>
      </c>
      <c r="H1672" s="17"/>
    </row>
    <row r="1673" spans="2:8" s="16" customFormat="1" ht="16.899999999999999" customHeight="1" x14ac:dyDescent="0.2">
      <c r="B1673" s="17"/>
      <c r="C1673" s="83"/>
      <c r="D1673" s="83" t="s">
        <v>665</v>
      </c>
      <c r="E1673" s="2"/>
      <c r="F1673" s="200">
        <v>0</v>
      </c>
      <c r="H1673" s="17"/>
    </row>
    <row r="1674" spans="2:8" s="16" customFormat="1" ht="16.899999999999999" customHeight="1" x14ac:dyDescent="0.2">
      <c r="B1674" s="17"/>
      <c r="C1674" s="83"/>
      <c r="D1674" s="83" t="s">
        <v>666</v>
      </c>
      <c r="E1674" s="2"/>
      <c r="F1674" s="200">
        <v>4.5</v>
      </c>
      <c r="H1674" s="17"/>
    </row>
    <row r="1675" spans="2:8" s="16" customFormat="1" ht="16.899999999999999" customHeight="1" x14ac:dyDescent="0.2">
      <c r="B1675" s="17"/>
      <c r="C1675" s="83"/>
      <c r="D1675" s="83" t="s">
        <v>667</v>
      </c>
      <c r="E1675" s="2"/>
      <c r="F1675" s="200">
        <v>0</v>
      </c>
      <c r="H1675" s="17"/>
    </row>
    <row r="1676" spans="2:8" s="16" customFormat="1" ht="16.899999999999999" customHeight="1" x14ac:dyDescent="0.2">
      <c r="B1676" s="17"/>
      <c r="C1676" s="83"/>
      <c r="D1676" s="83" t="s">
        <v>668</v>
      </c>
      <c r="E1676" s="2"/>
      <c r="F1676" s="200">
        <v>7.8209999999999997</v>
      </c>
      <c r="H1676" s="17"/>
    </row>
    <row r="1677" spans="2:8" s="16" customFormat="1" ht="16.899999999999999" customHeight="1" x14ac:dyDescent="0.2">
      <c r="B1677" s="17"/>
      <c r="C1677" s="83"/>
      <c r="D1677" s="83" t="s">
        <v>669</v>
      </c>
      <c r="E1677" s="2"/>
      <c r="F1677" s="200">
        <v>0</v>
      </c>
      <c r="H1677" s="17"/>
    </row>
    <row r="1678" spans="2:8" s="16" customFormat="1" ht="16.899999999999999" customHeight="1" x14ac:dyDescent="0.2">
      <c r="B1678" s="17"/>
      <c r="C1678" s="83"/>
      <c r="D1678" s="83" t="s">
        <v>668</v>
      </c>
      <c r="E1678" s="2"/>
      <c r="F1678" s="200">
        <v>7.8209999999999997</v>
      </c>
      <c r="H1678" s="17"/>
    </row>
    <row r="1679" spans="2:8" s="16" customFormat="1" ht="16.899999999999999" customHeight="1" x14ac:dyDescent="0.2">
      <c r="B1679" s="17"/>
      <c r="C1679" s="83"/>
      <c r="D1679" s="83" t="s">
        <v>670</v>
      </c>
      <c r="E1679" s="2"/>
      <c r="F1679" s="200">
        <v>0</v>
      </c>
      <c r="H1679" s="17"/>
    </row>
    <row r="1680" spans="2:8" s="16" customFormat="1" ht="16.899999999999999" customHeight="1" x14ac:dyDescent="0.2">
      <c r="B1680" s="17"/>
      <c r="C1680" s="83"/>
      <c r="D1680" s="83" t="s">
        <v>671</v>
      </c>
      <c r="E1680" s="2"/>
      <c r="F1680" s="200">
        <v>12.727</v>
      </c>
      <c r="H1680" s="17"/>
    </row>
    <row r="1681" spans="2:8" s="16" customFormat="1" ht="16.899999999999999" customHeight="1" x14ac:dyDescent="0.2">
      <c r="B1681" s="17"/>
      <c r="C1681" s="83"/>
      <c r="D1681" s="83" t="s">
        <v>672</v>
      </c>
      <c r="E1681" s="2"/>
      <c r="F1681" s="200">
        <v>0</v>
      </c>
      <c r="H1681" s="17"/>
    </row>
    <row r="1682" spans="2:8" s="16" customFormat="1" ht="16.899999999999999" customHeight="1" x14ac:dyDescent="0.2">
      <c r="B1682" s="17"/>
      <c r="C1682" s="83"/>
      <c r="D1682" s="83" t="s">
        <v>673</v>
      </c>
      <c r="E1682" s="2"/>
      <c r="F1682" s="200">
        <v>11.5</v>
      </c>
      <c r="H1682" s="17"/>
    </row>
    <row r="1683" spans="2:8" s="16" customFormat="1" ht="16.899999999999999" customHeight="1" x14ac:dyDescent="0.2">
      <c r="B1683" s="17"/>
      <c r="C1683" s="83"/>
      <c r="D1683" s="83" t="s">
        <v>674</v>
      </c>
      <c r="E1683" s="2"/>
      <c r="F1683" s="200">
        <v>0</v>
      </c>
      <c r="H1683" s="17"/>
    </row>
    <row r="1684" spans="2:8" s="16" customFormat="1" ht="16.899999999999999" customHeight="1" x14ac:dyDescent="0.2">
      <c r="B1684" s="17"/>
      <c r="C1684" s="83"/>
      <c r="D1684" s="83" t="s">
        <v>675</v>
      </c>
      <c r="E1684" s="2"/>
      <c r="F1684" s="200">
        <v>14.4</v>
      </c>
      <c r="H1684" s="17"/>
    </row>
    <row r="1685" spans="2:8" s="16" customFormat="1" ht="16.899999999999999" customHeight="1" x14ac:dyDescent="0.2">
      <c r="B1685" s="17"/>
      <c r="C1685" s="83" t="s">
        <v>283</v>
      </c>
      <c r="D1685" s="83" t="s">
        <v>609</v>
      </c>
      <c r="E1685" s="2"/>
      <c r="F1685" s="200">
        <v>72.796000000000006</v>
      </c>
      <c r="H1685" s="17"/>
    </row>
    <row r="1686" spans="2:8" s="16" customFormat="1" ht="16.899999999999999" customHeight="1" x14ac:dyDescent="0.2">
      <c r="B1686" s="17"/>
      <c r="C1686" s="201" t="s">
        <v>8859</v>
      </c>
      <c r="H1686" s="17"/>
    </row>
    <row r="1687" spans="2:8" s="16" customFormat="1" ht="16.899999999999999" customHeight="1" x14ac:dyDescent="0.2">
      <c r="B1687" s="17"/>
      <c r="C1687" s="83" t="s">
        <v>659</v>
      </c>
      <c r="D1687" s="83" t="s">
        <v>660</v>
      </c>
      <c r="E1687" s="2" t="s">
        <v>425</v>
      </c>
      <c r="F1687" s="200">
        <v>72.796000000000006</v>
      </c>
      <c r="H1687" s="17"/>
    </row>
    <row r="1688" spans="2:8" s="16" customFormat="1" ht="16.899999999999999" customHeight="1" x14ac:dyDescent="0.2">
      <c r="B1688" s="17"/>
      <c r="C1688" s="83" t="s">
        <v>709</v>
      </c>
      <c r="D1688" s="83" t="s">
        <v>710</v>
      </c>
      <c r="E1688" s="2" t="s">
        <v>425</v>
      </c>
      <c r="F1688" s="200">
        <v>8593.9920000000002</v>
      </c>
      <c r="H1688" s="17"/>
    </row>
    <row r="1689" spans="2:8" s="16" customFormat="1" ht="16.899999999999999" customHeight="1" x14ac:dyDescent="0.2">
      <c r="B1689" s="17"/>
      <c r="C1689" s="196" t="s">
        <v>285</v>
      </c>
      <c r="D1689" s="197"/>
      <c r="E1689" s="198"/>
      <c r="F1689" s="199">
        <v>1142.143</v>
      </c>
      <c r="H1689" s="17"/>
    </row>
    <row r="1690" spans="2:8" s="16" customFormat="1" ht="16.899999999999999" customHeight="1" x14ac:dyDescent="0.2">
      <c r="B1690" s="17"/>
      <c r="C1690" s="83"/>
      <c r="D1690" s="83" t="s">
        <v>680</v>
      </c>
      <c r="E1690" s="2"/>
      <c r="F1690" s="200">
        <v>0</v>
      </c>
      <c r="H1690" s="17"/>
    </row>
    <row r="1691" spans="2:8" s="16" customFormat="1" ht="16.899999999999999" customHeight="1" x14ac:dyDescent="0.2">
      <c r="B1691" s="17"/>
      <c r="C1691" s="83"/>
      <c r="D1691" s="83" t="s">
        <v>681</v>
      </c>
      <c r="E1691" s="2"/>
      <c r="F1691" s="200">
        <v>42.41</v>
      </c>
      <c r="H1691" s="17"/>
    </row>
    <row r="1692" spans="2:8" s="16" customFormat="1" ht="16.899999999999999" customHeight="1" x14ac:dyDescent="0.2">
      <c r="B1692" s="17"/>
      <c r="C1692" s="83"/>
      <c r="D1692" s="83" t="s">
        <v>682</v>
      </c>
      <c r="E1692" s="2"/>
      <c r="F1692" s="200">
        <v>1132.45</v>
      </c>
      <c r="H1692" s="17"/>
    </row>
    <row r="1693" spans="2:8" s="16" customFormat="1" ht="16.899999999999999" customHeight="1" x14ac:dyDescent="0.2">
      <c r="B1693" s="17"/>
      <c r="C1693" s="83"/>
      <c r="D1693" s="83"/>
      <c r="E1693" s="2"/>
      <c r="F1693" s="200">
        <v>0</v>
      </c>
      <c r="H1693" s="17"/>
    </row>
    <row r="1694" spans="2:8" s="16" customFormat="1" ht="16.899999999999999" customHeight="1" x14ac:dyDescent="0.2">
      <c r="B1694" s="17"/>
      <c r="C1694" s="83"/>
      <c r="D1694" s="83" t="s">
        <v>683</v>
      </c>
      <c r="E1694" s="2"/>
      <c r="F1694" s="200">
        <v>0</v>
      </c>
      <c r="H1694" s="17"/>
    </row>
    <row r="1695" spans="2:8" s="16" customFormat="1" ht="16.899999999999999" customHeight="1" x14ac:dyDescent="0.2">
      <c r="B1695" s="17"/>
      <c r="C1695" s="83"/>
      <c r="D1695" s="83" t="s">
        <v>684</v>
      </c>
      <c r="E1695" s="2"/>
      <c r="F1695" s="200">
        <v>-32.716999999999999</v>
      </c>
      <c r="H1695" s="17"/>
    </row>
    <row r="1696" spans="2:8" s="16" customFormat="1" ht="16.899999999999999" customHeight="1" x14ac:dyDescent="0.2">
      <c r="B1696" s="17"/>
      <c r="C1696" s="83" t="s">
        <v>285</v>
      </c>
      <c r="D1696" s="83" t="s">
        <v>609</v>
      </c>
      <c r="E1696" s="2"/>
      <c r="F1696" s="200">
        <v>1142.143</v>
      </c>
      <c r="H1696" s="17"/>
    </row>
    <row r="1697" spans="2:8" s="16" customFormat="1" ht="16.899999999999999" customHeight="1" x14ac:dyDescent="0.2">
      <c r="B1697" s="17"/>
      <c r="C1697" s="201" t="s">
        <v>8859</v>
      </c>
      <c r="H1697" s="17"/>
    </row>
    <row r="1698" spans="2:8" s="16" customFormat="1" ht="16.899999999999999" customHeight="1" x14ac:dyDescent="0.2">
      <c r="B1698" s="17"/>
      <c r="C1698" s="83" t="s">
        <v>677</v>
      </c>
      <c r="D1698" s="83" t="s">
        <v>678</v>
      </c>
      <c r="E1698" s="2" t="s">
        <v>425</v>
      </c>
      <c r="F1698" s="200">
        <v>1142.143</v>
      </c>
      <c r="H1698" s="17"/>
    </row>
    <row r="1699" spans="2:8" s="16" customFormat="1" ht="16.899999999999999" customHeight="1" x14ac:dyDescent="0.2">
      <c r="B1699" s="17"/>
      <c r="C1699" s="83" t="s">
        <v>2060</v>
      </c>
      <c r="D1699" s="83" t="s">
        <v>2061</v>
      </c>
      <c r="E1699" s="2" t="s">
        <v>425</v>
      </c>
      <c r="F1699" s="200">
        <v>10722.981</v>
      </c>
      <c r="H1699" s="17"/>
    </row>
    <row r="1700" spans="2:8" s="16" customFormat="1" ht="16.899999999999999" customHeight="1" x14ac:dyDescent="0.2">
      <c r="B1700" s="17"/>
      <c r="C1700" s="196" t="s">
        <v>287</v>
      </c>
      <c r="D1700" s="197"/>
      <c r="E1700" s="198"/>
      <c r="F1700" s="199">
        <v>32.716999999999999</v>
      </c>
      <c r="H1700" s="17"/>
    </row>
    <row r="1701" spans="2:8" s="16" customFormat="1" ht="16.899999999999999" customHeight="1" x14ac:dyDescent="0.2">
      <c r="B1701" s="17"/>
      <c r="C1701" s="83"/>
      <c r="D1701" s="83"/>
      <c r="E1701" s="2"/>
      <c r="F1701" s="200">
        <v>0</v>
      </c>
      <c r="H1701" s="17"/>
    </row>
    <row r="1702" spans="2:8" s="16" customFormat="1" ht="16.899999999999999" customHeight="1" x14ac:dyDescent="0.2">
      <c r="B1702" s="17"/>
      <c r="C1702" s="83"/>
      <c r="D1702" s="83" t="s">
        <v>610</v>
      </c>
      <c r="E1702" s="2"/>
      <c r="F1702" s="200">
        <v>0</v>
      </c>
      <c r="H1702" s="17"/>
    </row>
    <row r="1703" spans="2:8" s="16" customFormat="1" ht="16.899999999999999" customHeight="1" x14ac:dyDescent="0.2">
      <c r="B1703" s="17"/>
      <c r="C1703" s="83"/>
      <c r="D1703" s="83" t="s">
        <v>605</v>
      </c>
      <c r="E1703" s="2"/>
      <c r="F1703" s="200">
        <v>0</v>
      </c>
      <c r="H1703" s="17"/>
    </row>
    <row r="1704" spans="2:8" s="16" customFormat="1" ht="16.899999999999999" customHeight="1" x14ac:dyDescent="0.2">
      <c r="B1704" s="17"/>
      <c r="C1704" s="83"/>
      <c r="D1704" s="83" t="s">
        <v>611</v>
      </c>
      <c r="E1704" s="2"/>
      <c r="F1704" s="200">
        <v>14.19</v>
      </c>
      <c r="H1704" s="17"/>
    </row>
    <row r="1705" spans="2:8" s="16" customFormat="1" ht="16.899999999999999" customHeight="1" x14ac:dyDescent="0.2">
      <c r="B1705" s="17"/>
      <c r="C1705" s="83"/>
      <c r="D1705" s="83" t="s">
        <v>612</v>
      </c>
      <c r="E1705" s="2"/>
      <c r="F1705" s="200">
        <v>0</v>
      </c>
      <c r="H1705" s="17"/>
    </row>
    <row r="1706" spans="2:8" s="16" customFormat="1" ht="16.899999999999999" customHeight="1" x14ac:dyDescent="0.2">
      <c r="B1706" s="17"/>
      <c r="C1706" s="83"/>
      <c r="D1706" s="83" t="s">
        <v>613</v>
      </c>
      <c r="E1706" s="2"/>
      <c r="F1706" s="200">
        <v>18.527000000000001</v>
      </c>
      <c r="H1706" s="17"/>
    </row>
    <row r="1707" spans="2:8" s="16" customFormat="1" ht="16.899999999999999" customHeight="1" x14ac:dyDescent="0.2">
      <c r="B1707" s="17"/>
      <c r="C1707" s="83" t="s">
        <v>287</v>
      </c>
      <c r="D1707" s="83" t="s">
        <v>609</v>
      </c>
      <c r="E1707" s="2"/>
      <c r="F1707" s="200">
        <v>32.716999999999999</v>
      </c>
      <c r="H1707" s="17"/>
    </row>
    <row r="1708" spans="2:8" s="16" customFormat="1" ht="16.899999999999999" customHeight="1" x14ac:dyDescent="0.2">
      <c r="B1708" s="17"/>
      <c r="C1708" s="201" t="s">
        <v>8859</v>
      </c>
      <c r="H1708" s="17"/>
    </row>
    <row r="1709" spans="2:8" s="16" customFormat="1" ht="16.899999999999999" customHeight="1" x14ac:dyDescent="0.2">
      <c r="B1709" s="17"/>
      <c r="C1709" s="83" t="s">
        <v>601</v>
      </c>
      <c r="D1709" s="83" t="s">
        <v>602</v>
      </c>
      <c r="E1709" s="2" t="s">
        <v>425</v>
      </c>
      <c r="F1709" s="200">
        <v>50.83</v>
      </c>
      <c r="H1709" s="17"/>
    </row>
    <row r="1710" spans="2:8" s="16" customFormat="1" ht="16.899999999999999" customHeight="1" x14ac:dyDescent="0.2">
      <c r="B1710" s="17"/>
      <c r="C1710" s="83" t="s">
        <v>677</v>
      </c>
      <c r="D1710" s="83" t="s">
        <v>678</v>
      </c>
      <c r="E1710" s="2" t="s">
        <v>425</v>
      </c>
      <c r="F1710" s="200">
        <v>1142.143</v>
      </c>
      <c r="H1710" s="17"/>
    </row>
    <row r="1711" spans="2:8" s="16" customFormat="1" ht="16.899999999999999" customHeight="1" x14ac:dyDescent="0.2">
      <c r="B1711" s="17"/>
      <c r="C1711" s="83" t="s">
        <v>2060</v>
      </c>
      <c r="D1711" s="83" t="s">
        <v>2061</v>
      </c>
      <c r="E1711" s="2" t="s">
        <v>425</v>
      </c>
      <c r="F1711" s="200">
        <v>10722.981</v>
      </c>
      <c r="H1711" s="17"/>
    </row>
    <row r="1712" spans="2:8" s="16" customFormat="1" ht="16.899999999999999" customHeight="1" x14ac:dyDescent="0.2">
      <c r="B1712" s="17"/>
      <c r="C1712" s="196" t="s">
        <v>294</v>
      </c>
      <c r="D1712" s="197"/>
      <c r="E1712" s="198"/>
      <c r="F1712" s="199">
        <v>18.113</v>
      </c>
      <c r="H1712" s="17"/>
    </row>
    <row r="1713" spans="2:8" s="16" customFormat="1" ht="16.899999999999999" customHeight="1" x14ac:dyDescent="0.2">
      <c r="B1713" s="17"/>
      <c r="C1713" s="83"/>
      <c r="D1713" s="83" t="s">
        <v>604</v>
      </c>
      <c r="E1713" s="2"/>
      <c r="F1713" s="200">
        <v>0</v>
      </c>
      <c r="H1713" s="17"/>
    </row>
    <row r="1714" spans="2:8" s="16" customFormat="1" ht="16.899999999999999" customHeight="1" x14ac:dyDescent="0.2">
      <c r="B1714" s="17"/>
      <c r="C1714" s="83"/>
      <c r="D1714" s="83" t="s">
        <v>605</v>
      </c>
      <c r="E1714" s="2"/>
      <c r="F1714" s="200">
        <v>0</v>
      </c>
      <c r="H1714" s="17"/>
    </row>
    <row r="1715" spans="2:8" s="16" customFormat="1" ht="16.899999999999999" customHeight="1" x14ac:dyDescent="0.2">
      <c r="B1715" s="17"/>
      <c r="C1715" s="83"/>
      <c r="D1715" s="83" t="s">
        <v>606</v>
      </c>
      <c r="E1715" s="2"/>
      <c r="F1715" s="200">
        <v>3.4129999999999998</v>
      </c>
      <c r="H1715" s="17"/>
    </row>
    <row r="1716" spans="2:8" s="16" customFormat="1" ht="16.899999999999999" customHeight="1" x14ac:dyDescent="0.2">
      <c r="B1716" s="17"/>
      <c r="C1716" s="83"/>
      <c r="D1716" s="83" t="s">
        <v>607</v>
      </c>
      <c r="E1716" s="2"/>
      <c r="F1716" s="200">
        <v>0</v>
      </c>
      <c r="H1716" s="17"/>
    </row>
    <row r="1717" spans="2:8" s="16" customFormat="1" ht="16.899999999999999" customHeight="1" x14ac:dyDescent="0.2">
      <c r="B1717" s="17"/>
      <c r="C1717" s="83"/>
      <c r="D1717" s="83" t="s">
        <v>608</v>
      </c>
      <c r="E1717" s="2"/>
      <c r="F1717" s="200">
        <v>14.7</v>
      </c>
      <c r="H1717" s="17"/>
    </row>
    <row r="1718" spans="2:8" s="16" customFormat="1" ht="16.899999999999999" customHeight="1" x14ac:dyDescent="0.2">
      <c r="B1718" s="17"/>
      <c r="C1718" s="83" t="s">
        <v>294</v>
      </c>
      <c r="D1718" s="83" t="s">
        <v>609</v>
      </c>
      <c r="E1718" s="2"/>
      <c r="F1718" s="200">
        <v>18.113</v>
      </c>
      <c r="H1718" s="17"/>
    </row>
    <row r="1719" spans="2:8" s="16" customFormat="1" ht="16.899999999999999" customHeight="1" x14ac:dyDescent="0.2">
      <c r="B1719" s="17"/>
      <c r="C1719" s="201" t="s">
        <v>8859</v>
      </c>
      <c r="H1719" s="17"/>
    </row>
    <row r="1720" spans="2:8" s="16" customFormat="1" ht="16.899999999999999" customHeight="1" x14ac:dyDescent="0.2">
      <c r="B1720" s="17"/>
      <c r="C1720" s="83" t="s">
        <v>601</v>
      </c>
      <c r="D1720" s="83" t="s">
        <v>602</v>
      </c>
      <c r="E1720" s="2" t="s">
        <v>425</v>
      </c>
      <c r="F1720" s="200">
        <v>50.83</v>
      </c>
      <c r="H1720" s="17"/>
    </row>
    <row r="1721" spans="2:8" s="16" customFormat="1" ht="16.899999999999999" customHeight="1" x14ac:dyDescent="0.2">
      <c r="B1721" s="17"/>
      <c r="C1721" s="83" t="s">
        <v>592</v>
      </c>
      <c r="D1721" s="83" t="s">
        <v>593</v>
      </c>
      <c r="E1721" s="2" t="s">
        <v>425</v>
      </c>
      <c r="F1721" s="200">
        <v>34.667000000000002</v>
      </c>
      <c r="H1721" s="17"/>
    </row>
    <row r="1722" spans="2:8" s="16" customFormat="1" ht="16.899999999999999" customHeight="1" x14ac:dyDescent="0.2">
      <c r="B1722" s="17"/>
      <c r="C1722" s="83" t="s">
        <v>2060</v>
      </c>
      <c r="D1722" s="83" t="s">
        <v>2061</v>
      </c>
      <c r="E1722" s="2" t="s">
        <v>425</v>
      </c>
      <c r="F1722" s="200">
        <v>10722.981</v>
      </c>
      <c r="H1722" s="17"/>
    </row>
    <row r="1723" spans="2:8" s="16" customFormat="1" ht="16.899999999999999" customHeight="1" x14ac:dyDescent="0.2">
      <c r="B1723" s="17"/>
      <c r="C1723" s="196" t="s">
        <v>296</v>
      </c>
      <c r="D1723" s="197"/>
      <c r="E1723" s="198"/>
      <c r="F1723" s="199">
        <v>34.667000000000002</v>
      </c>
      <c r="H1723" s="17"/>
    </row>
    <row r="1724" spans="2:8" s="16" customFormat="1" ht="16.899999999999999" customHeight="1" x14ac:dyDescent="0.2">
      <c r="B1724" s="17"/>
      <c r="C1724" s="83"/>
      <c r="D1724" s="83" t="s">
        <v>595</v>
      </c>
      <c r="E1724" s="2"/>
      <c r="F1724" s="200">
        <v>13.76</v>
      </c>
      <c r="H1724" s="17"/>
    </row>
    <row r="1725" spans="2:8" s="16" customFormat="1" ht="16.899999999999999" customHeight="1" x14ac:dyDescent="0.2">
      <c r="B1725" s="17"/>
      <c r="C1725" s="83"/>
      <c r="D1725" s="83" t="s">
        <v>596</v>
      </c>
      <c r="E1725" s="2"/>
      <c r="F1725" s="200">
        <v>17.38</v>
      </c>
      <c r="H1725" s="17"/>
    </row>
    <row r="1726" spans="2:8" s="16" customFormat="1" ht="16.899999999999999" customHeight="1" x14ac:dyDescent="0.2">
      <c r="B1726" s="17"/>
      <c r="C1726" s="83"/>
      <c r="D1726" s="83" t="s">
        <v>597</v>
      </c>
      <c r="E1726" s="2"/>
      <c r="F1726" s="200">
        <v>21.64</v>
      </c>
      <c r="H1726" s="17"/>
    </row>
    <row r="1727" spans="2:8" s="16" customFormat="1" ht="16.899999999999999" customHeight="1" x14ac:dyDescent="0.2">
      <c r="B1727" s="17"/>
      <c r="C1727" s="83"/>
      <c r="D1727" s="83"/>
      <c r="E1727" s="2"/>
      <c r="F1727" s="200">
        <v>0</v>
      </c>
      <c r="H1727" s="17"/>
    </row>
    <row r="1728" spans="2:8" s="16" customFormat="1" ht="16.899999999999999" customHeight="1" x14ac:dyDescent="0.2">
      <c r="B1728" s="17"/>
      <c r="C1728" s="83"/>
      <c r="D1728" s="83" t="s">
        <v>598</v>
      </c>
      <c r="E1728" s="2"/>
      <c r="F1728" s="200">
        <v>0</v>
      </c>
      <c r="H1728" s="17"/>
    </row>
    <row r="1729" spans="2:8" s="16" customFormat="1" ht="16.899999999999999" customHeight="1" x14ac:dyDescent="0.2">
      <c r="B1729" s="17"/>
      <c r="C1729" s="83"/>
      <c r="D1729" s="83" t="s">
        <v>599</v>
      </c>
      <c r="E1729" s="2"/>
      <c r="F1729" s="200">
        <v>-18.113</v>
      </c>
      <c r="H1729" s="17"/>
    </row>
    <row r="1730" spans="2:8" s="16" customFormat="1" ht="16.899999999999999" customHeight="1" x14ac:dyDescent="0.2">
      <c r="B1730" s="17"/>
      <c r="C1730" s="83" t="s">
        <v>296</v>
      </c>
      <c r="D1730" s="83" t="s">
        <v>351</v>
      </c>
      <c r="E1730" s="2"/>
      <c r="F1730" s="200">
        <v>34.667000000000002</v>
      </c>
      <c r="H1730" s="17"/>
    </row>
    <row r="1731" spans="2:8" s="16" customFormat="1" ht="16.899999999999999" customHeight="1" x14ac:dyDescent="0.2">
      <c r="B1731" s="17"/>
      <c r="C1731" s="201" t="s">
        <v>8859</v>
      </c>
      <c r="H1731" s="17"/>
    </row>
    <row r="1732" spans="2:8" s="16" customFormat="1" ht="16.899999999999999" customHeight="1" x14ac:dyDescent="0.2">
      <c r="B1732" s="17"/>
      <c r="C1732" s="83" t="s">
        <v>592</v>
      </c>
      <c r="D1732" s="83" t="s">
        <v>593</v>
      </c>
      <c r="E1732" s="2" t="s">
        <v>425</v>
      </c>
      <c r="F1732" s="200">
        <v>34.667000000000002</v>
      </c>
      <c r="H1732" s="17"/>
    </row>
    <row r="1733" spans="2:8" s="16" customFormat="1" ht="16.899999999999999" customHeight="1" x14ac:dyDescent="0.2">
      <c r="B1733" s="17"/>
      <c r="C1733" s="83" t="s">
        <v>588</v>
      </c>
      <c r="D1733" s="83" t="s">
        <v>589</v>
      </c>
      <c r="E1733" s="2" t="s">
        <v>425</v>
      </c>
      <c r="F1733" s="200">
        <v>34.667000000000002</v>
      </c>
      <c r="H1733" s="17"/>
    </row>
    <row r="1734" spans="2:8" s="16" customFormat="1" ht="16.899999999999999" customHeight="1" x14ac:dyDescent="0.2">
      <c r="B1734" s="17"/>
      <c r="C1734" s="83" t="s">
        <v>2060</v>
      </c>
      <c r="D1734" s="83" t="s">
        <v>2061</v>
      </c>
      <c r="E1734" s="2" t="s">
        <v>425</v>
      </c>
      <c r="F1734" s="200">
        <v>10722.981</v>
      </c>
      <c r="H1734" s="17"/>
    </row>
    <row r="1735" spans="2:8" s="16" customFormat="1" ht="16.899999999999999" customHeight="1" x14ac:dyDescent="0.2">
      <c r="B1735" s="17"/>
      <c r="C1735" s="83" t="s">
        <v>2338</v>
      </c>
      <c r="D1735" s="83" t="s">
        <v>2339</v>
      </c>
      <c r="E1735" s="2" t="s">
        <v>425</v>
      </c>
      <c r="F1735" s="200">
        <v>3648.8159999999998</v>
      </c>
      <c r="H1735" s="17"/>
    </row>
    <row r="1736" spans="2:8" s="16" customFormat="1" ht="26.45" customHeight="1" x14ac:dyDescent="0.2">
      <c r="B1736" s="17"/>
      <c r="C1736" s="195" t="s">
        <v>8860</v>
      </c>
      <c r="D1736" s="195" t="s">
        <v>97</v>
      </c>
      <c r="H1736" s="17"/>
    </row>
    <row r="1737" spans="2:8" s="16" customFormat="1" ht="16.899999999999999" customHeight="1" x14ac:dyDescent="0.2">
      <c r="B1737" s="17"/>
      <c r="C1737" s="196" t="s">
        <v>2439</v>
      </c>
      <c r="D1737" s="197"/>
      <c r="E1737" s="198"/>
      <c r="F1737" s="199">
        <v>1055.489</v>
      </c>
      <c r="H1737" s="17"/>
    </row>
    <row r="1738" spans="2:8" s="16" customFormat="1" ht="16.899999999999999" customHeight="1" x14ac:dyDescent="0.2">
      <c r="B1738" s="17"/>
      <c r="C1738" s="83"/>
      <c r="D1738" s="83" t="s">
        <v>2938</v>
      </c>
      <c r="E1738" s="2"/>
      <c r="F1738" s="200">
        <v>0</v>
      </c>
      <c r="H1738" s="17"/>
    </row>
    <row r="1739" spans="2:8" s="16" customFormat="1" ht="16.899999999999999" customHeight="1" x14ac:dyDescent="0.2">
      <c r="B1739" s="17"/>
      <c r="C1739" s="83"/>
      <c r="D1739" s="83" t="s">
        <v>2939</v>
      </c>
      <c r="E1739" s="2"/>
      <c r="F1739" s="200">
        <v>0</v>
      </c>
      <c r="H1739" s="17"/>
    </row>
    <row r="1740" spans="2:8" s="16" customFormat="1" ht="16.899999999999999" customHeight="1" x14ac:dyDescent="0.2">
      <c r="B1740" s="17"/>
      <c r="C1740" s="83"/>
      <c r="D1740" s="83" t="s">
        <v>2940</v>
      </c>
      <c r="E1740" s="2"/>
      <c r="F1740" s="200">
        <v>0</v>
      </c>
      <c r="H1740" s="17"/>
    </row>
    <row r="1741" spans="2:8" s="16" customFormat="1" ht="16.899999999999999" customHeight="1" x14ac:dyDescent="0.2">
      <c r="B1741" s="17"/>
      <c r="C1741" s="83"/>
      <c r="D1741" s="83" t="s">
        <v>2467</v>
      </c>
      <c r="E1741" s="2"/>
      <c r="F1741" s="200">
        <v>0</v>
      </c>
      <c r="H1741" s="17"/>
    </row>
    <row r="1742" spans="2:8" s="16" customFormat="1" ht="16.899999999999999" customHeight="1" x14ac:dyDescent="0.2">
      <c r="B1742" s="17"/>
      <c r="C1742" s="83"/>
      <c r="D1742" s="83" t="s">
        <v>2941</v>
      </c>
      <c r="E1742" s="2"/>
      <c r="F1742" s="200">
        <v>4.585</v>
      </c>
      <c r="H1742" s="17"/>
    </row>
    <row r="1743" spans="2:8" s="16" customFormat="1" ht="16.899999999999999" customHeight="1" x14ac:dyDescent="0.2">
      <c r="B1743" s="17"/>
      <c r="C1743" s="83"/>
      <c r="D1743" s="83" t="s">
        <v>2522</v>
      </c>
      <c r="E1743" s="2"/>
      <c r="F1743" s="200">
        <v>0</v>
      </c>
      <c r="H1743" s="17"/>
    </row>
    <row r="1744" spans="2:8" s="16" customFormat="1" ht="16.899999999999999" customHeight="1" x14ac:dyDescent="0.2">
      <c r="B1744" s="17"/>
      <c r="C1744" s="83"/>
      <c r="D1744" s="83" t="s">
        <v>2942</v>
      </c>
      <c r="E1744" s="2"/>
      <c r="F1744" s="200">
        <v>64.435000000000002</v>
      </c>
      <c r="H1744" s="17"/>
    </row>
    <row r="1745" spans="2:8" s="16" customFormat="1" ht="16.899999999999999" customHeight="1" x14ac:dyDescent="0.2">
      <c r="B1745" s="17"/>
      <c r="C1745" s="83"/>
      <c r="D1745" s="83" t="s">
        <v>2664</v>
      </c>
      <c r="E1745" s="2"/>
      <c r="F1745" s="200">
        <v>0</v>
      </c>
      <c r="H1745" s="17"/>
    </row>
    <row r="1746" spans="2:8" s="16" customFormat="1" ht="16.899999999999999" customHeight="1" x14ac:dyDescent="0.2">
      <c r="B1746" s="17"/>
      <c r="C1746" s="83"/>
      <c r="D1746" s="83" t="s">
        <v>2943</v>
      </c>
      <c r="E1746" s="2"/>
      <c r="F1746" s="200">
        <v>222.95</v>
      </c>
      <c r="H1746" s="17"/>
    </row>
    <row r="1747" spans="2:8" s="16" customFormat="1" ht="16.899999999999999" customHeight="1" x14ac:dyDescent="0.2">
      <c r="B1747" s="17"/>
      <c r="C1747" s="83"/>
      <c r="D1747" s="83" t="s">
        <v>2695</v>
      </c>
      <c r="E1747" s="2"/>
      <c r="F1747" s="200">
        <v>0</v>
      </c>
      <c r="H1747" s="17"/>
    </row>
    <row r="1748" spans="2:8" s="16" customFormat="1" ht="16.899999999999999" customHeight="1" x14ac:dyDescent="0.2">
      <c r="B1748" s="17"/>
      <c r="C1748" s="83"/>
      <c r="D1748" s="83" t="s">
        <v>2944</v>
      </c>
      <c r="E1748" s="2"/>
      <c r="F1748" s="200">
        <v>222.81</v>
      </c>
      <c r="H1748" s="17"/>
    </row>
    <row r="1749" spans="2:8" s="16" customFormat="1" ht="16.899999999999999" customHeight="1" x14ac:dyDescent="0.2">
      <c r="B1749" s="17"/>
      <c r="C1749" s="83"/>
      <c r="D1749" s="83" t="s">
        <v>2722</v>
      </c>
      <c r="E1749" s="2"/>
      <c r="F1749" s="200">
        <v>0</v>
      </c>
      <c r="H1749" s="17"/>
    </row>
    <row r="1750" spans="2:8" s="16" customFormat="1" ht="16.899999999999999" customHeight="1" x14ac:dyDescent="0.2">
      <c r="B1750" s="17"/>
      <c r="C1750" s="83"/>
      <c r="D1750" s="83" t="s">
        <v>2945</v>
      </c>
      <c r="E1750" s="2"/>
      <c r="F1750" s="200">
        <v>243.14500000000001</v>
      </c>
      <c r="H1750" s="17"/>
    </row>
    <row r="1751" spans="2:8" s="16" customFormat="1" ht="16.899999999999999" customHeight="1" x14ac:dyDescent="0.2">
      <c r="B1751" s="17"/>
      <c r="C1751" s="83"/>
      <c r="D1751" s="83" t="s">
        <v>2742</v>
      </c>
      <c r="E1751" s="2"/>
      <c r="F1751" s="200">
        <v>0</v>
      </c>
      <c r="H1751" s="17"/>
    </row>
    <row r="1752" spans="2:8" s="16" customFormat="1" ht="16.899999999999999" customHeight="1" x14ac:dyDescent="0.2">
      <c r="B1752" s="17"/>
      <c r="C1752" s="83"/>
      <c r="D1752" s="83" t="s">
        <v>2946</v>
      </c>
      <c r="E1752" s="2"/>
      <c r="F1752" s="200">
        <v>215.005</v>
      </c>
      <c r="H1752" s="17"/>
    </row>
    <row r="1753" spans="2:8" s="16" customFormat="1" ht="16.899999999999999" customHeight="1" x14ac:dyDescent="0.2">
      <c r="B1753" s="17"/>
      <c r="C1753" s="83"/>
      <c r="D1753" s="83" t="s">
        <v>2757</v>
      </c>
      <c r="E1753" s="2"/>
      <c r="F1753" s="200">
        <v>0</v>
      </c>
      <c r="H1753" s="17"/>
    </row>
    <row r="1754" spans="2:8" s="16" customFormat="1" ht="16.899999999999999" customHeight="1" x14ac:dyDescent="0.2">
      <c r="B1754" s="17"/>
      <c r="C1754" s="83"/>
      <c r="D1754" s="83" t="s">
        <v>2947</v>
      </c>
      <c r="E1754" s="2"/>
      <c r="F1754" s="200">
        <v>316.22500000000002</v>
      </c>
      <c r="H1754" s="17"/>
    </row>
    <row r="1755" spans="2:8" s="16" customFormat="1" ht="16.899999999999999" customHeight="1" x14ac:dyDescent="0.2">
      <c r="B1755" s="17"/>
      <c r="C1755" s="83"/>
      <c r="D1755" s="83" t="s">
        <v>2948</v>
      </c>
      <c r="E1755" s="2"/>
      <c r="F1755" s="200">
        <v>0</v>
      </c>
      <c r="H1755" s="17"/>
    </row>
    <row r="1756" spans="2:8" s="16" customFormat="1" ht="16.899999999999999" customHeight="1" x14ac:dyDescent="0.2">
      <c r="B1756" s="17"/>
      <c r="C1756" s="83"/>
      <c r="D1756" s="83" t="s">
        <v>2949</v>
      </c>
      <c r="E1756" s="2"/>
      <c r="F1756" s="200">
        <v>0</v>
      </c>
      <c r="H1756" s="17"/>
    </row>
    <row r="1757" spans="2:8" s="16" customFormat="1" ht="16.899999999999999" customHeight="1" x14ac:dyDescent="0.2">
      <c r="B1757" s="17"/>
      <c r="C1757" s="83"/>
      <c r="D1757" s="83" t="s">
        <v>2950</v>
      </c>
      <c r="E1757" s="2"/>
      <c r="F1757" s="200">
        <v>6.5209999999999999</v>
      </c>
      <c r="H1757" s="17"/>
    </row>
    <row r="1758" spans="2:8" s="16" customFormat="1" ht="16.899999999999999" customHeight="1" x14ac:dyDescent="0.2">
      <c r="B1758" s="17"/>
      <c r="C1758" s="83"/>
      <c r="D1758" s="83" t="s">
        <v>2951</v>
      </c>
      <c r="E1758" s="2"/>
      <c r="F1758" s="200">
        <v>0</v>
      </c>
      <c r="H1758" s="17"/>
    </row>
    <row r="1759" spans="2:8" s="16" customFormat="1" ht="16.899999999999999" customHeight="1" x14ac:dyDescent="0.2">
      <c r="B1759" s="17"/>
      <c r="C1759" s="83"/>
      <c r="D1759" s="83" t="s">
        <v>2952</v>
      </c>
      <c r="E1759" s="2"/>
      <c r="F1759" s="200">
        <v>4.8369999999999997</v>
      </c>
      <c r="H1759" s="17"/>
    </row>
    <row r="1760" spans="2:8" s="16" customFormat="1" ht="16.899999999999999" customHeight="1" x14ac:dyDescent="0.2">
      <c r="B1760" s="17"/>
      <c r="C1760" s="83"/>
      <c r="D1760" s="83" t="s">
        <v>2953</v>
      </c>
      <c r="E1760" s="2"/>
      <c r="F1760" s="200">
        <v>0</v>
      </c>
      <c r="H1760" s="17"/>
    </row>
    <row r="1761" spans="2:8" s="16" customFormat="1" ht="16.899999999999999" customHeight="1" x14ac:dyDescent="0.2">
      <c r="B1761" s="17"/>
      <c r="C1761" s="83"/>
      <c r="D1761" s="83" t="s">
        <v>2954</v>
      </c>
      <c r="E1761" s="2"/>
      <c r="F1761" s="200">
        <v>8.39</v>
      </c>
      <c r="H1761" s="17"/>
    </row>
    <row r="1762" spans="2:8" s="16" customFormat="1" ht="16.899999999999999" customHeight="1" x14ac:dyDescent="0.2">
      <c r="B1762" s="17"/>
      <c r="C1762" s="83"/>
      <c r="D1762" s="83" t="s">
        <v>2955</v>
      </c>
      <c r="E1762" s="2"/>
      <c r="F1762" s="200">
        <v>0</v>
      </c>
      <c r="H1762" s="17"/>
    </row>
    <row r="1763" spans="2:8" s="16" customFormat="1" ht="16.899999999999999" customHeight="1" x14ac:dyDescent="0.2">
      <c r="B1763" s="17"/>
      <c r="C1763" s="83"/>
      <c r="D1763" s="83" t="s">
        <v>2956</v>
      </c>
      <c r="E1763" s="2"/>
      <c r="F1763" s="200">
        <v>23.009</v>
      </c>
      <c r="H1763" s="17"/>
    </row>
    <row r="1764" spans="2:8" s="16" customFormat="1" ht="16.899999999999999" customHeight="1" x14ac:dyDescent="0.2">
      <c r="B1764" s="17"/>
      <c r="C1764" s="83"/>
      <c r="D1764" s="83" t="s">
        <v>2957</v>
      </c>
      <c r="E1764" s="2"/>
      <c r="F1764" s="200">
        <v>0</v>
      </c>
      <c r="H1764" s="17"/>
    </row>
    <row r="1765" spans="2:8" s="16" customFormat="1" ht="16.899999999999999" customHeight="1" x14ac:dyDescent="0.2">
      <c r="B1765" s="17"/>
      <c r="C1765" s="83"/>
      <c r="D1765" s="83" t="s">
        <v>2958</v>
      </c>
      <c r="E1765" s="2"/>
      <c r="F1765" s="200">
        <v>25.431000000000001</v>
      </c>
      <c r="H1765" s="17"/>
    </row>
    <row r="1766" spans="2:8" s="16" customFormat="1" ht="16.899999999999999" customHeight="1" x14ac:dyDescent="0.2">
      <c r="B1766" s="17"/>
      <c r="C1766" s="83"/>
      <c r="D1766" s="83" t="s">
        <v>2959</v>
      </c>
      <c r="E1766" s="2"/>
      <c r="F1766" s="200">
        <v>0</v>
      </c>
      <c r="H1766" s="17"/>
    </row>
    <row r="1767" spans="2:8" s="16" customFormat="1" ht="16.899999999999999" customHeight="1" x14ac:dyDescent="0.2">
      <c r="B1767" s="17"/>
      <c r="C1767" s="83"/>
      <c r="D1767" s="83" t="s">
        <v>2960</v>
      </c>
      <c r="E1767" s="2"/>
      <c r="F1767" s="200">
        <v>4.12</v>
      </c>
      <c r="H1767" s="17"/>
    </row>
    <row r="1768" spans="2:8" s="16" customFormat="1" ht="16.899999999999999" customHeight="1" x14ac:dyDescent="0.2">
      <c r="B1768" s="17"/>
      <c r="C1768" s="83"/>
      <c r="D1768" s="83" t="s">
        <v>2961</v>
      </c>
      <c r="E1768" s="2"/>
      <c r="F1768" s="200">
        <v>0</v>
      </c>
      <c r="H1768" s="17"/>
    </row>
    <row r="1769" spans="2:8" s="16" customFormat="1" ht="16.899999999999999" customHeight="1" x14ac:dyDescent="0.2">
      <c r="B1769" s="17"/>
      <c r="C1769" s="83"/>
      <c r="D1769" s="83" t="s">
        <v>2962</v>
      </c>
      <c r="E1769" s="2"/>
      <c r="F1769" s="200">
        <v>2.0550000000000002</v>
      </c>
      <c r="H1769" s="17"/>
    </row>
    <row r="1770" spans="2:8" s="16" customFormat="1" ht="16.899999999999999" customHeight="1" x14ac:dyDescent="0.2">
      <c r="B1770" s="17"/>
      <c r="C1770" s="83"/>
      <c r="D1770" s="83" t="s">
        <v>2963</v>
      </c>
      <c r="E1770" s="2"/>
      <c r="F1770" s="200">
        <v>0</v>
      </c>
      <c r="H1770" s="17"/>
    </row>
    <row r="1771" spans="2:8" s="16" customFormat="1" ht="16.899999999999999" customHeight="1" x14ac:dyDescent="0.2">
      <c r="B1771" s="17"/>
      <c r="C1771" s="83"/>
      <c r="D1771" s="83" t="s">
        <v>2964</v>
      </c>
      <c r="E1771" s="2"/>
      <c r="F1771" s="200">
        <v>3.4129999999999998</v>
      </c>
      <c r="H1771" s="17"/>
    </row>
    <row r="1772" spans="2:8" s="16" customFormat="1" ht="16.899999999999999" customHeight="1" x14ac:dyDescent="0.2">
      <c r="B1772" s="17"/>
      <c r="C1772" s="83"/>
      <c r="D1772" s="83"/>
      <c r="E1772" s="2"/>
      <c r="F1772" s="200">
        <v>0</v>
      </c>
      <c r="H1772" s="17"/>
    </row>
    <row r="1773" spans="2:8" s="16" customFormat="1" ht="16.899999999999999" customHeight="1" x14ac:dyDescent="0.2">
      <c r="B1773" s="17"/>
      <c r="C1773" s="83"/>
      <c r="D1773" s="83" t="s">
        <v>2965</v>
      </c>
      <c r="E1773" s="2"/>
      <c r="F1773" s="200">
        <v>0</v>
      </c>
      <c r="H1773" s="17"/>
    </row>
    <row r="1774" spans="2:8" s="16" customFormat="1" ht="16.899999999999999" customHeight="1" x14ac:dyDescent="0.2">
      <c r="B1774" s="17"/>
      <c r="C1774" s="83"/>
      <c r="D1774" s="83" t="s">
        <v>2966</v>
      </c>
      <c r="E1774" s="2"/>
      <c r="F1774" s="200">
        <v>-341.25</v>
      </c>
      <c r="H1774" s="17"/>
    </row>
    <row r="1775" spans="2:8" s="16" customFormat="1" ht="16.899999999999999" customHeight="1" x14ac:dyDescent="0.2">
      <c r="B1775" s="17"/>
      <c r="C1775" s="83"/>
      <c r="D1775" s="83" t="s">
        <v>2782</v>
      </c>
      <c r="E1775" s="2"/>
      <c r="F1775" s="200">
        <v>0</v>
      </c>
      <c r="H1775" s="17"/>
    </row>
    <row r="1776" spans="2:8" s="16" customFormat="1" ht="16.899999999999999" customHeight="1" x14ac:dyDescent="0.2">
      <c r="B1776" s="17"/>
      <c r="C1776" s="83"/>
      <c r="D1776" s="83" t="s">
        <v>2950</v>
      </c>
      <c r="E1776" s="2"/>
      <c r="F1776" s="200">
        <v>6.5209999999999999</v>
      </c>
      <c r="H1776" s="17"/>
    </row>
    <row r="1777" spans="2:8" s="16" customFormat="1" ht="16.899999999999999" customHeight="1" x14ac:dyDescent="0.2">
      <c r="B1777" s="17"/>
      <c r="C1777" s="83"/>
      <c r="D1777" s="83" t="s">
        <v>2784</v>
      </c>
      <c r="E1777" s="2"/>
      <c r="F1777" s="200">
        <v>0</v>
      </c>
      <c r="H1777" s="17"/>
    </row>
    <row r="1778" spans="2:8" s="16" customFormat="1" ht="16.899999999999999" customHeight="1" x14ac:dyDescent="0.2">
      <c r="B1778" s="17"/>
      <c r="C1778" s="83"/>
      <c r="D1778" s="83" t="s">
        <v>2950</v>
      </c>
      <c r="E1778" s="2"/>
      <c r="F1778" s="200">
        <v>6.5209999999999999</v>
      </c>
      <c r="H1778" s="17"/>
    </row>
    <row r="1779" spans="2:8" s="16" customFormat="1" ht="16.899999999999999" customHeight="1" x14ac:dyDescent="0.2">
      <c r="B1779" s="17"/>
      <c r="C1779" s="83"/>
      <c r="D1779" s="83" t="s">
        <v>2785</v>
      </c>
      <c r="E1779" s="2"/>
      <c r="F1779" s="200">
        <v>0</v>
      </c>
      <c r="H1779" s="17"/>
    </row>
    <row r="1780" spans="2:8" s="16" customFormat="1" ht="16.899999999999999" customHeight="1" x14ac:dyDescent="0.2">
      <c r="B1780" s="17"/>
      <c r="C1780" s="83"/>
      <c r="D1780" s="83" t="s">
        <v>2967</v>
      </c>
      <c r="E1780" s="2"/>
      <c r="F1780" s="200">
        <v>2.9649999999999999</v>
      </c>
      <c r="H1780" s="17"/>
    </row>
    <row r="1781" spans="2:8" s="16" customFormat="1" ht="16.899999999999999" customHeight="1" x14ac:dyDescent="0.2">
      <c r="B1781" s="17"/>
      <c r="C1781" s="83"/>
      <c r="D1781" s="83" t="s">
        <v>2787</v>
      </c>
      <c r="E1781" s="2"/>
      <c r="F1781" s="200">
        <v>0</v>
      </c>
      <c r="H1781" s="17"/>
    </row>
    <row r="1782" spans="2:8" s="16" customFormat="1" ht="16.899999999999999" customHeight="1" x14ac:dyDescent="0.2">
      <c r="B1782" s="17"/>
      <c r="C1782" s="83"/>
      <c r="D1782" s="83" t="s">
        <v>2968</v>
      </c>
      <c r="E1782" s="2"/>
      <c r="F1782" s="200">
        <v>5.282</v>
      </c>
      <c r="H1782" s="17"/>
    </row>
    <row r="1783" spans="2:8" s="16" customFormat="1" ht="16.899999999999999" customHeight="1" x14ac:dyDescent="0.2">
      <c r="B1783" s="17"/>
      <c r="C1783" s="83"/>
      <c r="D1783" s="83" t="s">
        <v>2789</v>
      </c>
      <c r="E1783" s="2"/>
      <c r="F1783" s="200">
        <v>0</v>
      </c>
      <c r="H1783" s="17"/>
    </row>
    <row r="1784" spans="2:8" s="16" customFormat="1" ht="16.899999999999999" customHeight="1" x14ac:dyDescent="0.2">
      <c r="B1784" s="17"/>
      <c r="C1784" s="83"/>
      <c r="D1784" s="83" t="s">
        <v>2969</v>
      </c>
      <c r="E1784" s="2"/>
      <c r="F1784" s="200">
        <v>8.5190000000000001</v>
      </c>
      <c r="H1784" s="17"/>
    </row>
    <row r="1785" spans="2:8" s="16" customFormat="1" ht="16.899999999999999" customHeight="1" x14ac:dyDescent="0.2">
      <c r="B1785" s="17"/>
      <c r="C1785" s="83" t="s">
        <v>2439</v>
      </c>
      <c r="D1785" s="83" t="s">
        <v>609</v>
      </c>
      <c r="E1785" s="2"/>
      <c r="F1785" s="200">
        <v>1055.489</v>
      </c>
      <c r="H1785" s="17"/>
    </row>
    <row r="1786" spans="2:8" s="16" customFormat="1" ht="16.899999999999999" customHeight="1" x14ac:dyDescent="0.2">
      <c r="B1786" s="17"/>
      <c r="C1786" s="201" t="s">
        <v>8859</v>
      </c>
      <c r="H1786" s="17"/>
    </row>
    <row r="1787" spans="2:8" s="16" customFormat="1" ht="16.899999999999999" customHeight="1" x14ac:dyDescent="0.2">
      <c r="B1787" s="17"/>
      <c r="C1787" s="83" t="s">
        <v>2935</v>
      </c>
      <c r="D1787" s="83" t="s">
        <v>2936</v>
      </c>
      <c r="E1787" s="2" t="s">
        <v>425</v>
      </c>
      <c r="F1787" s="200">
        <v>1055.489</v>
      </c>
      <c r="H1787" s="17"/>
    </row>
    <row r="1788" spans="2:8" s="16" customFormat="1" ht="16.899999999999999" customHeight="1" x14ac:dyDescent="0.2">
      <c r="B1788" s="17"/>
      <c r="C1788" s="83" t="s">
        <v>2970</v>
      </c>
      <c r="D1788" s="83" t="s">
        <v>2971</v>
      </c>
      <c r="E1788" s="2" t="s">
        <v>425</v>
      </c>
      <c r="F1788" s="200">
        <v>1055.489</v>
      </c>
      <c r="H1788" s="17"/>
    </row>
    <row r="1789" spans="2:8" s="16" customFormat="1" ht="16.899999999999999" customHeight="1" x14ac:dyDescent="0.2">
      <c r="B1789" s="17"/>
      <c r="C1789" s="83" t="s">
        <v>2973</v>
      </c>
      <c r="D1789" s="83" t="s">
        <v>2974</v>
      </c>
      <c r="E1789" s="2" t="s">
        <v>425</v>
      </c>
      <c r="F1789" s="200">
        <v>1055.489</v>
      </c>
      <c r="H1789" s="17"/>
    </row>
    <row r="1790" spans="2:8" s="16" customFormat="1" ht="16.899999999999999" customHeight="1" x14ac:dyDescent="0.2">
      <c r="B1790" s="17"/>
      <c r="C1790" s="83" t="s">
        <v>2976</v>
      </c>
      <c r="D1790" s="83" t="s">
        <v>2977</v>
      </c>
      <c r="E1790" s="2" t="s">
        <v>425</v>
      </c>
      <c r="F1790" s="200">
        <v>1055.489</v>
      </c>
      <c r="H1790" s="17"/>
    </row>
    <row r="1791" spans="2:8" s="16" customFormat="1" ht="16.899999999999999" customHeight="1" x14ac:dyDescent="0.2">
      <c r="B1791" s="17"/>
      <c r="C1791" s="196" t="s">
        <v>2581</v>
      </c>
      <c r="D1791" s="197"/>
      <c r="E1791" s="198"/>
      <c r="F1791" s="199">
        <v>41491.4</v>
      </c>
      <c r="H1791" s="17"/>
    </row>
    <row r="1792" spans="2:8" s="16" customFormat="1" ht="16.899999999999999" customHeight="1" x14ac:dyDescent="0.2">
      <c r="B1792" s="17"/>
      <c r="C1792" s="83"/>
      <c r="D1792" s="83" t="s">
        <v>2571</v>
      </c>
      <c r="E1792" s="2"/>
      <c r="F1792" s="200">
        <v>0</v>
      </c>
      <c r="H1792" s="17"/>
    </row>
    <row r="1793" spans="2:8" s="16" customFormat="1" ht="16.899999999999999" customHeight="1" x14ac:dyDescent="0.2">
      <c r="B1793" s="17"/>
      <c r="C1793" s="83"/>
      <c r="D1793" s="83" t="s">
        <v>2572</v>
      </c>
      <c r="E1793" s="2"/>
      <c r="F1793" s="200">
        <v>0</v>
      </c>
      <c r="H1793" s="17"/>
    </row>
    <row r="1794" spans="2:8" s="16" customFormat="1" ht="16.899999999999999" customHeight="1" x14ac:dyDescent="0.2">
      <c r="B1794" s="17"/>
      <c r="C1794" s="83"/>
      <c r="D1794" s="83" t="s">
        <v>2573</v>
      </c>
      <c r="E1794" s="2"/>
      <c r="F1794" s="200">
        <v>9750</v>
      </c>
      <c r="H1794" s="17"/>
    </row>
    <row r="1795" spans="2:8" s="16" customFormat="1" ht="16.899999999999999" customHeight="1" x14ac:dyDescent="0.2">
      <c r="B1795" s="17"/>
      <c r="C1795" s="83"/>
      <c r="D1795" s="83"/>
      <c r="E1795" s="2"/>
      <c r="F1795" s="200">
        <v>0</v>
      </c>
      <c r="H1795" s="17"/>
    </row>
    <row r="1796" spans="2:8" s="16" customFormat="1" ht="16.899999999999999" customHeight="1" x14ac:dyDescent="0.2">
      <c r="B1796" s="17"/>
      <c r="C1796" s="83"/>
      <c r="D1796" s="83" t="s">
        <v>2574</v>
      </c>
      <c r="E1796" s="2"/>
      <c r="F1796" s="200">
        <v>0</v>
      </c>
      <c r="H1796" s="17"/>
    </row>
    <row r="1797" spans="2:8" s="16" customFormat="1" ht="16.899999999999999" customHeight="1" x14ac:dyDescent="0.2">
      <c r="B1797" s="17"/>
      <c r="C1797" s="83"/>
      <c r="D1797" s="83" t="s">
        <v>2575</v>
      </c>
      <c r="E1797" s="2"/>
      <c r="F1797" s="200">
        <v>0</v>
      </c>
      <c r="H1797" s="17"/>
    </row>
    <row r="1798" spans="2:8" s="16" customFormat="1" ht="16.899999999999999" customHeight="1" x14ac:dyDescent="0.2">
      <c r="B1798" s="17"/>
      <c r="C1798" s="83"/>
      <c r="D1798" s="83" t="s">
        <v>2576</v>
      </c>
      <c r="E1798" s="2"/>
      <c r="F1798" s="200">
        <v>0</v>
      </c>
      <c r="H1798" s="17"/>
    </row>
    <row r="1799" spans="2:8" s="16" customFormat="1" ht="16.899999999999999" customHeight="1" x14ac:dyDescent="0.2">
      <c r="B1799" s="17"/>
      <c r="C1799" s="83"/>
      <c r="D1799" s="83" t="s">
        <v>2577</v>
      </c>
      <c r="E1799" s="2"/>
      <c r="F1799" s="200">
        <v>31441.4</v>
      </c>
      <c r="H1799" s="17"/>
    </row>
    <row r="1800" spans="2:8" s="16" customFormat="1" ht="16.899999999999999" customHeight="1" x14ac:dyDescent="0.2">
      <c r="B1800" s="17"/>
      <c r="C1800" s="83"/>
      <c r="D1800" s="83"/>
      <c r="E1800" s="2"/>
      <c r="F1800" s="200">
        <v>0</v>
      </c>
      <c r="H1800" s="17"/>
    </row>
    <row r="1801" spans="2:8" s="16" customFormat="1" ht="16.899999999999999" customHeight="1" x14ac:dyDescent="0.2">
      <c r="B1801" s="17"/>
      <c r="C1801" s="83"/>
      <c r="D1801" s="83" t="s">
        <v>2578</v>
      </c>
      <c r="E1801" s="2"/>
      <c r="F1801" s="200">
        <v>0</v>
      </c>
      <c r="H1801" s="17"/>
    </row>
    <row r="1802" spans="2:8" s="16" customFormat="1" ht="16.899999999999999" customHeight="1" x14ac:dyDescent="0.2">
      <c r="B1802" s="17"/>
      <c r="C1802" s="83"/>
      <c r="D1802" s="83" t="s">
        <v>2579</v>
      </c>
      <c r="E1802" s="2"/>
      <c r="F1802" s="200">
        <v>0</v>
      </c>
      <c r="H1802" s="17"/>
    </row>
    <row r="1803" spans="2:8" s="16" customFormat="1" ht="16.899999999999999" customHeight="1" x14ac:dyDescent="0.2">
      <c r="B1803" s="17"/>
      <c r="C1803" s="83"/>
      <c r="D1803" s="83" t="s">
        <v>2580</v>
      </c>
      <c r="E1803" s="2"/>
      <c r="F1803" s="200">
        <v>300</v>
      </c>
      <c r="H1803" s="17"/>
    </row>
    <row r="1804" spans="2:8" s="16" customFormat="1" ht="16.899999999999999" customHeight="1" x14ac:dyDescent="0.2">
      <c r="B1804" s="17"/>
      <c r="C1804" s="83" t="s">
        <v>2581</v>
      </c>
      <c r="D1804" s="83" t="s">
        <v>351</v>
      </c>
      <c r="E1804" s="2"/>
      <c r="F1804" s="200">
        <v>41491.4</v>
      </c>
      <c r="H1804" s="17"/>
    </row>
    <row r="1805" spans="2:8" s="16" customFormat="1" ht="26.45" customHeight="1" x14ac:dyDescent="0.2">
      <c r="B1805" s="17"/>
      <c r="C1805" s="195" t="s">
        <v>8861</v>
      </c>
      <c r="D1805" s="195" t="s">
        <v>100</v>
      </c>
      <c r="H1805" s="17"/>
    </row>
    <row r="1806" spans="2:8" s="16" customFormat="1" ht="16.899999999999999" customHeight="1" x14ac:dyDescent="0.2">
      <c r="B1806" s="17"/>
      <c r="C1806" s="196" t="s">
        <v>2979</v>
      </c>
      <c r="D1806" s="197"/>
      <c r="E1806" s="198"/>
      <c r="F1806" s="199">
        <v>52.4</v>
      </c>
      <c r="H1806" s="17"/>
    </row>
    <row r="1807" spans="2:8" s="16" customFormat="1" ht="16.899999999999999" customHeight="1" x14ac:dyDescent="0.2">
      <c r="B1807" s="17"/>
      <c r="C1807" s="83"/>
      <c r="D1807" s="83"/>
      <c r="E1807" s="2"/>
      <c r="F1807" s="200">
        <v>0</v>
      </c>
      <c r="H1807" s="17"/>
    </row>
    <row r="1808" spans="2:8" s="16" customFormat="1" ht="16.899999999999999" customHeight="1" x14ac:dyDescent="0.2">
      <c r="B1808" s="17"/>
      <c r="C1808" s="83"/>
      <c r="D1808" s="83" t="s">
        <v>3288</v>
      </c>
      <c r="E1808" s="2"/>
      <c r="F1808" s="200">
        <v>0</v>
      </c>
      <c r="H1808" s="17"/>
    </row>
    <row r="1809" spans="2:8" s="16" customFormat="1" ht="16.899999999999999" customHeight="1" x14ac:dyDescent="0.2">
      <c r="B1809" s="17"/>
      <c r="C1809" s="83"/>
      <c r="D1809" s="83" t="s">
        <v>3289</v>
      </c>
      <c r="E1809" s="2"/>
      <c r="F1809" s="200">
        <v>0</v>
      </c>
      <c r="H1809" s="17"/>
    </row>
    <row r="1810" spans="2:8" s="16" customFormat="1" ht="16.899999999999999" customHeight="1" x14ac:dyDescent="0.2">
      <c r="B1810" s="17"/>
      <c r="C1810" s="83"/>
      <c r="D1810" s="83" t="s">
        <v>3290</v>
      </c>
      <c r="E1810" s="2"/>
      <c r="F1810" s="200">
        <v>47.15</v>
      </c>
      <c r="H1810" s="17"/>
    </row>
    <row r="1811" spans="2:8" s="16" customFormat="1" ht="16.899999999999999" customHeight="1" x14ac:dyDescent="0.2">
      <c r="B1811" s="17"/>
      <c r="C1811" s="83"/>
      <c r="D1811" s="83" t="s">
        <v>3291</v>
      </c>
      <c r="E1811" s="2"/>
      <c r="F1811" s="200">
        <v>0</v>
      </c>
      <c r="H1811" s="17"/>
    </row>
    <row r="1812" spans="2:8" s="16" customFormat="1" ht="16.899999999999999" customHeight="1" x14ac:dyDescent="0.2">
      <c r="B1812" s="17"/>
      <c r="C1812" s="83"/>
      <c r="D1812" s="83" t="s">
        <v>3292</v>
      </c>
      <c r="E1812" s="2"/>
      <c r="F1812" s="200">
        <v>5.25</v>
      </c>
      <c r="H1812" s="17"/>
    </row>
    <row r="1813" spans="2:8" s="16" customFormat="1" ht="16.899999999999999" customHeight="1" x14ac:dyDescent="0.2">
      <c r="B1813" s="17"/>
      <c r="C1813" s="83" t="s">
        <v>2979</v>
      </c>
      <c r="D1813" s="83" t="s">
        <v>609</v>
      </c>
      <c r="E1813" s="2"/>
      <c r="F1813" s="200">
        <v>52.4</v>
      </c>
      <c r="H1813" s="17"/>
    </row>
    <row r="1814" spans="2:8" s="16" customFormat="1" ht="16.899999999999999" customHeight="1" x14ac:dyDescent="0.2">
      <c r="B1814" s="17"/>
      <c r="C1814" s="201" t="s">
        <v>8859</v>
      </c>
      <c r="H1814" s="17"/>
    </row>
    <row r="1815" spans="2:8" s="16" customFormat="1" ht="16.899999999999999" customHeight="1" x14ac:dyDescent="0.2">
      <c r="B1815" s="17"/>
      <c r="C1815" s="83" t="s">
        <v>3284</v>
      </c>
      <c r="D1815" s="83" t="s">
        <v>3285</v>
      </c>
      <c r="E1815" s="2" t="s">
        <v>425</v>
      </c>
      <c r="F1815" s="200">
        <v>60.15</v>
      </c>
      <c r="H1815" s="17"/>
    </row>
    <row r="1816" spans="2:8" s="16" customFormat="1" ht="16.899999999999999" customHeight="1" x14ac:dyDescent="0.2">
      <c r="B1816" s="17"/>
      <c r="C1816" s="83" t="s">
        <v>3294</v>
      </c>
      <c r="D1816" s="83" t="s">
        <v>3295</v>
      </c>
      <c r="E1816" s="2" t="s">
        <v>425</v>
      </c>
      <c r="F1816" s="200">
        <v>52.4</v>
      </c>
      <c r="H1816" s="17"/>
    </row>
    <row r="1817" spans="2:8" s="16" customFormat="1" ht="16.899999999999999" customHeight="1" x14ac:dyDescent="0.2">
      <c r="B1817" s="17"/>
      <c r="C1817" s="83" t="s">
        <v>3297</v>
      </c>
      <c r="D1817" s="83" t="s">
        <v>3298</v>
      </c>
      <c r="E1817" s="2" t="s">
        <v>425</v>
      </c>
      <c r="F1817" s="200">
        <v>52.4</v>
      </c>
      <c r="H1817" s="17"/>
    </row>
    <row r="1818" spans="2:8" s="16" customFormat="1" ht="16.899999999999999" customHeight="1" x14ac:dyDescent="0.2">
      <c r="B1818" s="17"/>
      <c r="C1818" s="83" t="s">
        <v>3300</v>
      </c>
      <c r="D1818" s="83" t="s">
        <v>3301</v>
      </c>
      <c r="E1818" s="2" t="s">
        <v>425</v>
      </c>
      <c r="F1818" s="200">
        <v>52.4</v>
      </c>
      <c r="H1818" s="17"/>
    </row>
    <row r="1819" spans="2:8" s="16" customFormat="1" ht="16.899999999999999" customHeight="1" x14ac:dyDescent="0.2">
      <c r="B1819" s="17"/>
      <c r="C1819" s="83" t="s">
        <v>3303</v>
      </c>
      <c r="D1819" s="83" t="s">
        <v>3304</v>
      </c>
      <c r="E1819" s="2" t="s">
        <v>425</v>
      </c>
      <c r="F1819" s="200">
        <v>52.4</v>
      </c>
      <c r="H1819" s="17"/>
    </row>
    <row r="1820" spans="2:8" s="16" customFormat="1" ht="16.899999999999999" customHeight="1" x14ac:dyDescent="0.2">
      <c r="B1820" s="17"/>
      <c r="C1820" s="83" t="s">
        <v>3306</v>
      </c>
      <c r="D1820" s="83" t="s">
        <v>3307</v>
      </c>
      <c r="E1820" s="2" t="s">
        <v>425</v>
      </c>
      <c r="F1820" s="200">
        <v>52.4</v>
      </c>
      <c r="H1820" s="17"/>
    </row>
    <row r="1821" spans="2:8" s="16" customFormat="1" ht="16.899999999999999" customHeight="1" x14ac:dyDescent="0.2">
      <c r="B1821" s="17"/>
      <c r="C1821" s="196" t="s">
        <v>2981</v>
      </c>
      <c r="D1821" s="197"/>
      <c r="E1821" s="198"/>
      <c r="F1821" s="199">
        <v>139.4</v>
      </c>
      <c r="H1821" s="17"/>
    </row>
    <row r="1822" spans="2:8" s="16" customFormat="1" ht="16.899999999999999" customHeight="1" x14ac:dyDescent="0.2">
      <c r="B1822" s="17"/>
      <c r="C1822" s="201" t="s">
        <v>8859</v>
      </c>
      <c r="H1822" s="17"/>
    </row>
    <row r="1823" spans="2:8" s="16" customFormat="1" ht="16.899999999999999" customHeight="1" x14ac:dyDescent="0.2">
      <c r="B1823" s="17"/>
      <c r="C1823" s="83" t="s">
        <v>3195</v>
      </c>
      <c r="D1823" s="83" t="s">
        <v>3196</v>
      </c>
      <c r="E1823" s="2" t="s">
        <v>342</v>
      </c>
      <c r="F1823" s="200">
        <v>549.08199999999999</v>
      </c>
      <c r="H1823" s="17"/>
    </row>
    <row r="1824" spans="2:8" s="16" customFormat="1" ht="16.899999999999999" customHeight="1" x14ac:dyDescent="0.2">
      <c r="B1824" s="17"/>
      <c r="C1824" s="83" t="s">
        <v>3237</v>
      </c>
      <c r="D1824" s="83" t="s">
        <v>3238</v>
      </c>
      <c r="E1824" s="2" t="s">
        <v>425</v>
      </c>
      <c r="F1824" s="200">
        <v>362.44</v>
      </c>
      <c r="H1824" s="17"/>
    </row>
    <row r="1825" spans="2:8" s="16" customFormat="1" ht="16.899999999999999" customHeight="1" x14ac:dyDescent="0.2">
      <c r="B1825" s="17"/>
      <c r="C1825" s="83" t="s">
        <v>3245</v>
      </c>
      <c r="D1825" s="83" t="s">
        <v>3246</v>
      </c>
      <c r="E1825" s="2" t="s">
        <v>342</v>
      </c>
      <c r="F1825" s="200">
        <v>58.548000000000002</v>
      </c>
      <c r="H1825" s="17"/>
    </row>
    <row r="1826" spans="2:8" s="16" customFormat="1" ht="16.899999999999999" customHeight="1" x14ac:dyDescent="0.2">
      <c r="B1826" s="17"/>
      <c r="C1826" s="196" t="s">
        <v>2983</v>
      </c>
      <c r="D1826" s="197"/>
      <c r="E1826" s="198"/>
      <c r="F1826" s="199">
        <v>115.79</v>
      </c>
      <c r="H1826" s="17"/>
    </row>
    <row r="1827" spans="2:8" s="16" customFormat="1" ht="16.899999999999999" customHeight="1" x14ac:dyDescent="0.2">
      <c r="B1827" s="17"/>
      <c r="C1827" s="83"/>
      <c r="D1827" s="83" t="s">
        <v>3359</v>
      </c>
      <c r="E1827" s="2"/>
      <c r="F1827" s="200">
        <v>0</v>
      </c>
      <c r="H1827" s="17"/>
    </row>
    <row r="1828" spans="2:8" s="16" customFormat="1" ht="16.899999999999999" customHeight="1" x14ac:dyDescent="0.2">
      <c r="B1828" s="17"/>
      <c r="C1828" s="83"/>
      <c r="D1828" s="83" t="s">
        <v>3012</v>
      </c>
      <c r="E1828" s="2"/>
      <c r="F1828" s="200">
        <v>56.335000000000001</v>
      </c>
      <c r="H1828" s="17"/>
    </row>
    <row r="1829" spans="2:8" s="16" customFormat="1" ht="16.899999999999999" customHeight="1" x14ac:dyDescent="0.2">
      <c r="B1829" s="17"/>
      <c r="C1829" s="83"/>
      <c r="D1829" s="83" t="s">
        <v>3010</v>
      </c>
      <c r="E1829" s="2"/>
      <c r="F1829" s="200">
        <v>239.11500000000001</v>
      </c>
      <c r="H1829" s="17"/>
    </row>
    <row r="1830" spans="2:8" s="16" customFormat="1" ht="16.899999999999999" customHeight="1" x14ac:dyDescent="0.2">
      <c r="B1830" s="17"/>
      <c r="C1830" s="83"/>
      <c r="D1830" s="83"/>
      <c r="E1830" s="2"/>
      <c r="F1830" s="200">
        <v>0</v>
      </c>
      <c r="H1830" s="17"/>
    </row>
    <row r="1831" spans="2:8" s="16" customFormat="1" ht="16.899999999999999" customHeight="1" x14ac:dyDescent="0.2">
      <c r="B1831" s="17"/>
      <c r="C1831" s="83"/>
      <c r="D1831" s="83" t="s">
        <v>3360</v>
      </c>
      <c r="E1831" s="2"/>
      <c r="F1831" s="200">
        <v>0</v>
      </c>
      <c r="H1831" s="17"/>
    </row>
    <row r="1832" spans="2:8" s="16" customFormat="1" ht="16.899999999999999" customHeight="1" x14ac:dyDescent="0.2">
      <c r="B1832" s="17"/>
      <c r="C1832" s="83"/>
      <c r="D1832" s="83" t="s">
        <v>3361</v>
      </c>
      <c r="E1832" s="2"/>
      <c r="F1832" s="200">
        <v>-179.66</v>
      </c>
      <c r="H1832" s="17"/>
    </row>
    <row r="1833" spans="2:8" s="16" customFormat="1" ht="16.899999999999999" customHeight="1" x14ac:dyDescent="0.2">
      <c r="B1833" s="17"/>
      <c r="C1833" s="83" t="s">
        <v>2983</v>
      </c>
      <c r="D1833" s="83" t="s">
        <v>609</v>
      </c>
      <c r="E1833" s="2"/>
      <c r="F1833" s="200">
        <v>115.79</v>
      </c>
      <c r="H1833" s="17"/>
    </row>
    <row r="1834" spans="2:8" s="16" customFormat="1" ht="16.899999999999999" customHeight="1" x14ac:dyDescent="0.2">
      <c r="B1834" s="17"/>
      <c r="C1834" s="201" t="s">
        <v>8859</v>
      </c>
      <c r="H1834" s="17"/>
    </row>
    <row r="1835" spans="2:8" s="16" customFormat="1" ht="16.899999999999999" customHeight="1" x14ac:dyDescent="0.2">
      <c r="B1835" s="17"/>
      <c r="C1835" s="83" t="s">
        <v>3356</v>
      </c>
      <c r="D1835" s="83" t="s">
        <v>3357</v>
      </c>
      <c r="E1835" s="2" t="s">
        <v>425</v>
      </c>
      <c r="F1835" s="200">
        <v>115.79</v>
      </c>
      <c r="H1835" s="17"/>
    </row>
    <row r="1836" spans="2:8" s="16" customFormat="1" ht="16.899999999999999" customHeight="1" x14ac:dyDescent="0.2">
      <c r="B1836" s="17"/>
      <c r="C1836" s="83" t="s">
        <v>3313</v>
      </c>
      <c r="D1836" s="83" t="s">
        <v>3314</v>
      </c>
      <c r="E1836" s="2" t="s">
        <v>425</v>
      </c>
      <c r="F1836" s="200">
        <v>295.45</v>
      </c>
      <c r="H1836" s="17"/>
    </row>
    <row r="1837" spans="2:8" s="16" customFormat="1" ht="16.899999999999999" customHeight="1" x14ac:dyDescent="0.2">
      <c r="B1837" s="17"/>
      <c r="C1837" s="196" t="s">
        <v>2985</v>
      </c>
      <c r="D1837" s="197"/>
      <c r="E1837" s="198"/>
      <c r="F1837" s="199">
        <v>66.599999999999994</v>
      </c>
      <c r="H1837" s="17"/>
    </row>
    <row r="1838" spans="2:8" s="16" customFormat="1" ht="16.899999999999999" customHeight="1" x14ac:dyDescent="0.2">
      <c r="B1838" s="17"/>
      <c r="C1838" s="83"/>
      <c r="D1838" s="83" t="s">
        <v>3259</v>
      </c>
      <c r="E1838" s="2"/>
      <c r="F1838" s="200">
        <v>0</v>
      </c>
      <c r="H1838" s="17"/>
    </row>
    <row r="1839" spans="2:8" s="16" customFormat="1" ht="16.899999999999999" customHeight="1" x14ac:dyDescent="0.2">
      <c r="B1839" s="17"/>
      <c r="C1839" s="83"/>
      <c r="D1839" s="83" t="s">
        <v>3392</v>
      </c>
      <c r="E1839" s="2"/>
      <c r="F1839" s="200">
        <v>0</v>
      </c>
      <c r="H1839" s="17"/>
    </row>
    <row r="1840" spans="2:8" s="16" customFormat="1" ht="16.899999999999999" customHeight="1" x14ac:dyDescent="0.2">
      <c r="B1840" s="17"/>
      <c r="C1840" s="83"/>
      <c r="D1840" s="83" t="s">
        <v>3500</v>
      </c>
      <c r="E1840" s="2"/>
      <c r="F1840" s="200">
        <v>66.599999999999994</v>
      </c>
      <c r="H1840" s="17"/>
    </row>
    <row r="1841" spans="2:8" s="16" customFormat="1" ht="16.899999999999999" customHeight="1" x14ac:dyDescent="0.2">
      <c r="B1841" s="17"/>
      <c r="C1841" s="83" t="s">
        <v>2985</v>
      </c>
      <c r="D1841" s="83" t="s">
        <v>609</v>
      </c>
      <c r="E1841" s="2"/>
      <c r="F1841" s="200">
        <v>66.599999999999994</v>
      </c>
      <c r="H1841" s="17"/>
    </row>
    <row r="1842" spans="2:8" s="16" customFormat="1" ht="16.899999999999999" customHeight="1" x14ac:dyDescent="0.2">
      <c r="B1842" s="17"/>
      <c r="C1842" s="201" t="s">
        <v>8859</v>
      </c>
      <c r="H1842" s="17"/>
    </row>
    <row r="1843" spans="2:8" s="16" customFormat="1" ht="16.899999999999999" customHeight="1" x14ac:dyDescent="0.2">
      <c r="B1843" s="17"/>
      <c r="C1843" s="83" t="s">
        <v>3791</v>
      </c>
      <c r="D1843" s="83" t="s">
        <v>3792</v>
      </c>
      <c r="E1843" s="2" t="s">
        <v>425</v>
      </c>
      <c r="F1843" s="200">
        <v>66.599999999999994</v>
      </c>
      <c r="H1843" s="17"/>
    </row>
    <row r="1844" spans="2:8" s="16" customFormat="1" ht="16.899999999999999" customHeight="1" x14ac:dyDescent="0.2">
      <c r="B1844" s="17"/>
      <c r="C1844" s="83" t="s">
        <v>3770</v>
      </c>
      <c r="D1844" s="83" t="s">
        <v>3771</v>
      </c>
      <c r="E1844" s="2" t="s">
        <v>425</v>
      </c>
      <c r="F1844" s="200">
        <v>1789.6020000000001</v>
      </c>
      <c r="H1844" s="17"/>
    </row>
    <row r="1845" spans="2:8" s="16" customFormat="1" ht="16.899999999999999" customHeight="1" x14ac:dyDescent="0.2">
      <c r="B1845" s="17"/>
      <c r="C1845" s="83" t="s">
        <v>3779</v>
      </c>
      <c r="D1845" s="83" t="s">
        <v>3780</v>
      </c>
      <c r="E1845" s="2" t="s">
        <v>425</v>
      </c>
      <c r="F1845" s="200">
        <v>66.599999999999994</v>
      </c>
      <c r="H1845" s="17"/>
    </row>
    <row r="1846" spans="2:8" s="16" customFormat="1" ht="16.899999999999999" customHeight="1" x14ac:dyDescent="0.2">
      <c r="B1846" s="17"/>
      <c r="C1846" s="83" t="s">
        <v>3782</v>
      </c>
      <c r="D1846" s="83" t="s">
        <v>3783</v>
      </c>
      <c r="E1846" s="2" t="s">
        <v>425</v>
      </c>
      <c r="F1846" s="200">
        <v>66.599999999999994</v>
      </c>
      <c r="H1846" s="17"/>
    </row>
    <row r="1847" spans="2:8" s="16" customFormat="1" ht="16.899999999999999" customHeight="1" x14ac:dyDescent="0.2">
      <c r="B1847" s="17"/>
      <c r="C1847" s="196" t="s">
        <v>2987</v>
      </c>
      <c r="D1847" s="197"/>
      <c r="E1847" s="198"/>
      <c r="F1847" s="199">
        <v>1789.6020000000001</v>
      </c>
      <c r="H1847" s="17"/>
    </row>
    <row r="1848" spans="2:8" s="16" customFormat="1" ht="16.899999999999999" customHeight="1" x14ac:dyDescent="0.2">
      <c r="B1848" s="17"/>
      <c r="C1848" s="83"/>
      <c r="D1848" s="83" t="s">
        <v>3773</v>
      </c>
      <c r="E1848" s="2"/>
      <c r="F1848" s="200">
        <v>0</v>
      </c>
      <c r="H1848" s="17"/>
    </row>
    <row r="1849" spans="2:8" s="16" customFormat="1" ht="16.899999999999999" customHeight="1" x14ac:dyDescent="0.2">
      <c r="B1849" s="17"/>
      <c r="C1849" s="83"/>
      <c r="D1849" s="83" t="s">
        <v>3004</v>
      </c>
      <c r="E1849" s="2"/>
      <c r="F1849" s="200">
        <v>3.95</v>
      </c>
      <c r="H1849" s="17"/>
    </row>
    <row r="1850" spans="2:8" s="16" customFormat="1" ht="16.899999999999999" customHeight="1" x14ac:dyDescent="0.2">
      <c r="B1850" s="17"/>
      <c r="C1850" s="83"/>
      <c r="D1850" s="83" t="s">
        <v>3008</v>
      </c>
      <c r="E1850" s="2"/>
      <c r="F1850" s="200">
        <v>42.542999999999999</v>
      </c>
      <c r="H1850" s="17"/>
    </row>
    <row r="1851" spans="2:8" s="16" customFormat="1" ht="16.899999999999999" customHeight="1" x14ac:dyDescent="0.2">
      <c r="B1851" s="17"/>
      <c r="C1851" s="83"/>
      <c r="D1851" s="83" t="s">
        <v>3000</v>
      </c>
      <c r="E1851" s="2"/>
      <c r="F1851" s="200">
        <v>140.36000000000001</v>
      </c>
      <c r="H1851" s="17"/>
    </row>
    <row r="1852" spans="2:8" s="16" customFormat="1" ht="16.899999999999999" customHeight="1" x14ac:dyDescent="0.2">
      <c r="B1852" s="17"/>
      <c r="C1852" s="83"/>
      <c r="D1852" s="83" t="s">
        <v>3002</v>
      </c>
      <c r="E1852" s="2"/>
      <c r="F1852" s="200">
        <v>2545.8339999999998</v>
      </c>
      <c r="H1852" s="17"/>
    </row>
    <row r="1853" spans="2:8" s="16" customFormat="1" ht="16.899999999999999" customHeight="1" x14ac:dyDescent="0.2">
      <c r="B1853" s="17"/>
      <c r="C1853" s="83"/>
      <c r="D1853" s="83" t="s">
        <v>2998</v>
      </c>
      <c r="E1853" s="2"/>
      <c r="F1853" s="200">
        <v>342.56200000000001</v>
      </c>
      <c r="H1853" s="17"/>
    </row>
    <row r="1854" spans="2:8" s="16" customFormat="1" ht="16.899999999999999" customHeight="1" x14ac:dyDescent="0.2">
      <c r="B1854" s="17"/>
      <c r="C1854" s="83"/>
      <c r="D1854" s="83"/>
      <c r="E1854" s="2"/>
      <c r="F1854" s="200">
        <v>0</v>
      </c>
      <c r="H1854" s="17"/>
    </row>
    <row r="1855" spans="2:8" s="16" customFormat="1" ht="16.899999999999999" customHeight="1" x14ac:dyDescent="0.2">
      <c r="B1855" s="17"/>
      <c r="C1855" s="83"/>
      <c r="D1855" s="83" t="s">
        <v>3774</v>
      </c>
      <c r="E1855" s="2"/>
      <c r="F1855" s="200">
        <v>0</v>
      </c>
      <c r="H1855" s="17"/>
    </row>
    <row r="1856" spans="2:8" s="16" customFormat="1" ht="16.899999999999999" customHeight="1" x14ac:dyDescent="0.2">
      <c r="B1856" s="17"/>
      <c r="C1856" s="83"/>
      <c r="D1856" s="83" t="s">
        <v>3368</v>
      </c>
      <c r="E1856" s="2"/>
      <c r="F1856" s="200">
        <v>202.571</v>
      </c>
      <c r="H1856" s="17"/>
    </row>
    <row r="1857" spans="2:8" s="16" customFormat="1" ht="16.899999999999999" customHeight="1" x14ac:dyDescent="0.2">
      <c r="B1857" s="17"/>
      <c r="C1857" s="83"/>
      <c r="D1857" s="83"/>
      <c r="E1857" s="2"/>
      <c r="F1857" s="200">
        <v>0</v>
      </c>
      <c r="H1857" s="17"/>
    </row>
    <row r="1858" spans="2:8" s="16" customFormat="1" ht="16.899999999999999" customHeight="1" x14ac:dyDescent="0.2">
      <c r="B1858" s="17"/>
      <c r="C1858" s="83"/>
      <c r="D1858" s="83" t="s">
        <v>3775</v>
      </c>
      <c r="E1858" s="2"/>
      <c r="F1858" s="200">
        <v>0</v>
      </c>
      <c r="H1858" s="17"/>
    </row>
    <row r="1859" spans="2:8" s="16" customFormat="1" ht="16.899999999999999" customHeight="1" x14ac:dyDescent="0.2">
      <c r="B1859" s="17"/>
      <c r="C1859" s="83"/>
      <c r="D1859" s="83" t="s">
        <v>3776</v>
      </c>
      <c r="E1859" s="2"/>
      <c r="F1859" s="200">
        <v>-66.599999999999994</v>
      </c>
      <c r="H1859" s="17"/>
    </row>
    <row r="1860" spans="2:8" s="16" customFormat="1" ht="16.899999999999999" customHeight="1" x14ac:dyDescent="0.2">
      <c r="B1860" s="17"/>
      <c r="C1860" s="83"/>
      <c r="D1860" s="83" t="s">
        <v>3360</v>
      </c>
      <c r="E1860" s="2"/>
      <c r="F1860" s="200">
        <v>0</v>
      </c>
      <c r="H1860" s="17"/>
    </row>
    <row r="1861" spans="2:8" s="16" customFormat="1" ht="16.899999999999999" customHeight="1" x14ac:dyDescent="0.2">
      <c r="B1861" s="17"/>
      <c r="C1861" s="83"/>
      <c r="D1861" s="83" t="s">
        <v>3777</v>
      </c>
      <c r="E1861" s="2"/>
      <c r="F1861" s="200">
        <v>-1421.6179999999999</v>
      </c>
      <c r="H1861" s="17"/>
    </row>
    <row r="1862" spans="2:8" s="16" customFormat="1" ht="16.899999999999999" customHeight="1" x14ac:dyDescent="0.2">
      <c r="B1862" s="17"/>
      <c r="C1862" s="83" t="s">
        <v>2987</v>
      </c>
      <c r="D1862" s="83" t="s">
        <v>609</v>
      </c>
      <c r="E1862" s="2"/>
      <c r="F1862" s="200">
        <v>1789.6020000000001</v>
      </c>
      <c r="H1862" s="17"/>
    </row>
    <row r="1863" spans="2:8" s="16" customFormat="1" ht="16.899999999999999" customHeight="1" x14ac:dyDescent="0.2">
      <c r="B1863" s="17"/>
      <c r="C1863" s="201" t="s">
        <v>8859</v>
      </c>
      <c r="H1863" s="17"/>
    </row>
    <row r="1864" spans="2:8" s="16" customFormat="1" ht="16.899999999999999" customHeight="1" x14ac:dyDescent="0.2">
      <c r="B1864" s="17"/>
      <c r="C1864" s="83" t="s">
        <v>3770</v>
      </c>
      <c r="D1864" s="83" t="s">
        <v>3771</v>
      </c>
      <c r="E1864" s="2" t="s">
        <v>425</v>
      </c>
      <c r="F1864" s="200">
        <v>1789.6020000000001</v>
      </c>
      <c r="H1864" s="17"/>
    </row>
    <row r="1865" spans="2:8" s="16" customFormat="1" ht="16.899999999999999" customHeight="1" x14ac:dyDescent="0.2">
      <c r="B1865" s="17"/>
      <c r="C1865" s="83" t="s">
        <v>3369</v>
      </c>
      <c r="D1865" s="83" t="s">
        <v>3370</v>
      </c>
      <c r="E1865" s="2" t="s">
        <v>425</v>
      </c>
      <c r="F1865" s="200">
        <v>3211.22</v>
      </c>
      <c r="H1865" s="17"/>
    </row>
    <row r="1866" spans="2:8" s="16" customFormat="1" ht="16.899999999999999" customHeight="1" x14ac:dyDescent="0.2">
      <c r="B1866" s="17"/>
      <c r="C1866" s="196" t="s">
        <v>2989</v>
      </c>
      <c r="D1866" s="197"/>
      <c r="E1866" s="198"/>
      <c r="F1866" s="199">
        <v>179.66</v>
      </c>
      <c r="H1866" s="17"/>
    </row>
    <row r="1867" spans="2:8" s="16" customFormat="1" ht="16.899999999999999" customHeight="1" x14ac:dyDescent="0.2">
      <c r="B1867" s="17"/>
      <c r="C1867" s="83"/>
      <c r="D1867" s="83" t="s">
        <v>3355</v>
      </c>
      <c r="E1867" s="2"/>
      <c r="F1867" s="200">
        <v>0</v>
      </c>
      <c r="H1867" s="17"/>
    </row>
    <row r="1868" spans="2:8" s="16" customFormat="1" ht="16.899999999999999" customHeight="1" x14ac:dyDescent="0.2">
      <c r="B1868" s="17"/>
      <c r="C1868" s="83"/>
      <c r="D1868" s="83" t="s">
        <v>3335</v>
      </c>
      <c r="E1868" s="2"/>
      <c r="F1868" s="200">
        <v>20.475000000000001</v>
      </c>
      <c r="H1868" s="17"/>
    </row>
    <row r="1869" spans="2:8" s="16" customFormat="1" ht="16.899999999999999" customHeight="1" x14ac:dyDescent="0.2">
      <c r="B1869" s="17"/>
      <c r="C1869" s="83"/>
      <c r="D1869" s="83" t="s">
        <v>3337</v>
      </c>
      <c r="E1869" s="2"/>
      <c r="F1869" s="200">
        <v>0</v>
      </c>
      <c r="H1869" s="17"/>
    </row>
    <row r="1870" spans="2:8" s="16" customFormat="1" ht="16.899999999999999" customHeight="1" x14ac:dyDescent="0.2">
      <c r="B1870" s="17"/>
      <c r="C1870" s="83"/>
      <c r="D1870" s="83" t="s">
        <v>912</v>
      </c>
      <c r="E1870" s="2"/>
      <c r="F1870" s="200">
        <v>102.85</v>
      </c>
      <c r="H1870" s="17"/>
    </row>
    <row r="1871" spans="2:8" s="16" customFormat="1" ht="16.899999999999999" customHeight="1" x14ac:dyDescent="0.2">
      <c r="B1871" s="17"/>
      <c r="C1871" s="83"/>
      <c r="D1871" s="83"/>
      <c r="E1871" s="2"/>
      <c r="F1871" s="200">
        <v>0</v>
      </c>
      <c r="H1871" s="17"/>
    </row>
    <row r="1872" spans="2:8" s="16" customFormat="1" ht="16.899999999999999" customHeight="1" x14ac:dyDescent="0.2">
      <c r="B1872" s="17"/>
      <c r="C1872" s="83"/>
      <c r="D1872" s="83" t="s">
        <v>3322</v>
      </c>
      <c r="E1872" s="2"/>
      <c r="F1872" s="200">
        <v>0</v>
      </c>
      <c r="H1872" s="17"/>
    </row>
    <row r="1873" spans="2:8" s="16" customFormat="1" ht="16.899999999999999" customHeight="1" x14ac:dyDescent="0.2">
      <c r="B1873" s="17"/>
      <c r="C1873" s="83"/>
      <c r="D1873" s="83" t="s">
        <v>3323</v>
      </c>
      <c r="E1873" s="2"/>
      <c r="F1873" s="200">
        <v>15.36</v>
      </c>
      <c r="H1873" s="17"/>
    </row>
    <row r="1874" spans="2:8" s="16" customFormat="1" ht="16.899999999999999" customHeight="1" x14ac:dyDescent="0.2">
      <c r="B1874" s="17"/>
      <c r="C1874" s="83"/>
      <c r="D1874" s="83" t="s">
        <v>3324</v>
      </c>
      <c r="E1874" s="2"/>
      <c r="F1874" s="200">
        <v>40.975000000000001</v>
      </c>
      <c r="H1874" s="17"/>
    </row>
    <row r="1875" spans="2:8" s="16" customFormat="1" ht="16.899999999999999" customHeight="1" x14ac:dyDescent="0.2">
      <c r="B1875" s="17"/>
      <c r="C1875" s="83" t="s">
        <v>2989</v>
      </c>
      <c r="D1875" s="83" t="s">
        <v>609</v>
      </c>
      <c r="E1875" s="2"/>
      <c r="F1875" s="200">
        <v>179.66</v>
      </c>
      <c r="H1875" s="17"/>
    </row>
    <row r="1876" spans="2:8" s="16" customFormat="1" ht="16.899999999999999" customHeight="1" x14ac:dyDescent="0.2">
      <c r="B1876" s="17"/>
      <c r="C1876" s="201" t="s">
        <v>8859</v>
      </c>
      <c r="H1876" s="17"/>
    </row>
    <row r="1877" spans="2:8" s="16" customFormat="1" ht="16.899999999999999" customHeight="1" x14ac:dyDescent="0.2">
      <c r="B1877" s="17"/>
      <c r="C1877" s="83" t="s">
        <v>3352</v>
      </c>
      <c r="D1877" s="83" t="s">
        <v>3353</v>
      </c>
      <c r="E1877" s="2" t="s">
        <v>425</v>
      </c>
      <c r="F1877" s="200">
        <v>179.66</v>
      </c>
      <c r="H1877" s="17"/>
    </row>
    <row r="1878" spans="2:8" s="16" customFormat="1" ht="16.899999999999999" customHeight="1" x14ac:dyDescent="0.2">
      <c r="B1878" s="17"/>
      <c r="C1878" s="83" t="s">
        <v>3313</v>
      </c>
      <c r="D1878" s="83" t="s">
        <v>3314</v>
      </c>
      <c r="E1878" s="2" t="s">
        <v>425</v>
      </c>
      <c r="F1878" s="200">
        <v>295.45</v>
      </c>
      <c r="H1878" s="17"/>
    </row>
    <row r="1879" spans="2:8" s="16" customFormat="1" ht="16.899999999999999" customHeight="1" x14ac:dyDescent="0.2">
      <c r="B1879" s="17"/>
      <c r="C1879" s="83" t="s">
        <v>3356</v>
      </c>
      <c r="D1879" s="83" t="s">
        <v>3357</v>
      </c>
      <c r="E1879" s="2" t="s">
        <v>425</v>
      </c>
      <c r="F1879" s="200">
        <v>115.79</v>
      </c>
      <c r="H1879" s="17"/>
    </row>
    <row r="1880" spans="2:8" s="16" customFormat="1" ht="16.899999999999999" customHeight="1" x14ac:dyDescent="0.2">
      <c r="B1880" s="17"/>
      <c r="C1880" s="196" t="s">
        <v>2991</v>
      </c>
      <c r="D1880" s="197"/>
      <c r="E1880" s="198"/>
      <c r="F1880" s="199">
        <v>1421.6179999999999</v>
      </c>
      <c r="H1880" s="17"/>
    </row>
    <row r="1881" spans="2:8" s="16" customFormat="1" ht="16.899999999999999" customHeight="1" x14ac:dyDescent="0.2">
      <c r="B1881" s="17"/>
      <c r="C1881" s="83"/>
      <c r="D1881" s="83" t="s">
        <v>3735</v>
      </c>
      <c r="E1881" s="2"/>
      <c r="F1881" s="200">
        <v>0</v>
      </c>
      <c r="H1881" s="17"/>
    </row>
    <row r="1882" spans="2:8" s="16" customFormat="1" ht="16.899999999999999" customHeight="1" x14ac:dyDescent="0.2">
      <c r="B1882" s="17"/>
      <c r="C1882" s="83"/>
      <c r="D1882" s="83" t="s">
        <v>3459</v>
      </c>
      <c r="E1882" s="2"/>
      <c r="F1882" s="200">
        <v>0</v>
      </c>
      <c r="H1882" s="17"/>
    </row>
    <row r="1883" spans="2:8" s="16" customFormat="1" ht="16.899999999999999" customHeight="1" x14ac:dyDescent="0.2">
      <c r="B1883" s="17"/>
      <c r="C1883" s="83"/>
      <c r="D1883" s="83"/>
      <c r="E1883" s="2"/>
      <c r="F1883" s="200">
        <v>0</v>
      </c>
      <c r="H1883" s="17"/>
    </row>
    <row r="1884" spans="2:8" s="16" customFormat="1" ht="16.899999999999999" customHeight="1" x14ac:dyDescent="0.2">
      <c r="B1884" s="17"/>
      <c r="C1884" s="83"/>
      <c r="D1884" s="83" t="s">
        <v>3466</v>
      </c>
      <c r="E1884" s="2"/>
      <c r="F1884" s="200">
        <v>0</v>
      </c>
      <c r="H1884" s="17"/>
    </row>
    <row r="1885" spans="2:8" s="16" customFormat="1" ht="16.899999999999999" customHeight="1" x14ac:dyDescent="0.2">
      <c r="B1885" s="17"/>
      <c r="C1885" s="83"/>
      <c r="D1885" s="83" t="s">
        <v>3467</v>
      </c>
      <c r="E1885" s="2"/>
      <c r="F1885" s="200">
        <v>0</v>
      </c>
      <c r="H1885" s="17"/>
    </row>
    <row r="1886" spans="2:8" s="16" customFormat="1" ht="16.899999999999999" customHeight="1" x14ac:dyDescent="0.2">
      <c r="B1886" s="17"/>
      <c r="C1886" s="83"/>
      <c r="D1886" s="83" t="s">
        <v>3468</v>
      </c>
      <c r="E1886" s="2"/>
      <c r="F1886" s="200">
        <v>0</v>
      </c>
      <c r="H1886" s="17"/>
    </row>
    <row r="1887" spans="2:8" s="16" customFormat="1" ht="16.899999999999999" customHeight="1" x14ac:dyDescent="0.2">
      <c r="B1887" s="17"/>
      <c r="C1887" s="83"/>
      <c r="D1887" s="83" t="s">
        <v>3381</v>
      </c>
      <c r="E1887" s="2"/>
      <c r="F1887" s="200">
        <v>0</v>
      </c>
      <c r="H1887" s="17"/>
    </row>
    <row r="1888" spans="2:8" s="16" customFormat="1" ht="16.899999999999999" customHeight="1" x14ac:dyDescent="0.2">
      <c r="B1888" s="17"/>
      <c r="C1888" s="83"/>
      <c r="D1888" s="83" t="s">
        <v>3736</v>
      </c>
      <c r="E1888" s="2"/>
      <c r="F1888" s="200">
        <v>506.54</v>
      </c>
      <c r="H1888" s="17"/>
    </row>
    <row r="1889" spans="2:8" s="16" customFormat="1" ht="16.899999999999999" customHeight="1" x14ac:dyDescent="0.2">
      <c r="B1889" s="17"/>
      <c r="C1889" s="83"/>
      <c r="D1889" s="83" t="s">
        <v>3383</v>
      </c>
      <c r="E1889" s="2"/>
      <c r="F1889" s="200">
        <v>0</v>
      </c>
      <c r="H1889" s="17"/>
    </row>
    <row r="1890" spans="2:8" s="16" customFormat="1" ht="16.899999999999999" customHeight="1" x14ac:dyDescent="0.2">
      <c r="B1890" s="17"/>
      <c r="C1890" s="83"/>
      <c r="D1890" s="83" t="s">
        <v>3473</v>
      </c>
      <c r="E1890" s="2"/>
      <c r="F1890" s="200">
        <v>41.08</v>
      </c>
      <c r="H1890" s="17"/>
    </row>
    <row r="1891" spans="2:8" s="16" customFormat="1" ht="16.899999999999999" customHeight="1" x14ac:dyDescent="0.2">
      <c r="B1891" s="17"/>
      <c r="C1891" s="83"/>
      <c r="D1891" s="83" t="s">
        <v>3475</v>
      </c>
      <c r="E1891" s="2"/>
      <c r="F1891" s="200">
        <v>0</v>
      </c>
      <c r="H1891" s="17"/>
    </row>
    <row r="1892" spans="2:8" s="16" customFormat="1" ht="16.899999999999999" customHeight="1" x14ac:dyDescent="0.2">
      <c r="B1892" s="17"/>
      <c r="C1892" s="83"/>
      <c r="D1892" s="83" t="s">
        <v>3476</v>
      </c>
      <c r="E1892" s="2"/>
      <c r="F1892" s="200">
        <v>-8.6</v>
      </c>
      <c r="H1892" s="17"/>
    </row>
    <row r="1893" spans="2:8" s="16" customFormat="1" ht="16.899999999999999" customHeight="1" x14ac:dyDescent="0.2">
      <c r="B1893" s="17"/>
      <c r="C1893" s="83"/>
      <c r="D1893" s="83" t="s">
        <v>3477</v>
      </c>
      <c r="E1893" s="2"/>
      <c r="F1893" s="200">
        <v>-2.903</v>
      </c>
      <c r="H1893" s="17"/>
    </row>
    <row r="1894" spans="2:8" s="16" customFormat="1" ht="16.899999999999999" customHeight="1" x14ac:dyDescent="0.2">
      <c r="B1894" s="17"/>
      <c r="C1894" s="83"/>
      <c r="D1894" s="83" t="s">
        <v>3478</v>
      </c>
      <c r="E1894" s="2"/>
      <c r="F1894" s="200">
        <v>0</v>
      </c>
      <c r="H1894" s="17"/>
    </row>
    <row r="1895" spans="2:8" s="16" customFormat="1" ht="16.899999999999999" customHeight="1" x14ac:dyDescent="0.2">
      <c r="B1895" s="17"/>
      <c r="C1895" s="83"/>
      <c r="D1895" s="83" t="s">
        <v>3737</v>
      </c>
      <c r="E1895" s="2"/>
      <c r="F1895" s="200">
        <v>-10.8</v>
      </c>
      <c r="H1895" s="17"/>
    </row>
    <row r="1896" spans="2:8" s="16" customFormat="1" ht="16.899999999999999" customHeight="1" x14ac:dyDescent="0.2">
      <c r="B1896" s="17"/>
      <c r="C1896" s="83"/>
      <c r="D1896" s="83" t="s">
        <v>3480</v>
      </c>
      <c r="E1896" s="2"/>
      <c r="F1896" s="200">
        <v>-3.51</v>
      </c>
      <c r="H1896" s="17"/>
    </row>
    <row r="1897" spans="2:8" s="16" customFormat="1" ht="16.899999999999999" customHeight="1" x14ac:dyDescent="0.2">
      <c r="B1897" s="17"/>
      <c r="C1897" s="83"/>
      <c r="D1897" s="83" t="s">
        <v>3482</v>
      </c>
      <c r="E1897" s="2"/>
      <c r="F1897" s="200">
        <v>-2.3519999999999999</v>
      </c>
      <c r="H1897" s="17"/>
    </row>
    <row r="1898" spans="2:8" s="16" customFormat="1" ht="16.899999999999999" customHeight="1" x14ac:dyDescent="0.2">
      <c r="B1898" s="17"/>
      <c r="C1898" s="83"/>
      <c r="D1898" s="83" t="s">
        <v>3484</v>
      </c>
      <c r="E1898" s="2"/>
      <c r="F1898" s="200">
        <v>-7.02</v>
      </c>
      <c r="H1898" s="17"/>
    </row>
    <row r="1899" spans="2:8" s="16" customFormat="1" ht="16.899999999999999" customHeight="1" x14ac:dyDescent="0.2">
      <c r="B1899" s="17"/>
      <c r="C1899" s="83"/>
      <c r="D1899" s="83" t="s">
        <v>3738</v>
      </c>
      <c r="E1899" s="2"/>
      <c r="F1899" s="200">
        <v>-36</v>
      </c>
      <c r="H1899" s="17"/>
    </row>
    <row r="1900" spans="2:8" s="16" customFormat="1" ht="16.899999999999999" customHeight="1" x14ac:dyDescent="0.2">
      <c r="B1900" s="17"/>
      <c r="C1900" s="83"/>
      <c r="D1900" s="83" t="s">
        <v>3739</v>
      </c>
      <c r="E1900" s="2"/>
      <c r="F1900" s="200">
        <v>-97.2</v>
      </c>
      <c r="H1900" s="17"/>
    </row>
    <row r="1901" spans="2:8" s="16" customFormat="1" ht="16.899999999999999" customHeight="1" x14ac:dyDescent="0.2">
      <c r="B1901" s="17"/>
      <c r="C1901" s="83"/>
      <c r="D1901" s="83" t="s">
        <v>3740</v>
      </c>
      <c r="E1901" s="2"/>
      <c r="F1901" s="200">
        <v>-49.5</v>
      </c>
      <c r="H1901" s="17"/>
    </row>
    <row r="1902" spans="2:8" s="16" customFormat="1" ht="16.899999999999999" customHeight="1" x14ac:dyDescent="0.2">
      <c r="B1902" s="17"/>
      <c r="C1902" s="83"/>
      <c r="D1902" s="83"/>
      <c r="E1902" s="2"/>
      <c r="F1902" s="200">
        <v>0</v>
      </c>
      <c r="H1902" s="17"/>
    </row>
    <row r="1903" spans="2:8" s="16" customFormat="1" ht="16.899999999999999" customHeight="1" x14ac:dyDescent="0.2">
      <c r="B1903" s="17"/>
      <c r="C1903" s="83"/>
      <c r="D1903" s="83" t="s">
        <v>3259</v>
      </c>
      <c r="E1903" s="2"/>
      <c r="F1903" s="200">
        <v>0</v>
      </c>
      <c r="H1903" s="17"/>
    </row>
    <row r="1904" spans="2:8" s="16" customFormat="1" ht="16.899999999999999" customHeight="1" x14ac:dyDescent="0.2">
      <c r="B1904" s="17"/>
      <c r="C1904" s="83"/>
      <c r="D1904" s="83" t="s">
        <v>3467</v>
      </c>
      <c r="E1904" s="2"/>
      <c r="F1904" s="200">
        <v>0</v>
      </c>
      <c r="H1904" s="17"/>
    </row>
    <row r="1905" spans="2:8" s="16" customFormat="1" ht="16.899999999999999" customHeight="1" x14ac:dyDescent="0.2">
      <c r="B1905" s="17"/>
      <c r="C1905" s="83"/>
      <c r="D1905" s="83" t="s">
        <v>3389</v>
      </c>
      <c r="E1905" s="2"/>
      <c r="F1905" s="200">
        <v>0</v>
      </c>
      <c r="H1905" s="17"/>
    </row>
    <row r="1906" spans="2:8" s="16" customFormat="1" ht="16.899999999999999" customHeight="1" x14ac:dyDescent="0.2">
      <c r="B1906" s="17"/>
      <c r="C1906" s="83"/>
      <c r="D1906" s="83" t="s">
        <v>3741</v>
      </c>
      <c r="E1906" s="2"/>
      <c r="F1906" s="200">
        <v>43.47</v>
      </c>
      <c r="H1906" s="17"/>
    </row>
    <row r="1907" spans="2:8" s="16" customFormat="1" ht="16.899999999999999" customHeight="1" x14ac:dyDescent="0.2">
      <c r="B1907" s="17"/>
      <c r="C1907" s="83"/>
      <c r="D1907" s="83" t="s">
        <v>3742</v>
      </c>
      <c r="E1907" s="2"/>
      <c r="F1907" s="200">
        <v>0</v>
      </c>
      <c r="H1907" s="17"/>
    </row>
    <row r="1908" spans="2:8" s="16" customFormat="1" ht="16.899999999999999" customHeight="1" x14ac:dyDescent="0.2">
      <c r="B1908" s="17"/>
      <c r="C1908" s="83"/>
      <c r="D1908" s="83" t="s">
        <v>3743</v>
      </c>
      <c r="E1908" s="2"/>
      <c r="F1908" s="200">
        <v>2.4710000000000001</v>
      </c>
      <c r="H1908" s="17"/>
    </row>
    <row r="1909" spans="2:8" s="16" customFormat="1" ht="16.899999999999999" customHeight="1" x14ac:dyDescent="0.2">
      <c r="B1909" s="17"/>
      <c r="C1909" s="83"/>
      <c r="D1909" s="83" t="s">
        <v>3744</v>
      </c>
      <c r="E1909" s="2"/>
      <c r="F1909" s="200">
        <v>6.7869999999999999</v>
      </c>
      <c r="H1909" s="17"/>
    </row>
    <row r="1910" spans="2:8" s="16" customFormat="1" ht="16.899999999999999" customHeight="1" x14ac:dyDescent="0.2">
      <c r="B1910" s="17"/>
      <c r="C1910" s="83"/>
      <c r="D1910" s="83" t="s">
        <v>3745</v>
      </c>
      <c r="E1910" s="2"/>
      <c r="F1910" s="200">
        <v>0</v>
      </c>
      <c r="H1910" s="17"/>
    </row>
    <row r="1911" spans="2:8" s="16" customFormat="1" ht="16.899999999999999" customHeight="1" x14ac:dyDescent="0.2">
      <c r="B1911" s="17"/>
      <c r="C1911" s="83"/>
      <c r="D1911" s="83" t="s">
        <v>3578</v>
      </c>
      <c r="E1911" s="2"/>
      <c r="F1911" s="200">
        <v>22.195</v>
      </c>
      <c r="H1911" s="17"/>
    </row>
    <row r="1912" spans="2:8" s="16" customFormat="1" ht="16.899999999999999" customHeight="1" x14ac:dyDescent="0.2">
      <c r="B1912" s="17"/>
      <c r="C1912" s="83"/>
      <c r="D1912" s="83" t="s">
        <v>3579</v>
      </c>
      <c r="E1912" s="2"/>
      <c r="F1912" s="200">
        <v>0.66</v>
      </c>
      <c r="H1912" s="17"/>
    </row>
    <row r="1913" spans="2:8" s="16" customFormat="1" ht="16.899999999999999" customHeight="1" x14ac:dyDescent="0.2">
      <c r="B1913" s="17"/>
      <c r="C1913" s="83"/>
      <c r="D1913" s="83" t="s">
        <v>3475</v>
      </c>
      <c r="E1913" s="2"/>
      <c r="F1913" s="200">
        <v>0</v>
      </c>
      <c r="H1913" s="17"/>
    </row>
    <row r="1914" spans="2:8" s="16" customFormat="1" ht="16.899999999999999" customHeight="1" x14ac:dyDescent="0.2">
      <c r="B1914" s="17"/>
      <c r="C1914" s="83"/>
      <c r="D1914" s="83" t="s">
        <v>3580</v>
      </c>
      <c r="E1914" s="2"/>
      <c r="F1914" s="200">
        <v>-0.76500000000000001</v>
      </c>
      <c r="H1914" s="17"/>
    </row>
    <row r="1915" spans="2:8" s="16" customFormat="1" ht="16.899999999999999" customHeight="1" x14ac:dyDescent="0.2">
      <c r="B1915" s="17"/>
      <c r="C1915" s="83"/>
      <c r="D1915" s="83" t="s">
        <v>3746</v>
      </c>
      <c r="E1915" s="2"/>
      <c r="F1915" s="200">
        <v>0</v>
      </c>
      <c r="H1915" s="17"/>
    </row>
    <row r="1916" spans="2:8" s="16" customFormat="1" ht="16.899999999999999" customHeight="1" x14ac:dyDescent="0.2">
      <c r="B1916" s="17"/>
      <c r="C1916" s="83"/>
      <c r="D1916" s="83" t="s">
        <v>3582</v>
      </c>
      <c r="E1916" s="2"/>
      <c r="F1916" s="200">
        <v>-8.74</v>
      </c>
      <c r="H1916" s="17"/>
    </row>
    <row r="1917" spans="2:8" s="16" customFormat="1" ht="16.899999999999999" customHeight="1" x14ac:dyDescent="0.2">
      <c r="B1917" s="17"/>
      <c r="C1917" s="83"/>
      <c r="D1917" s="83"/>
      <c r="E1917" s="2"/>
      <c r="F1917" s="200">
        <v>0</v>
      </c>
      <c r="H1917" s="17"/>
    </row>
    <row r="1918" spans="2:8" s="16" customFormat="1" ht="16.899999999999999" customHeight="1" x14ac:dyDescent="0.2">
      <c r="B1918" s="17"/>
      <c r="C1918" s="83"/>
      <c r="D1918" s="83" t="s">
        <v>3336</v>
      </c>
      <c r="E1918" s="2"/>
      <c r="F1918" s="200">
        <v>0</v>
      </c>
      <c r="H1918" s="17"/>
    </row>
    <row r="1919" spans="2:8" s="16" customFormat="1" ht="16.899999999999999" customHeight="1" x14ac:dyDescent="0.2">
      <c r="B1919" s="17"/>
      <c r="C1919" s="83"/>
      <c r="D1919" s="83" t="s">
        <v>3513</v>
      </c>
      <c r="E1919" s="2"/>
      <c r="F1919" s="200">
        <v>0</v>
      </c>
      <c r="H1919" s="17"/>
    </row>
    <row r="1920" spans="2:8" s="16" customFormat="1" ht="16.899999999999999" customHeight="1" x14ac:dyDescent="0.2">
      <c r="B1920" s="17"/>
      <c r="C1920" s="83"/>
      <c r="D1920" s="83" t="s">
        <v>3514</v>
      </c>
      <c r="E1920" s="2"/>
      <c r="F1920" s="200">
        <v>0</v>
      </c>
      <c r="H1920" s="17"/>
    </row>
    <row r="1921" spans="2:8" s="16" customFormat="1" ht="16.899999999999999" customHeight="1" x14ac:dyDescent="0.2">
      <c r="B1921" s="17"/>
      <c r="C1921" s="83"/>
      <c r="D1921" s="83" t="s">
        <v>3394</v>
      </c>
      <c r="E1921" s="2"/>
      <c r="F1921" s="200">
        <v>0</v>
      </c>
      <c r="H1921" s="17"/>
    </row>
    <row r="1922" spans="2:8" s="16" customFormat="1" ht="16.899999999999999" customHeight="1" x14ac:dyDescent="0.2">
      <c r="B1922" s="17"/>
      <c r="C1922" s="83"/>
      <c r="D1922" s="83" t="s">
        <v>3747</v>
      </c>
      <c r="E1922" s="2"/>
      <c r="F1922" s="200">
        <v>67.424999999999997</v>
      </c>
      <c r="H1922" s="17"/>
    </row>
    <row r="1923" spans="2:8" s="16" customFormat="1" ht="16.899999999999999" customHeight="1" x14ac:dyDescent="0.2">
      <c r="B1923" s="17"/>
      <c r="C1923" s="83"/>
      <c r="D1923" s="83" t="s">
        <v>3748</v>
      </c>
      <c r="E1923" s="2"/>
      <c r="F1923" s="200">
        <v>169.19499999999999</v>
      </c>
      <c r="H1923" s="17"/>
    </row>
    <row r="1924" spans="2:8" s="16" customFormat="1" ht="16.899999999999999" customHeight="1" x14ac:dyDescent="0.2">
      <c r="B1924" s="17"/>
      <c r="C1924" s="83"/>
      <c r="D1924" s="83" t="s">
        <v>3749</v>
      </c>
      <c r="E1924" s="2"/>
      <c r="F1924" s="200">
        <v>164.4</v>
      </c>
      <c r="H1924" s="17"/>
    </row>
    <row r="1925" spans="2:8" s="16" customFormat="1" ht="16.899999999999999" customHeight="1" x14ac:dyDescent="0.2">
      <c r="B1925" s="17"/>
      <c r="C1925" s="83"/>
      <c r="D1925" s="83" t="s">
        <v>3398</v>
      </c>
      <c r="E1925" s="2"/>
      <c r="F1925" s="200">
        <v>0</v>
      </c>
      <c r="H1925" s="17"/>
    </row>
    <row r="1926" spans="2:8" s="16" customFormat="1" ht="16.899999999999999" customHeight="1" x14ac:dyDescent="0.2">
      <c r="B1926" s="17"/>
      <c r="C1926" s="83"/>
      <c r="D1926" s="83" t="s">
        <v>3750</v>
      </c>
      <c r="E1926" s="2"/>
      <c r="F1926" s="200">
        <v>105.6</v>
      </c>
      <c r="H1926" s="17"/>
    </row>
    <row r="1927" spans="2:8" s="16" customFormat="1" ht="16.899999999999999" customHeight="1" x14ac:dyDescent="0.2">
      <c r="B1927" s="17"/>
      <c r="C1927" s="83"/>
      <c r="D1927" s="83" t="s">
        <v>3403</v>
      </c>
      <c r="E1927" s="2"/>
      <c r="F1927" s="200">
        <v>0</v>
      </c>
      <c r="H1927" s="17"/>
    </row>
    <row r="1928" spans="2:8" s="16" customFormat="1" ht="16.899999999999999" customHeight="1" x14ac:dyDescent="0.2">
      <c r="B1928" s="17"/>
      <c r="C1928" s="83"/>
      <c r="D1928" s="83" t="s">
        <v>3751</v>
      </c>
      <c r="E1928" s="2"/>
      <c r="F1928" s="200">
        <v>12.561999999999999</v>
      </c>
      <c r="H1928" s="17"/>
    </row>
    <row r="1929" spans="2:8" s="16" customFormat="1" ht="16.899999999999999" customHeight="1" x14ac:dyDescent="0.2">
      <c r="B1929" s="17"/>
      <c r="C1929" s="83"/>
      <c r="D1929" s="83" t="s">
        <v>3396</v>
      </c>
      <c r="E1929" s="2"/>
      <c r="F1929" s="200">
        <v>0</v>
      </c>
      <c r="H1929" s="17"/>
    </row>
    <row r="1930" spans="2:8" s="16" customFormat="1" ht="16.899999999999999" customHeight="1" x14ac:dyDescent="0.2">
      <c r="B1930" s="17"/>
      <c r="C1930" s="83"/>
      <c r="D1930" s="83" t="s">
        <v>3752</v>
      </c>
      <c r="E1930" s="2"/>
      <c r="F1930" s="200">
        <v>0.46200000000000002</v>
      </c>
      <c r="H1930" s="17"/>
    </row>
    <row r="1931" spans="2:8" s="16" customFormat="1" ht="16.899999999999999" customHeight="1" x14ac:dyDescent="0.2">
      <c r="B1931" s="17"/>
      <c r="C1931" s="83"/>
      <c r="D1931" s="83" t="s">
        <v>3406</v>
      </c>
      <c r="E1931" s="2"/>
      <c r="F1931" s="200">
        <v>0</v>
      </c>
      <c r="H1931" s="17"/>
    </row>
    <row r="1932" spans="2:8" s="16" customFormat="1" ht="16.899999999999999" customHeight="1" x14ac:dyDescent="0.2">
      <c r="B1932" s="17"/>
      <c r="C1932" s="83"/>
      <c r="D1932" s="83" t="s">
        <v>3407</v>
      </c>
      <c r="E1932" s="2"/>
      <c r="F1932" s="200">
        <v>0</v>
      </c>
      <c r="H1932" s="17"/>
    </row>
    <row r="1933" spans="2:8" s="16" customFormat="1" ht="16.899999999999999" customHeight="1" x14ac:dyDescent="0.2">
      <c r="B1933" s="17"/>
      <c r="C1933" s="83"/>
      <c r="D1933" s="83" t="s">
        <v>3522</v>
      </c>
      <c r="E1933" s="2"/>
      <c r="F1933" s="200">
        <v>31.11</v>
      </c>
      <c r="H1933" s="17"/>
    </row>
    <row r="1934" spans="2:8" s="16" customFormat="1" ht="16.899999999999999" customHeight="1" x14ac:dyDescent="0.2">
      <c r="B1934" s="17"/>
      <c r="C1934" s="83"/>
      <c r="D1934" s="83" t="s">
        <v>511</v>
      </c>
      <c r="E1934" s="2"/>
      <c r="F1934" s="200">
        <v>0</v>
      </c>
      <c r="H1934" s="17"/>
    </row>
    <row r="1935" spans="2:8" s="16" customFormat="1" ht="16.899999999999999" customHeight="1" x14ac:dyDescent="0.2">
      <c r="B1935" s="17"/>
      <c r="C1935" s="83"/>
      <c r="D1935" s="83" t="s">
        <v>3525</v>
      </c>
      <c r="E1935" s="2"/>
      <c r="F1935" s="200">
        <v>-7.56</v>
      </c>
      <c r="H1935" s="17"/>
    </row>
    <row r="1936" spans="2:8" s="16" customFormat="1" ht="16.899999999999999" customHeight="1" x14ac:dyDescent="0.2">
      <c r="B1936" s="17"/>
      <c r="C1936" s="83"/>
      <c r="D1936" s="83" t="s">
        <v>3526</v>
      </c>
      <c r="E1936" s="2"/>
      <c r="F1936" s="200">
        <v>-4.32</v>
      </c>
      <c r="H1936" s="17"/>
    </row>
    <row r="1937" spans="2:8" s="16" customFormat="1" ht="16.899999999999999" customHeight="1" x14ac:dyDescent="0.2">
      <c r="B1937" s="17"/>
      <c r="C1937" s="83"/>
      <c r="D1937" s="83" t="s">
        <v>3527</v>
      </c>
      <c r="E1937" s="2"/>
      <c r="F1937" s="200">
        <v>-1.819</v>
      </c>
      <c r="H1937" s="17"/>
    </row>
    <row r="1938" spans="2:8" s="16" customFormat="1" ht="16.899999999999999" customHeight="1" x14ac:dyDescent="0.2">
      <c r="B1938" s="17"/>
      <c r="C1938" s="83"/>
      <c r="D1938" s="83" t="s">
        <v>3528</v>
      </c>
      <c r="E1938" s="2"/>
      <c r="F1938" s="200">
        <v>-3.24</v>
      </c>
      <c r="H1938" s="17"/>
    </row>
    <row r="1939" spans="2:8" s="16" customFormat="1" ht="16.899999999999999" customHeight="1" x14ac:dyDescent="0.2">
      <c r="B1939" s="17"/>
      <c r="C1939" s="83"/>
      <c r="D1939" s="83" t="s">
        <v>3529</v>
      </c>
      <c r="E1939" s="2"/>
      <c r="F1939" s="200">
        <v>-2.5680000000000001</v>
      </c>
      <c r="H1939" s="17"/>
    </row>
    <row r="1940" spans="2:8" s="16" customFormat="1" ht="16.899999999999999" customHeight="1" x14ac:dyDescent="0.2">
      <c r="B1940" s="17"/>
      <c r="C1940" s="83"/>
      <c r="D1940" s="83" t="s">
        <v>3530</v>
      </c>
      <c r="E1940" s="2"/>
      <c r="F1940" s="200">
        <v>-13.824</v>
      </c>
      <c r="H1940" s="17"/>
    </row>
    <row r="1941" spans="2:8" s="16" customFormat="1" ht="16.899999999999999" customHeight="1" x14ac:dyDescent="0.2">
      <c r="B1941" s="17"/>
      <c r="C1941" s="83"/>
      <c r="D1941" s="83" t="s">
        <v>3532</v>
      </c>
      <c r="E1941" s="2"/>
      <c r="F1941" s="200">
        <v>-4.8150000000000004</v>
      </c>
      <c r="H1941" s="17"/>
    </row>
    <row r="1942" spans="2:8" s="16" customFormat="1" ht="16.899999999999999" customHeight="1" x14ac:dyDescent="0.2">
      <c r="B1942" s="17"/>
      <c r="C1942" s="83"/>
      <c r="D1942" s="83" t="s">
        <v>3534</v>
      </c>
      <c r="E1942" s="2"/>
      <c r="F1942" s="200">
        <v>-7.02</v>
      </c>
      <c r="H1942" s="17"/>
    </row>
    <row r="1943" spans="2:8" s="16" customFormat="1" ht="16.899999999999999" customHeight="1" x14ac:dyDescent="0.2">
      <c r="B1943" s="17"/>
      <c r="C1943" s="83"/>
      <c r="D1943" s="83" t="s">
        <v>3753</v>
      </c>
      <c r="E1943" s="2"/>
      <c r="F1943" s="200">
        <v>-149.51499999999999</v>
      </c>
      <c r="H1943" s="17"/>
    </row>
    <row r="1944" spans="2:8" s="16" customFormat="1" ht="16.899999999999999" customHeight="1" x14ac:dyDescent="0.2">
      <c r="B1944" s="17"/>
      <c r="C1944" s="83"/>
      <c r="D1944" s="83" t="s">
        <v>3538</v>
      </c>
      <c r="E1944" s="2"/>
      <c r="F1944" s="200">
        <v>-3.117</v>
      </c>
      <c r="H1944" s="17"/>
    </row>
    <row r="1945" spans="2:8" s="16" customFormat="1" ht="16.899999999999999" customHeight="1" x14ac:dyDescent="0.2">
      <c r="B1945" s="17"/>
      <c r="C1945" s="83"/>
      <c r="D1945" s="83"/>
      <c r="E1945" s="2"/>
      <c r="F1945" s="200">
        <v>0</v>
      </c>
      <c r="H1945" s="17"/>
    </row>
    <row r="1946" spans="2:8" s="16" customFormat="1" ht="16.899999999999999" customHeight="1" x14ac:dyDescent="0.2">
      <c r="B1946" s="17"/>
      <c r="C1946" s="83"/>
      <c r="D1946" s="83" t="s">
        <v>3754</v>
      </c>
      <c r="E1946" s="2"/>
      <c r="F1946" s="200">
        <v>0</v>
      </c>
      <c r="H1946" s="17"/>
    </row>
    <row r="1947" spans="2:8" s="16" customFormat="1" ht="16.899999999999999" customHeight="1" x14ac:dyDescent="0.2">
      <c r="B1947" s="17"/>
      <c r="C1947" s="83"/>
      <c r="D1947" s="83" t="s">
        <v>3584</v>
      </c>
      <c r="E1947" s="2"/>
      <c r="F1947" s="200">
        <v>157.16999999999999</v>
      </c>
      <c r="H1947" s="17"/>
    </row>
    <row r="1948" spans="2:8" s="16" customFormat="1" ht="16.899999999999999" customHeight="1" x14ac:dyDescent="0.2">
      <c r="B1948" s="17"/>
      <c r="C1948" s="83"/>
      <c r="D1948" s="83" t="s">
        <v>3585</v>
      </c>
      <c r="E1948" s="2"/>
      <c r="F1948" s="200">
        <v>0</v>
      </c>
      <c r="H1948" s="17"/>
    </row>
    <row r="1949" spans="2:8" s="16" customFormat="1" ht="16.899999999999999" customHeight="1" x14ac:dyDescent="0.2">
      <c r="B1949" s="17"/>
      <c r="C1949" s="83"/>
      <c r="D1949" s="83" t="s">
        <v>3586</v>
      </c>
      <c r="E1949" s="2"/>
      <c r="F1949" s="200">
        <v>55.77</v>
      </c>
      <c r="H1949" s="17"/>
    </row>
    <row r="1950" spans="2:8" s="16" customFormat="1" ht="16.899999999999999" customHeight="1" x14ac:dyDescent="0.2">
      <c r="B1950" s="17"/>
      <c r="C1950" s="83"/>
      <c r="D1950" s="83" t="s">
        <v>3587</v>
      </c>
      <c r="E1950" s="2"/>
      <c r="F1950" s="200">
        <v>0</v>
      </c>
      <c r="H1950" s="17"/>
    </row>
    <row r="1951" spans="2:8" s="16" customFormat="1" ht="16.899999999999999" customHeight="1" x14ac:dyDescent="0.2">
      <c r="B1951" s="17"/>
      <c r="C1951" s="83"/>
      <c r="D1951" s="83" t="s">
        <v>3588</v>
      </c>
      <c r="E1951" s="2"/>
      <c r="F1951" s="200">
        <v>-70.36</v>
      </c>
      <c r="H1951" s="17"/>
    </row>
    <row r="1952" spans="2:8" s="16" customFormat="1" ht="16.899999999999999" customHeight="1" x14ac:dyDescent="0.2">
      <c r="B1952" s="17"/>
      <c r="C1952" s="83"/>
      <c r="D1952" s="83"/>
      <c r="E1952" s="2"/>
      <c r="F1952" s="200">
        <v>0</v>
      </c>
      <c r="H1952" s="17"/>
    </row>
    <row r="1953" spans="2:8" s="16" customFormat="1" ht="16.899999999999999" customHeight="1" x14ac:dyDescent="0.2">
      <c r="B1953" s="17"/>
      <c r="C1953" s="83"/>
      <c r="D1953" s="83" t="s">
        <v>3409</v>
      </c>
      <c r="E1953" s="2"/>
      <c r="F1953" s="200">
        <v>0</v>
      </c>
      <c r="H1953" s="17"/>
    </row>
    <row r="1954" spans="2:8" s="16" customFormat="1" ht="16.899999999999999" customHeight="1" x14ac:dyDescent="0.2">
      <c r="B1954" s="17"/>
      <c r="C1954" s="83"/>
      <c r="D1954" s="83" t="s">
        <v>3544</v>
      </c>
      <c r="E1954" s="2"/>
      <c r="F1954" s="200">
        <v>11.2</v>
      </c>
      <c r="H1954" s="17"/>
    </row>
    <row r="1955" spans="2:8" s="16" customFormat="1" ht="16.899999999999999" customHeight="1" x14ac:dyDescent="0.2">
      <c r="B1955" s="17"/>
      <c r="C1955" s="83"/>
      <c r="D1955" s="83" t="s">
        <v>3545</v>
      </c>
      <c r="E1955" s="2"/>
      <c r="F1955" s="200">
        <v>0</v>
      </c>
      <c r="H1955" s="17"/>
    </row>
    <row r="1956" spans="2:8" s="16" customFormat="1" ht="16.899999999999999" customHeight="1" x14ac:dyDescent="0.2">
      <c r="B1956" s="17"/>
      <c r="C1956" s="83"/>
      <c r="D1956" s="83" t="s">
        <v>3546</v>
      </c>
      <c r="E1956" s="2"/>
      <c r="F1956" s="200">
        <v>-4.37</v>
      </c>
      <c r="H1956" s="17"/>
    </row>
    <row r="1957" spans="2:8" s="16" customFormat="1" ht="16.899999999999999" customHeight="1" x14ac:dyDescent="0.2">
      <c r="B1957" s="17"/>
      <c r="C1957" s="83"/>
      <c r="D1957" s="83"/>
      <c r="E1957" s="2"/>
      <c r="F1957" s="200">
        <v>0</v>
      </c>
      <c r="H1957" s="17"/>
    </row>
    <row r="1958" spans="2:8" s="16" customFormat="1" ht="16.899999999999999" customHeight="1" x14ac:dyDescent="0.2">
      <c r="B1958" s="17"/>
      <c r="C1958" s="83"/>
      <c r="D1958" s="83" t="s">
        <v>3566</v>
      </c>
      <c r="E1958" s="2"/>
      <c r="F1958" s="200">
        <v>0</v>
      </c>
      <c r="H1958" s="17"/>
    </row>
    <row r="1959" spans="2:8" s="16" customFormat="1" ht="16.899999999999999" customHeight="1" x14ac:dyDescent="0.2">
      <c r="B1959" s="17"/>
      <c r="C1959" s="83"/>
      <c r="D1959" s="83" t="s">
        <v>3567</v>
      </c>
      <c r="E1959" s="2"/>
      <c r="F1959" s="200">
        <v>39.975000000000001</v>
      </c>
      <c r="H1959" s="17"/>
    </row>
    <row r="1960" spans="2:8" s="16" customFormat="1" ht="16.899999999999999" customHeight="1" x14ac:dyDescent="0.2">
      <c r="B1960" s="17"/>
      <c r="C1960" s="83"/>
      <c r="D1960" s="83" t="s">
        <v>3568</v>
      </c>
      <c r="E1960" s="2"/>
      <c r="F1960" s="200">
        <v>0.432</v>
      </c>
      <c r="H1960" s="17"/>
    </row>
    <row r="1961" spans="2:8" s="16" customFormat="1" ht="16.899999999999999" customHeight="1" x14ac:dyDescent="0.2">
      <c r="B1961" s="17"/>
      <c r="C1961" s="83"/>
      <c r="D1961" s="83" t="s">
        <v>3475</v>
      </c>
      <c r="E1961" s="2"/>
      <c r="F1961" s="200">
        <v>0</v>
      </c>
      <c r="H1961" s="17"/>
    </row>
    <row r="1962" spans="2:8" s="16" customFormat="1" ht="16.899999999999999" customHeight="1" x14ac:dyDescent="0.2">
      <c r="B1962" s="17"/>
      <c r="C1962" s="83"/>
      <c r="D1962" s="83" t="s">
        <v>3569</v>
      </c>
      <c r="E1962" s="2"/>
      <c r="F1962" s="200">
        <v>-2.15</v>
      </c>
      <c r="H1962" s="17"/>
    </row>
    <row r="1963" spans="2:8" s="16" customFormat="1" ht="16.899999999999999" customHeight="1" x14ac:dyDescent="0.2">
      <c r="B1963" s="17"/>
      <c r="C1963" s="83"/>
      <c r="D1963" s="83"/>
      <c r="E1963" s="2"/>
      <c r="F1963" s="200">
        <v>0</v>
      </c>
      <c r="H1963" s="17"/>
    </row>
    <row r="1964" spans="2:8" s="16" customFormat="1" ht="16.899999999999999" customHeight="1" x14ac:dyDescent="0.2">
      <c r="B1964" s="17"/>
      <c r="C1964" s="83"/>
      <c r="D1964" s="83" t="s">
        <v>3117</v>
      </c>
      <c r="E1964" s="2"/>
      <c r="F1964" s="200">
        <v>0</v>
      </c>
      <c r="H1964" s="17"/>
    </row>
    <row r="1965" spans="2:8" s="16" customFormat="1" ht="16.899999999999999" customHeight="1" x14ac:dyDescent="0.2">
      <c r="B1965" s="17"/>
      <c r="C1965" s="83"/>
      <c r="D1965" s="83" t="s">
        <v>3547</v>
      </c>
      <c r="E1965" s="2"/>
      <c r="F1965" s="200">
        <v>0</v>
      </c>
      <c r="H1965" s="17"/>
    </row>
    <row r="1966" spans="2:8" s="16" customFormat="1" ht="16.899999999999999" customHeight="1" x14ac:dyDescent="0.2">
      <c r="B1966" s="17"/>
      <c r="C1966" s="83"/>
      <c r="D1966" s="83" t="s">
        <v>3548</v>
      </c>
      <c r="E1966" s="2"/>
      <c r="F1966" s="200">
        <v>0</v>
      </c>
      <c r="H1966" s="17"/>
    </row>
    <row r="1967" spans="2:8" s="16" customFormat="1" ht="16.899999999999999" customHeight="1" x14ac:dyDescent="0.2">
      <c r="B1967" s="17"/>
      <c r="C1967" s="83"/>
      <c r="D1967" s="83" t="s">
        <v>3549</v>
      </c>
      <c r="E1967" s="2"/>
      <c r="F1967" s="200">
        <v>39</v>
      </c>
      <c r="H1967" s="17"/>
    </row>
    <row r="1968" spans="2:8" s="16" customFormat="1" ht="16.899999999999999" customHeight="1" x14ac:dyDescent="0.2">
      <c r="B1968" s="17"/>
      <c r="C1968" s="83"/>
      <c r="D1968" s="83" t="s">
        <v>3550</v>
      </c>
      <c r="E1968" s="2"/>
      <c r="F1968" s="200">
        <v>0</v>
      </c>
      <c r="H1968" s="17"/>
    </row>
    <row r="1969" spans="2:8" s="16" customFormat="1" ht="16.899999999999999" customHeight="1" x14ac:dyDescent="0.2">
      <c r="B1969" s="17"/>
      <c r="C1969" s="83"/>
      <c r="D1969" s="83" t="s">
        <v>3551</v>
      </c>
      <c r="E1969" s="2"/>
      <c r="F1969" s="200">
        <v>23.4</v>
      </c>
      <c r="H1969" s="17"/>
    </row>
    <row r="1970" spans="2:8" s="16" customFormat="1" ht="16.899999999999999" customHeight="1" x14ac:dyDescent="0.2">
      <c r="B1970" s="17"/>
      <c r="C1970" s="83"/>
      <c r="D1970" s="83" t="s">
        <v>3552</v>
      </c>
      <c r="E1970" s="2"/>
      <c r="F1970" s="200">
        <v>0</v>
      </c>
      <c r="H1970" s="17"/>
    </row>
    <row r="1971" spans="2:8" s="16" customFormat="1" ht="16.899999999999999" customHeight="1" x14ac:dyDescent="0.2">
      <c r="B1971" s="17"/>
      <c r="C1971" s="83"/>
      <c r="D1971" s="83" t="s">
        <v>3553</v>
      </c>
      <c r="E1971" s="2"/>
      <c r="F1971" s="200">
        <v>35.145000000000003</v>
      </c>
      <c r="H1971" s="17"/>
    </row>
    <row r="1972" spans="2:8" s="16" customFormat="1" ht="16.899999999999999" customHeight="1" x14ac:dyDescent="0.2">
      <c r="B1972" s="17"/>
      <c r="C1972" s="83"/>
      <c r="D1972" s="83" t="s">
        <v>759</v>
      </c>
      <c r="E1972" s="2"/>
      <c r="F1972" s="200">
        <v>0</v>
      </c>
      <c r="H1972" s="17"/>
    </row>
    <row r="1973" spans="2:8" s="16" customFormat="1" ht="16.899999999999999" customHeight="1" x14ac:dyDescent="0.2">
      <c r="B1973" s="17"/>
      <c r="C1973" s="83"/>
      <c r="D1973" s="83" t="s">
        <v>3554</v>
      </c>
      <c r="E1973" s="2"/>
      <c r="F1973" s="200">
        <v>4.7699999999999996</v>
      </c>
      <c r="H1973" s="17"/>
    </row>
    <row r="1974" spans="2:8" s="16" customFormat="1" ht="16.899999999999999" customHeight="1" x14ac:dyDescent="0.2">
      <c r="B1974" s="17"/>
      <c r="C1974" s="83"/>
      <c r="D1974" s="83" t="s">
        <v>3555</v>
      </c>
      <c r="E1974" s="2"/>
      <c r="F1974" s="200">
        <v>15.2</v>
      </c>
      <c r="H1974" s="17"/>
    </row>
    <row r="1975" spans="2:8" s="16" customFormat="1" ht="16.899999999999999" customHeight="1" x14ac:dyDescent="0.2">
      <c r="B1975" s="17"/>
      <c r="C1975" s="83"/>
      <c r="D1975" s="83" t="s">
        <v>3556</v>
      </c>
      <c r="E1975" s="2"/>
      <c r="F1975" s="200">
        <v>0</v>
      </c>
      <c r="H1975" s="17"/>
    </row>
    <row r="1976" spans="2:8" s="16" customFormat="1" ht="16.899999999999999" customHeight="1" x14ac:dyDescent="0.2">
      <c r="B1976" s="17"/>
      <c r="C1976" s="83"/>
      <c r="D1976" s="83" t="s">
        <v>3557</v>
      </c>
      <c r="E1976" s="2"/>
      <c r="F1976" s="200">
        <v>5.843</v>
      </c>
      <c r="H1976" s="17"/>
    </row>
    <row r="1977" spans="2:8" s="16" customFormat="1" ht="16.899999999999999" customHeight="1" x14ac:dyDescent="0.2">
      <c r="B1977" s="17"/>
      <c r="C1977" s="83"/>
      <c r="D1977" s="83" t="s">
        <v>3420</v>
      </c>
      <c r="E1977" s="2"/>
      <c r="F1977" s="200">
        <v>0</v>
      </c>
      <c r="H1977" s="17"/>
    </row>
    <row r="1978" spans="2:8" s="16" customFormat="1" ht="16.899999999999999" customHeight="1" x14ac:dyDescent="0.2">
      <c r="B1978" s="17"/>
      <c r="C1978" s="83"/>
      <c r="D1978" s="83" t="s">
        <v>3421</v>
      </c>
      <c r="E1978" s="2"/>
      <c r="F1978" s="200">
        <v>3.95</v>
      </c>
      <c r="H1978" s="17"/>
    </row>
    <row r="1979" spans="2:8" s="16" customFormat="1" ht="16.899999999999999" customHeight="1" x14ac:dyDescent="0.2">
      <c r="B1979" s="17"/>
      <c r="C1979" s="83"/>
      <c r="D1979" s="83" t="s">
        <v>3558</v>
      </c>
      <c r="E1979" s="2"/>
      <c r="F1979" s="200">
        <v>0</v>
      </c>
      <c r="H1979" s="17"/>
    </row>
    <row r="1980" spans="2:8" s="16" customFormat="1" ht="16.899999999999999" customHeight="1" x14ac:dyDescent="0.2">
      <c r="B1980" s="17"/>
      <c r="C1980" s="83"/>
      <c r="D1980" s="83" t="s">
        <v>3559</v>
      </c>
      <c r="E1980" s="2"/>
      <c r="F1980" s="200">
        <v>-3.6379999999999999</v>
      </c>
      <c r="H1980" s="17"/>
    </row>
    <row r="1981" spans="2:8" s="16" customFormat="1" ht="16.899999999999999" customHeight="1" x14ac:dyDescent="0.2">
      <c r="B1981" s="17"/>
      <c r="C1981" s="83"/>
      <c r="D1981" s="83" t="s">
        <v>3560</v>
      </c>
      <c r="E1981" s="2"/>
      <c r="F1981" s="200">
        <v>-9.6959999999999997</v>
      </c>
      <c r="H1981" s="17"/>
    </row>
    <row r="1982" spans="2:8" s="16" customFormat="1" ht="16.899999999999999" customHeight="1" x14ac:dyDescent="0.2">
      <c r="B1982" s="17"/>
      <c r="C1982" s="83"/>
      <c r="D1982" s="83"/>
      <c r="E1982" s="2"/>
      <c r="F1982" s="200">
        <v>0</v>
      </c>
      <c r="H1982" s="17"/>
    </row>
    <row r="1983" spans="2:8" s="16" customFormat="1" ht="16.899999999999999" customHeight="1" x14ac:dyDescent="0.2">
      <c r="B1983" s="17"/>
      <c r="C1983" s="83"/>
      <c r="D1983" s="83" t="s">
        <v>3755</v>
      </c>
      <c r="E1983" s="2"/>
      <c r="F1983" s="200">
        <v>0</v>
      </c>
      <c r="H1983" s="17"/>
    </row>
    <row r="1984" spans="2:8" s="16" customFormat="1" ht="16.899999999999999" customHeight="1" x14ac:dyDescent="0.2">
      <c r="B1984" s="17"/>
      <c r="C1984" s="83"/>
      <c r="D1984" s="83" t="s">
        <v>3447</v>
      </c>
      <c r="E1984" s="2"/>
      <c r="F1984" s="200">
        <v>0</v>
      </c>
      <c r="H1984" s="17"/>
    </row>
    <row r="1985" spans="2:8" s="16" customFormat="1" ht="16.899999999999999" customHeight="1" x14ac:dyDescent="0.2">
      <c r="B1985" s="17"/>
      <c r="C1985" s="83"/>
      <c r="D1985" s="83" t="s">
        <v>3756</v>
      </c>
      <c r="E1985" s="2"/>
      <c r="F1985" s="200">
        <v>44.66</v>
      </c>
      <c r="H1985" s="17"/>
    </row>
    <row r="1986" spans="2:8" s="16" customFormat="1" ht="16.899999999999999" customHeight="1" x14ac:dyDescent="0.2">
      <c r="B1986" s="17"/>
      <c r="C1986" s="83"/>
      <c r="D1986" s="83" t="s">
        <v>3449</v>
      </c>
      <c r="E1986" s="2"/>
      <c r="F1986" s="200">
        <v>0</v>
      </c>
      <c r="H1986" s="17"/>
    </row>
    <row r="1987" spans="2:8" s="16" customFormat="1" ht="16.899999999999999" customHeight="1" x14ac:dyDescent="0.2">
      <c r="B1987" s="17"/>
      <c r="C1987" s="83"/>
      <c r="D1987" s="83" t="s">
        <v>3757</v>
      </c>
      <c r="E1987" s="2"/>
      <c r="F1987" s="200">
        <v>172.26</v>
      </c>
      <c r="H1987" s="17"/>
    </row>
    <row r="1988" spans="2:8" s="16" customFormat="1" ht="16.899999999999999" customHeight="1" x14ac:dyDescent="0.2">
      <c r="B1988" s="17"/>
      <c r="C1988" s="83"/>
      <c r="D1988" s="83" t="s">
        <v>3758</v>
      </c>
      <c r="E1988" s="2"/>
      <c r="F1988" s="200">
        <v>0</v>
      </c>
      <c r="H1988" s="17"/>
    </row>
    <row r="1989" spans="2:8" s="16" customFormat="1" ht="16.899999999999999" customHeight="1" x14ac:dyDescent="0.2">
      <c r="B1989" s="17"/>
      <c r="C1989" s="83"/>
      <c r="D1989" s="83" t="s">
        <v>3759</v>
      </c>
      <c r="E1989" s="2"/>
      <c r="F1989" s="200">
        <v>20.588000000000001</v>
      </c>
      <c r="H1989" s="17"/>
    </row>
    <row r="1990" spans="2:8" s="16" customFormat="1" ht="16.899999999999999" customHeight="1" x14ac:dyDescent="0.2">
      <c r="B1990" s="17"/>
      <c r="C1990" s="83"/>
      <c r="D1990" s="83"/>
      <c r="E1990" s="2"/>
      <c r="F1990" s="200">
        <v>0</v>
      </c>
      <c r="H1990" s="17"/>
    </row>
    <row r="1991" spans="2:8" s="16" customFormat="1" ht="16.899999999999999" customHeight="1" x14ac:dyDescent="0.2">
      <c r="B1991" s="17"/>
      <c r="C1991" s="83"/>
      <c r="D1991" s="83" t="s">
        <v>3432</v>
      </c>
      <c r="E1991" s="2"/>
      <c r="F1991" s="200">
        <v>0</v>
      </c>
      <c r="H1991" s="17"/>
    </row>
    <row r="1992" spans="2:8" s="16" customFormat="1" ht="16.899999999999999" customHeight="1" x14ac:dyDescent="0.2">
      <c r="B1992" s="17"/>
      <c r="C1992" s="83"/>
      <c r="D1992" s="83" t="s">
        <v>3433</v>
      </c>
      <c r="E1992" s="2"/>
      <c r="F1992" s="200">
        <v>10.88</v>
      </c>
      <c r="H1992" s="17"/>
    </row>
    <row r="1993" spans="2:8" s="16" customFormat="1" ht="16.899999999999999" customHeight="1" x14ac:dyDescent="0.2">
      <c r="B1993" s="17"/>
      <c r="C1993" s="83"/>
      <c r="D1993" s="83" t="s">
        <v>3434</v>
      </c>
      <c r="E1993" s="2"/>
      <c r="F1993" s="200">
        <v>31.663</v>
      </c>
      <c r="H1993" s="17"/>
    </row>
    <row r="1994" spans="2:8" s="16" customFormat="1" ht="16.899999999999999" customHeight="1" x14ac:dyDescent="0.2">
      <c r="B1994" s="17"/>
      <c r="C1994" s="83"/>
      <c r="D1994" s="83"/>
      <c r="E1994" s="2"/>
      <c r="F1994" s="200">
        <v>0</v>
      </c>
      <c r="H1994" s="17"/>
    </row>
    <row r="1995" spans="2:8" s="16" customFormat="1" ht="16.899999999999999" customHeight="1" x14ac:dyDescent="0.2">
      <c r="B1995" s="17"/>
      <c r="C1995" s="83"/>
      <c r="D1995" s="83" t="s">
        <v>3760</v>
      </c>
      <c r="E1995" s="2"/>
      <c r="F1995" s="200">
        <v>0</v>
      </c>
      <c r="H1995" s="17"/>
    </row>
    <row r="1996" spans="2:8" s="16" customFormat="1" ht="16.899999999999999" customHeight="1" x14ac:dyDescent="0.2">
      <c r="B1996" s="17"/>
      <c r="C1996" s="83"/>
      <c r="D1996" s="83" t="s">
        <v>3761</v>
      </c>
      <c r="E1996" s="2"/>
      <c r="F1996" s="200">
        <v>91.156999999999996</v>
      </c>
      <c r="H1996" s="17"/>
    </row>
    <row r="1997" spans="2:8" s="16" customFormat="1" ht="16.899999999999999" customHeight="1" x14ac:dyDescent="0.2">
      <c r="B1997" s="17"/>
      <c r="C1997" s="83" t="s">
        <v>2991</v>
      </c>
      <c r="D1997" s="83" t="s">
        <v>609</v>
      </c>
      <c r="E1997" s="2"/>
      <c r="F1997" s="200">
        <v>1421.6179999999999</v>
      </c>
      <c r="H1997" s="17"/>
    </row>
    <row r="1998" spans="2:8" s="16" customFormat="1" ht="16.899999999999999" customHeight="1" x14ac:dyDescent="0.2">
      <c r="B1998" s="17"/>
      <c r="C1998" s="201" t="s">
        <v>8859</v>
      </c>
      <c r="H1998" s="17"/>
    </row>
    <row r="1999" spans="2:8" s="16" customFormat="1" ht="16.899999999999999" customHeight="1" x14ac:dyDescent="0.2">
      <c r="B1999" s="17"/>
      <c r="C1999" s="83" t="s">
        <v>3732</v>
      </c>
      <c r="D1999" s="83" t="s">
        <v>3733</v>
      </c>
      <c r="E1999" s="2" t="s">
        <v>425</v>
      </c>
      <c r="F1999" s="200">
        <v>1462.261</v>
      </c>
      <c r="H1999" s="17"/>
    </row>
    <row r="2000" spans="2:8" s="16" customFormat="1" ht="16.899999999999999" customHeight="1" x14ac:dyDescent="0.2">
      <c r="B2000" s="17"/>
      <c r="C2000" s="83" t="s">
        <v>3369</v>
      </c>
      <c r="D2000" s="83" t="s">
        <v>3370</v>
      </c>
      <c r="E2000" s="2" t="s">
        <v>425</v>
      </c>
      <c r="F2000" s="200">
        <v>3211.22</v>
      </c>
      <c r="H2000" s="17"/>
    </row>
    <row r="2001" spans="2:8" s="16" customFormat="1" ht="16.899999999999999" customHeight="1" x14ac:dyDescent="0.2">
      <c r="B2001" s="17"/>
      <c r="C2001" s="83" t="s">
        <v>3770</v>
      </c>
      <c r="D2001" s="83" t="s">
        <v>3771</v>
      </c>
      <c r="E2001" s="2" t="s">
        <v>425</v>
      </c>
      <c r="F2001" s="200">
        <v>1789.6020000000001</v>
      </c>
      <c r="H2001" s="17"/>
    </row>
    <row r="2002" spans="2:8" s="16" customFormat="1" ht="16.899999999999999" customHeight="1" x14ac:dyDescent="0.2">
      <c r="B2002" s="17"/>
      <c r="C2002" s="196" t="s">
        <v>2993</v>
      </c>
      <c r="D2002" s="197"/>
      <c r="E2002" s="198"/>
      <c r="F2002" s="199">
        <v>36.353000000000002</v>
      </c>
      <c r="H2002" s="17"/>
    </row>
    <row r="2003" spans="2:8" s="16" customFormat="1" ht="16.899999999999999" customHeight="1" x14ac:dyDescent="0.2">
      <c r="B2003" s="17"/>
      <c r="C2003" s="83"/>
      <c r="D2003" s="83"/>
      <c r="E2003" s="2"/>
      <c r="F2003" s="200">
        <v>0</v>
      </c>
      <c r="H2003" s="17"/>
    </row>
    <row r="2004" spans="2:8" s="16" customFormat="1" ht="16.899999999999999" customHeight="1" x14ac:dyDescent="0.2">
      <c r="B2004" s="17"/>
      <c r="C2004" s="83"/>
      <c r="D2004" s="83" t="s">
        <v>3868</v>
      </c>
      <c r="E2004" s="2"/>
      <c r="F2004" s="200">
        <v>0</v>
      </c>
      <c r="H2004" s="17"/>
    </row>
    <row r="2005" spans="2:8" s="16" customFormat="1" ht="16.899999999999999" customHeight="1" x14ac:dyDescent="0.2">
      <c r="B2005" s="17"/>
      <c r="C2005" s="83"/>
      <c r="D2005" s="83" t="s">
        <v>3869</v>
      </c>
      <c r="E2005" s="2"/>
      <c r="F2005" s="200">
        <v>0</v>
      </c>
      <c r="H2005" s="17"/>
    </row>
    <row r="2006" spans="2:8" s="16" customFormat="1" ht="16.899999999999999" customHeight="1" x14ac:dyDescent="0.2">
      <c r="B2006" s="17"/>
      <c r="C2006" s="83"/>
      <c r="D2006" s="83" t="s">
        <v>3870</v>
      </c>
      <c r="E2006" s="2"/>
      <c r="F2006" s="200">
        <v>10.56</v>
      </c>
      <c r="H2006" s="17"/>
    </row>
    <row r="2007" spans="2:8" s="16" customFormat="1" ht="16.899999999999999" customHeight="1" x14ac:dyDescent="0.2">
      <c r="B2007" s="17"/>
      <c r="C2007" s="83"/>
      <c r="D2007" s="83" t="s">
        <v>3871</v>
      </c>
      <c r="E2007" s="2"/>
      <c r="F2007" s="200">
        <v>0</v>
      </c>
      <c r="H2007" s="17"/>
    </row>
    <row r="2008" spans="2:8" s="16" customFormat="1" ht="16.899999999999999" customHeight="1" x14ac:dyDescent="0.2">
      <c r="B2008" s="17"/>
      <c r="C2008" s="83"/>
      <c r="D2008" s="83" t="s">
        <v>80</v>
      </c>
      <c r="E2008" s="2"/>
      <c r="F2008" s="200">
        <v>0</v>
      </c>
      <c r="H2008" s="17"/>
    </row>
    <row r="2009" spans="2:8" s="16" customFormat="1" ht="16.899999999999999" customHeight="1" x14ac:dyDescent="0.2">
      <c r="B2009" s="17"/>
      <c r="C2009" s="83"/>
      <c r="D2009" s="83" t="s">
        <v>3872</v>
      </c>
      <c r="E2009" s="2"/>
      <c r="F2009" s="200">
        <v>0</v>
      </c>
      <c r="H2009" s="17"/>
    </row>
    <row r="2010" spans="2:8" s="16" customFormat="1" ht="16.899999999999999" customHeight="1" x14ac:dyDescent="0.2">
      <c r="B2010" s="17"/>
      <c r="C2010" s="83"/>
      <c r="D2010" s="83" t="s">
        <v>80</v>
      </c>
      <c r="E2010" s="2"/>
      <c r="F2010" s="200">
        <v>0</v>
      </c>
      <c r="H2010" s="17"/>
    </row>
    <row r="2011" spans="2:8" s="16" customFormat="1" ht="16.899999999999999" customHeight="1" x14ac:dyDescent="0.2">
      <c r="B2011" s="17"/>
      <c r="C2011" s="83"/>
      <c r="D2011" s="83" t="s">
        <v>3873</v>
      </c>
      <c r="E2011" s="2"/>
      <c r="F2011" s="200">
        <v>0</v>
      </c>
      <c r="H2011" s="17"/>
    </row>
    <row r="2012" spans="2:8" s="16" customFormat="1" ht="16.899999999999999" customHeight="1" x14ac:dyDescent="0.2">
      <c r="B2012" s="17"/>
      <c r="C2012" s="83"/>
      <c r="D2012" s="83" t="s">
        <v>3874</v>
      </c>
      <c r="E2012" s="2"/>
      <c r="F2012" s="200">
        <v>20.46</v>
      </c>
      <c r="H2012" s="17"/>
    </row>
    <row r="2013" spans="2:8" s="16" customFormat="1" ht="16.899999999999999" customHeight="1" x14ac:dyDescent="0.2">
      <c r="B2013" s="17"/>
      <c r="C2013" s="83"/>
      <c r="D2013" s="83" t="s">
        <v>3875</v>
      </c>
      <c r="E2013" s="2"/>
      <c r="F2013" s="200">
        <v>0</v>
      </c>
      <c r="H2013" s="17"/>
    </row>
    <row r="2014" spans="2:8" s="16" customFormat="1" ht="16.899999999999999" customHeight="1" x14ac:dyDescent="0.2">
      <c r="B2014" s="17"/>
      <c r="C2014" s="83"/>
      <c r="D2014" s="83" t="s">
        <v>3876</v>
      </c>
      <c r="E2014" s="2"/>
      <c r="F2014" s="200">
        <v>5.3330000000000002</v>
      </c>
      <c r="H2014" s="17"/>
    </row>
    <row r="2015" spans="2:8" s="16" customFormat="1" ht="16.899999999999999" customHeight="1" x14ac:dyDescent="0.2">
      <c r="B2015" s="17"/>
      <c r="C2015" s="83" t="s">
        <v>2993</v>
      </c>
      <c r="D2015" s="83" t="s">
        <v>609</v>
      </c>
      <c r="E2015" s="2"/>
      <c r="F2015" s="200">
        <v>36.353000000000002</v>
      </c>
      <c r="H2015" s="17"/>
    </row>
    <row r="2016" spans="2:8" s="16" customFormat="1" ht="16.899999999999999" customHeight="1" x14ac:dyDescent="0.2">
      <c r="B2016" s="17"/>
      <c r="C2016" s="201" t="s">
        <v>8859</v>
      </c>
      <c r="H2016" s="17"/>
    </row>
    <row r="2017" spans="2:8" s="16" customFormat="1" ht="16.899999999999999" customHeight="1" x14ac:dyDescent="0.2">
      <c r="B2017" s="17"/>
      <c r="C2017" s="83" t="s">
        <v>3865</v>
      </c>
      <c r="D2017" s="83" t="s">
        <v>3866</v>
      </c>
      <c r="E2017" s="2" t="s">
        <v>425</v>
      </c>
      <c r="F2017" s="200">
        <v>1036.03</v>
      </c>
      <c r="H2017" s="17"/>
    </row>
    <row r="2018" spans="2:8" s="16" customFormat="1" ht="16.899999999999999" customHeight="1" x14ac:dyDescent="0.2">
      <c r="B2018" s="17"/>
      <c r="C2018" s="83" t="s">
        <v>3853</v>
      </c>
      <c r="D2018" s="83" t="s">
        <v>3854</v>
      </c>
      <c r="E2018" s="2" t="s">
        <v>425</v>
      </c>
      <c r="F2018" s="200">
        <v>518.01499999999999</v>
      </c>
      <c r="H2018" s="17"/>
    </row>
    <row r="2019" spans="2:8" s="16" customFormat="1" ht="16.899999999999999" customHeight="1" x14ac:dyDescent="0.2">
      <c r="B2019" s="17"/>
      <c r="C2019" s="83" t="s">
        <v>3886</v>
      </c>
      <c r="D2019" s="83" t="s">
        <v>3887</v>
      </c>
      <c r="E2019" s="2" t="s">
        <v>425</v>
      </c>
      <c r="F2019" s="200">
        <v>416.35500000000002</v>
      </c>
      <c r="H2019" s="17"/>
    </row>
    <row r="2020" spans="2:8" s="16" customFormat="1" ht="16.899999999999999" customHeight="1" x14ac:dyDescent="0.2">
      <c r="B2020" s="17"/>
      <c r="C2020" s="83" t="s">
        <v>3926</v>
      </c>
      <c r="D2020" s="83" t="s">
        <v>3927</v>
      </c>
      <c r="E2020" s="2" t="s">
        <v>425</v>
      </c>
      <c r="F2020" s="200">
        <v>416.35500000000002</v>
      </c>
      <c r="H2020" s="17"/>
    </row>
    <row r="2021" spans="2:8" s="16" customFormat="1" ht="22.5" x14ac:dyDescent="0.2">
      <c r="B2021" s="17"/>
      <c r="C2021" s="83" t="s">
        <v>3878</v>
      </c>
      <c r="D2021" s="83" t="s">
        <v>3879</v>
      </c>
      <c r="E2021" s="2" t="s">
        <v>425</v>
      </c>
      <c r="F2021" s="200">
        <v>621.61800000000005</v>
      </c>
      <c r="H2021" s="17"/>
    </row>
    <row r="2022" spans="2:8" s="16" customFormat="1" ht="22.5" x14ac:dyDescent="0.2">
      <c r="B2022" s="17"/>
      <c r="C2022" s="83" t="s">
        <v>3882</v>
      </c>
      <c r="D2022" s="83" t="s">
        <v>3883</v>
      </c>
      <c r="E2022" s="2" t="s">
        <v>425</v>
      </c>
      <c r="F2022" s="200">
        <v>621.61800000000005</v>
      </c>
      <c r="H2022" s="17"/>
    </row>
    <row r="2023" spans="2:8" s="16" customFormat="1" ht="16.899999999999999" customHeight="1" x14ac:dyDescent="0.2">
      <c r="B2023" s="17"/>
      <c r="C2023" s="196" t="s">
        <v>2995</v>
      </c>
      <c r="D2023" s="197"/>
      <c r="E2023" s="198"/>
      <c r="F2023" s="199">
        <v>198.89599999999999</v>
      </c>
      <c r="H2023" s="17"/>
    </row>
    <row r="2024" spans="2:8" s="16" customFormat="1" ht="16.899999999999999" customHeight="1" x14ac:dyDescent="0.2">
      <c r="B2024" s="17"/>
      <c r="C2024" s="83"/>
      <c r="D2024" s="83" t="s">
        <v>3061</v>
      </c>
      <c r="E2024" s="2"/>
      <c r="F2024" s="200">
        <v>0</v>
      </c>
      <c r="H2024" s="17"/>
    </row>
    <row r="2025" spans="2:8" s="16" customFormat="1" ht="16.899999999999999" customHeight="1" x14ac:dyDescent="0.2">
      <c r="B2025" s="17"/>
      <c r="C2025" s="83"/>
      <c r="D2025" s="83" t="s">
        <v>3062</v>
      </c>
      <c r="E2025" s="2"/>
      <c r="F2025" s="200">
        <v>0</v>
      </c>
      <c r="H2025" s="17"/>
    </row>
    <row r="2026" spans="2:8" s="16" customFormat="1" ht="16.899999999999999" customHeight="1" x14ac:dyDescent="0.2">
      <c r="B2026" s="17"/>
      <c r="C2026" s="83"/>
      <c r="D2026" s="83" t="s">
        <v>3063</v>
      </c>
      <c r="E2026" s="2"/>
      <c r="F2026" s="200">
        <v>0</v>
      </c>
      <c r="H2026" s="17"/>
    </row>
    <row r="2027" spans="2:8" s="16" customFormat="1" ht="16.899999999999999" customHeight="1" x14ac:dyDescent="0.2">
      <c r="B2027" s="17"/>
      <c r="C2027" s="83"/>
      <c r="D2027" s="83" t="s">
        <v>3064</v>
      </c>
      <c r="E2027" s="2"/>
      <c r="F2027" s="200">
        <v>229.38800000000001</v>
      </c>
      <c r="H2027" s="17"/>
    </row>
    <row r="2028" spans="2:8" s="16" customFormat="1" ht="16.899999999999999" customHeight="1" x14ac:dyDescent="0.2">
      <c r="B2028" s="17"/>
      <c r="C2028" s="83"/>
      <c r="D2028" s="83" t="s">
        <v>3065</v>
      </c>
      <c r="E2028" s="2"/>
      <c r="F2028" s="200">
        <v>0</v>
      </c>
      <c r="H2028" s="17"/>
    </row>
    <row r="2029" spans="2:8" s="16" customFormat="1" ht="16.899999999999999" customHeight="1" x14ac:dyDescent="0.2">
      <c r="B2029" s="17"/>
      <c r="C2029" s="83"/>
      <c r="D2029" s="83" t="s">
        <v>3066</v>
      </c>
      <c r="E2029" s="2"/>
      <c r="F2029" s="200">
        <v>-30.492000000000001</v>
      </c>
      <c r="H2029" s="17"/>
    </row>
    <row r="2030" spans="2:8" s="16" customFormat="1" ht="16.899999999999999" customHeight="1" x14ac:dyDescent="0.2">
      <c r="B2030" s="17"/>
      <c r="C2030" s="83" t="s">
        <v>2995</v>
      </c>
      <c r="D2030" s="83" t="s">
        <v>609</v>
      </c>
      <c r="E2030" s="2"/>
      <c r="F2030" s="200">
        <v>198.89599999999999</v>
      </c>
      <c r="H2030" s="17"/>
    </row>
    <row r="2031" spans="2:8" s="16" customFormat="1" ht="16.899999999999999" customHeight="1" x14ac:dyDescent="0.2">
      <c r="B2031" s="17"/>
      <c r="C2031" s="201" t="s">
        <v>8859</v>
      </c>
      <c r="H2031" s="17"/>
    </row>
    <row r="2032" spans="2:8" s="16" customFormat="1" ht="16.899999999999999" customHeight="1" x14ac:dyDescent="0.2">
      <c r="B2032" s="17"/>
      <c r="C2032" s="83" t="s">
        <v>3058</v>
      </c>
      <c r="D2032" s="83" t="s">
        <v>3059</v>
      </c>
      <c r="E2032" s="2" t="s">
        <v>342</v>
      </c>
      <c r="F2032" s="200">
        <v>99.447999999999993</v>
      </c>
      <c r="H2032" s="17"/>
    </row>
    <row r="2033" spans="2:8" s="16" customFormat="1" ht="16.899999999999999" customHeight="1" x14ac:dyDescent="0.2">
      <c r="B2033" s="17"/>
      <c r="C2033" s="83" t="s">
        <v>3076</v>
      </c>
      <c r="D2033" s="83" t="s">
        <v>3077</v>
      </c>
      <c r="E2033" s="2" t="s">
        <v>342</v>
      </c>
      <c r="F2033" s="200">
        <v>79.558000000000007</v>
      </c>
      <c r="H2033" s="17"/>
    </row>
    <row r="2034" spans="2:8" s="16" customFormat="1" ht="16.899999999999999" customHeight="1" x14ac:dyDescent="0.2">
      <c r="B2034" s="17"/>
      <c r="C2034" s="83" t="s">
        <v>3081</v>
      </c>
      <c r="D2034" s="83" t="s">
        <v>3082</v>
      </c>
      <c r="E2034" s="2" t="s">
        <v>342</v>
      </c>
      <c r="F2034" s="200">
        <v>19.89</v>
      </c>
      <c r="H2034" s="17"/>
    </row>
    <row r="2035" spans="2:8" s="16" customFormat="1" ht="16.899999999999999" customHeight="1" x14ac:dyDescent="0.2">
      <c r="B2035" s="17"/>
      <c r="C2035" s="83" t="s">
        <v>3144</v>
      </c>
      <c r="D2035" s="83" t="s">
        <v>3145</v>
      </c>
      <c r="E2035" s="2" t="s">
        <v>342</v>
      </c>
      <c r="F2035" s="200">
        <v>33.231999999999999</v>
      </c>
      <c r="H2035" s="17"/>
    </row>
    <row r="2036" spans="2:8" s="16" customFormat="1" ht="16.899999999999999" customHeight="1" x14ac:dyDescent="0.2">
      <c r="B2036" s="17"/>
      <c r="C2036" s="83" t="s">
        <v>3168</v>
      </c>
      <c r="D2036" s="83" t="s">
        <v>3169</v>
      </c>
      <c r="E2036" s="2" t="s">
        <v>342</v>
      </c>
      <c r="F2036" s="200">
        <v>115.548</v>
      </c>
      <c r="H2036" s="17"/>
    </row>
    <row r="2037" spans="2:8" s="16" customFormat="1" ht="16.899999999999999" customHeight="1" x14ac:dyDescent="0.2">
      <c r="B2037" s="17"/>
      <c r="C2037" s="83" t="s">
        <v>3195</v>
      </c>
      <c r="D2037" s="83" t="s">
        <v>3196</v>
      </c>
      <c r="E2037" s="2" t="s">
        <v>342</v>
      </c>
      <c r="F2037" s="200">
        <v>549.08199999999999</v>
      </c>
      <c r="H2037" s="17"/>
    </row>
    <row r="2038" spans="2:8" s="16" customFormat="1" ht="16.899999999999999" customHeight="1" x14ac:dyDescent="0.2">
      <c r="B2038" s="17"/>
      <c r="C2038" s="196" t="s">
        <v>2998</v>
      </c>
      <c r="D2038" s="197"/>
      <c r="E2038" s="198"/>
      <c r="F2038" s="199">
        <v>342.56200000000001</v>
      </c>
      <c r="H2038" s="17"/>
    </row>
    <row r="2039" spans="2:8" s="16" customFormat="1" ht="16.899999999999999" customHeight="1" x14ac:dyDescent="0.2">
      <c r="B2039" s="17"/>
      <c r="C2039" s="83"/>
      <c r="D2039" s="83" t="s">
        <v>3564</v>
      </c>
      <c r="E2039" s="2"/>
      <c r="F2039" s="200">
        <v>0</v>
      </c>
      <c r="H2039" s="17"/>
    </row>
    <row r="2040" spans="2:8" s="16" customFormat="1" ht="16.899999999999999" customHeight="1" x14ac:dyDescent="0.2">
      <c r="B2040" s="17"/>
      <c r="C2040" s="83"/>
      <c r="D2040" s="83" t="s">
        <v>3565</v>
      </c>
      <c r="E2040" s="2"/>
      <c r="F2040" s="200">
        <v>0</v>
      </c>
      <c r="H2040" s="17"/>
    </row>
    <row r="2041" spans="2:8" s="16" customFormat="1" ht="16.899999999999999" customHeight="1" x14ac:dyDescent="0.2">
      <c r="B2041" s="17"/>
      <c r="C2041" s="83"/>
      <c r="D2041" s="83" t="s">
        <v>3566</v>
      </c>
      <c r="E2041" s="2"/>
      <c r="F2041" s="200">
        <v>0</v>
      </c>
      <c r="H2041" s="17"/>
    </row>
    <row r="2042" spans="2:8" s="16" customFormat="1" ht="16.899999999999999" customHeight="1" x14ac:dyDescent="0.2">
      <c r="B2042" s="17"/>
      <c r="C2042" s="83"/>
      <c r="D2042" s="83" t="s">
        <v>3567</v>
      </c>
      <c r="E2042" s="2"/>
      <c r="F2042" s="200">
        <v>39.975000000000001</v>
      </c>
      <c r="H2042" s="17"/>
    </row>
    <row r="2043" spans="2:8" s="16" customFormat="1" ht="16.899999999999999" customHeight="1" x14ac:dyDescent="0.2">
      <c r="B2043" s="17"/>
      <c r="C2043" s="83"/>
      <c r="D2043" s="83" t="s">
        <v>3568</v>
      </c>
      <c r="E2043" s="2"/>
      <c r="F2043" s="200">
        <v>0.432</v>
      </c>
      <c r="H2043" s="17"/>
    </row>
    <row r="2044" spans="2:8" s="16" customFormat="1" ht="16.899999999999999" customHeight="1" x14ac:dyDescent="0.2">
      <c r="B2044" s="17"/>
      <c r="C2044" s="83"/>
      <c r="D2044" s="83" t="s">
        <v>3475</v>
      </c>
      <c r="E2044" s="2"/>
      <c r="F2044" s="200">
        <v>0</v>
      </c>
      <c r="H2044" s="17"/>
    </row>
    <row r="2045" spans="2:8" s="16" customFormat="1" ht="16.899999999999999" customHeight="1" x14ac:dyDescent="0.2">
      <c r="B2045" s="17"/>
      <c r="C2045" s="83"/>
      <c r="D2045" s="83" t="s">
        <v>3569</v>
      </c>
      <c r="E2045" s="2"/>
      <c r="F2045" s="200">
        <v>-2.15</v>
      </c>
      <c r="H2045" s="17"/>
    </row>
    <row r="2046" spans="2:8" s="16" customFormat="1" ht="16.899999999999999" customHeight="1" x14ac:dyDescent="0.2">
      <c r="B2046" s="17"/>
      <c r="C2046" s="83"/>
      <c r="D2046" s="83"/>
      <c r="E2046" s="2"/>
      <c r="F2046" s="200">
        <v>0</v>
      </c>
      <c r="H2046" s="17"/>
    </row>
    <row r="2047" spans="2:8" s="16" customFormat="1" ht="16.899999999999999" customHeight="1" x14ac:dyDescent="0.2">
      <c r="B2047" s="17"/>
      <c r="C2047" s="83"/>
      <c r="D2047" s="83" t="s">
        <v>3570</v>
      </c>
      <c r="E2047" s="2"/>
      <c r="F2047" s="200">
        <v>0</v>
      </c>
      <c r="H2047" s="17"/>
    </row>
    <row r="2048" spans="2:8" s="16" customFormat="1" ht="16.899999999999999" customHeight="1" x14ac:dyDescent="0.2">
      <c r="B2048" s="17"/>
      <c r="C2048" s="83"/>
      <c r="D2048" s="83" t="s">
        <v>3571</v>
      </c>
      <c r="E2048" s="2"/>
      <c r="F2048" s="200">
        <v>169.845</v>
      </c>
      <c r="H2048" s="17"/>
    </row>
    <row r="2049" spans="2:8" s="16" customFormat="1" ht="16.899999999999999" customHeight="1" x14ac:dyDescent="0.2">
      <c r="B2049" s="17"/>
      <c r="C2049" s="83"/>
      <c r="D2049" s="83" t="s">
        <v>3104</v>
      </c>
      <c r="E2049" s="2"/>
      <c r="F2049" s="200">
        <v>0</v>
      </c>
      <c r="H2049" s="17"/>
    </row>
    <row r="2050" spans="2:8" s="16" customFormat="1" ht="16.899999999999999" customHeight="1" x14ac:dyDescent="0.2">
      <c r="B2050" s="17"/>
      <c r="C2050" s="83"/>
      <c r="D2050" s="83" t="s">
        <v>494</v>
      </c>
      <c r="E2050" s="2"/>
      <c r="F2050" s="200">
        <v>2.0099999999999998</v>
      </c>
      <c r="H2050" s="17"/>
    </row>
    <row r="2051" spans="2:8" s="16" customFormat="1" ht="16.899999999999999" customHeight="1" x14ac:dyDescent="0.2">
      <c r="B2051" s="17"/>
      <c r="C2051" s="83"/>
      <c r="D2051" s="83" t="s">
        <v>3106</v>
      </c>
      <c r="E2051" s="2"/>
      <c r="F2051" s="200">
        <v>0</v>
      </c>
      <c r="H2051" s="17"/>
    </row>
    <row r="2052" spans="2:8" s="16" customFormat="1" ht="16.899999999999999" customHeight="1" x14ac:dyDescent="0.2">
      <c r="B2052" s="17"/>
      <c r="C2052" s="83"/>
      <c r="D2052" s="83" t="s">
        <v>3572</v>
      </c>
      <c r="E2052" s="2"/>
      <c r="F2052" s="200">
        <v>34.840000000000003</v>
      </c>
      <c r="H2052" s="17"/>
    </row>
    <row r="2053" spans="2:8" s="16" customFormat="1" ht="16.899999999999999" customHeight="1" x14ac:dyDescent="0.2">
      <c r="B2053" s="17"/>
      <c r="C2053" s="83"/>
      <c r="D2053" s="83" t="s">
        <v>511</v>
      </c>
      <c r="E2053" s="2"/>
      <c r="F2053" s="200">
        <v>0</v>
      </c>
      <c r="H2053" s="17"/>
    </row>
    <row r="2054" spans="2:8" s="16" customFormat="1" ht="16.899999999999999" customHeight="1" x14ac:dyDescent="0.2">
      <c r="B2054" s="17"/>
      <c r="C2054" s="83"/>
      <c r="D2054" s="83" t="s">
        <v>3573</v>
      </c>
      <c r="E2054" s="2"/>
      <c r="F2054" s="200">
        <v>-2.16</v>
      </c>
      <c r="H2054" s="17"/>
    </row>
    <row r="2055" spans="2:8" s="16" customFormat="1" ht="16.899999999999999" customHeight="1" x14ac:dyDescent="0.2">
      <c r="B2055" s="17"/>
      <c r="C2055" s="83"/>
      <c r="D2055" s="83" t="s">
        <v>3574</v>
      </c>
      <c r="E2055" s="2"/>
      <c r="F2055" s="200">
        <v>-7.2</v>
      </c>
      <c r="H2055" s="17"/>
    </row>
    <row r="2056" spans="2:8" s="16" customFormat="1" ht="16.899999999999999" customHeight="1" x14ac:dyDescent="0.2">
      <c r="B2056" s="17"/>
      <c r="C2056" s="83"/>
      <c r="D2056" s="83" t="s">
        <v>3575</v>
      </c>
      <c r="E2056" s="2"/>
      <c r="F2056" s="200">
        <v>-29.16</v>
      </c>
      <c r="H2056" s="17"/>
    </row>
    <row r="2057" spans="2:8" s="16" customFormat="1" ht="16.899999999999999" customHeight="1" x14ac:dyDescent="0.2">
      <c r="B2057" s="17"/>
      <c r="C2057" s="83"/>
      <c r="D2057" s="83" t="s">
        <v>3576</v>
      </c>
      <c r="E2057" s="2"/>
      <c r="F2057" s="200">
        <v>-19.8</v>
      </c>
      <c r="H2057" s="17"/>
    </row>
    <row r="2058" spans="2:8" s="16" customFormat="1" ht="16.899999999999999" customHeight="1" x14ac:dyDescent="0.2">
      <c r="B2058" s="17"/>
      <c r="C2058" s="83"/>
      <c r="D2058" s="83"/>
      <c r="E2058" s="2"/>
      <c r="F2058" s="200">
        <v>0</v>
      </c>
      <c r="H2058" s="17"/>
    </row>
    <row r="2059" spans="2:8" s="16" customFormat="1" ht="16.899999999999999" customHeight="1" x14ac:dyDescent="0.2">
      <c r="B2059" s="17"/>
      <c r="C2059" s="83"/>
      <c r="D2059" s="83" t="s">
        <v>3577</v>
      </c>
      <c r="E2059" s="2"/>
      <c r="F2059" s="200">
        <v>0</v>
      </c>
      <c r="H2059" s="17"/>
    </row>
    <row r="2060" spans="2:8" s="16" customFormat="1" ht="16.899999999999999" customHeight="1" x14ac:dyDescent="0.2">
      <c r="B2060" s="17"/>
      <c r="C2060" s="83"/>
      <c r="D2060" s="83" t="s">
        <v>3578</v>
      </c>
      <c r="E2060" s="2"/>
      <c r="F2060" s="200">
        <v>22.195</v>
      </c>
      <c r="H2060" s="17"/>
    </row>
    <row r="2061" spans="2:8" s="16" customFormat="1" ht="16.899999999999999" customHeight="1" x14ac:dyDescent="0.2">
      <c r="B2061" s="17"/>
      <c r="C2061" s="83"/>
      <c r="D2061" s="83" t="s">
        <v>3579</v>
      </c>
      <c r="E2061" s="2"/>
      <c r="F2061" s="200">
        <v>0.66</v>
      </c>
      <c r="H2061" s="17"/>
    </row>
    <row r="2062" spans="2:8" s="16" customFormat="1" ht="16.899999999999999" customHeight="1" x14ac:dyDescent="0.2">
      <c r="B2062" s="17"/>
      <c r="C2062" s="83"/>
      <c r="D2062" s="83" t="s">
        <v>3475</v>
      </c>
      <c r="E2062" s="2"/>
      <c r="F2062" s="200">
        <v>0</v>
      </c>
      <c r="H2062" s="17"/>
    </row>
    <row r="2063" spans="2:8" s="16" customFormat="1" ht="16.899999999999999" customHeight="1" x14ac:dyDescent="0.2">
      <c r="B2063" s="17"/>
      <c r="C2063" s="83"/>
      <c r="D2063" s="83" t="s">
        <v>3580</v>
      </c>
      <c r="E2063" s="2"/>
      <c r="F2063" s="200">
        <v>-0.76500000000000001</v>
      </c>
      <c r="H2063" s="17"/>
    </row>
    <row r="2064" spans="2:8" s="16" customFormat="1" ht="16.899999999999999" customHeight="1" x14ac:dyDescent="0.2">
      <c r="B2064" s="17"/>
      <c r="C2064" s="83"/>
      <c r="D2064" s="83" t="s">
        <v>3581</v>
      </c>
      <c r="E2064" s="2"/>
      <c r="F2064" s="200">
        <v>0</v>
      </c>
      <c r="H2064" s="17"/>
    </row>
    <row r="2065" spans="2:8" s="16" customFormat="1" ht="16.899999999999999" customHeight="1" x14ac:dyDescent="0.2">
      <c r="B2065" s="17"/>
      <c r="C2065" s="83"/>
      <c r="D2065" s="83" t="s">
        <v>3582</v>
      </c>
      <c r="E2065" s="2"/>
      <c r="F2065" s="200">
        <v>-8.74</v>
      </c>
      <c r="H2065" s="17"/>
    </row>
    <row r="2066" spans="2:8" s="16" customFormat="1" ht="16.899999999999999" customHeight="1" x14ac:dyDescent="0.2">
      <c r="B2066" s="17"/>
      <c r="C2066" s="83"/>
      <c r="D2066" s="83"/>
      <c r="E2066" s="2"/>
      <c r="F2066" s="200">
        <v>0</v>
      </c>
      <c r="H2066" s="17"/>
    </row>
    <row r="2067" spans="2:8" s="16" customFormat="1" ht="16.899999999999999" customHeight="1" x14ac:dyDescent="0.2">
      <c r="B2067" s="17"/>
      <c r="C2067" s="83"/>
      <c r="D2067" s="83" t="s">
        <v>3583</v>
      </c>
      <c r="E2067" s="2"/>
      <c r="F2067" s="200">
        <v>0</v>
      </c>
      <c r="H2067" s="17"/>
    </row>
    <row r="2068" spans="2:8" s="16" customFormat="1" ht="16.899999999999999" customHeight="1" x14ac:dyDescent="0.2">
      <c r="B2068" s="17"/>
      <c r="C2068" s="83"/>
      <c r="D2068" s="83" t="s">
        <v>3584</v>
      </c>
      <c r="E2068" s="2"/>
      <c r="F2068" s="200">
        <v>157.16999999999999</v>
      </c>
      <c r="H2068" s="17"/>
    </row>
    <row r="2069" spans="2:8" s="16" customFormat="1" ht="16.899999999999999" customHeight="1" x14ac:dyDescent="0.2">
      <c r="B2069" s="17"/>
      <c r="C2069" s="83"/>
      <c r="D2069" s="83" t="s">
        <v>3585</v>
      </c>
      <c r="E2069" s="2"/>
      <c r="F2069" s="200">
        <v>0</v>
      </c>
      <c r="H2069" s="17"/>
    </row>
    <row r="2070" spans="2:8" s="16" customFormat="1" ht="16.899999999999999" customHeight="1" x14ac:dyDescent="0.2">
      <c r="B2070" s="17"/>
      <c r="C2070" s="83"/>
      <c r="D2070" s="83" t="s">
        <v>3586</v>
      </c>
      <c r="E2070" s="2"/>
      <c r="F2070" s="200">
        <v>55.77</v>
      </c>
      <c r="H2070" s="17"/>
    </row>
    <row r="2071" spans="2:8" s="16" customFormat="1" ht="16.899999999999999" customHeight="1" x14ac:dyDescent="0.2">
      <c r="B2071" s="17"/>
      <c r="C2071" s="83"/>
      <c r="D2071" s="83" t="s">
        <v>3587</v>
      </c>
      <c r="E2071" s="2"/>
      <c r="F2071" s="200">
        <v>0</v>
      </c>
      <c r="H2071" s="17"/>
    </row>
    <row r="2072" spans="2:8" s="16" customFormat="1" ht="16.899999999999999" customHeight="1" x14ac:dyDescent="0.2">
      <c r="B2072" s="17"/>
      <c r="C2072" s="83"/>
      <c r="D2072" s="83" t="s">
        <v>3588</v>
      </c>
      <c r="E2072" s="2"/>
      <c r="F2072" s="200">
        <v>-70.36</v>
      </c>
      <c r="H2072" s="17"/>
    </row>
    <row r="2073" spans="2:8" s="16" customFormat="1" ht="16.899999999999999" customHeight="1" x14ac:dyDescent="0.2">
      <c r="B2073" s="17"/>
      <c r="C2073" s="83" t="s">
        <v>2998</v>
      </c>
      <c r="D2073" s="83" t="s">
        <v>609</v>
      </c>
      <c r="E2073" s="2"/>
      <c r="F2073" s="200">
        <v>342.56200000000001</v>
      </c>
      <c r="H2073" s="17"/>
    </row>
    <row r="2074" spans="2:8" s="16" customFormat="1" ht="16.899999999999999" customHeight="1" x14ac:dyDescent="0.2">
      <c r="B2074" s="17"/>
      <c r="C2074" s="201" t="s">
        <v>8859</v>
      </c>
      <c r="H2074" s="17"/>
    </row>
    <row r="2075" spans="2:8" s="16" customFormat="1" ht="16.899999999999999" customHeight="1" x14ac:dyDescent="0.2">
      <c r="B2075" s="17"/>
      <c r="C2075" s="83" t="s">
        <v>3561</v>
      </c>
      <c r="D2075" s="83" t="s">
        <v>3562</v>
      </c>
      <c r="E2075" s="2" t="s">
        <v>425</v>
      </c>
      <c r="F2075" s="200">
        <v>342.56200000000001</v>
      </c>
      <c r="H2075" s="17"/>
    </row>
    <row r="2076" spans="2:8" s="16" customFormat="1" ht="16.899999999999999" customHeight="1" x14ac:dyDescent="0.2">
      <c r="B2076" s="17"/>
      <c r="C2076" s="83" t="s">
        <v>3365</v>
      </c>
      <c r="D2076" s="83" t="s">
        <v>3366</v>
      </c>
      <c r="E2076" s="2" t="s">
        <v>425</v>
      </c>
      <c r="F2076" s="200">
        <v>3379.48</v>
      </c>
      <c r="H2076" s="17"/>
    </row>
    <row r="2077" spans="2:8" s="16" customFormat="1" ht="16.899999999999999" customHeight="1" x14ac:dyDescent="0.2">
      <c r="B2077" s="17"/>
      <c r="C2077" s="83" t="s">
        <v>3725</v>
      </c>
      <c r="D2077" s="83" t="s">
        <v>3726</v>
      </c>
      <c r="E2077" s="2" t="s">
        <v>425</v>
      </c>
      <c r="F2077" s="200">
        <v>3075.2489999999998</v>
      </c>
      <c r="H2077" s="17"/>
    </row>
    <row r="2078" spans="2:8" s="16" customFormat="1" ht="16.899999999999999" customHeight="1" x14ac:dyDescent="0.2">
      <c r="B2078" s="17"/>
      <c r="C2078" s="83" t="s">
        <v>3770</v>
      </c>
      <c r="D2078" s="83" t="s">
        <v>3771</v>
      </c>
      <c r="E2078" s="2" t="s">
        <v>425</v>
      </c>
      <c r="F2078" s="200">
        <v>1789.6020000000001</v>
      </c>
      <c r="H2078" s="17"/>
    </row>
    <row r="2079" spans="2:8" s="16" customFormat="1" ht="16.899999999999999" customHeight="1" x14ac:dyDescent="0.2">
      <c r="B2079" s="17"/>
      <c r="C2079" s="83" t="s">
        <v>3820</v>
      </c>
      <c r="D2079" s="83" t="s">
        <v>3821</v>
      </c>
      <c r="E2079" s="2" t="s">
        <v>425</v>
      </c>
      <c r="F2079" s="200">
        <v>4054.9319999999998</v>
      </c>
      <c r="H2079" s="17"/>
    </row>
    <row r="2080" spans="2:8" s="16" customFormat="1" ht="16.899999999999999" customHeight="1" x14ac:dyDescent="0.2">
      <c r="B2080" s="17"/>
      <c r="C2080" s="196" t="s">
        <v>3000</v>
      </c>
      <c r="D2080" s="197"/>
      <c r="E2080" s="198"/>
      <c r="F2080" s="199">
        <v>140.36000000000001</v>
      </c>
      <c r="H2080" s="17"/>
    </row>
    <row r="2081" spans="2:8" s="16" customFormat="1" ht="16.899999999999999" customHeight="1" x14ac:dyDescent="0.2">
      <c r="B2081" s="17"/>
      <c r="C2081" s="83"/>
      <c r="D2081" s="83" t="s">
        <v>3446</v>
      </c>
      <c r="E2081" s="2"/>
      <c r="F2081" s="200">
        <v>0</v>
      </c>
      <c r="H2081" s="17"/>
    </row>
    <row r="2082" spans="2:8" s="16" customFormat="1" ht="16.899999999999999" customHeight="1" x14ac:dyDescent="0.2">
      <c r="B2082" s="17"/>
      <c r="C2082" s="83"/>
      <c r="D2082" s="83" t="s">
        <v>3447</v>
      </c>
      <c r="E2082" s="2"/>
      <c r="F2082" s="200">
        <v>0</v>
      </c>
      <c r="H2082" s="17"/>
    </row>
    <row r="2083" spans="2:8" s="16" customFormat="1" ht="16.899999999999999" customHeight="1" x14ac:dyDescent="0.2">
      <c r="B2083" s="17"/>
      <c r="C2083" s="83"/>
      <c r="D2083" s="83" t="s">
        <v>3448</v>
      </c>
      <c r="E2083" s="2"/>
      <c r="F2083" s="200">
        <v>25.52</v>
      </c>
      <c r="H2083" s="17"/>
    </row>
    <row r="2084" spans="2:8" s="16" customFormat="1" ht="16.899999999999999" customHeight="1" x14ac:dyDescent="0.2">
      <c r="B2084" s="17"/>
      <c r="C2084" s="83"/>
      <c r="D2084" s="83" t="s">
        <v>3449</v>
      </c>
      <c r="E2084" s="2"/>
      <c r="F2084" s="200">
        <v>0</v>
      </c>
      <c r="H2084" s="17"/>
    </row>
    <row r="2085" spans="2:8" s="16" customFormat="1" ht="16.899999999999999" customHeight="1" x14ac:dyDescent="0.2">
      <c r="B2085" s="17"/>
      <c r="C2085" s="83"/>
      <c r="D2085" s="83" t="s">
        <v>3450</v>
      </c>
      <c r="E2085" s="2"/>
      <c r="F2085" s="200">
        <v>114.84</v>
      </c>
      <c r="H2085" s="17"/>
    </row>
    <row r="2086" spans="2:8" s="16" customFormat="1" ht="16.899999999999999" customHeight="1" x14ac:dyDescent="0.2">
      <c r="B2086" s="17"/>
      <c r="C2086" s="83" t="s">
        <v>3000</v>
      </c>
      <c r="D2086" s="83" t="s">
        <v>609</v>
      </c>
      <c r="E2086" s="2"/>
      <c r="F2086" s="200">
        <v>140.36000000000001</v>
      </c>
      <c r="H2086" s="17"/>
    </row>
    <row r="2087" spans="2:8" s="16" customFormat="1" ht="16.899999999999999" customHeight="1" x14ac:dyDescent="0.2">
      <c r="B2087" s="17"/>
      <c r="C2087" s="201" t="s">
        <v>8859</v>
      </c>
      <c r="H2087" s="17"/>
    </row>
    <row r="2088" spans="2:8" s="16" customFormat="1" ht="16.899999999999999" customHeight="1" x14ac:dyDescent="0.2">
      <c r="B2088" s="17"/>
      <c r="C2088" s="83" t="s">
        <v>3443</v>
      </c>
      <c r="D2088" s="83" t="s">
        <v>3444</v>
      </c>
      <c r="E2088" s="2" t="s">
        <v>425</v>
      </c>
      <c r="F2088" s="200">
        <v>140.36000000000001</v>
      </c>
      <c r="H2088" s="17"/>
    </row>
    <row r="2089" spans="2:8" s="16" customFormat="1" ht="16.899999999999999" customHeight="1" x14ac:dyDescent="0.2">
      <c r="B2089" s="17"/>
      <c r="C2089" s="83" t="s">
        <v>3365</v>
      </c>
      <c r="D2089" s="83" t="s">
        <v>3366</v>
      </c>
      <c r="E2089" s="2" t="s">
        <v>425</v>
      </c>
      <c r="F2089" s="200">
        <v>3379.48</v>
      </c>
      <c r="H2089" s="17"/>
    </row>
    <row r="2090" spans="2:8" s="16" customFormat="1" ht="16.899999999999999" customHeight="1" x14ac:dyDescent="0.2">
      <c r="B2090" s="17"/>
      <c r="C2090" s="83" t="s">
        <v>3725</v>
      </c>
      <c r="D2090" s="83" t="s">
        <v>3726</v>
      </c>
      <c r="E2090" s="2" t="s">
        <v>425</v>
      </c>
      <c r="F2090" s="200">
        <v>3075.2489999999998</v>
      </c>
      <c r="H2090" s="17"/>
    </row>
    <row r="2091" spans="2:8" s="16" customFormat="1" ht="16.899999999999999" customHeight="1" x14ac:dyDescent="0.2">
      <c r="B2091" s="17"/>
      <c r="C2091" s="83" t="s">
        <v>3770</v>
      </c>
      <c r="D2091" s="83" t="s">
        <v>3771</v>
      </c>
      <c r="E2091" s="2" t="s">
        <v>425</v>
      </c>
      <c r="F2091" s="200">
        <v>1789.6020000000001</v>
      </c>
      <c r="H2091" s="17"/>
    </row>
    <row r="2092" spans="2:8" s="16" customFormat="1" ht="16.899999999999999" customHeight="1" x14ac:dyDescent="0.2">
      <c r="B2092" s="17"/>
      <c r="C2092" s="83" t="s">
        <v>3820</v>
      </c>
      <c r="D2092" s="83" t="s">
        <v>3821</v>
      </c>
      <c r="E2092" s="2" t="s">
        <v>425</v>
      </c>
      <c r="F2092" s="200">
        <v>4054.9319999999998</v>
      </c>
      <c r="H2092" s="17"/>
    </row>
    <row r="2093" spans="2:8" s="16" customFormat="1" ht="16.899999999999999" customHeight="1" x14ac:dyDescent="0.2">
      <c r="B2093" s="17"/>
      <c r="C2093" s="196" t="s">
        <v>3002</v>
      </c>
      <c r="D2093" s="197"/>
      <c r="E2093" s="198"/>
      <c r="F2093" s="199">
        <v>2545.8339999999998</v>
      </c>
      <c r="H2093" s="17"/>
    </row>
    <row r="2094" spans="2:8" s="16" customFormat="1" ht="16.899999999999999" customHeight="1" x14ac:dyDescent="0.2">
      <c r="B2094" s="17"/>
      <c r="C2094" s="83"/>
      <c r="D2094" s="83" t="s">
        <v>3458</v>
      </c>
      <c r="E2094" s="2"/>
      <c r="F2094" s="200">
        <v>0</v>
      </c>
      <c r="H2094" s="17"/>
    </row>
    <row r="2095" spans="2:8" s="16" customFormat="1" ht="16.899999999999999" customHeight="1" x14ac:dyDescent="0.2">
      <c r="B2095" s="17"/>
      <c r="C2095" s="83"/>
      <c r="D2095" s="83" t="s">
        <v>3459</v>
      </c>
      <c r="E2095" s="2"/>
      <c r="F2095" s="200">
        <v>0</v>
      </c>
      <c r="H2095" s="17"/>
    </row>
    <row r="2096" spans="2:8" s="16" customFormat="1" ht="16.899999999999999" customHeight="1" x14ac:dyDescent="0.2">
      <c r="B2096" s="17"/>
      <c r="C2096" s="83"/>
      <c r="D2096" s="83" t="s">
        <v>3460</v>
      </c>
      <c r="E2096" s="2"/>
      <c r="F2096" s="200">
        <v>0</v>
      </c>
      <c r="H2096" s="17"/>
    </row>
    <row r="2097" spans="2:8" s="16" customFormat="1" ht="16.899999999999999" customHeight="1" x14ac:dyDescent="0.2">
      <c r="B2097" s="17"/>
      <c r="C2097" s="83"/>
      <c r="D2097" s="83" t="s">
        <v>3461</v>
      </c>
      <c r="E2097" s="2"/>
      <c r="F2097" s="200">
        <v>0</v>
      </c>
      <c r="H2097" s="17"/>
    </row>
    <row r="2098" spans="2:8" s="16" customFormat="1" ht="16.899999999999999" customHeight="1" x14ac:dyDescent="0.2">
      <c r="B2098" s="17"/>
      <c r="C2098" s="83"/>
      <c r="D2098" s="83" t="s">
        <v>3462</v>
      </c>
      <c r="E2098" s="2"/>
      <c r="F2098" s="200">
        <v>149.79599999999999</v>
      </c>
      <c r="H2098" s="17"/>
    </row>
    <row r="2099" spans="2:8" s="16" customFormat="1" ht="16.899999999999999" customHeight="1" x14ac:dyDescent="0.2">
      <c r="B2099" s="17"/>
      <c r="C2099" s="83"/>
      <c r="D2099" s="83" t="s">
        <v>3463</v>
      </c>
      <c r="E2099" s="2"/>
      <c r="F2099" s="200">
        <v>1.5389999999999999</v>
      </c>
      <c r="H2099" s="17"/>
    </row>
    <row r="2100" spans="2:8" s="16" customFormat="1" ht="16.899999999999999" customHeight="1" x14ac:dyDescent="0.2">
      <c r="B2100" s="17"/>
      <c r="C2100" s="83"/>
      <c r="D2100" s="83" t="s">
        <v>511</v>
      </c>
      <c r="E2100" s="2"/>
      <c r="F2100" s="200">
        <v>0</v>
      </c>
      <c r="H2100" s="17"/>
    </row>
    <row r="2101" spans="2:8" s="16" customFormat="1" ht="16.899999999999999" customHeight="1" x14ac:dyDescent="0.2">
      <c r="B2101" s="17"/>
      <c r="C2101" s="83"/>
      <c r="D2101" s="83" t="s">
        <v>3464</v>
      </c>
      <c r="E2101" s="2"/>
      <c r="F2101" s="200">
        <v>-29.52</v>
      </c>
      <c r="H2101" s="17"/>
    </row>
    <row r="2102" spans="2:8" s="16" customFormat="1" ht="16.899999999999999" customHeight="1" x14ac:dyDescent="0.2">
      <c r="B2102" s="17"/>
      <c r="C2102" s="83"/>
      <c r="D2102" s="83" t="s">
        <v>3465</v>
      </c>
      <c r="E2102" s="2"/>
      <c r="F2102" s="200">
        <v>-19.68</v>
      </c>
      <c r="H2102" s="17"/>
    </row>
    <row r="2103" spans="2:8" s="16" customFormat="1" ht="16.899999999999999" customHeight="1" x14ac:dyDescent="0.2">
      <c r="B2103" s="17"/>
      <c r="C2103" s="83"/>
      <c r="D2103" s="83"/>
      <c r="E2103" s="2"/>
      <c r="F2103" s="200">
        <v>0</v>
      </c>
      <c r="H2103" s="17"/>
    </row>
    <row r="2104" spans="2:8" s="16" customFormat="1" ht="16.899999999999999" customHeight="1" x14ac:dyDescent="0.2">
      <c r="B2104" s="17"/>
      <c r="C2104" s="83"/>
      <c r="D2104" s="83" t="s">
        <v>3466</v>
      </c>
      <c r="E2104" s="2"/>
      <c r="F2104" s="200">
        <v>0</v>
      </c>
      <c r="H2104" s="17"/>
    </row>
    <row r="2105" spans="2:8" s="16" customFormat="1" ht="16.899999999999999" customHeight="1" x14ac:dyDescent="0.2">
      <c r="B2105" s="17"/>
      <c r="C2105" s="83"/>
      <c r="D2105" s="83" t="s">
        <v>3467</v>
      </c>
      <c r="E2105" s="2"/>
      <c r="F2105" s="200">
        <v>0</v>
      </c>
      <c r="H2105" s="17"/>
    </row>
    <row r="2106" spans="2:8" s="16" customFormat="1" ht="16.899999999999999" customHeight="1" x14ac:dyDescent="0.2">
      <c r="B2106" s="17"/>
      <c r="C2106" s="83"/>
      <c r="D2106" s="83" t="s">
        <v>3468</v>
      </c>
      <c r="E2106" s="2"/>
      <c r="F2106" s="200">
        <v>0</v>
      </c>
      <c r="H2106" s="17"/>
    </row>
    <row r="2107" spans="2:8" s="16" customFormat="1" ht="16.899999999999999" customHeight="1" x14ac:dyDescent="0.2">
      <c r="B2107" s="17"/>
      <c r="C2107" s="83"/>
      <c r="D2107" s="83" t="s">
        <v>3379</v>
      </c>
      <c r="E2107" s="2"/>
      <c r="F2107" s="200">
        <v>0</v>
      </c>
      <c r="H2107" s="17"/>
    </row>
    <row r="2108" spans="2:8" s="16" customFormat="1" ht="16.899999999999999" customHeight="1" x14ac:dyDescent="0.2">
      <c r="B2108" s="17"/>
      <c r="C2108" s="83"/>
      <c r="D2108" s="83" t="s">
        <v>3469</v>
      </c>
      <c r="E2108" s="2"/>
      <c r="F2108" s="200">
        <v>93.01</v>
      </c>
      <c r="H2108" s="17"/>
    </row>
    <row r="2109" spans="2:8" s="16" customFormat="1" ht="16.899999999999999" customHeight="1" x14ac:dyDescent="0.2">
      <c r="B2109" s="17"/>
      <c r="C2109" s="83"/>
      <c r="D2109" s="83" t="s">
        <v>3470</v>
      </c>
      <c r="E2109" s="2"/>
      <c r="F2109" s="200">
        <v>0.6</v>
      </c>
      <c r="H2109" s="17"/>
    </row>
    <row r="2110" spans="2:8" s="16" customFormat="1" ht="16.899999999999999" customHeight="1" x14ac:dyDescent="0.2">
      <c r="B2110" s="17"/>
      <c r="C2110" s="83"/>
      <c r="D2110" s="83" t="s">
        <v>3381</v>
      </c>
      <c r="E2110" s="2"/>
      <c r="F2110" s="200">
        <v>0</v>
      </c>
      <c r="H2110" s="17"/>
    </row>
    <row r="2111" spans="2:8" s="16" customFormat="1" ht="16.899999999999999" customHeight="1" x14ac:dyDescent="0.2">
      <c r="B2111" s="17"/>
      <c r="C2111" s="83"/>
      <c r="D2111" s="83" t="s">
        <v>3471</v>
      </c>
      <c r="E2111" s="2"/>
      <c r="F2111" s="200">
        <v>0</v>
      </c>
      <c r="H2111" s="17"/>
    </row>
    <row r="2112" spans="2:8" s="16" customFormat="1" ht="16.899999999999999" customHeight="1" x14ac:dyDescent="0.2">
      <c r="B2112" s="17"/>
      <c r="C2112" s="83"/>
      <c r="D2112" s="83" t="s">
        <v>3472</v>
      </c>
      <c r="E2112" s="2"/>
      <c r="F2112" s="200">
        <v>697.34799999999996</v>
      </c>
      <c r="H2112" s="17"/>
    </row>
    <row r="2113" spans="2:8" s="16" customFormat="1" ht="16.899999999999999" customHeight="1" x14ac:dyDescent="0.2">
      <c r="B2113" s="17"/>
      <c r="C2113" s="83"/>
      <c r="D2113" s="83" t="s">
        <v>3383</v>
      </c>
      <c r="E2113" s="2"/>
      <c r="F2113" s="200">
        <v>0</v>
      </c>
      <c r="H2113" s="17"/>
    </row>
    <row r="2114" spans="2:8" s="16" customFormat="1" ht="16.899999999999999" customHeight="1" x14ac:dyDescent="0.2">
      <c r="B2114" s="17"/>
      <c r="C2114" s="83"/>
      <c r="D2114" s="83" t="s">
        <v>3473</v>
      </c>
      <c r="E2114" s="2"/>
      <c r="F2114" s="200">
        <v>41.08</v>
      </c>
      <c r="H2114" s="17"/>
    </row>
    <row r="2115" spans="2:8" s="16" customFormat="1" ht="16.899999999999999" customHeight="1" x14ac:dyDescent="0.2">
      <c r="B2115" s="17"/>
      <c r="C2115" s="83"/>
      <c r="D2115" s="83" t="s">
        <v>3474</v>
      </c>
      <c r="E2115" s="2"/>
      <c r="F2115" s="200">
        <v>193.05</v>
      </c>
      <c r="H2115" s="17"/>
    </row>
    <row r="2116" spans="2:8" s="16" customFormat="1" ht="16.899999999999999" customHeight="1" x14ac:dyDescent="0.2">
      <c r="B2116" s="17"/>
      <c r="C2116" s="83"/>
      <c r="D2116" s="83" t="s">
        <v>3475</v>
      </c>
      <c r="E2116" s="2"/>
      <c r="F2116" s="200">
        <v>0</v>
      </c>
      <c r="H2116" s="17"/>
    </row>
    <row r="2117" spans="2:8" s="16" customFormat="1" ht="16.899999999999999" customHeight="1" x14ac:dyDescent="0.2">
      <c r="B2117" s="17"/>
      <c r="C2117" s="83"/>
      <c r="D2117" s="83" t="s">
        <v>3476</v>
      </c>
      <c r="E2117" s="2"/>
      <c r="F2117" s="200">
        <v>-8.6</v>
      </c>
      <c r="H2117" s="17"/>
    </row>
    <row r="2118" spans="2:8" s="16" customFormat="1" ht="16.899999999999999" customHeight="1" x14ac:dyDescent="0.2">
      <c r="B2118" s="17"/>
      <c r="C2118" s="83"/>
      <c r="D2118" s="83" t="s">
        <v>3477</v>
      </c>
      <c r="E2118" s="2"/>
      <c r="F2118" s="200">
        <v>-2.903</v>
      </c>
      <c r="H2118" s="17"/>
    </row>
    <row r="2119" spans="2:8" s="16" customFormat="1" ht="16.899999999999999" customHeight="1" x14ac:dyDescent="0.2">
      <c r="B2119" s="17"/>
      <c r="C2119" s="83"/>
      <c r="D2119" s="83" t="s">
        <v>3478</v>
      </c>
      <c r="E2119" s="2"/>
      <c r="F2119" s="200">
        <v>0</v>
      </c>
      <c r="H2119" s="17"/>
    </row>
    <row r="2120" spans="2:8" s="16" customFormat="1" ht="16.899999999999999" customHeight="1" x14ac:dyDescent="0.2">
      <c r="B2120" s="17"/>
      <c r="C2120" s="83"/>
      <c r="D2120" s="83" t="s">
        <v>3479</v>
      </c>
      <c r="E2120" s="2"/>
      <c r="F2120" s="200">
        <v>-8.64</v>
      </c>
      <c r="H2120" s="17"/>
    </row>
    <row r="2121" spans="2:8" s="16" customFormat="1" ht="16.899999999999999" customHeight="1" x14ac:dyDescent="0.2">
      <c r="B2121" s="17"/>
      <c r="C2121" s="83"/>
      <c r="D2121" s="83" t="s">
        <v>3480</v>
      </c>
      <c r="E2121" s="2"/>
      <c r="F2121" s="200">
        <v>-3.51</v>
      </c>
      <c r="H2121" s="17"/>
    </row>
    <row r="2122" spans="2:8" s="16" customFormat="1" ht="16.899999999999999" customHeight="1" x14ac:dyDescent="0.2">
      <c r="B2122" s="17"/>
      <c r="C2122" s="83"/>
      <c r="D2122" s="83" t="s">
        <v>3481</v>
      </c>
      <c r="E2122" s="2"/>
      <c r="F2122" s="200">
        <v>-11.875999999999999</v>
      </c>
      <c r="H2122" s="17"/>
    </row>
    <row r="2123" spans="2:8" s="16" customFormat="1" ht="16.899999999999999" customHeight="1" x14ac:dyDescent="0.2">
      <c r="B2123" s="17"/>
      <c r="C2123" s="83"/>
      <c r="D2123" s="83" t="s">
        <v>3482</v>
      </c>
      <c r="E2123" s="2"/>
      <c r="F2123" s="200">
        <v>-2.3519999999999999</v>
      </c>
      <c r="H2123" s="17"/>
    </row>
    <row r="2124" spans="2:8" s="16" customFormat="1" ht="16.899999999999999" customHeight="1" x14ac:dyDescent="0.2">
      <c r="B2124" s="17"/>
      <c r="C2124" s="83"/>
      <c r="D2124" s="83" t="s">
        <v>3483</v>
      </c>
      <c r="E2124" s="2"/>
      <c r="F2124" s="200">
        <v>-3.51</v>
      </c>
      <c r="H2124" s="17"/>
    </row>
    <row r="2125" spans="2:8" s="16" customFormat="1" ht="16.899999999999999" customHeight="1" x14ac:dyDescent="0.2">
      <c r="B2125" s="17"/>
      <c r="C2125" s="83"/>
      <c r="D2125" s="83" t="s">
        <v>3484</v>
      </c>
      <c r="E2125" s="2"/>
      <c r="F2125" s="200">
        <v>-7.02</v>
      </c>
      <c r="H2125" s="17"/>
    </row>
    <row r="2126" spans="2:8" s="16" customFormat="1" ht="16.899999999999999" customHeight="1" x14ac:dyDescent="0.2">
      <c r="B2126" s="17"/>
      <c r="C2126" s="83"/>
      <c r="D2126" s="83" t="s">
        <v>3485</v>
      </c>
      <c r="E2126" s="2"/>
      <c r="F2126" s="200">
        <v>-15.834</v>
      </c>
      <c r="H2126" s="17"/>
    </row>
    <row r="2127" spans="2:8" s="16" customFormat="1" ht="16.899999999999999" customHeight="1" x14ac:dyDescent="0.2">
      <c r="B2127" s="17"/>
      <c r="C2127" s="83"/>
      <c r="D2127" s="83" t="s">
        <v>3486</v>
      </c>
      <c r="E2127" s="2"/>
      <c r="F2127" s="200">
        <v>-28.8</v>
      </c>
      <c r="H2127" s="17"/>
    </row>
    <row r="2128" spans="2:8" s="16" customFormat="1" ht="16.899999999999999" customHeight="1" x14ac:dyDescent="0.2">
      <c r="B2128" s="17"/>
      <c r="C2128" s="83"/>
      <c r="D2128" s="83" t="s">
        <v>3487</v>
      </c>
      <c r="E2128" s="2"/>
      <c r="F2128" s="200">
        <v>-6.2539999999999996</v>
      </c>
      <c r="H2128" s="17"/>
    </row>
    <row r="2129" spans="2:8" s="16" customFormat="1" ht="16.899999999999999" customHeight="1" x14ac:dyDescent="0.2">
      <c r="B2129" s="17"/>
      <c r="C2129" s="83"/>
      <c r="D2129" s="83" t="s">
        <v>3488</v>
      </c>
      <c r="E2129" s="2"/>
      <c r="F2129" s="200">
        <v>-18.27</v>
      </c>
      <c r="H2129" s="17"/>
    </row>
    <row r="2130" spans="2:8" s="16" customFormat="1" ht="16.899999999999999" customHeight="1" x14ac:dyDescent="0.2">
      <c r="B2130" s="17"/>
      <c r="C2130" s="83"/>
      <c r="D2130" s="83" t="s">
        <v>3489</v>
      </c>
      <c r="E2130" s="2"/>
      <c r="F2130" s="200">
        <v>-116.64</v>
      </c>
      <c r="H2130" s="17"/>
    </row>
    <row r="2131" spans="2:8" s="16" customFormat="1" ht="16.899999999999999" customHeight="1" x14ac:dyDescent="0.2">
      <c r="B2131" s="17"/>
      <c r="C2131" s="83"/>
      <c r="D2131" s="83" t="s">
        <v>3490</v>
      </c>
      <c r="E2131" s="2"/>
      <c r="F2131" s="200">
        <v>-79.2</v>
      </c>
      <c r="H2131" s="17"/>
    </row>
    <row r="2132" spans="2:8" s="16" customFormat="1" ht="16.899999999999999" customHeight="1" x14ac:dyDescent="0.2">
      <c r="B2132" s="17"/>
      <c r="C2132" s="83"/>
      <c r="D2132" s="83"/>
      <c r="E2132" s="2"/>
      <c r="F2132" s="200">
        <v>0</v>
      </c>
      <c r="H2132" s="17"/>
    </row>
    <row r="2133" spans="2:8" s="16" customFormat="1" ht="16.899999999999999" customHeight="1" x14ac:dyDescent="0.2">
      <c r="B2133" s="17"/>
      <c r="C2133" s="83"/>
      <c r="D2133" s="83" t="s">
        <v>3101</v>
      </c>
      <c r="E2133" s="2"/>
      <c r="F2133" s="200">
        <v>0</v>
      </c>
      <c r="H2133" s="17"/>
    </row>
    <row r="2134" spans="2:8" s="16" customFormat="1" ht="16.899999999999999" customHeight="1" x14ac:dyDescent="0.2">
      <c r="B2134" s="17"/>
      <c r="C2134" s="83"/>
      <c r="D2134" s="83" t="s">
        <v>3102</v>
      </c>
      <c r="E2134" s="2"/>
      <c r="F2134" s="200">
        <v>0</v>
      </c>
      <c r="H2134" s="17"/>
    </row>
    <row r="2135" spans="2:8" s="16" customFormat="1" ht="16.899999999999999" customHeight="1" x14ac:dyDescent="0.2">
      <c r="B2135" s="17"/>
      <c r="C2135" s="83"/>
      <c r="D2135" s="83" t="s">
        <v>3491</v>
      </c>
      <c r="E2135" s="2"/>
      <c r="F2135" s="200">
        <v>103.2</v>
      </c>
      <c r="H2135" s="17"/>
    </row>
    <row r="2136" spans="2:8" s="16" customFormat="1" ht="16.899999999999999" customHeight="1" x14ac:dyDescent="0.2">
      <c r="B2136" s="17"/>
      <c r="C2136" s="83"/>
      <c r="D2136" s="83" t="s">
        <v>3104</v>
      </c>
      <c r="E2136" s="2"/>
      <c r="F2136" s="200">
        <v>0</v>
      </c>
      <c r="H2136" s="17"/>
    </row>
    <row r="2137" spans="2:8" s="16" customFormat="1" ht="16.899999999999999" customHeight="1" x14ac:dyDescent="0.2">
      <c r="B2137" s="17"/>
      <c r="C2137" s="83"/>
      <c r="D2137" s="83" t="s">
        <v>3492</v>
      </c>
      <c r="E2137" s="2"/>
      <c r="F2137" s="200">
        <v>8.31</v>
      </c>
      <c r="H2137" s="17"/>
    </row>
    <row r="2138" spans="2:8" s="16" customFormat="1" ht="16.899999999999999" customHeight="1" x14ac:dyDescent="0.2">
      <c r="B2138" s="17"/>
      <c r="C2138" s="83"/>
      <c r="D2138" s="83" t="s">
        <v>3106</v>
      </c>
      <c r="E2138" s="2"/>
      <c r="F2138" s="200">
        <v>0</v>
      </c>
      <c r="H2138" s="17"/>
    </row>
    <row r="2139" spans="2:8" s="16" customFormat="1" ht="16.899999999999999" customHeight="1" x14ac:dyDescent="0.2">
      <c r="B2139" s="17"/>
      <c r="C2139" s="83"/>
      <c r="D2139" s="83" t="s">
        <v>3493</v>
      </c>
      <c r="E2139" s="2"/>
      <c r="F2139" s="200">
        <v>144.04</v>
      </c>
      <c r="H2139" s="17"/>
    </row>
    <row r="2140" spans="2:8" s="16" customFormat="1" ht="16.899999999999999" customHeight="1" x14ac:dyDescent="0.2">
      <c r="B2140" s="17"/>
      <c r="C2140" s="83"/>
      <c r="D2140" s="83" t="s">
        <v>3494</v>
      </c>
      <c r="E2140" s="2"/>
      <c r="F2140" s="200">
        <v>0</v>
      </c>
      <c r="H2140" s="17"/>
    </row>
    <row r="2141" spans="2:8" s="16" customFormat="1" ht="16.899999999999999" customHeight="1" x14ac:dyDescent="0.2">
      <c r="B2141" s="17"/>
      <c r="C2141" s="83"/>
      <c r="D2141" s="83" t="s">
        <v>3495</v>
      </c>
      <c r="E2141" s="2"/>
      <c r="F2141" s="200">
        <v>-57.42</v>
      </c>
      <c r="H2141" s="17"/>
    </row>
    <row r="2142" spans="2:8" s="16" customFormat="1" ht="16.899999999999999" customHeight="1" x14ac:dyDescent="0.2">
      <c r="B2142" s="17"/>
      <c r="C2142" s="83"/>
      <c r="D2142" s="83" t="s">
        <v>3496</v>
      </c>
      <c r="E2142" s="2"/>
      <c r="F2142" s="200">
        <v>-76.081999999999994</v>
      </c>
      <c r="H2142" s="17"/>
    </row>
    <row r="2143" spans="2:8" s="16" customFormat="1" ht="16.899999999999999" customHeight="1" x14ac:dyDescent="0.2">
      <c r="B2143" s="17"/>
      <c r="C2143" s="83"/>
      <c r="D2143" s="83" t="s">
        <v>3108</v>
      </c>
      <c r="E2143" s="2"/>
      <c r="F2143" s="200">
        <v>0</v>
      </c>
      <c r="H2143" s="17"/>
    </row>
    <row r="2144" spans="2:8" s="16" customFormat="1" ht="16.899999999999999" customHeight="1" x14ac:dyDescent="0.2">
      <c r="B2144" s="17"/>
      <c r="C2144" s="83"/>
      <c r="D2144" s="83" t="s">
        <v>3497</v>
      </c>
      <c r="E2144" s="2"/>
      <c r="F2144" s="200">
        <v>92.88</v>
      </c>
      <c r="H2144" s="17"/>
    </row>
    <row r="2145" spans="2:8" s="16" customFormat="1" ht="16.899999999999999" customHeight="1" x14ac:dyDescent="0.2">
      <c r="B2145" s="17"/>
      <c r="C2145" s="83"/>
      <c r="D2145" s="83" t="s">
        <v>511</v>
      </c>
      <c r="E2145" s="2"/>
      <c r="F2145" s="200">
        <v>0</v>
      </c>
      <c r="H2145" s="17"/>
    </row>
    <row r="2146" spans="2:8" s="16" customFormat="1" ht="16.899999999999999" customHeight="1" x14ac:dyDescent="0.2">
      <c r="B2146" s="17"/>
      <c r="C2146" s="83"/>
      <c r="D2146" s="83" t="s">
        <v>3498</v>
      </c>
      <c r="E2146" s="2"/>
      <c r="F2146" s="200">
        <v>-4.8600000000000003</v>
      </c>
      <c r="H2146" s="17"/>
    </row>
    <row r="2147" spans="2:8" s="16" customFormat="1" ht="16.899999999999999" customHeight="1" x14ac:dyDescent="0.2">
      <c r="B2147" s="17"/>
      <c r="C2147" s="83"/>
      <c r="D2147" s="83"/>
      <c r="E2147" s="2"/>
      <c r="F2147" s="200">
        <v>0</v>
      </c>
      <c r="H2147" s="17"/>
    </row>
    <row r="2148" spans="2:8" s="16" customFormat="1" ht="16.899999999999999" customHeight="1" x14ac:dyDescent="0.2">
      <c r="B2148" s="17"/>
      <c r="C2148" s="83"/>
      <c r="D2148" s="83" t="s">
        <v>3259</v>
      </c>
      <c r="E2148" s="2"/>
      <c r="F2148" s="200">
        <v>0</v>
      </c>
      <c r="H2148" s="17"/>
    </row>
    <row r="2149" spans="2:8" s="16" customFormat="1" ht="16.899999999999999" customHeight="1" x14ac:dyDescent="0.2">
      <c r="B2149" s="17"/>
      <c r="C2149" s="83"/>
      <c r="D2149" s="83" t="s">
        <v>3467</v>
      </c>
      <c r="E2149" s="2"/>
      <c r="F2149" s="200">
        <v>0</v>
      </c>
      <c r="H2149" s="17"/>
    </row>
    <row r="2150" spans="2:8" s="16" customFormat="1" ht="16.899999999999999" customHeight="1" x14ac:dyDescent="0.2">
      <c r="B2150" s="17"/>
      <c r="C2150" s="83"/>
      <c r="D2150" s="83" t="s">
        <v>3389</v>
      </c>
      <c r="E2150" s="2"/>
      <c r="F2150" s="200">
        <v>0</v>
      </c>
      <c r="H2150" s="17"/>
    </row>
    <row r="2151" spans="2:8" s="16" customFormat="1" ht="16.899999999999999" customHeight="1" x14ac:dyDescent="0.2">
      <c r="B2151" s="17"/>
      <c r="C2151" s="83"/>
      <c r="D2151" s="83" t="s">
        <v>3468</v>
      </c>
      <c r="E2151" s="2"/>
      <c r="F2151" s="200">
        <v>0</v>
      </c>
      <c r="H2151" s="17"/>
    </row>
    <row r="2152" spans="2:8" s="16" customFormat="1" ht="16.899999999999999" customHeight="1" x14ac:dyDescent="0.2">
      <c r="B2152" s="17"/>
      <c r="C2152" s="83"/>
      <c r="D2152" s="83" t="s">
        <v>3499</v>
      </c>
      <c r="E2152" s="2"/>
      <c r="F2152" s="200">
        <v>154.97999999999999</v>
      </c>
      <c r="H2152" s="17"/>
    </row>
    <row r="2153" spans="2:8" s="16" customFormat="1" ht="16.899999999999999" customHeight="1" x14ac:dyDescent="0.2">
      <c r="B2153" s="17"/>
      <c r="C2153" s="83"/>
      <c r="D2153" s="83" t="s">
        <v>3392</v>
      </c>
      <c r="E2153" s="2"/>
      <c r="F2153" s="200">
        <v>0</v>
      </c>
      <c r="H2153" s="17"/>
    </row>
    <row r="2154" spans="2:8" s="16" customFormat="1" ht="16.899999999999999" customHeight="1" x14ac:dyDescent="0.2">
      <c r="B2154" s="17"/>
      <c r="C2154" s="83"/>
      <c r="D2154" s="83" t="s">
        <v>3500</v>
      </c>
      <c r="E2154" s="2"/>
      <c r="F2154" s="200">
        <v>66.599999999999994</v>
      </c>
      <c r="H2154" s="17"/>
    </row>
    <row r="2155" spans="2:8" s="16" customFormat="1" ht="16.899999999999999" customHeight="1" x14ac:dyDescent="0.2">
      <c r="B2155" s="17"/>
      <c r="C2155" s="83"/>
      <c r="D2155" s="83" t="s">
        <v>3501</v>
      </c>
      <c r="E2155" s="2"/>
      <c r="F2155" s="200">
        <v>0</v>
      </c>
      <c r="H2155" s="17"/>
    </row>
    <row r="2156" spans="2:8" s="16" customFormat="1" ht="16.899999999999999" customHeight="1" x14ac:dyDescent="0.2">
      <c r="B2156" s="17"/>
      <c r="C2156" s="83"/>
      <c r="D2156" s="83" t="s">
        <v>3502</v>
      </c>
      <c r="E2156" s="2"/>
      <c r="F2156" s="200">
        <v>98.42</v>
      </c>
      <c r="H2156" s="17"/>
    </row>
    <row r="2157" spans="2:8" s="16" customFormat="1" ht="16.899999999999999" customHeight="1" x14ac:dyDescent="0.2">
      <c r="B2157" s="17"/>
      <c r="C2157" s="83"/>
      <c r="D2157" s="83" t="s">
        <v>3503</v>
      </c>
      <c r="E2157" s="2"/>
      <c r="F2157" s="200">
        <v>0</v>
      </c>
      <c r="H2157" s="17"/>
    </row>
    <row r="2158" spans="2:8" s="16" customFormat="1" ht="16.899999999999999" customHeight="1" x14ac:dyDescent="0.2">
      <c r="B2158" s="17"/>
      <c r="C2158" s="83"/>
      <c r="D2158" s="83" t="s">
        <v>3504</v>
      </c>
      <c r="E2158" s="2"/>
      <c r="F2158" s="200">
        <v>-73.168000000000006</v>
      </c>
      <c r="H2158" s="17"/>
    </row>
    <row r="2159" spans="2:8" s="16" customFormat="1" ht="16.899999999999999" customHeight="1" x14ac:dyDescent="0.2">
      <c r="B2159" s="17"/>
      <c r="C2159" s="83"/>
      <c r="D2159" s="83" t="s">
        <v>3409</v>
      </c>
      <c r="E2159" s="2"/>
      <c r="F2159" s="200">
        <v>0</v>
      </c>
      <c r="H2159" s="17"/>
    </row>
    <row r="2160" spans="2:8" s="16" customFormat="1" ht="16.899999999999999" customHeight="1" x14ac:dyDescent="0.2">
      <c r="B2160" s="17"/>
      <c r="C2160" s="83"/>
      <c r="D2160" s="83" t="s">
        <v>3505</v>
      </c>
      <c r="E2160" s="2"/>
      <c r="F2160" s="200">
        <v>2.9279999999999999</v>
      </c>
      <c r="H2160" s="17"/>
    </row>
    <row r="2161" spans="2:8" s="16" customFormat="1" ht="16.899999999999999" customHeight="1" x14ac:dyDescent="0.2">
      <c r="B2161" s="17"/>
      <c r="C2161" s="83"/>
      <c r="D2161" s="83" t="s">
        <v>3506</v>
      </c>
      <c r="E2161" s="2"/>
      <c r="F2161" s="200">
        <v>9.8719999999999999</v>
      </c>
      <c r="H2161" s="17"/>
    </row>
    <row r="2162" spans="2:8" s="16" customFormat="1" ht="16.899999999999999" customHeight="1" x14ac:dyDescent="0.2">
      <c r="B2162" s="17"/>
      <c r="C2162" s="83"/>
      <c r="D2162" s="83"/>
      <c r="E2162" s="2"/>
      <c r="F2162" s="200">
        <v>0</v>
      </c>
      <c r="H2162" s="17"/>
    </row>
    <row r="2163" spans="2:8" s="16" customFormat="1" ht="16.899999999999999" customHeight="1" x14ac:dyDescent="0.2">
      <c r="B2163" s="17"/>
      <c r="C2163" s="83"/>
      <c r="D2163" s="83" t="s">
        <v>3507</v>
      </c>
      <c r="E2163" s="2"/>
      <c r="F2163" s="200">
        <v>0</v>
      </c>
      <c r="H2163" s="17"/>
    </row>
    <row r="2164" spans="2:8" s="16" customFormat="1" ht="16.899999999999999" customHeight="1" x14ac:dyDescent="0.2">
      <c r="B2164" s="17"/>
      <c r="C2164" s="83"/>
      <c r="D2164" s="83" t="s">
        <v>3508</v>
      </c>
      <c r="E2164" s="2"/>
      <c r="F2164" s="200">
        <v>47.728000000000002</v>
      </c>
      <c r="H2164" s="17"/>
    </row>
    <row r="2165" spans="2:8" s="16" customFormat="1" ht="16.899999999999999" customHeight="1" x14ac:dyDescent="0.2">
      <c r="B2165" s="17"/>
      <c r="C2165" s="83"/>
      <c r="D2165" s="83" t="s">
        <v>3509</v>
      </c>
      <c r="E2165" s="2"/>
      <c r="F2165" s="200">
        <v>3.0830000000000002</v>
      </c>
      <c r="H2165" s="17"/>
    </row>
    <row r="2166" spans="2:8" s="16" customFormat="1" ht="16.899999999999999" customHeight="1" x14ac:dyDescent="0.2">
      <c r="B2166" s="17"/>
      <c r="C2166" s="83"/>
      <c r="D2166" s="83" t="s">
        <v>3510</v>
      </c>
      <c r="E2166" s="2"/>
      <c r="F2166" s="200">
        <v>0</v>
      </c>
      <c r="H2166" s="17"/>
    </row>
    <row r="2167" spans="2:8" s="16" customFormat="1" ht="16.899999999999999" customHeight="1" x14ac:dyDescent="0.2">
      <c r="B2167" s="17"/>
      <c r="C2167" s="83"/>
      <c r="D2167" s="83" t="s">
        <v>3511</v>
      </c>
      <c r="E2167" s="2"/>
      <c r="F2167" s="200">
        <v>-1.7729999999999999</v>
      </c>
      <c r="H2167" s="17"/>
    </row>
    <row r="2168" spans="2:8" s="16" customFormat="1" ht="16.899999999999999" customHeight="1" x14ac:dyDescent="0.2">
      <c r="B2168" s="17"/>
      <c r="C2168" s="83"/>
      <c r="D2168" s="83" t="s">
        <v>3512</v>
      </c>
      <c r="E2168" s="2"/>
      <c r="F2168" s="200">
        <v>-2.25</v>
      </c>
      <c r="H2168" s="17"/>
    </row>
    <row r="2169" spans="2:8" s="16" customFormat="1" ht="16.899999999999999" customHeight="1" x14ac:dyDescent="0.2">
      <c r="B2169" s="17"/>
      <c r="C2169" s="83"/>
      <c r="D2169" s="83"/>
      <c r="E2169" s="2"/>
      <c r="F2169" s="200">
        <v>0</v>
      </c>
      <c r="H2169" s="17"/>
    </row>
    <row r="2170" spans="2:8" s="16" customFormat="1" ht="16.899999999999999" customHeight="1" x14ac:dyDescent="0.2">
      <c r="B2170" s="17"/>
      <c r="C2170" s="83"/>
      <c r="D2170" s="83" t="s">
        <v>3336</v>
      </c>
      <c r="E2170" s="2"/>
      <c r="F2170" s="200">
        <v>0</v>
      </c>
      <c r="H2170" s="17"/>
    </row>
    <row r="2171" spans="2:8" s="16" customFormat="1" ht="16.899999999999999" customHeight="1" x14ac:dyDescent="0.2">
      <c r="B2171" s="17"/>
      <c r="C2171" s="83"/>
      <c r="D2171" s="83" t="s">
        <v>3513</v>
      </c>
      <c r="E2171" s="2"/>
      <c r="F2171" s="200">
        <v>0</v>
      </c>
      <c r="H2171" s="17"/>
    </row>
    <row r="2172" spans="2:8" s="16" customFormat="1" ht="16.899999999999999" customHeight="1" x14ac:dyDescent="0.2">
      <c r="B2172" s="17"/>
      <c r="C2172" s="83"/>
      <c r="D2172" s="83" t="s">
        <v>3514</v>
      </c>
      <c r="E2172" s="2"/>
      <c r="F2172" s="200">
        <v>0</v>
      </c>
      <c r="H2172" s="17"/>
    </row>
    <row r="2173" spans="2:8" s="16" customFormat="1" ht="16.899999999999999" customHeight="1" x14ac:dyDescent="0.2">
      <c r="B2173" s="17"/>
      <c r="C2173" s="83"/>
      <c r="D2173" s="83" t="s">
        <v>3394</v>
      </c>
      <c r="E2173" s="2"/>
      <c r="F2173" s="200">
        <v>0</v>
      </c>
      <c r="H2173" s="17"/>
    </row>
    <row r="2174" spans="2:8" s="16" customFormat="1" ht="16.899999999999999" customHeight="1" x14ac:dyDescent="0.2">
      <c r="B2174" s="17"/>
      <c r="C2174" s="83"/>
      <c r="D2174" s="83" t="s">
        <v>3515</v>
      </c>
      <c r="E2174" s="2"/>
      <c r="F2174" s="200">
        <v>705.71500000000003</v>
      </c>
      <c r="H2174" s="17"/>
    </row>
    <row r="2175" spans="2:8" s="16" customFormat="1" ht="16.899999999999999" customHeight="1" x14ac:dyDescent="0.2">
      <c r="B2175" s="17"/>
      <c r="C2175" s="83"/>
      <c r="D2175" s="83" t="s">
        <v>3396</v>
      </c>
      <c r="E2175" s="2"/>
      <c r="F2175" s="200">
        <v>0</v>
      </c>
      <c r="H2175" s="17"/>
    </row>
    <row r="2176" spans="2:8" s="16" customFormat="1" ht="16.899999999999999" customHeight="1" x14ac:dyDescent="0.2">
      <c r="B2176" s="17"/>
      <c r="C2176" s="83"/>
      <c r="D2176" s="83" t="s">
        <v>3516</v>
      </c>
      <c r="E2176" s="2"/>
      <c r="F2176" s="200">
        <v>12.56</v>
      </c>
      <c r="H2176" s="17"/>
    </row>
    <row r="2177" spans="2:8" s="16" customFormat="1" ht="16.899999999999999" customHeight="1" x14ac:dyDescent="0.2">
      <c r="B2177" s="17"/>
      <c r="C2177" s="83"/>
      <c r="D2177" s="83" t="s">
        <v>3398</v>
      </c>
      <c r="E2177" s="2"/>
      <c r="F2177" s="200">
        <v>0</v>
      </c>
      <c r="H2177" s="17"/>
    </row>
    <row r="2178" spans="2:8" s="16" customFormat="1" ht="16.899999999999999" customHeight="1" x14ac:dyDescent="0.2">
      <c r="B2178" s="17"/>
      <c r="C2178" s="83"/>
      <c r="D2178" s="83" t="s">
        <v>3517</v>
      </c>
      <c r="E2178" s="2"/>
      <c r="F2178" s="200">
        <v>284</v>
      </c>
      <c r="H2178" s="17"/>
    </row>
    <row r="2179" spans="2:8" s="16" customFormat="1" ht="16.899999999999999" customHeight="1" x14ac:dyDescent="0.2">
      <c r="B2179" s="17"/>
      <c r="C2179" s="83"/>
      <c r="D2179" s="83" t="s">
        <v>3400</v>
      </c>
      <c r="E2179" s="2"/>
      <c r="F2179" s="200">
        <v>0</v>
      </c>
      <c r="H2179" s="17"/>
    </row>
    <row r="2180" spans="2:8" s="16" customFormat="1" ht="16.899999999999999" customHeight="1" x14ac:dyDescent="0.2">
      <c r="B2180" s="17"/>
      <c r="C2180" s="83"/>
      <c r="D2180" s="83" t="s">
        <v>3518</v>
      </c>
      <c r="E2180" s="2"/>
      <c r="F2180" s="200">
        <v>-11.78</v>
      </c>
      <c r="H2180" s="17"/>
    </row>
    <row r="2181" spans="2:8" s="16" customFormat="1" ht="16.899999999999999" customHeight="1" x14ac:dyDescent="0.2">
      <c r="B2181" s="17"/>
      <c r="C2181" s="83"/>
      <c r="D2181" s="83" t="s">
        <v>3519</v>
      </c>
      <c r="E2181" s="2"/>
      <c r="F2181" s="200">
        <v>-13.635</v>
      </c>
      <c r="H2181" s="17"/>
    </row>
    <row r="2182" spans="2:8" s="16" customFormat="1" ht="16.899999999999999" customHeight="1" x14ac:dyDescent="0.2">
      <c r="B2182" s="17"/>
      <c r="C2182" s="83"/>
      <c r="D2182" s="83" t="s">
        <v>3403</v>
      </c>
      <c r="E2182" s="2"/>
      <c r="F2182" s="200">
        <v>0</v>
      </c>
      <c r="H2182" s="17"/>
    </row>
    <row r="2183" spans="2:8" s="16" customFormat="1" ht="16.899999999999999" customHeight="1" x14ac:dyDescent="0.2">
      <c r="B2183" s="17"/>
      <c r="C2183" s="83"/>
      <c r="D2183" s="83" t="s">
        <v>3520</v>
      </c>
      <c r="E2183" s="2"/>
      <c r="F2183" s="200">
        <v>97.641000000000005</v>
      </c>
      <c r="H2183" s="17"/>
    </row>
    <row r="2184" spans="2:8" s="16" customFormat="1" ht="16.899999999999999" customHeight="1" x14ac:dyDescent="0.2">
      <c r="B2184" s="17"/>
      <c r="C2184" s="83"/>
      <c r="D2184" s="83" t="s">
        <v>3396</v>
      </c>
      <c r="E2184" s="2"/>
      <c r="F2184" s="200">
        <v>0</v>
      </c>
      <c r="H2184" s="17"/>
    </row>
    <row r="2185" spans="2:8" s="16" customFormat="1" ht="16.899999999999999" customHeight="1" x14ac:dyDescent="0.2">
      <c r="B2185" s="17"/>
      <c r="C2185" s="83"/>
      <c r="D2185" s="83" t="s">
        <v>3521</v>
      </c>
      <c r="E2185" s="2"/>
      <c r="F2185" s="200">
        <v>3.5910000000000002</v>
      </c>
      <c r="H2185" s="17"/>
    </row>
    <row r="2186" spans="2:8" s="16" customFormat="1" ht="16.899999999999999" customHeight="1" x14ac:dyDescent="0.2">
      <c r="B2186" s="17"/>
      <c r="C2186" s="83"/>
      <c r="D2186" s="83" t="s">
        <v>3406</v>
      </c>
      <c r="E2186" s="2"/>
      <c r="F2186" s="200">
        <v>0</v>
      </c>
      <c r="H2186" s="17"/>
    </row>
    <row r="2187" spans="2:8" s="16" customFormat="1" ht="16.899999999999999" customHeight="1" x14ac:dyDescent="0.2">
      <c r="B2187" s="17"/>
      <c r="C2187" s="83"/>
      <c r="D2187" s="83" t="s">
        <v>3407</v>
      </c>
      <c r="E2187" s="2"/>
      <c r="F2187" s="200">
        <v>0</v>
      </c>
      <c r="H2187" s="17"/>
    </row>
    <row r="2188" spans="2:8" s="16" customFormat="1" ht="16.899999999999999" customHeight="1" x14ac:dyDescent="0.2">
      <c r="B2188" s="17"/>
      <c r="C2188" s="83"/>
      <c r="D2188" s="83" t="s">
        <v>3522</v>
      </c>
      <c r="E2188" s="2"/>
      <c r="F2188" s="200">
        <v>31.11</v>
      </c>
      <c r="H2188" s="17"/>
    </row>
    <row r="2189" spans="2:8" s="16" customFormat="1" ht="16.899999999999999" customHeight="1" x14ac:dyDescent="0.2">
      <c r="B2189" s="17"/>
      <c r="C2189" s="83"/>
      <c r="D2189" s="83" t="s">
        <v>3523</v>
      </c>
      <c r="E2189" s="2"/>
      <c r="F2189" s="200">
        <v>0</v>
      </c>
      <c r="H2189" s="17"/>
    </row>
    <row r="2190" spans="2:8" s="16" customFormat="1" ht="16.899999999999999" customHeight="1" x14ac:dyDescent="0.2">
      <c r="B2190" s="17"/>
      <c r="C2190" s="83"/>
      <c r="D2190" s="83" t="s">
        <v>3524</v>
      </c>
      <c r="E2190" s="2"/>
      <c r="F2190" s="200">
        <v>129.80000000000001</v>
      </c>
      <c r="H2190" s="17"/>
    </row>
    <row r="2191" spans="2:8" s="16" customFormat="1" ht="16.899999999999999" customHeight="1" x14ac:dyDescent="0.2">
      <c r="B2191" s="17"/>
      <c r="C2191" s="83"/>
      <c r="D2191" s="83" t="s">
        <v>511</v>
      </c>
      <c r="E2191" s="2"/>
      <c r="F2191" s="200">
        <v>0</v>
      </c>
      <c r="H2191" s="17"/>
    </row>
    <row r="2192" spans="2:8" s="16" customFormat="1" ht="16.899999999999999" customHeight="1" x14ac:dyDescent="0.2">
      <c r="B2192" s="17"/>
      <c r="C2192" s="83"/>
      <c r="D2192" s="83" t="s">
        <v>3525</v>
      </c>
      <c r="E2192" s="2"/>
      <c r="F2192" s="200">
        <v>-7.56</v>
      </c>
      <c r="H2192" s="17"/>
    </row>
    <row r="2193" spans="2:8" s="16" customFormat="1" ht="16.899999999999999" customHeight="1" x14ac:dyDescent="0.2">
      <c r="B2193" s="17"/>
      <c r="C2193" s="83"/>
      <c r="D2193" s="83" t="s">
        <v>3526</v>
      </c>
      <c r="E2193" s="2"/>
      <c r="F2193" s="200">
        <v>-4.32</v>
      </c>
      <c r="H2193" s="17"/>
    </row>
    <row r="2194" spans="2:8" s="16" customFormat="1" ht="16.899999999999999" customHeight="1" x14ac:dyDescent="0.2">
      <c r="B2194" s="17"/>
      <c r="C2194" s="83"/>
      <c r="D2194" s="83" t="s">
        <v>3527</v>
      </c>
      <c r="E2194" s="2"/>
      <c r="F2194" s="200">
        <v>-1.819</v>
      </c>
      <c r="H2194" s="17"/>
    </row>
    <row r="2195" spans="2:8" s="16" customFormat="1" ht="16.899999999999999" customHeight="1" x14ac:dyDescent="0.2">
      <c r="B2195" s="17"/>
      <c r="C2195" s="83"/>
      <c r="D2195" s="83" t="s">
        <v>3528</v>
      </c>
      <c r="E2195" s="2"/>
      <c r="F2195" s="200">
        <v>-3.24</v>
      </c>
      <c r="H2195" s="17"/>
    </row>
    <row r="2196" spans="2:8" s="16" customFormat="1" ht="16.899999999999999" customHeight="1" x14ac:dyDescent="0.2">
      <c r="B2196" s="17"/>
      <c r="C2196" s="83"/>
      <c r="D2196" s="83" t="s">
        <v>3529</v>
      </c>
      <c r="E2196" s="2"/>
      <c r="F2196" s="200">
        <v>-2.5680000000000001</v>
      </c>
      <c r="H2196" s="17"/>
    </row>
    <row r="2197" spans="2:8" s="16" customFormat="1" ht="16.899999999999999" customHeight="1" x14ac:dyDescent="0.2">
      <c r="B2197" s="17"/>
      <c r="C2197" s="83"/>
      <c r="D2197" s="83" t="s">
        <v>3530</v>
      </c>
      <c r="E2197" s="2"/>
      <c r="F2197" s="200">
        <v>-13.824</v>
      </c>
      <c r="H2197" s="17"/>
    </row>
    <row r="2198" spans="2:8" s="16" customFormat="1" ht="16.899999999999999" customHeight="1" x14ac:dyDescent="0.2">
      <c r="B2198" s="17"/>
      <c r="C2198" s="83"/>
      <c r="D2198" s="83" t="s">
        <v>3531</v>
      </c>
      <c r="E2198" s="2"/>
      <c r="F2198" s="200">
        <v>-10.15</v>
      </c>
      <c r="H2198" s="17"/>
    </row>
    <row r="2199" spans="2:8" s="16" customFormat="1" ht="16.899999999999999" customHeight="1" x14ac:dyDescent="0.2">
      <c r="B2199" s="17"/>
      <c r="C2199" s="83"/>
      <c r="D2199" s="83" t="s">
        <v>3532</v>
      </c>
      <c r="E2199" s="2"/>
      <c r="F2199" s="200">
        <v>-4.8150000000000004</v>
      </c>
      <c r="H2199" s="17"/>
    </row>
    <row r="2200" spans="2:8" s="16" customFormat="1" ht="16.899999999999999" customHeight="1" x14ac:dyDescent="0.2">
      <c r="B2200" s="17"/>
      <c r="C2200" s="83"/>
      <c r="D2200" s="83" t="s">
        <v>3533</v>
      </c>
      <c r="E2200" s="2"/>
      <c r="F2200" s="200">
        <v>-20.544</v>
      </c>
      <c r="H2200" s="17"/>
    </row>
    <row r="2201" spans="2:8" s="16" customFormat="1" ht="16.899999999999999" customHeight="1" x14ac:dyDescent="0.2">
      <c r="B2201" s="17"/>
      <c r="C2201" s="83"/>
      <c r="D2201" s="83" t="s">
        <v>3534</v>
      </c>
      <c r="E2201" s="2"/>
      <c r="F2201" s="200">
        <v>-7.02</v>
      </c>
      <c r="H2201" s="17"/>
    </row>
    <row r="2202" spans="2:8" s="16" customFormat="1" ht="16.899999999999999" customHeight="1" x14ac:dyDescent="0.2">
      <c r="B2202" s="17"/>
      <c r="C2202" s="83"/>
      <c r="D2202" s="83" t="s">
        <v>3535</v>
      </c>
      <c r="E2202" s="2"/>
      <c r="F2202" s="200">
        <v>-27.405000000000001</v>
      </c>
      <c r="H2202" s="17"/>
    </row>
    <row r="2203" spans="2:8" s="16" customFormat="1" ht="16.899999999999999" customHeight="1" x14ac:dyDescent="0.2">
      <c r="B2203" s="17"/>
      <c r="C2203" s="83"/>
      <c r="D2203" s="83" t="s">
        <v>3536</v>
      </c>
      <c r="E2203" s="2"/>
      <c r="F2203" s="200">
        <v>-7.7549999999999999</v>
      </c>
      <c r="H2203" s="17"/>
    </row>
    <row r="2204" spans="2:8" s="16" customFormat="1" ht="16.899999999999999" customHeight="1" x14ac:dyDescent="0.2">
      <c r="B2204" s="17"/>
      <c r="C2204" s="83"/>
      <c r="D2204" s="83" t="s">
        <v>3537</v>
      </c>
      <c r="E2204" s="2"/>
      <c r="F2204" s="200">
        <v>-219.875</v>
      </c>
      <c r="H2204" s="17"/>
    </row>
    <row r="2205" spans="2:8" s="16" customFormat="1" ht="16.899999999999999" customHeight="1" x14ac:dyDescent="0.2">
      <c r="B2205" s="17"/>
      <c r="C2205" s="83"/>
      <c r="D2205" s="83" t="s">
        <v>3538</v>
      </c>
      <c r="E2205" s="2"/>
      <c r="F2205" s="200">
        <v>-3.117</v>
      </c>
      <c r="H2205" s="17"/>
    </row>
    <row r="2206" spans="2:8" s="16" customFormat="1" ht="16.899999999999999" customHeight="1" x14ac:dyDescent="0.2">
      <c r="B2206" s="17"/>
      <c r="C2206" s="83"/>
      <c r="D2206" s="83"/>
      <c r="E2206" s="2"/>
      <c r="F2206" s="200">
        <v>0</v>
      </c>
      <c r="H2206" s="17"/>
    </row>
    <row r="2207" spans="2:8" s="16" customFormat="1" ht="16.899999999999999" customHeight="1" x14ac:dyDescent="0.2">
      <c r="B2207" s="17"/>
      <c r="C2207" s="83"/>
      <c r="D2207" s="83" t="s">
        <v>3539</v>
      </c>
      <c r="E2207" s="2"/>
      <c r="F2207" s="200">
        <v>0</v>
      </c>
      <c r="H2207" s="17"/>
    </row>
    <row r="2208" spans="2:8" s="16" customFormat="1" ht="16.899999999999999" customHeight="1" x14ac:dyDescent="0.2">
      <c r="B2208" s="17"/>
      <c r="C2208" s="83"/>
      <c r="D2208" s="83" t="s">
        <v>3447</v>
      </c>
      <c r="E2208" s="2"/>
      <c r="F2208" s="200">
        <v>0</v>
      </c>
      <c r="H2208" s="17"/>
    </row>
    <row r="2209" spans="2:8" s="16" customFormat="1" ht="16.899999999999999" customHeight="1" x14ac:dyDescent="0.2">
      <c r="B2209" s="17"/>
      <c r="C2209" s="83"/>
      <c r="D2209" s="83" t="s">
        <v>3540</v>
      </c>
      <c r="E2209" s="2"/>
      <c r="F2209" s="200">
        <v>38.28</v>
      </c>
      <c r="H2209" s="17"/>
    </row>
    <row r="2210" spans="2:8" s="16" customFormat="1" ht="16.899999999999999" customHeight="1" x14ac:dyDescent="0.2">
      <c r="B2210" s="17"/>
      <c r="C2210" s="83"/>
      <c r="D2210" s="83" t="s">
        <v>3449</v>
      </c>
      <c r="E2210" s="2"/>
      <c r="F2210" s="200">
        <v>0</v>
      </c>
      <c r="H2210" s="17"/>
    </row>
    <row r="2211" spans="2:8" s="16" customFormat="1" ht="16.899999999999999" customHeight="1" x14ac:dyDescent="0.2">
      <c r="B2211" s="17"/>
      <c r="C2211" s="83"/>
      <c r="D2211" s="83" t="s">
        <v>3541</v>
      </c>
      <c r="E2211" s="2"/>
      <c r="F2211" s="200">
        <v>153.12</v>
      </c>
      <c r="H2211" s="17"/>
    </row>
    <row r="2212" spans="2:8" s="16" customFormat="1" ht="16.899999999999999" customHeight="1" x14ac:dyDescent="0.2">
      <c r="B2212" s="17"/>
      <c r="C2212" s="83"/>
      <c r="D2212" s="83" t="s">
        <v>3542</v>
      </c>
      <c r="E2212" s="2"/>
      <c r="F2212" s="200">
        <v>0</v>
      </c>
      <c r="H2212" s="17"/>
    </row>
    <row r="2213" spans="2:8" s="16" customFormat="1" ht="16.899999999999999" customHeight="1" x14ac:dyDescent="0.2">
      <c r="B2213" s="17"/>
      <c r="C2213" s="83"/>
      <c r="D2213" s="83" t="s">
        <v>3543</v>
      </c>
      <c r="E2213" s="2"/>
      <c r="F2213" s="200">
        <v>2.2879999999999998</v>
      </c>
      <c r="H2213" s="17"/>
    </row>
    <row r="2214" spans="2:8" s="16" customFormat="1" ht="16.899999999999999" customHeight="1" x14ac:dyDescent="0.2">
      <c r="B2214" s="17"/>
      <c r="C2214" s="83"/>
      <c r="D2214" s="83"/>
      <c r="E2214" s="2"/>
      <c r="F2214" s="200">
        <v>0</v>
      </c>
      <c r="H2214" s="17"/>
    </row>
    <row r="2215" spans="2:8" s="16" customFormat="1" ht="16.899999999999999" customHeight="1" x14ac:dyDescent="0.2">
      <c r="B2215" s="17"/>
      <c r="C2215" s="83"/>
      <c r="D2215" s="83" t="s">
        <v>3409</v>
      </c>
      <c r="E2215" s="2"/>
      <c r="F2215" s="200">
        <v>0</v>
      </c>
      <c r="H2215" s="17"/>
    </row>
    <row r="2216" spans="2:8" s="16" customFormat="1" ht="16.899999999999999" customHeight="1" x14ac:dyDescent="0.2">
      <c r="B2216" s="17"/>
      <c r="C2216" s="83"/>
      <c r="D2216" s="83" t="s">
        <v>3544</v>
      </c>
      <c r="E2216" s="2"/>
      <c r="F2216" s="200">
        <v>11.2</v>
      </c>
      <c r="H2216" s="17"/>
    </row>
    <row r="2217" spans="2:8" s="16" customFormat="1" ht="16.899999999999999" customHeight="1" x14ac:dyDescent="0.2">
      <c r="B2217" s="17"/>
      <c r="C2217" s="83"/>
      <c r="D2217" s="83" t="s">
        <v>3545</v>
      </c>
      <c r="E2217" s="2"/>
      <c r="F2217" s="200">
        <v>0</v>
      </c>
      <c r="H2217" s="17"/>
    </row>
    <row r="2218" spans="2:8" s="16" customFormat="1" ht="16.899999999999999" customHeight="1" x14ac:dyDescent="0.2">
      <c r="B2218" s="17"/>
      <c r="C2218" s="83"/>
      <c r="D2218" s="83" t="s">
        <v>3546</v>
      </c>
      <c r="E2218" s="2"/>
      <c r="F2218" s="200">
        <v>-4.37</v>
      </c>
      <c r="H2218" s="17"/>
    </row>
    <row r="2219" spans="2:8" s="16" customFormat="1" ht="16.899999999999999" customHeight="1" x14ac:dyDescent="0.2">
      <c r="B2219" s="17"/>
      <c r="C2219" s="83"/>
      <c r="D2219" s="83"/>
      <c r="E2219" s="2"/>
      <c r="F2219" s="200">
        <v>0</v>
      </c>
      <c r="H2219" s="17"/>
    </row>
    <row r="2220" spans="2:8" s="16" customFormat="1" ht="16.899999999999999" customHeight="1" x14ac:dyDescent="0.2">
      <c r="B2220" s="17"/>
      <c r="C2220" s="83"/>
      <c r="D2220" s="83" t="s">
        <v>3117</v>
      </c>
      <c r="E2220" s="2"/>
      <c r="F2220" s="200">
        <v>0</v>
      </c>
      <c r="H2220" s="17"/>
    </row>
    <row r="2221" spans="2:8" s="16" customFormat="1" ht="16.899999999999999" customHeight="1" x14ac:dyDescent="0.2">
      <c r="B2221" s="17"/>
      <c r="C2221" s="83"/>
      <c r="D2221" s="83" t="s">
        <v>3547</v>
      </c>
      <c r="E2221" s="2"/>
      <c r="F2221" s="200">
        <v>0</v>
      </c>
      <c r="H2221" s="17"/>
    </row>
    <row r="2222" spans="2:8" s="16" customFormat="1" ht="16.899999999999999" customHeight="1" x14ac:dyDescent="0.2">
      <c r="B2222" s="17"/>
      <c r="C2222" s="83"/>
      <c r="D2222" s="83" t="s">
        <v>3548</v>
      </c>
      <c r="E2222" s="2"/>
      <c r="F2222" s="200">
        <v>0</v>
      </c>
      <c r="H2222" s="17"/>
    </row>
    <row r="2223" spans="2:8" s="16" customFormat="1" ht="16.899999999999999" customHeight="1" x14ac:dyDescent="0.2">
      <c r="B2223" s="17"/>
      <c r="C2223" s="83"/>
      <c r="D2223" s="83" t="s">
        <v>3549</v>
      </c>
      <c r="E2223" s="2"/>
      <c r="F2223" s="200">
        <v>39</v>
      </c>
      <c r="H2223" s="17"/>
    </row>
    <row r="2224" spans="2:8" s="16" customFormat="1" ht="16.899999999999999" customHeight="1" x14ac:dyDescent="0.2">
      <c r="B2224" s="17"/>
      <c r="C2224" s="83"/>
      <c r="D2224" s="83" t="s">
        <v>3550</v>
      </c>
      <c r="E2224" s="2"/>
      <c r="F2224" s="200">
        <v>0</v>
      </c>
      <c r="H2224" s="17"/>
    </row>
    <row r="2225" spans="2:8" s="16" customFormat="1" ht="16.899999999999999" customHeight="1" x14ac:dyDescent="0.2">
      <c r="B2225" s="17"/>
      <c r="C2225" s="83"/>
      <c r="D2225" s="83" t="s">
        <v>3551</v>
      </c>
      <c r="E2225" s="2"/>
      <c r="F2225" s="200">
        <v>23.4</v>
      </c>
      <c r="H2225" s="17"/>
    </row>
    <row r="2226" spans="2:8" s="16" customFormat="1" ht="16.899999999999999" customHeight="1" x14ac:dyDescent="0.2">
      <c r="B2226" s="17"/>
      <c r="C2226" s="83"/>
      <c r="D2226" s="83" t="s">
        <v>3552</v>
      </c>
      <c r="E2226" s="2"/>
      <c r="F2226" s="200">
        <v>0</v>
      </c>
      <c r="H2226" s="17"/>
    </row>
    <row r="2227" spans="2:8" s="16" customFormat="1" ht="16.899999999999999" customHeight="1" x14ac:dyDescent="0.2">
      <c r="B2227" s="17"/>
      <c r="C2227" s="83"/>
      <c r="D2227" s="83" t="s">
        <v>3553</v>
      </c>
      <c r="E2227" s="2"/>
      <c r="F2227" s="200">
        <v>35.145000000000003</v>
      </c>
      <c r="H2227" s="17"/>
    </row>
    <row r="2228" spans="2:8" s="16" customFormat="1" ht="16.899999999999999" customHeight="1" x14ac:dyDescent="0.2">
      <c r="B2228" s="17"/>
      <c r="C2228" s="83"/>
      <c r="D2228" s="83" t="s">
        <v>759</v>
      </c>
      <c r="E2228" s="2"/>
      <c r="F2228" s="200">
        <v>0</v>
      </c>
      <c r="H2228" s="17"/>
    </row>
    <row r="2229" spans="2:8" s="16" customFormat="1" ht="16.899999999999999" customHeight="1" x14ac:dyDescent="0.2">
      <c r="B2229" s="17"/>
      <c r="C2229" s="83"/>
      <c r="D2229" s="83" t="s">
        <v>3554</v>
      </c>
      <c r="E2229" s="2"/>
      <c r="F2229" s="200">
        <v>4.7699999999999996</v>
      </c>
      <c r="H2229" s="17"/>
    </row>
    <row r="2230" spans="2:8" s="16" customFormat="1" ht="16.899999999999999" customHeight="1" x14ac:dyDescent="0.2">
      <c r="B2230" s="17"/>
      <c r="C2230" s="83"/>
      <c r="D2230" s="83" t="s">
        <v>3555</v>
      </c>
      <c r="E2230" s="2"/>
      <c r="F2230" s="200">
        <v>15.2</v>
      </c>
      <c r="H2230" s="17"/>
    </row>
    <row r="2231" spans="2:8" s="16" customFormat="1" ht="16.899999999999999" customHeight="1" x14ac:dyDescent="0.2">
      <c r="B2231" s="17"/>
      <c r="C2231" s="83"/>
      <c r="D2231" s="83" t="s">
        <v>3556</v>
      </c>
      <c r="E2231" s="2"/>
      <c r="F2231" s="200">
        <v>0</v>
      </c>
      <c r="H2231" s="17"/>
    </row>
    <row r="2232" spans="2:8" s="16" customFormat="1" ht="16.899999999999999" customHeight="1" x14ac:dyDescent="0.2">
      <c r="B2232" s="17"/>
      <c r="C2232" s="83"/>
      <c r="D2232" s="83" t="s">
        <v>3557</v>
      </c>
      <c r="E2232" s="2"/>
      <c r="F2232" s="200">
        <v>5.843</v>
      </c>
      <c r="H2232" s="17"/>
    </row>
    <row r="2233" spans="2:8" s="16" customFormat="1" ht="16.899999999999999" customHeight="1" x14ac:dyDescent="0.2">
      <c r="B2233" s="17"/>
      <c r="C2233" s="83"/>
      <c r="D2233" s="83" t="s">
        <v>3558</v>
      </c>
      <c r="E2233" s="2"/>
      <c r="F2233" s="200">
        <v>0</v>
      </c>
      <c r="H2233" s="17"/>
    </row>
    <row r="2234" spans="2:8" s="16" customFormat="1" ht="16.899999999999999" customHeight="1" x14ac:dyDescent="0.2">
      <c r="B2234" s="17"/>
      <c r="C2234" s="83"/>
      <c r="D2234" s="83" t="s">
        <v>3559</v>
      </c>
      <c r="E2234" s="2"/>
      <c r="F2234" s="200">
        <v>-3.6379999999999999</v>
      </c>
      <c r="H2234" s="17"/>
    </row>
    <row r="2235" spans="2:8" s="16" customFormat="1" ht="16.899999999999999" customHeight="1" x14ac:dyDescent="0.2">
      <c r="B2235" s="17"/>
      <c r="C2235" s="83"/>
      <c r="D2235" s="83" t="s">
        <v>3560</v>
      </c>
      <c r="E2235" s="2"/>
      <c r="F2235" s="200">
        <v>-9.6959999999999997</v>
      </c>
      <c r="H2235" s="17"/>
    </row>
    <row r="2236" spans="2:8" s="16" customFormat="1" ht="16.899999999999999" customHeight="1" x14ac:dyDescent="0.2">
      <c r="B2236" s="17"/>
      <c r="C2236" s="83" t="s">
        <v>3002</v>
      </c>
      <c r="D2236" s="83" t="s">
        <v>609</v>
      </c>
      <c r="E2236" s="2"/>
      <c r="F2236" s="200">
        <v>2545.8339999999998</v>
      </c>
      <c r="H2236" s="17"/>
    </row>
    <row r="2237" spans="2:8" s="16" customFormat="1" ht="16.899999999999999" customHeight="1" x14ac:dyDescent="0.2">
      <c r="B2237" s="17"/>
      <c r="C2237" s="201" t="s">
        <v>8859</v>
      </c>
      <c r="H2237" s="17"/>
    </row>
    <row r="2238" spans="2:8" s="16" customFormat="1" ht="16.899999999999999" customHeight="1" x14ac:dyDescent="0.2">
      <c r="B2238" s="17"/>
      <c r="C2238" s="83" t="s">
        <v>3455</v>
      </c>
      <c r="D2238" s="83" t="s">
        <v>3456</v>
      </c>
      <c r="E2238" s="2" t="s">
        <v>425</v>
      </c>
      <c r="F2238" s="200">
        <v>2545.8339999999998</v>
      </c>
      <c r="H2238" s="17"/>
    </row>
    <row r="2239" spans="2:8" s="16" customFormat="1" ht="16.899999999999999" customHeight="1" x14ac:dyDescent="0.2">
      <c r="B2239" s="17"/>
      <c r="C2239" s="83" t="s">
        <v>3365</v>
      </c>
      <c r="D2239" s="83" t="s">
        <v>3366</v>
      </c>
      <c r="E2239" s="2" t="s">
        <v>425</v>
      </c>
      <c r="F2239" s="200">
        <v>3379.48</v>
      </c>
      <c r="H2239" s="17"/>
    </row>
    <row r="2240" spans="2:8" s="16" customFormat="1" ht="16.899999999999999" customHeight="1" x14ac:dyDescent="0.2">
      <c r="B2240" s="17"/>
      <c r="C2240" s="83" t="s">
        <v>3725</v>
      </c>
      <c r="D2240" s="83" t="s">
        <v>3726</v>
      </c>
      <c r="E2240" s="2" t="s">
        <v>425</v>
      </c>
      <c r="F2240" s="200">
        <v>3075.2489999999998</v>
      </c>
      <c r="H2240" s="17"/>
    </row>
    <row r="2241" spans="2:8" s="16" customFormat="1" ht="16.899999999999999" customHeight="1" x14ac:dyDescent="0.2">
      <c r="B2241" s="17"/>
      <c r="C2241" s="83" t="s">
        <v>3770</v>
      </c>
      <c r="D2241" s="83" t="s">
        <v>3771</v>
      </c>
      <c r="E2241" s="2" t="s">
        <v>425</v>
      </c>
      <c r="F2241" s="200">
        <v>1789.6020000000001</v>
      </c>
      <c r="H2241" s="17"/>
    </row>
    <row r="2242" spans="2:8" s="16" customFormat="1" ht="16.899999999999999" customHeight="1" x14ac:dyDescent="0.2">
      <c r="B2242" s="17"/>
      <c r="C2242" s="83" t="s">
        <v>3820</v>
      </c>
      <c r="D2242" s="83" t="s">
        <v>3821</v>
      </c>
      <c r="E2242" s="2" t="s">
        <v>425</v>
      </c>
      <c r="F2242" s="200">
        <v>4054.9319999999998</v>
      </c>
      <c r="H2242" s="17"/>
    </row>
    <row r="2243" spans="2:8" s="16" customFormat="1" ht="16.899999999999999" customHeight="1" x14ac:dyDescent="0.2">
      <c r="B2243" s="17"/>
      <c r="C2243" s="196" t="s">
        <v>3004</v>
      </c>
      <c r="D2243" s="197"/>
      <c r="E2243" s="198"/>
      <c r="F2243" s="199">
        <v>3.95</v>
      </c>
      <c r="H2243" s="17"/>
    </row>
    <row r="2244" spans="2:8" s="16" customFormat="1" ht="16.899999999999999" customHeight="1" x14ac:dyDescent="0.2">
      <c r="B2244" s="17"/>
      <c r="C2244" s="83"/>
      <c r="D2244" s="83" t="s">
        <v>3418</v>
      </c>
      <c r="E2244" s="2"/>
      <c r="F2244" s="200">
        <v>0</v>
      </c>
      <c r="H2244" s="17"/>
    </row>
    <row r="2245" spans="2:8" s="16" customFormat="1" ht="16.899999999999999" customHeight="1" x14ac:dyDescent="0.2">
      <c r="B2245" s="17"/>
      <c r="C2245" s="83"/>
      <c r="D2245" s="83" t="s">
        <v>3419</v>
      </c>
      <c r="E2245" s="2"/>
      <c r="F2245" s="200">
        <v>0</v>
      </c>
      <c r="H2245" s="17"/>
    </row>
    <row r="2246" spans="2:8" s="16" customFormat="1" ht="16.899999999999999" customHeight="1" x14ac:dyDescent="0.2">
      <c r="B2246" s="17"/>
      <c r="C2246" s="83"/>
      <c r="D2246" s="83" t="s">
        <v>3336</v>
      </c>
      <c r="E2246" s="2"/>
      <c r="F2246" s="200">
        <v>0</v>
      </c>
      <c r="H2246" s="17"/>
    </row>
    <row r="2247" spans="2:8" s="16" customFormat="1" ht="16.899999999999999" customHeight="1" x14ac:dyDescent="0.2">
      <c r="B2247" s="17"/>
      <c r="C2247" s="83"/>
      <c r="D2247" s="83" t="s">
        <v>3117</v>
      </c>
      <c r="E2247" s="2"/>
      <c r="F2247" s="200">
        <v>0</v>
      </c>
      <c r="H2247" s="17"/>
    </row>
    <row r="2248" spans="2:8" s="16" customFormat="1" ht="16.899999999999999" customHeight="1" x14ac:dyDescent="0.2">
      <c r="B2248" s="17"/>
      <c r="C2248" s="83"/>
      <c r="D2248" s="83" t="s">
        <v>3420</v>
      </c>
      <c r="E2248" s="2"/>
      <c r="F2248" s="200">
        <v>0</v>
      </c>
      <c r="H2248" s="17"/>
    </row>
    <row r="2249" spans="2:8" s="16" customFormat="1" ht="16.899999999999999" customHeight="1" x14ac:dyDescent="0.2">
      <c r="B2249" s="17"/>
      <c r="C2249" s="83"/>
      <c r="D2249" s="83" t="s">
        <v>3421</v>
      </c>
      <c r="E2249" s="2"/>
      <c r="F2249" s="200">
        <v>3.95</v>
      </c>
      <c r="H2249" s="17"/>
    </row>
    <row r="2250" spans="2:8" s="16" customFormat="1" ht="16.899999999999999" customHeight="1" x14ac:dyDescent="0.2">
      <c r="B2250" s="17"/>
      <c r="C2250" s="83" t="s">
        <v>3004</v>
      </c>
      <c r="D2250" s="83" t="s">
        <v>609</v>
      </c>
      <c r="E2250" s="2"/>
      <c r="F2250" s="200">
        <v>3.95</v>
      </c>
      <c r="H2250" s="17"/>
    </row>
    <row r="2251" spans="2:8" s="16" customFormat="1" ht="16.899999999999999" customHeight="1" x14ac:dyDescent="0.2">
      <c r="B2251" s="17"/>
      <c r="C2251" s="201" t="s">
        <v>8859</v>
      </c>
      <c r="H2251" s="17"/>
    </row>
    <row r="2252" spans="2:8" s="16" customFormat="1" ht="16.899999999999999" customHeight="1" x14ac:dyDescent="0.2">
      <c r="B2252" s="17"/>
      <c r="C2252" s="83" t="s">
        <v>3415</v>
      </c>
      <c r="D2252" s="83" t="s">
        <v>3416</v>
      </c>
      <c r="E2252" s="2" t="s">
        <v>425</v>
      </c>
      <c r="F2252" s="200">
        <v>3.95</v>
      </c>
      <c r="H2252" s="17"/>
    </row>
    <row r="2253" spans="2:8" s="16" customFormat="1" ht="16.899999999999999" customHeight="1" x14ac:dyDescent="0.2">
      <c r="B2253" s="17"/>
      <c r="C2253" s="83" t="s">
        <v>3365</v>
      </c>
      <c r="D2253" s="83" t="s">
        <v>3366</v>
      </c>
      <c r="E2253" s="2" t="s">
        <v>425</v>
      </c>
      <c r="F2253" s="200">
        <v>3379.48</v>
      </c>
      <c r="H2253" s="17"/>
    </row>
    <row r="2254" spans="2:8" s="16" customFormat="1" ht="16.899999999999999" customHeight="1" x14ac:dyDescent="0.2">
      <c r="B2254" s="17"/>
      <c r="C2254" s="83" t="s">
        <v>3725</v>
      </c>
      <c r="D2254" s="83" t="s">
        <v>3726</v>
      </c>
      <c r="E2254" s="2" t="s">
        <v>425</v>
      </c>
      <c r="F2254" s="200">
        <v>3075.2489999999998</v>
      </c>
      <c r="H2254" s="17"/>
    </row>
    <row r="2255" spans="2:8" s="16" customFormat="1" ht="16.899999999999999" customHeight="1" x14ac:dyDescent="0.2">
      <c r="B2255" s="17"/>
      <c r="C2255" s="83" t="s">
        <v>3770</v>
      </c>
      <c r="D2255" s="83" t="s">
        <v>3771</v>
      </c>
      <c r="E2255" s="2" t="s">
        <v>425</v>
      </c>
      <c r="F2255" s="200">
        <v>1789.6020000000001</v>
      </c>
      <c r="H2255" s="17"/>
    </row>
    <row r="2256" spans="2:8" s="16" customFormat="1" ht="16.899999999999999" customHeight="1" x14ac:dyDescent="0.2">
      <c r="B2256" s="17"/>
      <c r="C2256" s="83" t="s">
        <v>3820</v>
      </c>
      <c r="D2256" s="83" t="s">
        <v>3821</v>
      </c>
      <c r="E2256" s="2" t="s">
        <v>425</v>
      </c>
      <c r="F2256" s="200">
        <v>4054.9319999999998</v>
      </c>
      <c r="H2256" s="17"/>
    </row>
    <row r="2257" spans="2:8" s="16" customFormat="1" ht="16.899999999999999" customHeight="1" x14ac:dyDescent="0.2">
      <c r="B2257" s="17"/>
      <c r="C2257" s="196" t="s">
        <v>3006</v>
      </c>
      <c r="D2257" s="197"/>
      <c r="E2257" s="198"/>
      <c r="F2257" s="199">
        <v>76.183999999999997</v>
      </c>
      <c r="H2257" s="17"/>
    </row>
    <row r="2258" spans="2:8" s="16" customFormat="1" ht="16.899999999999999" customHeight="1" x14ac:dyDescent="0.2">
      <c r="B2258" s="17"/>
      <c r="C2258" s="83"/>
      <c r="D2258" s="83" t="s">
        <v>3429</v>
      </c>
      <c r="E2258" s="2"/>
      <c r="F2258" s="200">
        <v>0</v>
      </c>
      <c r="H2258" s="17"/>
    </row>
    <row r="2259" spans="2:8" s="16" customFormat="1" ht="16.899999999999999" customHeight="1" x14ac:dyDescent="0.2">
      <c r="B2259" s="17"/>
      <c r="C2259" s="83"/>
      <c r="D2259" s="83" t="s">
        <v>3430</v>
      </c>
      <c r="E2259" s="2"/>
      <c r="F2259" s="200">
        <v>0</v>
      </c>
      <c r="H2259" s="17"/>
    </row>
    <row r="2260" spans="2:8" s="16" customFormat="1" ht="16.899999999999999" customHeight="1" x14ac:dyDescent="0.2">
      <c r="B2260" s="17"/>
      <c r="C2260" s="83"/>
      <c r="D2260" s="83" t="s">
        <v>428</v>
      </c>
      <c r="E2260" s="2"/>
      <c r="F2260" s="200">
        <v>0</v>
      </c>
      <c r="H2260" s="17"/>
    </row>
    <row r="2261" spans="2:8" s="16" customFormat="1" ht="16.899999999999999" customHeight="1" x14ac:dyDescent="0.2">
      <c r="B2261" s="17"/>
      <c r="C2261" s="83"/>
      <c r="D2261" s="83" t="s">
        <v>429</v>
      </c>
      <c r="E2261" s="2"/>
      <c r="F2261" s="200">
        <v>76.183999999999997</v>
      </c>
      <c r="H2261" s="17"/>
    </row>
    <row r="2262" spans="2:8" s="16" customFormat="1" ht="16.899999999999999" customHeight="1" x14ac:dyDescent="0.2">
      <c r="B2262" s="17"/>
      <c r="C2262" s="83" t="s">
        <v>3006</v>
      </c>
      <c r="D2262" s="83" t="s">
        <v>609</v>
      </c>
      <c r="E2262" s="2"/>
      <c r="F2262" s="200">
        <v>76.183999999999997</v>
      </c>
      <c r="H2262" s="17"/>
    </row>
    <row r="2263" spans="2:8" s="16" customFormat="1" ht="16.899999999999999" customHeight="1" x14ac:dyDescent="0.2">
      <c r="B2263" s="17"/>
      <c r="C2263" s="201" t="s">
        <v>8859</v>
      </c>
      <c r="H2263" s="17"/>
    </row>
    <row r="2264" spans="2:8" s="16" customFormat="1" ht="16.899999999999999" customHeight="1" x14ac:dyDescent="0.2">
      <c r="B2264" s="17"/>
      <c r="C2264" s="83" t="s">
        <v>3426</v>
      </c>
      <c r="D2264" s="83" t="s">
        <v>3427</v>
      </c>
      <c r="E2264" s="2" t="s">
        <v>425</v>
      </c>
      <c r="F2264" s="200">
        <v>118.727</v>
      </c>
      <c r="H2264" s="17"/>
    </row>
    <row r="2265" spans="2:8" s="16" customFormat="1" ht="16.899999999999999" customHeight="1" x14ac:dyDescent="0.2">
      <c r="B2265" s="17"/>
      <c r="C2265" s="83" t="s">
        <v>3435</v>
      </c>
      <c r="D2265" s="83" t="s">
        <v>3436</v>
      </c>
      <c r="E2265" s="2" t="s">
        <v>425</v>
      </c>
      <c r="F2265" s="200">
        <v>76.183999999999997</v>
      </c>
      <c r="H2265" s="17"/>
    </row>
    <row r="2266" spans="2:8" s="16" customFormat="1" ht="16.899999999999999" customHeight="1" x14ac:dyDescent="0.2">
      <c r="B2266" s="17"/>
      <c r="C2266" s="196" t="s">
        <v>3008</v>
      </c>
      <c r="D2266" s="197"/>
      <c r="E2266" s="198"/>
      <c r="F2266" s="199">
        <v>42.542999999999999</v>
      </c>
      <c r="H2266" s="17"/>
    </row>
    <row r="2267" spans="2:8" s="16" customFormat="1" ht="16.899999999999999" customHeight="1" x14ac:dyDescent="0.2">
      <c r="B2267" s="17"/>
      <c r="C2267" s="83"/>
      <c r="D2267" s="83"/>
      <c r="E2267" s="2"/>
      <c r="F2267" s="200">
        <v>0</v>
      </c>
      <c r="H2267" s="17"/>
    </row>
    <row r="2268" spans="2:8" s="16" customFormat="1" ht="16.899999999999999" customHeight="1" x14ac:dyDescent="0.2">
      <c r="B2268" s="17"/>
      <c r="C2268" s="83"/>
      <c r="D2268" s="83" t="s">
        <v>3431</v>
      </c>
      <c r="E2268" s="2"/>
      <c r="F2268" s="200">
        <v>0</v>
      </c>
      <c r="H2268" s="17"/>
    </row>
    <row r="2269" spans="2:8" s="16" customFormat="1" ht="16.899999999999999" customHeight="1" x14ac:dyDescent="0.2">
      <c r="B2269" s="17"/>
      <c r="C2269" s="83"/>
      <c r="D2269" s="83" t="s">
        <v>3432</v>
      </c>
      <c r="E2269" s="2"/>
      <c r="F2269" s="200">
        <v>0</v>
      </c>
      <c r="H2269" s="17"/>
    </row>
    <row r="2270" spans="2:8" s="16" customFormat="1" ht="16.899999999999999" customHeight="1" x14ac:dyDescent="0.2">
      <c r="B2270" s="17"/>
      <c r="C2270" s="83"/>
      <c r="D2270" s="83" t="s">
        <v>3433</v>
      </c>
      <c r="E2270" s="2"/>
      <c r="F2270" s="200">
        <v>10.88</v>
      </c>
      <c r="H2270" s="17"/>
    </row>
    <row r="2271" spans="2:8" s="16" customFormat="1" ht="16.899999999999999" customHeight="1" x14ac:dyDescent="0.2">
      <c r="B2271" s="17"/>
      <c r="C2271" s="83"/>
      <c r="D2271" s="83" t="s">
        <v>3434</v>
      </c>
      <c r="E2271" s="2"/>
      <c r="F2271" s="200">
        <v>31.663</v>
      </c>
      <c r="H2271" s="17"/>
    </row>
    <row r="2272" spans="2:8" s="16" customFormat="1" ht="16.899999999999999" customHeight="1" x14ac:dyDescent="0.2">
      <c r="B2272" s="17"/>
      <c r="C2272" s="83" t="s">
        <v>3008</v>
      </c>
      <c r="D2272" s="83" t="s">
        <v>609</v>
      </c>
      <c r="E2272" s="2"/>
      <c r="F2272" s="200">
        <v>42.542999999999999</v>
      </c>
      <c r="H2272" s="17"/>
    </row>
    <row r="2273" spans="2:8" s="16" customFormat="1" ht="16.899999999999999" customHeight="1" x14ac:dyDescent="0.2">
      <c r="B2273" s="17"/>
      <c r="C2273" s="201" t="s">
        <v>8859</v>
      </c>
      <c r="H2273" s="17"/>
    </row>
    <row r="2274" spans="2:8" s="16" customFormat="1" ht="16.899999999999999" customHeight="1" x14ac:dyDescent="0.2">
      <c r="B2274" s="17"/>
      <c r="C2274" s="83" t="s">
        <v>3426</v>
      </c>
      <c r="D2274" s="83" t="s">
        <v>3427</v>
      </c>
      <c r="E2274" s="2" t="s">
        <v>425</v>
      </c>
      <c r="F2274" s="200">
        <v>118.727</v>
      </c>
      <c r="H2274" s="17"/>
    </row>
    <row r="2275" spans="2:8" s="16" customFormat="1" ht="16.899999999999999" customHeight="1" x14ac:dyDescent="0.2">
      <c r="B2275" s="17"/>
      <c r="C2275" s="83" t="s">
        <v>3365</v>
      </c>
      <c r="D2275" s="83" t="s">
        <v>3366</v>
      </c>
      <c r="E2275" s="2" t="s">
        <v>425</v>
      </c>
      <c r="F2275" s="200">
        <v>3379.48</v>
      </c>
      <c r="H2275" s="17"/>
    </row>
    <row r="2276" spans="2:8" s="16" customFormat="1" ht="16.899999999999999" customHeight="1" x14ac:dyDescent="0.2">
      <c r="B2276" s="17"/>
      <c r="C2276" s="83" t="s">
        <v>3725</v>
      </c>
      <c r="D2276" s="83" t="s">
        <v>3726</v>
      </c>
      <c r="E2276" s="2" t="s">
        <v>425</v>
      </c>
      <c r="F2276" s="200">
        <v>3075.2489999999998</v>
      </c>
      <c r="H2276" s="17"/>
    </row>
    <row r="2277" spans="2:8" s="16" customFormat="1" ht="16.899999999999999" customHeight="1" x14ac:dyDescent="0.2">
      <c r="B2277" s="17"/>
      <c r="C2277" s="83" t="s">
        <v>3770</v>
      </c>
      <c r="D2277" s="83" t="s">
        <v>3771</v>
      </c>
      <c r="E2277" s="2" t="s">
        <v>425</v>
      </c>
      <c r="F2277" s="200">
        <v>1789.6020000000001</v>
      </c>
      <c r="H2277" s="17"/>
    </row>
    <row r="2278" spans="2:8" s="16" customFormat="1" ht="16.899999999999999" customHeight="1" x14ac:dyDescent="0.2">
      <c r="B2278" s="17"/>
      <c r="C2278" s="83" t="s">
        <v>3820</v>
      </c>
      <c r="D2278" s="83" t="s">
        <v>3821</v>
      </c>
      <c r="E2278" s="2" t="s">
        <v>425</v>
      </c>
      <c r="F2278" s="200">
        <v>4054.9319999999998</v>
      </c>
      <c r="H2278" s="17"/>
    </row>
    <row r="2279" spans="2:8" s="16" customFormat="1" ht="16.899999999999999" customHeight="1" x14ac:dyDescent="0.2">
      <c r="B2279" s="17"/>
      <c r="C2279" s="196" t="s">
        <v>3010</v>
      </c>
      <c r="D2279" s="197"/>
      <c r="E2279" s="198"/>
      <c r="F2279" s="199">
        <v>239.11500000000001</v>
      </c>
      <c r="H2279" s="17"/>
    </row>
    <row r="2280" spans="2:8" s="16" customFormat="1" ht="16.899999999999999" customHeight="1" x14ac:dyDescent="0.2">
      <c r="B2280" s="17"/>
      <c r="C2280" s="83"/>
      <c r="D2280" s="83" t="s">
        <v>3332</v>
      </c>
      <c r="E2280" s="2"/>
      <c r="F2280" s="200">
        <v>0</v>
      </c>
      <c r="H2280" s="17"/>
    </row>
    <row r="2281" spans="2:8" s="16" customFormat="1" ht="16.899999999999999" customHeight="1" x14ac:dyDescent="0.2">
      <c r="B2281" s="17"/>
      <c r="C2281" s="83"/>
      <c r="D2281" s="83" t="s">
        <v>3333</v>
      </c>
      <c r="E2281" s="2"/>
      <c r="F2281" s="200">
        <v>0</v>
      </c>
      <c r="H2281" s="17"/>
    </row>
    <row r="2282" spans="2:8" s="16" customFormat="1" ht="16.899999999999999" customHeight="1" x14ac:dyDescent="0.2">
      <c r="B2282" s="17"/>
      <c r="C2282" s="83"/>
      <c r="D2282" s="83" t="s">
        <v>3117</v>
      </c>
      <c r="E2282" s="2"/>
      <c r="F2282" s="200">
        <v>0</v>
      </c>
      <c r="H2282" s="17"/>
    </row>
    <row r="2283" spans="2:8" s="16" customFormat="1" ht="16.899999999999999" customHeight="1" x14ac:dyDescent="0.2">
      <c r="B2283" s="17"/>
      <c r="C2283" s="83"/>
      <c r="D2283" s="83" t="s">
        <v>3334</v>
      </c>
      <c r="E2283" s="2"/>
      <c r="F2283" s="200">
        <v>0</v>
      </c>
      <c r="H2283" s="17"/>
    </row>
    <row r="2284" spans="2:8" s="16" customFormat="1" ht="16.899999999999999" customHeight="1" x14ac:dyDescent="0.2">
      <c r="B2284" s="17"/>
      <c r="C2284" s="83"/>
      <c r="D2284" s="83" t="s">
        <v>3335</v>
      </c>
      <c r="E2284" s="2"/>
      <c r="F2284" s="200">
        <v>20.475000000000001</v>
      </c>
      <c r="H2284" s="17"/>
    </row>
    <row r="2285" spans="2:8" s="16" customFormat="1" ht="16.899999999999999" customHeight="1" x14ac:dyDescent="0.2">
      <c r="B2285" s="17"/>
      <c r="C2285" s="83"/>
      <c r="D2285" s="83"/>
      <c r="E2285" s="2"/>
      <c r="F2285" s="200">
        <v>0</v>
      </c>
      <c r="H2285" s="17"/>
    </row>
    <row r="2286" spans="2:8" s="16" customFormat="1" ht="16.899999999999999" customHeight="1" x14ac:dyDescent="0.2">
      <c r="B2286" s="17"/>
      <c r="C2286" s="83"/>
      <c r="D2286" s="83" t="s">
        <v>3336</v>
      </c>
      <c r="E2286" s="2"/>
      <c r="F2286" s="200">
        <v>0</v>
      </c>
      <c r="H2286" s="17"/>
    </row>
    <row r="2287" spans="2:8" s="16" customFormat="1" ht="16.899999999999999" customHeight="1" x14ac:dyDescent="0.2">
      <c r="B2287" s="17"/>
      <c r="C2287" s="83"/>
      <c r="D2287" s="83" t="s">
        <v>3337</v>
      </c>
      <c r="E2287" s="2"/>
      <c r="F2287" s="200">
        <v>0</v>
      </c>
      <c r="H2287" s="17"/>
    </row>
    <row r="2288" spans="2:8" s="16" customFormat="1" ht="16.899999999999999" customHeight="1" x14ac:dyDescent="0.2">
      <c r="B2288" s="17"/>
      <c r="C2288" s="83"/>
      <c r="D2288" s="83" t="s">
        <v>3338</v>
      </c>
      <c r="E2288" s="2"/>
      <c r="F2288" s="200">
        <v>157.30000000000001</v>
      </c>
      <c r="H2288" s="17"/>
    </row>
    <row r="2289" spans="2:8" s="16" customFormat="1" ht="16.899999999999999" customHeight="1" x14ac:dyDescent="0.2">
      <c r="B2289" s="17"/>
      <c r="C2289" s="83"/>
      <c r="D2289" s="83"/>
      <c r="E2289" s="2"/>
      <c r="F2289" s="200">
        <v>0</v>
      </c>
      <c r="H2289" s="17"/>
    </row>
    <row r="2290" spans="2:8" s="16" customFormat="1" ht="16.899999999999999" customHeight="1" x14ac:dyDescent="0.2">
      <c r="B2290" s="17"/>
      <c r="C2290" s="83"/>
      <c r="D2290" s="83" t="s">
        <v>3339</v>
      </c>
      <c r="E2290" s="2"/>
      <c r="F2290" s="200">
        <v>0</v>
      </c>
      <c r="H2290" s="17"/>
    </row>
    <row r="2291" spans="2:8" s="16" customFormat="1" ht="16.899999999999999" customHeight="1" x14ac:dyDescent="0.2">
      <c r="B2291" s="17"/>
      <c r="C2291" s="83"/>
      <c r="D2291" s="83" t="s">
        <v>3340</v>
      </c>
      <c r="E2291" s="2"/>
      <c r="F2291" s="200">
        <v>56.7</v>
      </c>
      <c r="H2291" s="17"/>
    </row>
    <row r="2292" spans="2:8" s="16" customFormat="1" ht="16.899999999999999" customHeight="1" x14ac:dyDescent="0.2">
      <c r="B2292" s="17"/>
      <c r="C2292" s="83"/>
      <c r="D2292" s="83"/>
      <c r="E2292" s="2"/>
      <c r="F2292" s="200">
        <v>0</v>
      </c>
      <c r="H2292" s="17"/>
    </row>
    <row r="2293" spans="2:8" s="16" customFormat="1" ht="16.899999999999999" customHeight="1" x14ac:dyDescent="0.2">
      <c r="B2293" s="17"/>
      <c r="C2293" s="83"/>
      <c r="D2293" s="83" t="s">
        <v>3341</v>
      </c>
      <c r="E2293" s="2"/>
      <c r="F2293" s="200">
        <v>0</v>
      </c>
      <c r="H2293" s="17"/>
    </row>
    <row r="2294" spans="2:8" s="16" customFormat="1" ht="16.899999999999999" customHeight="1" x14ac:dyDescent="0.2">
      <c r="B2294" s="17"/>
      <c r="C2294" s="83"/>
      <c r="D2294" s="83" t="s">
        <v>3342</v>
      </c>
      <c r="E2294" s="2"/>
      <c r="F2294" s="200">
        <v>4.6399999999999997</v>
      </c>
      <c r="H2294" s="17"/>
    </row>
    <row r="2295" spans="2:8" s="16" customFormat="1" ht="16.899999999999999" customHeight="1" x14ac:dyDescent="0.2">
      <c r="B2295" s="17"/>
      <c r="C2295" s="83" t="s">
        <v>3010</v>
      </c>
      <c r="D2295" s="83" t="s">
        <v>609</v>
      </c>
      <c r="E2295" s="2"/>
      <c r="F2295" s="200">
        <v>239.11500000000001</v>
      </c>
      <c r="H2295" s="17"/>
    </row>
    <row r="2296" spans="2:8" s="16" customFormat="1" ht="16.899999999999999" customHeight="1" x14ac:dyDescent="0.2">
      <c r="B2296" s="17"/>
      <c r="C2296" s="201" t="s">
        <v>8859</v>
      </c>
      <c r="H2296" s="17"/>
    </row>
    <row r="2297" spans="2:8" s="16" customFormat="1" ht="16.899999999999999" customHeight="1" x14ac:dyDescent="0.2">
      <c r="B2297" s="17"/>
      <c r="C2297" s="83" t="s">
        <v>3329</v>
      </c>
      <c r="D2297" s="83" t="s">
        <v>3330</v>
      </c>
      <c r="E2297" s="2" t="s">
        <v>425</v>
      </c>
      <c r="F2297" s="200">
        <v>239.11500000000001</v>
      </c>
      <c r="H2297" s="17"/>
    </row>
    <row r="2298" spans="2:8" s="16" customFormat="1" ht="16.899999999999999" customHeight="1" x14ac:dyDescent="0.2">
      <c r="B2298" s="17"/>
      <c r="C2298" s="83" t="s">
        <v>3309</v>
      </c>
      <c r="D2298" s="83" t="s">
        <v>3310</v>
      </c>
      <c r="E2298" s="2" t="s">
        <v>425</v>
      </c>
      <c r="F2298" s="200">
        <v>295.45</v>
      </c>
      <c r="H2298" s="17"/>
    </row>
    <row r="2299" spans="2:8" s="16" customFormat="1" ht="16.899999999999999" customHeight="1" x14ac:dyDescent="0.2">
      <c r="B2299" s="17"/>
      <c r="C2299" s="83" t="s">
        <v>3347</v>
      </c>
      <c r="D2299" s="83" t="s">
        <v>3348</v>
      </c>
      <c r="E2299" s="2" t="s">
        <v>425</v>
      </c>
      <c r="F2299" s="200">
        <v>295.45</v>
      </c>
      <c r="H2299" s="17"/>
    </row>
    <row r="2300" spans="2:8" s="16" customFormat="1" ht="16.899999999999999" customHeight="1" x14ac:dyDescent="0.2">
      <c r="B2300" s="17"/>
      <c r="C2300" s="83" t="s">
        <v>3356</v>
      </c>
      <c r="D2300" s="83" t="s">
        <v>3357</v>
      </c>
      <c r="E2300" s="2" t="s">
        <v>425</v>
      </c>
      <c r="F2300" s="200">
        <v>115.79</v>
      </c>
      <c r="H2300" s="17"/>
    </row>
    <row r="2301" spans="2:8" s="16" customFormat="1" ht="16.899999999999999" customHeight="1" x14ac:dyDescent="0.2">
      <c r="B2301" s="17"/>
      <c r="C2301" s="83" t="s">
        <v>3820</v>
      </c>
      <c r="D2301" s="83" t="s">
        <v>3821</v>
      </c>
      <c r="E2301" s="2" t="s">
        <v>425</v>
      </c>
      <c r="F2301" s="200">
        <v>4054.9319999999998</v>
      </c>
      <c r="H2301" s="17"/>
    </row>
    <row r="2302" spans="2:8" s="16" customFormat="1" ht="16.899999999999999" customHeight="1" x14ac:dyDescent="0.2">
      <c r="B2302" s="17"/>
      <c r="C2302" s="196" t="s">
        <v>3012</v>
      </c>
      <c r="D2302" s="197"/>
      <c r="E2302" s="198"/>
      <c r="F2302" s="199">
        <v>56.335000000000001</v>
      </c>
      <c r="H2302" s="17"/>
    </row>
    <row r="2303" spans="2:8" s="16" customFormat="1" ht="16.899999999999999" customHeight="1" x14ac:dyDescent="0.2">
      <c r="B2303" s="17"/>
      <c r="C2303" s="83"/>
      <c r="D2303" s="83" t="s">
        <v>3320</v>
      </c>
      <c r="E2303" s="2"/>
      <c r="F2303" s="200">
        <v>0</v>
      </c>
      <c r="H2303" s="17"/>
    </row>
    <row r="2304" spans="2:8" s="16" customFormat="1" ht="16.899999999999999" customHeight="1" x14ac:dyDescent="0.2">
      <c r="B2304" s="17"/>
      <c r="C2304" s="83"/>
      <c r="D2304" s="83" t="s">
        <v>3321</v>
      </c>
      <c r="E2304" s="2"/>
      <c r="F2304" s="200">
        <v>0</v>
      </c>
      <c r="H2304" s="17"/>
    </row>
    <row r="2305" spans="2:8" s="16" customFormat="1" ht="16.899999999999999" customHeight="1" x14ac:dyDescent="0.2">
      <c r="B2305" s="17"/>
      <c r="C2305" s="83"/>
      <c r="D2305" s="83" t="s">
        <v>3322</v>
      </c>
      <c r="E2305" s="2"/>
      <c r="F2305" s="200">
        <v>0</v>
      </c>
      <c r="H2305" s="17"/>
    </row>
    <row r="2306" spans="2:8" s="16" customFormat="1" ht="16.899999999999999" customHeight="1" x14ac:dyDescent="0.2">
      <c r="B2306" s="17"/>
      <c r="C2306" s="83"/>
      <c r="D2306" s="83" t="s">
        <v>3323</v>
      </c>
      <c r="E2306" s="2"/>
      <c r="F2306" s="200">
        <v>15.36</v>
      </c>
      <c r="H2306" s="17"/>
    </row>
    <row r="2307" spans="2:8" s="16" customFormat="1" ht="16.899999999999999" customHeight="1" x14ac:dyDescent="0.2">
      <c r="B2307" s="17"/>
      <c r="C2307" s="83"/>
      <c r="D2307" s="83" t="s">
        <v>3324</v>
      </c>
      <c r="E2307" s="2"/>
      <c r="F2307" s="200">
        <v>40.975000000000001</v>
      </c>
      <c r="H2307" s="17"/>
    </row>
    <row r="2308" spans="2:8" s="16" customFormat="1" ht="16.899999999999999" customHeight="1" x14ac:dyDescent="0.2">
      <c r="B2308" s="17"/>
      <c r="C2308" s="83" t="s">
        <v>3012</v>
      </c>
      <c r="D2308" s="83" t="s">
        <v>609</v>
      </c>
      <c r="E2308" s="2"/>
      <c r="F2308" s="200">
        <v>56.335000000000001</v>
      </c>
      <c r="H2308" s="17"/>
    </row>
    <row r="2309" spans="2:8" s="16" customFormat="1" ht="16.899999999999999" customHeight="1" x14ac:dyDescent="0.2">
      <c r="B2309" s="17"/>
      <c r="C2309" s="201" t="s">
        <v>8859</v>
      </c>
      <c r="H2309" s="17"/>
    </row>
    <row r="2310" spans="2:8" s="16" customFormat="1" ht="22.5" x14ac:dyDescent="0.2">
      <c r="B2310" s="17"/>
      <c r="C2310" s="83" t="s">
        <v>3317</v>
      </c>
      <c r="D2310" s="83" t="s">
        <v>3318</v>
      </c>
      <c r="E2310" s="2" t="s">
        <v>425</v>
      </c>
      <c r="F2310" s="200">
        <v>56.335000000000001</v>
      </c>
      <c r="H2310" s="17"/>
    </row>
    <row r="2311" spans="2:8" s="16" customFormat="1" ht="16.899999999999999" customHeight="1" x14ac:dyDescent="0.2">
      <c r="B2311" s="17"/>
      <c r="C2311" s="83" t="s">
        <v>3309</v>
      </c>
      <c r="D2311" s="83" t="s">
        <v>3310</v>
      </c>
      <c r="E2311" s="2" t="s">
        <v>425</v>
      </c>
      <c r="F2311" s="200">
        <v>295.45</v>
      </c>
      <c r="H2311" s="17"/>
    </row>
    <row r="2312" spans="2:8" s="16" customFormat="1" ht="16.899999999999999" customHeight="1" x14ac:dyDescent="0.2">
      <c r="B2312" s="17"/>
      <c r="C2312" s="83" t="s">
        <v>3347</v>
      </c>
      <c r="D2312" s="83" t="s">
        <v>3348</v>
      </c>
      <c r="E2312" s="2" t="s">
        <v>425</v>
      </c>
      <c r="F2312" s="200">
        <v>295.45</v>
      </c>
      <c r="H2312" s="17"/>
    </row>
    <row r="2313" spans="2:8" s="16" customFormat="1" ht="16.899999999999999" customHeight="1" x14ac:dyDescent="0.2">
      <c r="B2313" s="17"/>
      <c r="C2313" s="83" t="s">
        <v>3356</v>
      </c>
      <c r="D2313" s="83" t="s">
        <v>3357</v>
      </c>
      <c r="E2313" s="2" t="s">
        <v>425</v>
      </c>
      <c r="F2313" s="200">
        <v>115.79</v>
      </c>
      <c r="H2313" s="17"/>
    </row>
    <row r="2314" spans="2:8" s="16" customFormat="1" ht="16.899999999999999" customHeight="1" x14ac:dyDescent="0.2">
      <c r="B2314" s="17"/>
      <c r="C2314" s="83" t="s">
        <v>3820</v>
      </c>
      <c r="D2314" s="83" t="s">
        <v>3821</v>
      </c>
      <c r="E2314" s="2" t="s">
        <v>425</v>
      </c>
      <c r="F2314" s="200">
        <v>4054.9319999999998</v>
      </c>
      <c r="H2314" s="17"/>
    </row>
    <row r="2315" spans="2:8" s="16" customFormat="1" ht="16.899999999999999" customHeight="1" x14ac:dyDescent="0.2">
      <c r="B2315" s="17"/>
      <c r="C2315" s="196" t="s">
        <v>3014</v>
      </c>
      <c r="D2315" s="197"/>
      <c r="E2315" s="198"/>
      <c r="F2315" s="199">
        <v>115.548</v>
      </c>
      <c r="H2315" s="17"/>
    </row>
    <row r="2316" spans="2:8" s="16" customFormat="1" ht="16.899999999999999" customHeight="1" x14ac:dyDescent="0.2">
      <c r="B2316" s="17"/>
      <c r="C2316" s="83"/>
      <c r="D2316" s="83" t="s">
        <v>3171</v>
      </c>
      <c r="E2316" s="2"/>
      <c r="F2316" s="200">
        <v>0</v>
      </c>
      <c r="H2316" s="17"/>
    </row>
    <row r="2317" spans="2:8" s="16" customFormat="1" ht="16.899999999999999" customHeight="1" x14ac:dyDescent="0.2">
      <c r="B2317" s="17"/>
      <c r="C2317" s="83"/>
      <c r="D2317" s="83" t="s">
        <v>3172</v>
      </c>
      <c r="E2317" s="2"/>
      <c r="F2317" s="200">
        <v>0</v>
      </c>
      <c r="H2317" s="17"/>
    </row>
    <row r="2318" spans="2:8" s="16" customFormat="1" ht="16.899999999999999" customHeight="1" x14ac:dyDescent="0.2">
      <c r="B2318" s="17"/>
      <c r="C2318" s="83"/>
      <c r="D2318" s="83" t="s">
        <v>2995</v>
      </c>
      <c r="E2318" s="2"/>
      <c r="F2318" s="200">
        <v>198.89599999999999</v>
      </c>
      <c r="H2318" s="17"/>
    </row>
    <row r="2319" spans="2:8" s="16" customFormat="1" ht="16.899999999999999" customHeight="1" x14ac:dyDescent="0.2">
      <c r="B2319" s="17"/>
      <c r="C2319" s="83"/>
      <c r="D2319" s="83" t="s">
        <v>3024</v>
      </c>
      <c r="E2319" s="2"/>
      <c r="F2319" s="200">
        <v>6.1989999999999998</v>
      </c>
      <c r="H2319" s="17"/>
    </row>
    <row r="2320" spans="2:8" s="16" customFormat="1" ht="16.899999999999999" customHeight="1" x14ac:dyDescent="0.2">
      <c r="B2320" s="17"/>
      <c r="C2320" s="83"/>
      <c r="D2320" s="83" t="s">
        <v>3022</v>
      </c>
      <c r="E2320" s="2"/>
      <c r="F2320" s="200">
        <v>459.53500000000003</v>
      </c>
      <c r="H2320" s="17"/>
    </row>
    <row r="2321" spans="2:8" s="16" customFormat="1" ht="16.899999999999999" customHeight="1" x14ac:dyDescent="0.2">
      <c r="B2321" s="17"/>
      <c r="C2321" s="83"/>
      <c r="D2321" s="83"/>
      <c r="E2321" s="2"/>
      <c r="F2321" s="200">
        <v>0</v>
      </c>
      <c r="H2321" s="17"/>
    </row>
    <row r="2322" spans="2:8" s="16" customFormat="1" ht="16.899999999999999" customHeight="1" x14ac:dyDescent="0.2">
      <c r="B2322" s="17"/>
      <c r="C2322" s="83"/>
      <c r="D2322" s="83" t="s">
        <v>3173</v>
      </c>
      <c r="E2322" s="2"/>
      <c r="F2322" s="200">
        <v>0</v>
      </c>
      <c r="H2322" s="17"/>
    </row>
    <row r="2323" spans="2:8" s="16" customFormat="1" ht="16.899999999999999" customHeight="1" x14ac:dyDescent="0.2">
      <c r="B2323" s="17"/>
      <c r="C2323" s="83"/>
      <c r="D2323" s="83" t="s">
        <v>3174</v>
      </c>
      <c r="E2323" s="2"/>
      <c r="F2323" s="200">
        <v>-549.08199999999999</v>
      </c>
      <c r="H2323" s="17"/>
    </row>
    <row r="2324" spans="2:8" s="16" customFormat="1" ht="16.899999999999999" customHeight="1" x14ac:dyDescent="0.2">
      <c r="B2324" s="17"/>
      <c r="C2324" s="83" t="s">
        <v>3014</v>
      </c>
      <c r="D2324" s="83" t="s">
        <v>351</v>
      </c>
      <c r="E2324" s="2"/>
      <c r="F2324" s="200">
        <v>115.548</v>
      </c>
      <c r="H2324" s="17"/>
    </row>
    <row r="2325" spans="2:8" s="16" customFormat="1" ht="16.899999999999999" customHeight="1" x14ac:dyDescent="0.2">
      <c r="B2325" s="17"/>
      <c r="C2325" s="201" t="s">
        <v>8859</v>
      </c>
      <c r="H2325" s="17"/>
    </row>
    <row r="2326" spans="2:8" s="16" customFormat="1" ht="16.899999999999999" customHeight="1" x14ac:dyDescent="0.2">
      <c r="B2326" s="17"/>
      <c r="C2326" s="83" t="s">
        <v>3168</v>
      </c>
      <c r="D2326" s="83" t="s">
        <v>3169</v>
      </c>
      <c r="E2326" s="2" t="s">
        <v>342</v>
      </c>
      <c r="F2326" s="200">
        <v>115.548</v>
      </c>
      <c r="H2326" s="17"/>
    </row>
    <row r="2327" spans="2:8" s="16" customFormat="1" ht="16.899999999999999" customHeight="1" x14ac:dyDescent="0.2">
      <c r="B2327" s="17"/>
      <c r="C2327" s="83" t="s">
        <v>3175</v>
      </c>
      <c r="D2327" s="83" t="s">
        <v>3176</v>
      </c>
      <c r="E2327" s="2" t="s">
        <v>342</v>
      </c>
      <c r="F2327" s="200">
        <v>577.74</v>
      </c>
      <c r="H2327" s="17"/>
    </row>
    <row r="2328" spans="2:8" s="16" customFormat="1" ht="16.899999999999999" customHeight="1" x14ac:dyDescent="0.2">
      <c r="B2328" s="17"/>
      <c r="C2328" s="83" t="s">
        <v>3186</v>
      </c>
      <c r="D2328" s="83" t="s">
        <v>3187</v>
      </c>
      <c r="E2328" s="2" t="s">
        <v>990</v>
      </c>
      <c r="F2328" s="200">
        <v>207.98599999999999</v>
      </c>
      <c r="H2328" s="17"/>
    </row>
    <row r="2329" spans="2:8" s="16" customFormat="1" ht="16.899999999999999" customHeight="1" x14ac:dyDescent="0.2">
      <c r="B2329" s="17"/>
      <c r="C2329" s="83" t="s">
        <v>3190</v>
      </c>
      <c r="D2329" s="83" t="s">
        <v>3191</v>
      </c>
      <c r="E2329" s="2" t="s">
        <v>342</v>
      </c>
      <c r="F2329" s="200">
        <v>664.63</v>
      </c>
      <c r="H2329" s="17"/>
    </row>
    <row r="2330" spans="2:8" s="16" customFormat="1" ht="16.899999999999999" customHeight="1" x14ac:dyDescent="0.2">
      <c r="B2330" s="17"/>
      <c r="C2330" s="196" t="s">
        <v>3016</v>
      </c>
      <c r="D2330" s="197"/>
      <c r="E2330" s="198"/>
      <c r="F2330" s="199">
        <v>7.75</v>
      </c>
      <c r="H2330" s="17"/>
    </row>
    <row r="2331" spans="2:8" s="16" customFormat="1" ht="16.899999999999999" customHeight="1" x14ac:dyDescent="0.2">
      <c r="B2331" s="17"/>
      <c r="C2331" s="83"/>
      <c r="D2331" s="83" t="s">
        <v>3827</v>
      </c>
      <c r="E2331" s="2"/>
      <c r="F2331" s="200">
        <v>0</v>
      </c>
      <c r="H2331" s="17"/>
    </row>
    <row r="2332" spans="2:8" s="16" customFormat="1" ht="16.899999999999999" customHeight="1" x14ac:dyDescent="0.2">
      <c r="B2332" s="17"/>
      <c r="C2332" s="83"/>
      <c r="D2332" s="83" t="s">
        <v>3828</v>
      </c>
      <c r="E2332" s="2"/>
      <c r="F2332" s="200">
        <v>0</v>
      </c>
      <c r="H2332" s="17"/>
    </row>
    <row r="2333" spans="2:8" s="16" customFormat="1" ht="16.899999999999999" customHeight="1" x14ac:dyDescent="0.2">
      <c r="B2333" s="17"/>
      <c r="C2333" s="83"/>
      <c r="D2333" s="83" t="s">
        <v>80</v>
      </c>
      <c r="E2333" s="2"/>
      <c r="F2333" s="200">
        <v>0</v>
      </c>
      <c r="H2333" s="17"/>
    </row>
    <row r="2334" spans="2:8" s="16" customFormat="1" ht="16.899999999999999" customHeight="1" x14ac:dyDescent="0.2">
      <c r="B2334" s="17"/>
      <c r="C2334" s="83"/>
      <c r="D2334" s="83" t="s">
        <v>3829</v>
      </c>
      <c r="E2334" s="2"/>
      <c r="F2334" s="200">
        <v>0</v>
      </c>
      <c r="H2334" s="17"/>
    </row>
    <row r="2335" spans="2:8" s="16" customFormat="1" ht="16.899999999999999" customHeight="1" x14ac:dyDescent="0.2">
      <c r="B2335" s="17"/>
      <c r="C2335" s="83"/>
      <c r="D2335" s="83" t="s">
        <v>3830</v>
      </c>
      <c r="E2335" s="2"/>
      <c r="F2335" s="200">
        <v>7.75</v>
      </c>
      <c r="H2335" s="17"/>
    </row>
    <row r="2336" spans="2:8" s="16" customFormat="1" ht="16.899999999999999" customHeight="1" x14ac:dyDescent="0.2">
      <c r="B2336" s="17"/>
      <c r="C2336" s="83" t="s">
        <v>3016</v>
      </c>
      <c r="D2336" s="83" t="s">
        <v>609</v>
      </c>
      <c r="E2336" s="2"/>
      <c r="F2336" s="200">
        <v>7.75</v>
      </c>
      <c r="H2336" s="17"/>
    </row>
    <row r="2337" spans="2:8" s="16" customFormat="1" ht="16.899999999999999" customHeight="1" x14ac:dyDescent="0.2">
      <c r="B2337" s="17"/>
      <c r="C2337" s="201" t="s">
        <v>8859</v>
      </c>
      <c r="H2337" s="17"/>
    </row>
    <row r="2338" spans="2:8" s="16" customFormat="1" ht="16.899999999999999" customHeight="1" x14ac:dyDescent="0.2">
      <c r="B2338" s="17"/>
      <c r="C2338" s="83" t="s">
        <v>3824</v>
      </c>
      <c r="D2338" s="83" t="s">
        <v>3825</v>
      </c>
      <c r="E2338" s="2" t="s">
        <v>425</v>
      </c>
      <c r="F2338" s="200">
        <v>7.75</v>
      </c>
      <c r="H2338" s="17"/>
    </row>
    <row r="2339" spans="2:8" s="16" customFormat="1" ht="16.899999999999999" customHeight="1" x14ac:dyDescent="0.2">
      <c r="B2339" s="17"/>
      <c r="C2339" s="83" t="s">
        <v>3222</v>
      </c>
      <c r="D2339" s="83" t="s">
        <v>3223</v>
      </c>
      <c r="E2339" s="2" t="s">
        <v>425</v>
      </c>
      <c r="F2339" s="200">
        <v>60.15</v>
      </c>
      <c r="H2339" s="17"/>
    </row>
    <row r="2340" spans="2:8" s="16" customFormat="1" ht="16.899999999999999" customHeight="1" x14ac:dyDescent="0.2">
      <c r="B2340" s="17"/>
      <c r="C2340" s="83" t="s">
        <v>3284</v>
      </c>
      <c r="D2340" s="83" t="s">
        <v>3285</v>
      </c>
      <c r="E2340" s="2" t="s">
        <v>425</v>
      </c>
      <c r="F2340" s="200">
        <v>60.15</v>
      </c>
      <c r="H2340" s="17"/>
    </row>
    <row r="2341" spans="2:8" s="16" customFormat="1" ht="16.899999999999999" customHeight="1" x14ac:dyDescent="0.2">
      <c r="B2341" s="17"/>
      <c r="C2341" s="196" t="s">
        <v>3018</v>
      </c>
      <c r="D2341" s="197"/>
      <c r="E2341" s="198"/>
      <c r="F2341" s="199">
        <v>400.06099999999998</v>
      </c>
      <c r="H2341" s="17"/>
    </row>
    <row r="2342" spans="2:8" s="16" customFormat="1" ht="16.899999999999999" customHeight="1" x14ac:dyDescent="0.2">
      <c r="B2342" s="17"/>
      <c r="C2342" s="83"/>
      <c r="D2342" s="83" t="s">
        <v>695</v>
      </c>
      <c r="E2342" s="2"/>
      <c r="F2342" s="200">
        <v>0</v>
      </c>
      <c r="H2342" s="17"/>
    </row>
    <row r="2343" spans="2:8" s="16" customFormat="1" ht="16.899999999999999" customHeight="1" x14ac:dyDescent="0.2">
      <c r="B2343" s="17"/>
      <c r="C2343" s="83"/>
      <c r="D2343" s="83" t="s">
        <v>357</v>
      </c>
      <c r="E2343" s="2"/>
      <c r="F2343" s="200">
        <v>0</v>
      </c>
      <c r="H2343" s="17"/>
    </row>
    <row r="2344" spans="2:8" s="16" customFormat="1" ht="16.899999999999999" customHeight="1" x14ac:dyDescent="0.2">
      <c r="B2344" s="17"/>
      <c r="C2344" s="83"/>
      <c r="D2344" s="83" t="s">
        <v>3684</v>
      </c>
      <c r="E2344" s="2"/>
      <c r="F2344" s="200">
        <v>6.48</v>
      </c>
      <c r="H2344" s="17"/>
    </row>
    <row r="2345" spans="2:8" s="16" customFormat="1" ht="16.899999999999999" customHeight="1" x14ac:dyDescent="0.2">
      <c r="B2345" s="17"/>
      <c r="C2345" s="83"/>
      <c r="D2345" s="83"/>
      <c r="E2345" s="2"/>
      <c r="F2345" s="200">
        <v>0</v>
      </c>
      <c r="H2345" s="17"/>
    </row>
    <row r="2346" spans="2:8" s="16" customFormat="1" ht="16.899999999999999" customHeight="1" x14ac:dyDescent="0.2">
      <c r="B2346" s="17"/>
      <c r="C2346" s="83"/>
      <c r="D2346" s="83" t="s">
        <v>696</v>
      </c>
      <c r="E2346" s="2"/>
      <c r="F2346" s="200">
        <v>0</v>
      </c>
      <c r="H2346" s="17"/>
    </row>
    <row r="2347" spans="2:8" s="16" customFormat="1" ht="16.899999999999999" customHeight="1" x14ac:dyDescent="0.2">
      <c r="B2347" s="17"/>
      <c r="C2347" s="83"/>
      <c r="D2347" s="83" t="s">
        <v>3685</v>
      </c>
      <c r="E2347" s="2"/>
      <c r="F2347" s="200">
        <v>0</v>
      </c>
      <c r="H2347" s="17"/>
    </row>
    <row r="2348" spans="2:8" s="16" customFormat="1" ht="16.899999999999999" customHeight="1" x14ac:dyDescent="0.2">
      <c r="B2348" s="17"/>
      <c r="C2348" s="83"/>
      <c r="D2348" s="83" t="s">
        <v>3686</v>
      </c>
      <c r="E2348" s="2"/>
      <c r="F2348" s="200">
        <v>40</v>
      </c>
      <c r="H2348" s="17"/>
    </row>
    <row r="2349" spans="2:8" s="16" customFormat="1" ht="16.899999999999999" customHeight="1" x14ac:dyDescent="0.2">
      <c r="B2349" s="17"/>
      <c r="C2349" s="83"/>
      <c r="D2349" s="83"/>
      <c r="E2349" s="2"/>
      <c r="F2349" s="200">
        <v>0</v>
      </c>
      <c r="H2349" s="17"/>
    </row>
    <row r="2350" spans="2:8" s="16" customFormat="1" ht="16.899999999999999" customHeight="1" x14ac:dyDescent="0.2">
      <c r="B2350" s="17"/>
      <c r="C2350" s="83"/>
      <c r="D2350" s="83" t="s">
        <v>3687</v>
      </c>
      <c r="E2350" s="2"/>
      <c r="F2350" s="200">
        <v>0</v>
      </c>
      <c r="H2350" s="17"/>
    </row>
    <row r="2351" spans="2:8" s="16" customFormat="1" ht="16.899999999999999" customHeight="1" x14ac:dyDescent="0.2">
      <c r="B2351" s="17"/>
      <c r="C2351" s="83"/>
      <c r="D2351" s="83" t="s">
        <v>3259</v>
      </c>
      <c r="E2351" s="2"/>
      <c r="F2351" s="200">
        <v>0</v>
      </c>
      <c r="H2351" s="17"/>
    </row>
    <row r="2352" spans="2:8" s="16" customFormat="1" ht="16.899999999999999" customHeight="1" x14ac:dyDescent="0.2">
      <c r="B2352" s="17"/>
      <c r="C2352" s="83"/>
      <c r="D2352" s="83" t="s">
        <v>3688</v>
      </c>
      <c r="E2352" s="2"/>
      <c r="F2352" s="200">
        <v>50.24</v>
      </c>
      <c r="H2352" s="17"/>
    </row>
    <row r="2353" spans="2:8" s="16" customFormat="1" ht="16.899999999999999" customHeight="1" x14ac:dyDescent="0.2">
      <c r="B2353" s="17"/>
      <c r="C2353" s="83"/>
      <c r="D2353" s="83"/>
      <c r="E2353" s="2"/>
      <c r="F2353" s="200">
        <v>0</v>
      </c>
      <c r="H2353" s="17"/>
    </row>
    <row r="2354" spans="2:8" s="16" customFormat="1" ht="16.899999999999999" customHeight="1" x14ac:dyDescent="0.2">
      <c r="B2354" s="17"/>
      <c r="C2354" s="83"/>
      <c r="D2354" s="83" t="s">
        <v>3112</v>
      </c>
      <c r="E2354" s="2"/>
      <c r="F2354" s="200">
        <v>0</v>
      </c>
      <c r="H2354" s="17"/>
    </row>
    <row r="2355" spans="2:8" s="16" customFormat="1" ht="16.899999999999999" customHeight="1" x14ac:dyDescent="0.2">
      <c r="B2355" s="17"/>
      <c r="C2355" s="83"/>
      <c r="D2355" s="83" t="s">
        <v>3689</v>
      </c>
      <c r="E2355" s="2"/>
      <c r="F2355" s="200">
        <v>0</v>
      </c>
      <c r="H2355" s="17"/>
    </row>
    <row r="2356" spans="2:8" s="16" customFormat="1" ht="16.899999999999999" customHeight="1" x14ac:dyDescent="0.2">
      <c r="B2356" s="17"/>
      <c r="C2356" s="83"/>
      <c r="D2356" s="83" t="s">
        <v>3690</v>
      </c>
      <c r="E2356" s="2"/>
      <c r="F2356" s="200">
        <v>117.26</v>
      </c>
      <c r="H2356" s="17"/>
    </row>
    <row r="2357" spans="2:8" s="16" customFormat="1" ht="16.899999999999999" customHeight="1" x14ac:dyDescent="0.2">
      <c r="B2357" s="17"/>
      <c r="C2357" s="83"/>
      <c r="D2357" s="83" t="s">
        <v>3691</v>
      </c>
      <c r="E2357" s="2"/>
      <c r="F2357" s="200">
        <v>0</v>
      </c>
      <c r="H2357" s="17"/>
    </row>
    <row r="2358" spans="2:8" s="16" customFormat="1" ht="16.899999999999999" customHeight="1" x14ac:dyDescent="0.2">
      <c r="B2358" s="17"/>
      <c r="C2358" s="83"/>
      <c r="D2358" s="83" t="s">
        <v>3692</v>
      </c>
      <c r="E2358" s="2"/>
      <c r="F2358" s="200">
        <v>48.448</v>
      </c>
      <c r="H2358" s="17"/>
    </row>
    <row r="2359" spans="2:8" s="16" customFormat="1" ht="16.899999999999999" customHeight="1" x14ac:dyDescent="0.2">
      <c r="B2359" s="17"/>
      <c r="C2359" s="83"/>
      <c r="D2359" s="83" t="s">
        <v>3545</v>
      </c>
      <c r="E2359" s="2"/>
      <c r="F2359" s="200">
        <v>0</v>
      </c>
      <c r="H2359" s="17"/>
    </row>
    <row r="2360" spans="2:8" s="16" customFormat="1" ht="16.899999999999999" customHeight="1" x14ac:dyDescent="0.2">
      <c r="B2360" s="17"/>
      <c r="C2360" s="83"/>
      <c r="D2360" s="83" t="s">
        <v>3693</v>
      </c>
      <c r="E2360" s="2"/>
      <c r="F2360" s="200">
        <v>-8.74</v>
      </c>
      <c r="H2360" s="17"/>
    </row>
    <row r="2361" spans="2:8" s="16" customFormat="1" ht="16.899999999999999" customHeight="1" x14ac:dyDescent="0.2">
      <c r="B2361" s="17"/>
      <c r="C2361" s="83"/>
      <c r="D2361" s="83"/>
      <c r="E2361" s="2"/>
      <c r="F2361" s="200">
        <v>0</v>
      </c>
      <c r="H2361" s="17"/>
    </row>
    <row r="2362" spans="2:8" s="16" customFormat="1" ht="16.899999999999999" customHeight="1" x14ac:dyDescent="0.2">
      <c r="B2362" s="17"/>
      <c r="C2362" s="83"/>
      <c r="D2362" s="83" t="s">
        <v>3460</v>
      </c>
      <c r="E2362" s="2"/>
      <c r="F2362" s="200">
        <v>0</v>
      </c>
      <c r="H2362" s="17"/>
    </row>
    <row r="2363" spans="2:8" s="16" customFormat="1" ht="16.899999999999999" customHeight="1" x14ac:dyDescent="0.2">
      <c r="B2363" s="17"/>
      <c r="C2363" s="83"/>
      <c r="D2363" s="83" t="s">
        <v>3694</v>
      </c>
      <c r="E2363" s="2"/>
      <c r="F2363" s="200">
        <v>13.39</v>
      </c>
      <c r="H2363" s="17"/>
    </row>
    <row r="2364" spans="2:8" s="16" customFormat="1" ht="16.899999999999999" customHeight="1" x14ac:dyDescent="0.2">
      <c r="B2364" s="17"/>
      <c r="C2364" s="83"/>
      <c r="D2364" s="83"/>
      <c r="E2364" s="2"/>
      <c r="F2364" s="200">
        <v>0</v>
      </c>
      <c r="H2364" s="17"/>
    </row>
    <row r="2365" spans="2:8" s="16" customFormat="1" ht="16.899999999999999" customHeight="1" x14ac:dyDescent="0.2">
      <c r="B2365" s="17"/>
      <c r="C2365" s="83"/>
      <c r="D2365" s="83" t="s">
        <v>3695</v>
      </c>
      <c r="E2365" s="2"/>
      <c r="F2365" s="200">
        <v>0</v>
      </c>
      <c r="H2365" s="17"/>
    </row>
    <row r="2366" spans="2:8" s="16" customFormat="1" ht="16.899999999999999" customHeight="1" x14ac:dyDescent="0.2">
      <c r="B2366" s="17"/>
      <c r="C2366" s="83"/>
      <c r="D2366" s="83" t="s">
        <v>3696</v>
      </c>
      <c r="E2366" s="2"/>
      <c r="F2366" s="200">
        <v>0</v>
      </c>
      <c r="H2366" s="17"/>
    </row>
    <row r="2367" spans="2:8" s="16" customFormat="1" ht="16.899999999999999" customHeight="1" x14ac:dyDescent="0.2">
      <c r="B2367" s="17"/>
      <c r="C2367" s="83"/>
      <c r="D2367" s="83" t="s">
        <v>3697</v>
      </c>
      <c r="E2367" s="2"/>
      <c r="F2367" s="200">
        <v>6.55</v>
      </c>
      <c r="H2367" s="17"/>
    </row>
    <row r="2368" spans="2:8" s="16" customFormat="1" ht="16.899999999999999" customHeight="1" x14ac:dyDescent="0.2">
      <c r="B2368" s="17"/>
      <c r="C2368" s="83"/>
      <c r="D2368" s="83" t="s">
        <v>3698</v>
      </c>
      <c r="E2368" s="2"/>
      <c r="F2368" s="200">
        <v>0</v>
      </c>
      <c r="H2368" s="17"/>
    </row>
    <row r="2369" spans="2:8" s="16" customFormat="1" ht="16.899999999999999" customHeight="1" x14ac:dyDescent="0.2">
      <c r="B2369" s="17"/>
      <c r="C2369" s="83"/>
      <c r="D2369" s="83" t="s">
        <v>3699</v>
      </c>
      <c r="E2369" s="2"/>
      <c r="F2369" s="200">
        <v>50.33</v>
      </c>
      <c r="H2369" s="17"/>
    </row>
    <row r="2370" spans="2:8" s="16" customFormat="1" ht="16.899999999999999" customHeight="1" x14ac:dyDescent="0.2">
      <c r="B2370" s="17"/>
      <c r="C2370" s="83"/>
      <c r="D2370" s="83" t="s">
        <v>3700</v>
      </c>
      <c r="E2370" s="2"/>
      <c r="F2370" s="200">
        <v>0</v>
      </c>
      <c r="H2370" s="17"/>
    </row>
    <row r="2371" spans="2:8" s="16" customFormat="1" ht="16.899999999999999" customHeight="1" x14ac:dyDescent="0.2">
      <c r="B2371" s="17"/>
      <c r="C2371" s="83"/>
      <c r="D2371" s="83" t="s">
        <v>3701</v>
      </c>
      <c r="E2371" s="2"/>
      <c r="F2371" s="200">
        <v>11.6</v>
      </c>
      <c r="H2371" s="17"/>
    </row>
    <row r="2372" spans="2:8" s="16" customFormat="1" ht="16.899999999999999" customHeight="1" x14ac:dyDescent="0.2">
      <c r="B2372" s="17"/>
      <c r="C2372" s="83"/>
      <c r="D2372" s="83" t="s">
        <v>3702</v>
      </c>
      <c r="E2372" s="2"/>
      <c r="F2372" s="200">
        <v>4.4000000000000004</v>
      </c>
      <c r="H2372" s="17"/>
    </row>
    <row r="2373" spans="2:8" s="16" customFormat="1" ht="16.899999999999999" customHeight="1" x14ac:dyDescent="0.2">
      <c r="B2373" s="17"/>
      <c r="C2373" s="83"/>
      <c r="D2373" s="83" t="s">
        <v>3101</v>
      </c>
      <c r="E2373" s="2"/>
      <c r="F2373" s="200">
        <v>0</v>
      </c>
      <c r="H2373" s="17"/>
    </row>
    <row r="2374" spans="2:8" s="16" customFormat="1" ht="16.899999999999999" customHeight="1" x14ac:dyDescent="0.2">
      <c r="B2374" s="17"/>
      <c r="C2374" s="83"/>
      <c r="D2374" s="83" t="s">
        <v>3102</v>
      </c>
      <c r="E2374" s="2"/>
      <c r="F2374" s="200">
        <v>0</v>
      </c>
      <c r="H2374" s="17"/>
    </row>
    <row r="2375" spans="2:8" s="16" customFormat="1" ht="16.899999999999999" customHeight="1" x14ac:dyDescent="0.2">
      <c r="B2375" s="17"/>
      <c r="C2375" s="83"/>
      <c r="D2375" s="83" t="s">
        <v>3703</v>
      </c>
      <c r="E2375" s="2"/>
      <c r="F2375" s="200">
        <v>6</v>
      </c>
      <c r="H2375" s="17"/>
    </row>
    <row r="2376" spans="2:8" s="16" customFormat="1" ht="16.899999999999999" customHeight="1" x14ac:dyDescent="0.2">
      <c r="B2376" s="17"/>
      <c r="C2376" s="83"/>
      <c r="D2376" s="83" t="s">
        <v>3104</v>
      </c>
      <c r="E2376" s="2"/>
      <c r="F2376" s="200">
        <v>0</v>
      </c>
      <c r="H2376" s="17"/>
    </row>
    <row r="2377" spans="2:8" s="16" customFormat="1" ht="16.899999999999999" customHeight="1" x14ac:dyDescent="0.2">
      <c r="B2377" s="17"/>
      <c r="C2377" s="83"/>
      <c r="D2377" s="83" t="s">
        <v>3704</v>
      </c>
      <c r="E2377" s="2"/>
      <c r="F2377" s="200">
        <v>0.6</v>
      </c>
      <c r="H2377" s="17"/>
    </row>
    <row r="2378" spans="2:8" s="16" customFormat="1" ht="16.899999999999999" customHeight="1" x14ac:dyDescent="0.2">
      <c r="B2378" s="17"/>
      <c r="C2378" s="83"/>
      <c r="D2378" s="83" t="s">
        <v>3106</v>
      </c>
      <c r="E2378" s="2"/>
      <c r="F2378" s="200">
        <v>0</v>
      </c>
      <c r="H2378" s="17"/>
    </row>
    <row r="2379" spans="2:8" s="16" customFormat="1" ht="16.899999999999999" customHeight="1" x14ac:dyDescent="0.2">
      <c r="B2379" s="17"/>
      <c r="C2379" s="83"/>
      <c r="D2379" s="83" t="s">
        <v>3705</v>
      </c>
      <c r="E2379" s="2"/>
      <c r="F2379" s="200">
        <v>10.4</v>
      </c>
      <c r="H2379" s="17"/>
    </row>
    <row r="2380" spans="2:8" s="16" customFormat="1" ht="16.899999999999999" customHeight="1" x14ac:dyDescent="0.2">
      <c r="B2380" s="17"/>
      <c r="C2380" s="83"/>
      <c r="D2380" s="83" t="s">
        <v>3108</v>
      </c>
      <c r="E2380" s="2"/>
      <c r="F2380" s="200">
        <v>0</v>
      </c>
      <c r="H2380" s="17"/>
    </row>
    <row r="2381" spans="2:8" s="16" customFormat="1" ht="16.899999999999999" customHeight="1" x14ac:dyDescent="0.2">
      <c r="B2381" s="17"/>
      <c r="C2381" s="83"/>
      <c r="D2381" s="83" t="s">
        <v>3388</v>
      </c>
      <c r="E2381" s="2"/>
      <c r="F2381" s="200">
        <v>2.7</v>
      </c>
      <c r="H2381" s="17"/>
    </row>
    <row r="2382" spans="2:8" s="16" customFormat="1" ht="16.899999999999999" customHeight="1" x14ac:dyDescent="0.2">
      <c r="B2382" s="17"/>
      <c r="C2382" s="83"/>
      <c r="D2382" s="83"/>
      <c r="E2382" s="2"/>
      <c r="F2382" s="200">
        <v>0</v>
      </c>
      <c r="H2382" s="17"/>
    </row>
    <row r="2383" spans="2:8" s="16" customFormat="1" ht="16.899999999999999" customHeight="1" x14ac:dyDescent="0.2">
      <c r="B2383" s="17"/>
      <c r="C2383" s="83"/>
      <c r="D2383" s="83" t="s">
        <v>3706</v>
      </c>
      <c r="E2383" s="2"/>
      <c r="F2383" s="200">
        <v>0</v>
      </c>
      <c r="H2383" s="17"/>
    </row>
    <row r="2384" spans="2:8" s="16" customFormat="1" ht="16.899999999999999" customHeight="1" x14ac:dyDescent="0.2">
      <c r="B2384" s="17"/>
      <c r="C2384" s="83"/>
      <c r="D2384" s="83" t="s">
        <v>759</v>
      </c>
      <c r="E2384" s="2"/>
      <c r="F2384" s="200">
        <v>0</v>
      </c>
      <c r="H2384" s="17"/>
    </row>
    <row r="2385" spans="2:8" s="16" customFormat="1" ht="16.899999999999999" customHeight="1" x14ac:dyDescent="0.2">
      <c r="B2385" s="17"/>
      <c r="C2385" s="83"/>
      <c r="D2385" s="83" t="s">
        <v>3707</v>
      </c>
      <c r="E2385" s="2"/>
      <c r="F2385" s="200">
        <v>1.35</v>
      </c>
      <c r="H2385" s="17"/>
    </row>
    <row r="2386" spans="2:8" s="16" customFormat="1" ht="16.899999999999999" customHeight="1" x14ac:dyDescent="0.2">
      <c r="B2386" s="17"/>
      <c r="C2386" s="83"/>
      <c r="D2386" s="83" t="s">
        <v>3555</v>
      </c>
      <c r="E2386" s="2"/>
      <c r="F2386" s="200">
        <v>15.2</v>
      </c>
      <c r="H2386" s="17"/>
    </row>
    <row r="2387" spans="2:8" s="16" customFormat="1" ht="16.899999999999999" customHeight="1" x14ac:dyDescent="0.2">
      <c r="B2387" s="17"/>
      <c r="C2387" s="83"/>
      <c r="D2387" s="83"/>
      <c r="E2387" s="2"/>
      <c r="F2387" s="200">
        <v>0</v>
      </c>
      <c r="H2387" s="17"/>
    </row>
    <row r="2388" spans="2:8" s="16" customFormat="1" ht="16.899999999999999" customHeight="1" x14ac:dyDescent="0.2">
      <c r="B2388" s="17"/>
      <c r="C2388" s="83"/>
      <c r="D2388" s="83" t="s">
        <v>3708</v>
      </c>
      <c r="E2388" s="2"/>
      <c r="F2388" s="200">
        <v>0</v>
      </c>
      <c r="H2388" s="17"/>
    </row>
    <row r="2389" spans="2:8" s="16" customFormat="1" ht="16.899999999999999" customHeight="1" x14ac:dyDescent="0.2">
      <c r="B2389" s="17"/>
      <c r="C2389" s="83"/>
      <c r="D2389" s="83" t="s">
        <v>3709</v>
      </c>
      <c r="E2389" s="2"/>
      <c r="F2389" s="200">
        <v>10.42</v>
      </c>
      <c r="H2389" s="17"/>
    </row>
    <row r="2390" spans="2:8" s="16" customFormat="1" ht="16.899999999999999" customHeight="1" x14ac:dyDescent="0.2">
      <c r="B2390" s="17"/>
      <c r="C2390" s="83"/>
      <c r="D2390" s="83" t="s">
        <v>3710</v>
      </c>
      <c r="E2390" s="2"/>
      <c r="F2390" s="200">
        <v>0</v>
      </c>
      <c r="H2390" s="17"/>
    </row>
    <row r="2391" spans="2:8" s="16" customFormat="1" ht="16.899999999999999" customHeight="1" x14ac:dyDescent="0.2">
      <c r="B2391" s="17"/>
      <c r="C2391" s="83"/>
      <c r="D2391" s="83" t="s">
        <v>3711</v>
      </c>
      <c r="E2391" s="2"/>
      <c r="F2391" s="200">
        <v>13.433</v>
      </c>
      <c r="H2391" s="17"/>
    </row>
    <row r="2392" spans="2:8" s="16" customFormat="1" ht="16.899999999999999" customHeight="1" x14ac:dyDescent="0.2">
      <c r="B2392" s="17"/>
      <c r="C2392" s="83" t="s">
        <v>3018</v>
      </c>
      <c r="D2392" s="83" t="s">
        <v>351</v>
      </c>
      <c r="E2392" s="2"/>
      <c r="F2392" s="200">
        <v>400.06099999999998</v>
      </c>
      <c r="H2392" s="17"/>
    </row>
    <row r="2393" spans="2:8" s="16" customFormat="1" ht="16.899999999999999" customHeight="1" x14ac:dyDescent="0.2">
      <c r="B2393" s="17"/>
      <c r="C2393" s="201" t="s">
        <v>8859</v>
      </c>
      <c r="H2393" s="17"/>
    </row>
    <row r="2394" spans="2:8" s="16" customFormat="1" ht="16.899999999999999" customHeight="1" x14ac:dyDescent="0.2">
      <c r="B2394" s="17"/>
      <c r="C2394" s="83" t="s">
        <v>3681</v>
      </c>
      <c r="D2394" s="83" t="s">
        <v>3682</v>
      </c>
      <c r="E2394" s="2" t="s">
        <v>425</v>
      </c>
      <c r="F2394" s="200">
        <v>400.06099999999998</v>
      </c>
      <c r="H2394" s="17"/>
    </row>
    <row r="2395" spans="2:8" s="16" customFormat="1" ht="16.899999999999999" customHeight="1" x14ac:dyDescent="0.2">
      <c r="B2395" s="17"/>
      <c r="C2395" s="83" t="s">
        <v>3362</v>
      </c>
      <c r="D2395" s="83" t="s">
        <v>3363</v>
      </c>
      <c r="E2395" s="2" t="s">
        <v>425</v>
      </c>
      <c r="F2395" s="200">
        <v>411.51100000000002</v>
      </c>
      <c r="H2395" s="17"/>
    </row>
    <row r="2396" spans="2:8" s="16" customFormat="1" ht="16.899999999999999" customHeight="1" x14ac:dyDescent="0.2">
      <c r="B2396" s="17"/>
      <c r="C2396" s="196" t="s">
        <v>3020</v>
      </c>
      <c r="D2396" s="197"/>
      <c r="E2396" s="198"/>
      <c r="F2396" s="199">
        <v>11.45</v>
      </c>
      <c r="H2396" s="17"/>
    </row>
    <row r="2397" spans="2:8" s="16" customFormat="1" ht="16.899999999999999" customHeight="1" x14ac:dyDescent="0.2">
      <c r="B2397" s="17"/>
      <c r="C2397" s="83"/>
      <c r="D2397" s="83" t="s">
        <v>3715</v>
      </c>
      <c r="E2397" s="2"/>
      <c r="F2397" s="200">
        <v>0</v>
      </c>
      <c r="H2397" s="17"/>
    </row>
    <row r="2398" spans="2:8" s="16" customFormat="1" ht="16.899999999999999" customHeight="1" x14ac:dyDescent="0.2">
      <c r="B2398" s="17"/>
      <c r="C2398" s="83"/>
      <c r="D2398" s="83" t="s">
        <v>3716</v>
      </c>
      <c r="E2398" s="2"/>
      <c r="F2398" s="200">
        <v>0</v>
      </c>
      <c r="H2398" s="17"/>
    </row>
    <row r="2399" spans="2:8" s="16" customFormat="1" ht="16.899999999999999" customHeight="1" x14ac:dyDescent="0.2">
      <c r="B2399" s="17"/>
      <c r="C2399" s="83"/>
      <c r="D2399" s="83" t="s">
        <v>3717</v>
      </c>
      <c r="E2399" s="2"/>
      <c r="F2399" s="200">
        <v>3</v>
      </c>
      <c r="H2399" s="17"/>
    </row>
    <row r="2400" spans="2:8" s="16" customFormat="1" ht="16.899999999999999" customHeight="1" x14ac:dyDescent="0.2">
      <c r="B2400" s="17"/>
      <c r="C2400" s="83"/>
      <c r="D2400" s="83" t="s">
        <v>3718</v>
      </c>
      <c r="E2400" s="2"/>
      <c r="F2400" s="200">
        <v>3.65</v>
      </c>
      <c r="H2400" s="17"/>
    </row>
    <row r="2401" spans="2:8" s="16" customFormat="1" ht="16.899999999999999" customHeight="1" x14ac:dyDescent="0.2">
      <c r="B2401" s="17"/>
      <c r="C2401" s="83"/>
      <c r="D2401" s="83" t="s">
        <v>3719</v>
      </c>
      <c r="E2401" s="2"/>
      <c r="F2401" s="200">
        <v>4.8</v>
      </c>
      <c r="H2401" s="17"/>
    </row>
    <row r="2402" spans="2:8" s="16" customFormat="1" ht="16.899999999999999" customHeight="1" x14ac:dyDescent="0.2">
      <c r="B2402" s="17"/>
      <c r="C2402" s="83" t="s">
        <v>3020</v>
      </c>
      <c r="D2402" s="83" t="s">
        <v>351</v>
      </c>
      <c r="E2402" s="2"/>
      <c r="F2402" s="200">
        <v>11.45</v>
      </c>
      <c r="H2402" s="17"/>
    </row>
    <row r="2403" spans="2:8" s="16" customFormat="1" ht="16.899999999999999" customHeight="1" x14ac:dyDescent="0.2">
      <c r="B2403" s="17"/>
      <c r="C2403" s="201" t="s">
        <v>8859</v>
      </c>
      <c r="H2403" s="17"/>
    </row>
    <row r="2404" spans="2:8" s="16" customFormat="1" ht="16.899999999999999" customHeight="1" x14ac:dyDescent="0.2">
      <c r="B2404" s="17"/>
      <c r="C2404" s="83" t="s">
        <v>3712</v>
      </c>
      <c r="D2404" s="83" t="s">
        <v>3713</v>
      </c>
      <c r="E2404" s="2" t="s">
        <v>425</v>
      </c>
      <c r="F2404" s="200">
        <v>11.45</v>
      </c>
      <c r="H2404" s="17"/>
    </row>
    <row r="2405" spans="2:8" s="16" customFormat="1" ht="16.899999999999999" customHeight="1" x14ac:dyDescent="0.2">
      <c r="B2405" s="17"/>
      <c r="C2405" s="83" t="s">
        <v>3362</v>
      </c>
      <c r="D2405" s="83" t="s">
        <v>3363</v>
      </c>
      <c r="E2405" s="2" t="s">
        <v>425</v>
      </c>
      <c r="F2405" s="200">
        <v>411.51100000000002</v>
      </c>
      <c r="H2405" s="17"/>
    </row>
    <row r="2406" spans="2:8" s="16" customFormat="1" ht="16.899999999999999" customHeight="1" x14ac:dyDescent="0.2">
      <c r="B2406" s="17"/>
      <c r="C2406" s="196" t="s">
        <v>3022</v>
      </c>
      <c r="D2406" s="197"/>
      <c r="E2406" s="198"/>
      <c r="F2406" s="199">
        <v>459.53500000000003</v>
      </c>
      <c r="H2406" s="17"/>
    </row>
    <row r="2407" spans="2:8" s="16" customFormat="1" ht="16.899999999999999" customHeight="1" x14ac:dyDescent="0.2">
      <c r="B2407" s="17"/>
      <c r="C2407" s="83"/>
      <c r="D2407" s="83" t="s">
        <v>3097</v>
      </c>
      <c r="E2407" s="2"/>
      <c r="F2407" s="200">
        <v>0</v>
      </c>
      <c r="H2407" s="17"/>
    </row>
    <row r="2408" spans="2:8" s="16" customFormat="1" ht="16.899999999999999" customHeight="1" x14ac:dyDescent="0.2">
      <c r="B2408" s="17"/>
      <c r="C2408" s="83"/>
      <c r="D2408" s="83" t="s">
        <v>3098</v>
      </c>
      <c r="E2408" s="2"/>
      <c r="F2408" s="200">
        <v>0</v>
      </c>
      <c r="H2408" s="17"/>
    </row>
    <row r="2409" spans="2:8" s="16" customFormat="1" ht="16.899999999999999" customHeight="1" x14ac:dyDescent="0.2">
      <c r="B2409" s="17"/>
      <c r="C2409" s="83"/>
      <c r="D2409" s="83" t="s">
        <v>3099</v>
      </c>
      <c r="E2409" s="2"/>
      <c r="F2409" s="200">
        <v>0</v>
      </c>
      <c r="H2409" s="17"/>
    </row>
    <row r="2410" spans="2:8" s="16" customFormat="1" ht="16.899999999999999" customHeight="1" x14ac:dyDescent="0.2">
      <c r="B2410" s="17"/>
      <c r="C2410" s="83"/>
      <c r="D2410" s="83" t="s">
        <v>3100</v>
      </c>
      <c r="E2410" s="2"/>
      <c r="F2410" s="200">
        <v>191.1</v>
      </c>
      <c r="H2410" s="17"/>
    </row>
    <row r="2411" spans="2:8" s="16" customFormat="1" ht="16.899999999999999" customHeight="1" x14ac:dyDescent="0.2">
      <c r="B2411" s="17"/>
      <c r="C2411" s="83"/>
      <c r="D2411" s="83" t="s">
        <v>3101</v>
      </c>
      <c r="E2411" s="2"/>
      <c r="F2411" s="200">
        <v>0</v>
      </c>
      <c r="H2411" s="17"/>
    </row>
    <row r="2412" spans="2:8" s="16" customFormat="1" ht="16.899999999999999" customHeight="1" x14ac:dyDescent="0.2">
      <c r="B2412" s="17"/>
      <c r="C2412" s="83"/>
      <c r="D2412" s="83" t="s">
        <v>3102</v>
      </c>
      <c r="E2412" s="2"/>
      <c r="F2412" s="200">
        <v>0</v>
      </c>
      <c r="H2412" s="17"/>
    </row>
    <row r="2413" spans="2:8" s="16" customFormat="1" ht="16.899999999999999" customHeight="1" x14ac:dyDescent="0.2">
      <c r="B2413" s="17"/>
      <c r="C2413" s="83"/>
      <c r="D2413" s="83" t="s">
        <v>3103</v>
      </c>
      <c r="E2413" s="2"/>
      <c r="F2413" s="200">
        <v>19.5</v>
      </c>
      <c r="H2413" s="17"/>
    </row>
    <row r="2414" spans="2:8" s="16" customFormat="1" ht="16.899999999999999" customHeight="1" x14ac:dyDescent="0.2">
      <c r="B2414" s="17"/>
      <c r="C2414" s="83"/>
      <c r="D2414" s="83" t="s">
        <v>3104</v>
      </c>
      <c r="E2414" s="2"/>
      <c r="F2414" s="200">
        <v>0</v>
      </c>
      <c r="H2414" s="17"/>
    </row>
    <row r="2415" spans="2:8" s="16" customFormat="1" ht="16.899999999999999" customHeight="1" x14ac:dyDescent="0.2">
      <c r="B2415" s="17"/>
      <c r="C2415" s="83"/>
      <c r="D2415" s="83" t="s">
        <v>3105</v>
      </c>
      <c r="E2415" s="2"/>
      <c r="F2415" s="200">
        <v>1.95</v>
      </c>
      <c r="H2415" s="17"/>
    </row>
    <row r="2416" spans="2:8" s="16" customFormat="1" ht="16.899999999999999" customHeight="1" x14ac:dyDescent="0.2">
      <c r="B2416" s="17"/>
      <c r="C2416" s="83"/>
      <c r="D2416" s="83" t="s">
        <v>3106</v>
      </c>
      <c r="E2416" s="2"/>
      <c r="F2416" s="200">
        <v>0</v>
      </c>
      <c r="H2416" s="17"/>
    </row>
    <row r="2417" spans="2:8" s="16" customFormat="1" ht="16.899999999999999" customHeight="1" x14ac:dyDescent="0.2">
      <c r="B2417" s="17"/>
      <c r="C2417" s="83"/>
      <c r="D2417" s="83" t="s">
        <v>3107</v>
      </c>
      <c r="E2417" s="2"/>
      <c r="F2417" s="200">
        <v>33.799999999999997</v>
      </c>
      <c r="H2417" s="17"/>
    </row>
    <row r="2418" spans="2:8" s="16" customFormat="1" ht="16.899999999999999" customHeight="1" x14ac:dyDescent="0.2">
      <c r="B2418" s="17"/>
      <c r="C2418" s="83"/>
      <c r="D2418" s="83" t="s">
        <v>3108</v>
      </c>
      <c r="E2418" s="2"/>
      <c r="F2418" s="200">
        <v>0</v>
      </c>
      <c r="H2418" s="17"/>
    </row>
    <row r="2419" spans="2:8" s="16" customFormat="1" ht="16.899999999999999" customHeight="1" x14ac:dyDescent="0.2">
      <c r="B2419" s="17"/>
      <c r="C2419" s="83"/>
      <c r="D2419" s="83" t="s">
        <v>3109</v>
      </c>
      <c r="E2419" s="2"/>
      <c r="F2419" s="200">
        <v>17.55</v>
      </c>
      <c r="H2419" s="17"/>
    </row>
    <row r="2420" spans="2:8" s="16" customFormat="1" ht="16.899999999999999" customHeight="1" x14ac:dyDescent="0.2">
      <c r="B2420" s="17"/>
      <c r="C2420" s="83"/>
      <c r="D2420" s="83"/>
      <c r="E2420" s="2"/>
      <c r="F2420" s="200">
        <v>0</v>
      </c>
      <c r="H2420" s="17"/>
    </row>
    <row r="2421" spans="2:8" s="16" customFormat="1" ht="16.899999999999999" customHeight="1" x14ac:dyDescent="0.2">
      <c r="B2421" s="17"/>
      <c r="C2421" s="83"/>
      <c r="D2421" s="83" t="s">
        <v>3110</v>
      </c>
      <c r="E2421" s="2"/>
      <c r="F2421" s="200">
        <v>0</v>
      </c>
      <c r="H2421" s="17"/>
    </row>
    <row r="2422" spans="2:8" s="16" customFormat="1" ht="16.899999999999999" customHeight="1" x14ac:dyDescent="0.2">
      <c r="B2422" s="17"/>
      <c r="C2422" s="83"/>
      <c r="D2422" s="83" t="s">
        <v>3111</v>
      </c>
      <c r="E2422" s="2"/>
      <c r="F2422" s="200">
        <v>60.774999999999999</v>
      </c>
      <c r="H2422" s="17"/>
    </row>
    <row r="2423" spans="2:8" s="16" customFormat="1" ht="16.899999999999999" customHeight="1" x14ac:dyDescent="0.2">
      <c r="B2423" s="17"/>
      <c r="C2423" s="83"/>
      <c r="D2423" s="83"/>
      <c r="E2423" s="2"/>
      <c r="F2423" s="200">
        <v>0</v>
      </c>
      <c r="H2423" s="17"/>
    </row>
    <row r="2424" spans="2:8" s="16" customFormat="1" ht="16.899999999999999" customHeight="1" x14ac:dyDescent="0.2">
      <c r="B2424" s="17"/>
      <c r="C2424" s="83"/>
      <c r="D2424" s="83" t="s">
        <v>3112</v>
      </c>
      <c r="E2424" s="2"/>
      <c r="F2424" s="200">
        <v>0</v>
      </c>
      <c r="H2424" s="17"/>
    </row>
    <row r="2425" spans="2:8" s="16" customFormat="1" ht="16.899999999999999" customHeight="1" x14ac:dyDescent="0.2">
      <c r="B2425" s="17"/>
      <c r="C2425" s="83"/>
      <c r="D2425" s="83" t="s">
        <v>3113</v>
      </c>
      <c r="E2425" s="2"/>
      <c r="F2425" s="200">
        <v>0</v>
      </c>
      <c r="H2425" s="17"/>
    </row>
    <row r="2426" spans="2:8" s="16" customFormat="1" ht="16.899999999999999" customHeight="1" x14ac:dyDescent="0.2">
      <c r="B2426" s="17"/>
      <c r="C2426" s="83"/>
      <c r="D2426" s="83" t="s">
        <v>3053</v>
      </c>
      <c r="E2426" s="2"/>
      <c r="F2426" s="200">
        <v>0</v>
      </c>
      <c r="H2426" s="17"/>
    </row>
    <row r="2427" spans="2:8" s="16" customFormat="1" ht="16.899999999999999" customHeight="1" x14ac:dyDescent="0.2">
      <c r="B2427" s="17"/>
      <c r="C2427" s="83"/>
      <c r="D2427" s="83" t="s">
        <v>3114</v>
      </c>
      <c r="E2427" s="2"/>
      <c r="F2427" s="200">
        <v>57.029000000000003</v>
      </c>
      <c r="H2427" s="17"/>
    </row>
    <row r="2428" spans="2:8" s="16" customFormat="1" ht="16.899999999999999" customHeight="1" x14ac:dyDescent="0.2">
      <c r="B2428" s="17"/>
      <c r="C2428" s="83"/>
      <c r="D2428" s="83" t="s">
        <v>3115</v>
      </c>
      <c r="E2428" s="2"/>
      <c r="F2428" s="200">
        <v>0</v>
      </c>
      <c r="H2428" s="17"/>
    </row>
    <row r="2429" spans="2:8" s="16" customFormat="1" ht="16.899999999999999" customHeight="1" x14ac:dyDescent="0.2">
      <c r="B2429" s="17"/>
      <c r="C2429" s="83"/>
      <c r="D2429" s="83" t="s">
        <v>3116</v>
      </c>
      <c r="E2429" s="2"/>
      <c r="F2429" s="200">
        <v>33.081000000000003</v>
      </c>
      <c r="H2429" s="17"/>
    </row>
    <row r="2430" spans="2:8" s="16" customFormat="1" ht="16.899999999999999" customHeight="1" x14ac:dyDescent="0.2">
      <c r="B2430" s="17"/>
      <c r="C2430" s="83"/>
      <c r="D2430" s="83"/>
      <c r="E2430" s="2"/>
      <c r="F2430" s="200">
        <v>0</v>
      </c>
      <c r="H2430" s="17"/>
    </row>
    <row r="2431" spans="2:8" s="16" customFormat="1" ht="16.899999999999999" customHeight="1" x14ac:dyDescent="0.2">
      <c r="B2431" s="17"/>
      <c r="C2431" s="83"/>
      <c r="D2431" s="83" t="s">
        <v>3117</v>
      </c>
      <c r="E2431" s="2"/>
      <c r="F2431" s="200">
        <v>0</v>
      </c>
      <c r="H2431" s="17"/>
    </row>
    <row r="2432" spans="2:8" s="16" customFormat="1" ht="16.899999999999999" customHeight="1" x14ac:dyDescent="0.2">
      <c r="B2432" s="17"/>
      <c r="C2432" s="83"/>
      <c r="D2432" s="83" t="s">
        <v>757</v>
      </c>
      <c r="E2432" s="2"/>
      <c r="F2432" s="200">
        <v>0</v>
      </c>
      <c r="H2432" s="17"/>
    </row>
    <row r="2433" spans="2:8" s="16" customFormat="1" ht="16.899999999999999" customHeight="1" x14ac:dyDescent="0.2">
      <c r="B2433" s="17"/>
      <c r="C2433" s="83"/>
      <c r="D2433" s="83" t="s">
        <v>3118</v>
      </c>
      <c r="E2433" s="2"/>
      <c r="F2433" s="200">
        <v>3.55</v>
      </c>
      <c r="H2433" s="17"/>
    </row>
    <row r="2434" spans="2:8" s="16" customFormat="1" ht="16.899999999999999" customHeight="1" x14ac:dyDescent="0.2">
      <c r="B2434" s="17"/>
      <c r="C2434" s="83"/>
      <c r="D2434" s="83" t="s">
        <v>759</v>
      </c>
      <c r="E2434" s="2"/>
      <c r="F2434" s="200">
        <v>0</v>
      </c>
      <c r="H2434" s="17"/>
    </row>
    <row r="2435" spans="2:8" s="16" customFormat="1" ht="16.899999999999999" customHeight="1" x14ac:dyDescent="0.2">
      <c r="B2435" s="17"/>
      <c r="C2435" s="83"/>
      <c r="D2435" s="83" t="s">
        <v>3119</v>
      </c>
      <c r="E2435" s="2"/>
      <c r="F2435" s="200">
        <v>2.65</v>
      </c>
      <c r="H2435" s="17"/>
    </row>
    <row r="2436" spans="2:8" s="16" customFormat="1" ht="16.899999999999999" customHeight="1" x14ac:dyDescent="0.2">
      <c r="B2436" s="17"/>
      <c r="C2436" s="83"/>
      <c r="D2436" s="83" t="s">
        <v>3120</v>
      </c>
      <c r="E2436" s="2"/>
      <c r="F2436" s="200">
        <v>4.75</v>
      </c>
      <c r="H2436" s="17"/>
    </row>
    <row r="2437" spans="2:8" s="16" customFormat="1" ht="16.899999999999999" customHeight="1" x14ac:dyDescent="0.2">
      <c r="B2437" s="17"/>
      <c r="C2437" s="83"/>
      <c r="D2437" s="83"/>
      <c r="E2437" s="2"/>
      <c r="F2437" s="200">
        <v>0</v>
      </c>
      <c r="H2437" s="17"/>
    </row>
    <row r="2438" spans="2:8" s="16" customFormat="1" ht="16.899999999999999" customHeight="1" x14ac:dyDescent="0.2">
      <c r="B2438" s="17"/>
      <c r="C2438" s="83"/>
      <c r="D2438" s="83" t="s">
        <v>3121</v>
      </c>
      <c r="E2438" s="2"/>
      <c r="F2438" s="200">
        <v>0</v>
      </c>
      <c r="H2438" s="17"/>
    </row>
    <row r="2439" spans="2:8" s="16" customFormat="1" ht="16.899999999999999" customHeight="1" x14ac:dyDescent="0.2">
      <c r="B2439" s="17"/>
      <c r="C2439" s="83"/>
      <c r="D2439" s="83" t="s">
        <v>3122</v>
      </c>
      <c r="E2439" s="2"/>
      <c r="F2439" s="200">
        <v>0</v>
      </c>
      <c r="H2439" s="17"/>
    </row>
    <row r="2440" spans="2:8" s="16" customFormat="1" ht="16.899999999999999" customHeight="1" x14ac:dyDescent="0.2">
      <c r="B2440" s="17"/>
      <c r="C2440" s="83"/>
      <c r="D2440" s="83" t="s">
        <v>3123</v>
      </c>
      <c r="E2440" s="2"/>
      <c r="F2440" s="200">
        <v>33.799999999999997</v>
      </c>
      <c r="H2440" s="17"/>
    </row>
    <row r="2441" spans="2:8" s="16" customFormat="1" ht="16.899999999999999" customHeight="1" x14ac:dyDescent="0.2">
      <c r="B2441" s="17"/>
      <c r="C2441" s="83" t="s">
        <v>3022</v>
      </c>
      <c r="D2441" s="83" t="s">
        <v>609</v>
      </c>
      <c r="E2441" s="2"/>
      <c r="F2441" s="200">
        <v>459.53500000000003</v>
      </c>
      <c r="H2441" s="17"/>
    </row>
    <row r="2442" spans="2:8" s="16" customFormat="1" ht="16.899999999999999" customHeight="1" x14ac:dyDescent="0.2">
      <c r="B2442" s="17"/>
      <c r="C2442" s="201" t="s">
        <v>8859</v>
      </c>
      <c r="H2442" s="17"/>
    </row>
    <row r="2443" spans="2:8" s="16" customFormat="1" ht="16.899999999999999" customHeight="1" x14ac:dyDescent="0.2">
      <c r="B2443" s="17"/>
      <c r="C2443" s="83" t="s">
        <v>3094</v>
      </c>
      <c r="D2443" s="83" t="s">
        <v>3095</v>
      </c>
      <c r="E2443" s="2" t="s">
        <v>342</v>
      </c>
      <c r="F2443" s="200">
        <v>229.767</v>
      </c>
      <c r="H2443" s="17"/>
    </row>
    <row r="2444" spans="2:8" s="16" customFormat="1" ht="16.899999999999999" customHeight="1" x14ac:dyDescent="0.2">
      <c r="B2444" s="17"/>
      <c r="C2444" s="83" t="s">
        <v>3131</v>
      </c>
      <c r="D2444" s="83" t="s">
        <v>3132</v>
      </c>
      <c r="E2444" s="2" t="s">
        <v>342</v>
      </c>
      <c r="F2444" s="200">
        <v>183.81399999999999</v>
      </c>
      <c r="H2444" s="17"/>
    </row>
    <row r="2445" spans="2:8" s="16" customFormat="1" ht="16.899999999999999" customHeight="1" x14ac:dyDescent="0.2">
      <c r="B2445" s="17"/>
      <c r="C2445" s="83" t="s">
        <v>3135</v>
      </c>
      <c r="D2445" s="83" t="s">
        <v>3136</v>
      </c>
      <c r="E2445" s="2" t="s">
        <v>342</v>
      </c>
      <c r="F2445" s="200">
        <v>45.954000000000001</v>
      </c>
      <c r="H2445" s="17"/>
    </row>
    <row r="2446" spans="2:8" s="16" customFormat="1" ht="16.899999999999999" customHeight="1" x14ac:dyDescent="0.2">
      <c r="B2446" s="17"/>
      <c r="C2446" s="83" t="s">
        <v>3144</v>
      </c>
      <c r="D2446" s="83" t="s">
        <v>3145</v>
      </c>
      <c r="E2446" s="2" t="s">
        <v>342</v>
      </c>
      <c r="F2446" s="200">
        <v>33.231999999999999</v>
      </c>
      <c r="H2446" s="17"/>
    </row>
    <row r="2447" spans="2:8" s="16" customFormat="1" ht="16.899999999999999" customHeight="1" x14ac:dyDescent="0.2">
      <c r="B2447" s="17"/>
      <c r="C2447" s="83" t="s">
        <v>3168</v>
      </c>
      <c r="D2447" s="83" t="s">
        <v>3169</v>
      </c>
      <c r="E2447" s="2" t="s">
        <v>342</v>
      </c>
      <c r="F2447" s="200">
        <v>115.548</v>
      </c>
      <c r="H2447" s="17"/>
    </row>
    <row r="2448" spans="2:8" s="16" customFormat="1" ht="16.899999999999999" customHeight="1" x14ac:dyDescent="0.2">
      <c r="B2448" s="17"/>
      <c r="C2448" s="83" t="s">
        <v>3195</v>
      </c>
      <c r="D2448" s="83" t="s">
        <v>3196</v>
      </c>
      <c r="E2448" s="2" t="s">
        <v>342</v>
      </c>
      <c r="F2448" s="200">
        <v>549.08199999999999</v>
      </c>
      <c r="H2448" s="17"/>
    </row>
    <row r="2449" spans="2:8" s="16" customFormat="1" ht="16.899999999999999" customHeight="1" x14ac:dyDescent="0.2">
      <c r="B2449" s="17"/>
      <c r="C2449" s="196" t="s">
        <v>3024</v>
      </c>
      <c r="D2449" s="197"/>
      <c r="E2449" s="198"/>
      <c r="F2449" s="199">
        <v>6.1989999999999998</v>
      </c>
      <c r="H2449" s="17"/>
    </row>
    <row r="2450" spans="2:8" s="16" customFormat="1" ht="16.899999999999999" customHeight="1" x14ac:dyDescent="0.2">
      <c r="B2450" s="17"/>
      <c r="C2450" s="83"/>
      <c r="D2450" s="83" t="s">
        <v>3089</v>
      </c>
      <c r="E2450" s="2"/>
      <c r="F2450" s="200">
        <v>0</v>
      </c>
      <c r="H2450" s="17"/>
    </row>
    <row r="2451" spans="2:8" s="16" customFormat="1" ht="16.899999999999999" customHeight="1" x14ac:dyDescent="0.2">
      <c r="B2451" s="17"/>
      <c r="C2451" s="83"/>
      <c r="D2451" s="83" t="s">
        <v>3090</v>
      </c>
      <c r="E2451" s="2"/>
      <c r="F2451" s="200">
        <v>5.6989999999999998</v>
      </c>
      <c r="H2451" s="17"/>
    </row>
    <row r="2452" spans="2:8" s="16" customFormat="1" ht="16.899999999999999" customHeight="1" x14ac:dyDescent="0.2">
      <c r="B2452" s="17"/>
      <c r="C2452" s="83"/>
      <c r="D2452" s="83"/>
      <c r="E2452" s="2"/>
      <c r="F2452" s="200">
        <v>0</v>
      </c>
      <c r="H2452" s="17"/>
    </row>
    <row r="2453" spans="2:8" s="16" customFormat="1" ht="16.899999999999999" customHeight="1" x14ac:dyDescent="0.2">
      <c r="B2453" s="17"/>
      <c r="C2453" s="83"/>
      <c r="D2453" s="83" t="s">
        <v>3091</v>
      </c>
      <c r="E2453" s="2"/>
      <c r="F2453" s="200">
        <v>0</v>
      </c>
      <c r="H2453" s="17"/>
    </row>
    <row r="2454" spans="2:8" s="16" customFormat="1" ht="16.899999999999999" customHeight="1" x14ac:dyDescent="0.2">
      <c r="B2454" s="17"/>
      <c r="C2454" s="83"/>
      <c r="D2454" s="83" t="s">
        <v>3092</v>
      </c>
      <c r="E2454" s="2"/>
      <c r="F2454" s="200">
        <v>0.5</v>
      </c>
      <c r="H2454" s="17"/>
    </row>
    <row r="2455" spans="2:8" s="16" customFormat="1" ht="16.899999999999999" customHeight="1" x14ac:dyDescent="0.2">
      <c r="B2455" s="17"/>
      <c r="C2455" s="83" t="s">
        <v>3024</v>
      </c>
      <c r="D2455" s="83" t="s">
        <v>609</v>
      </c>
      <c r="E2455" s="2"/>
      <c r="F2455" s="200">
        <v>6.1989999999999998</v>
      </c>
      <c r="H2455" s="17"/>
    </row>
    <row r="2456" spans="2:8" s="16" customFormat="1" ht="16.899999999999999" customHeight="1" x14ac:dyDescent="0.2">
      <c r="B2456" s="17"/>
      <c r="C2456" s="201" t="s">
        <v>8859</v>
      </c>
      <c r="H2456" s="17"/>
    </row>
    <row r="2457" spans="2:8" s="16" customFormat="1" ht="16.899999999999999" customHeight="1" x14ac:dyDescent="0.2">
      <c r="B2457" s="17"/>
      <c r="C2457" s="83" t="s">
        <v>3086</v>
      </c>
      <c r="D2457" s="83" t="s">
        <v>3087</v>
      </c>
      <c r="E2457" s="2" t="s">
        <v>342</v>
      </c>
      <c r="F2457" s="200">
        <v>3.0990000000000002</v>
      </c>
      <c r="H2457" s="17"/>
    </row>
    <row r="2458" spans="2:8" s="16" customFormat="1" ht="16.899999999999999" customHeight="1" x14ac:dyDescent="0.2">
      <c r="B2458" s="17"/>
      <c r="C2458" s="83" t="s">
        <v>3126</v>
      </c>
      <c r="D2458" s="83" t="s">
        <v>3127</v>
      </c>
      <c r="E2458" s="2" t="s">
        <v>342</v>
      </c>
      <c r="F2458" s="200">
        <v>3.1</v>
      </c>
      <c r="H2458" s="17"/>
    </row>
    <row r="2459" spans="2:8" s="16" customFormat="1" ht="16.899999999999999" customHeight="1" x14ac:dyDescent="0.2">
      <c r="B2459" s="17"/>
      <c r="C2459" s="83" t="s">
        <v>3144</v>
      </c>
      <c r="D2459" s="83" t="s">
        <v>3145</v>
      </c>
      <c r="E2459" s="2" t="s">
        <v>342</v>
      </c>
      <c r="F2459" s="200">
        <v>33.231999999999999</v>
      </c>
      <c r="H2459" s="17"/>
    </row>
    <row r="2460" spans="2:8" s="16" customFormat="1" ht="16.899999999999999" customHeight="1" x14ac:dyDescent="0.2">
      <c r="B2460" s="17"/>
      <c r="C2460" s="83" t="s">
        <v>3168</v>
      </c>
      <c r="D2460" s="83" t="s">
        <v>3169</v>
      </c>
      <c r="E2460" s="2" t="s">
        <v>342</v>
      </c>
      <c r="F2460" s="200">
        <v>115.548</v>
      </c>
      <c r="H2460" s="17"/>
    </row>
    <row r="2461" spans="2:8" s="16" customFormat="1" ht="16.899999999999999" customHeight="1" x14ac:dyDescent="0.2">
      <c r="B2461" s="17"/>
      <c r="C2461" s="83" t="s">
        <v>3195</v>
      </c>
      <c r="D2461" s="83" t="s">
        <v>3196</v>
      </c>
      <c r="E2461" s="2" t="s">
        <v>342</v>
      </c>
      <c r="F2461" s="200">
        <v>549.08199999999999</v>
      </c>
      <c r="H2461" s="17"/>
    </row>
    <row r="2462" spans="2:8" s="16" customFormat="1" ht="16.899999999999999" customHeight="1" x14ac:dyDescent="0.2">
      <c r="B2462" s="17"/>
      <c r="C2462" s="196" t="s">
        <v>3026</v>
      </c>
      <c r="D2462" s="197"/>
      <c r="E2462" s="198"/>
      <c r="F2462" s="199">
        <v>52.4</v>
      </c>
      <c r="H2462" s="17"/>
    </row>
    <row r="2463" spans="2:8" s="16" customFormat="1" ht="16.899999999999999" customHeight="1" x14ac:dyDescent="0.2">
      <c r="B2463" s="17"/>
      <c r="C2463" s="83"/>
      <c r="D2463" s="83" t="s">
        <v>8862</v>
      </c>
      <c r="E2463" s="2"/>
      <c r="F2463" s="200">
        <v>0</v>
      </c>
      <c r="H2463" s="17"/>
    </row>
    <row r="2464" spans="2:8" s="16" customFormat="1" ht="16.899999999999999" customHeight="1" x14ac:dyDescent="0.2">
      <c r="B2464" s="17"/>
      <c r="C2464" s="83"/>
      <c r="D2464" s="83" t="s">
        <v>3289</v>
      </c>
      <c r="E2464" s="2"/>
      <c r="F2464" s="200">
        <v>0</v>
      </c>
      <c r="H2464" s="17"/>
    </row>
    <row r="2465" spans="2:8" s="16" customFormat="1" ht="16.899999999999999" customHeight="1" x14ac:dyDescent="0.2">
      <c r="B2465" s="17"/>
      <c r="C2465" s="83"/>
      <c r="D2465" s="83" t="s">
        <v>3290</v>
      </c>
      <c r="E2465" s="2"/>
      <c r="F2465" s="200">
        <v>47.15</v>
      </c>
      <c r="H2465" s="17"/>
    </row>
    <row r="2466" spans="2:8" s="16" customFormat="1" ht="16.899999999999999" customHeight="1" x14ac:dyDescent="0.2">
      <c r="B2466" s="17"/>
      <c r="C2466" s="83"/>
      <c r="D2466" s="83" t="s">
        <v>3291</v>
      </c>
      <c r="E2466" s="2"/>
      <c r="F2466" s="200">
        <v>0</v>
      </c>
      <c r="H2466" s="17"/>
    </row>
    <row r="2467" spans="2:8" s="16" customFormat="1" ht="16.899999999999999" customHeight="1" x14ac:dyDescent="0.2">
      <c r="B2467" s="17"/>
      <c r="C2467" s="83"/>
      <c r="D2467" s="83" t="s">
        <v>3292</v>
      </c>
      <c r="E2467" s="2"/>
      <c r="F2467" s="200">
        <v>5.25</v>
      </c>
      <c r="H2467" s="17"/>
    </row>
    <row r="2468" spans="2:8" s="16" customFormat="1" ht="16.899999999999999" customHeight="1" x14ac:dyDescent="0.2">
      <c r="B2468" s="17"/>
      <c r="C2468" s="83"/>
      <c r="D2468" s="83"/>
      <c r="E2468" s="2"/>
      <c r="F2468" s="200">
        <v>0</v>
      </c>
      <c r="H2468" s="17"/>
    </row>
    <row r="2469" spans="2:8" s="16" customFormat="1" ht="16.899999999999999" customHeight="1" x14ac:dyDescent="0.2">
      <c r="B2469" s="17"/>
      <c r="C2469" s="83"/>
      <c r="D2469" s="83" t="s">
        <v>3293</v>
      </c>
      <c r="E2469" s="2"/>
      <c r="F2469" s="200">
        <v>0</v>
      </c>
      <c r="H2469" s="17"/>
    </row>
    <row r="2470" spans="2:8" s="16" customFormat="1" ht="16.899999999999999" customHeight="1" x14ac:dyDescent="0.2">
      <c r="B2470" s="17"/>
      <c r="C2470" s="83" t="s">
        <v>3026</v>
      </c>
      <c r="D2470" s="83" t="s">
        <v>351</v>
      </c>
      <c r="E2470" s="2"/>
      <c r="F2470" s="200">
        <v>52.4</v>
      </c>
      <c r="H2470" s="17"/>
    </row>
    <row r="2471" spans="2:8" s="16" customFormat="1" ht="16.899999999999999" customHeight="1" x14ac:dyDescent="0.2">
      <c r="B2471" s="17"/>
      <c r="C2471" s="201" t="s">
        <v>8859</v>
      </c>
      <c r="H2471" s="17"/>
    </row>
    <row r="2472" spans="2:8" s="16" customFormat="1" ht="16.899999999999999" customHeight="1" x14ac:dyDescent="0.2">
      <c r="B2472" s="17"/>
      <c r="C2472" s="83" t="s">
        <v>3222</v>
      </c>
      <c r="D2472" s="83" t="s">
        <v>3223</v>
      </c>
      <c r="E2472" s="2" t="s">
        <v>425</v>
      </c>
      <c r="F2472" s="200">
        <v>60.15</v>
      </c>
      <c r="H2472" s="17"/>
    </row>
    <row r="2473" spans="2:8" s="16" customFormat="1" ht="16.899999999999999" customHeight="1" x14ac:dyDescent="0.2">
      <c r="B2473" s="17"/>
      <c r="C2473" s="196" t="s">
        <v>3027</v>
      </c>
      <c r="D2473" s="197"/>
      <c r="E2473" s="198"/>
      <c r="F2473" s="199">
        <v>101.66</v>
      </c>
      <c r="H2473" s="17"/>
    </row>
    <row r="2474" spans="2:8" s="16" customFormat="1" ht="16.899999999999999" customHeight="1" x14ac:dyDescent="0.2">
      <c r="B2474" s="17"/>
      <c r="C2474" s="83"/>
      <c r="D2474" s="83" t="s">
        <v>3378</v>
      </c>
      <c r="E2474" s="2"/>
      <c r="F2474" s="200">
        <v>0</v>
      </c>
      <c r="H2474" s="17"/>
    </row>
    <row r="2475" spans="2:8" s="16" customFormat="1" ht="16.899999999999999" customHeight="1" x14ac:dyDescent="0.2">
      <c r="B2475" s="17"/>
      <c r="C2475" s="83"/>
      <c r="D2475" s="83" t="s">
        <v>3098</v>
      </c>
      <c r="E2475" s="2"/>
      <c r="F2475" s="200">
        <v>0</v>
      </c>
      <c r="H2475" s="17"/>
    </row>
    <row r="2476" spans="2:8" s="16" customFormat="1" ht="16.899999999999999" customHeight="1" x14ac:dyDescent="0.2">
      <c r="B2476" s="17"/>
      <c r="C2476" s="83"/>
      <c r="D2476" s="83" t="s">
        <v>3253</v>
      </c>
      <c r="E2476" s="2"/>
      <c r="F2476" s="200">
        <v>0</v>
      </c>
      <c r="H2476" s="17"/>
    </row>
    <row r="2477" spans="2:8" s="16" customFormat="1" ht="16.899999999999999" customHeight="1" x14ac:dyDescent="0.2">
      <c r="B2477" s="17"/>
      <c r="C2477" s="83"/>
      <c r="D2477" s="83" t="s">
        <v>3379</v>
      </c>
      <c r="E2477" s="2"/>
      <c r="F2477" s="200">
        <v>0</v>
      </c>
      <c r="H2477" s="17"/>
    </row>
    <row r="2478" spans="2:8" s="16" customFormat="1" ht="16.899999999999999" customHeight="1" x14ac:dyDescent="0.2">
      <c r="B2478" s="17"/>
      <c r="C2478" s="83"/>
      <c r="D2478" s="83" t="s">
        <v>3380</v>
      </c>
      <c r="E2478" s="2"/>
      <c r="F2478" s="200">
        <v>3.2749999999999999</v>
      </c>
      <c r="H2478" s="17"/>
    </row>
    <row r="2479" spans="2:8" s="16" customFormat="1" ht="16.899999999999999" customHeight="1" x14ac:dyDescent="0.2">
      <c r="B2479" s="17"/>
      <c r="C2479" s="83"/>
      <c r="D2479" s="83" t="s">
        <v>3381</v>
      </c>
      <c r="E2479" s="2"/>
      <c r="F2479" s="200">
        <v>0</v>
      </c>
      <c r="H2479" s="17"/>
    </row>
    <row r="2480" spans="2:8" s="16" customFormat="1" ht="16.899999999999999" customHeight="1" x14ac:dyDescent="0.2">
      <c r="B2480" s="17"/>
      <c r="C2480" s="83"/>
      <c r="D2480" s="83" t="s">
        <v>3382</v>
      </c>
      <c r="E2480" s="2"/>
      <c r="F2480" s="200">
        <v>25.164999999999999</v>
      </c>
      <c r="H2480" s="17"/>
    </row>
    <row r="2481" spans="2:8" s="16" customFormat="1" ht="16.899999999999999" customHeight="1" x14ac:dyDescent="0.2">
      <c r="B2481" s="17"/>
      <c r="C2481" s="83"/>
      <c r="D2481" s="83" t="s">
        <v>3383</v>
      </c>
      <c r="E2481" s="2"/>
      <c r="F2481" s="200">
        <v>0</v>
      </c>
      <c r="H2481" s="17"/>
    </row>
    <row r="2482" spans="2:8" s="16" customFormat="1" ht="16.899999999999999" customHeight="1" x14ac:dyDescent="0.2">
      <c r="B2482" s="17"/>
      <c r="C2482" s="83"/>
      <c r="D2482" s="83" t="s">
        <v>3384</v>
      </c>
      <c r="E2482" s="2"/>
      <c r="F2482" s="200">
        <v>5.8</v>
      </c>
      <c r="H2482" s="17"/>
    </row>
    <row r="2483" spans="2:8" s="16" customFormat="1" ht="16.899999999999999" customHeight="1" x14ac:dyDescent="0.2">
      <c r="B2483" s="17"/>
      <c r="C2483" s="83"/>
      <c r="D2483" s="83" t="s">
        <v>3101</v>
      </c>
      <c r="E2483" s="2"/>
      <c r="F2483" s="200">
        <v>0</v>
      </c>
      <c r="H2483" s="17"/>
    </row>
    <row r="2484" spans="2:8" s="16" customFormat="1" ht="16.899999999999999" customHeight="1" x14ac:dyDescent="0.2">
      <c r="B2484" s="17"/>
      <c r="C2484" s="83"/>
      <c r="D2484" s="83" t="s">
        <v>3102</v>
      </c>
      <c r="E2484" s="2"/>
      <c r="F2484" s="200">
        <v>0</v>
      </c>
      <c r="H2484" s="17"/>
    </row>
    <row r="2485" spans="2:8" s="16" customFormat="1" ht="16.899999999999999" customHeight="1" x14ac:dyDescent="0.2">
      <c r="B2485" s="17"/>
      <c r="C2485" s="83"/>
      <c r="D2485" s="83" t="s">
        <v>3385</v>
      </c>
      <c r="E2485" s="2"/>
      <c r="F2485" s="200">
        <v>3</v>
      </c>
      <c r="H2485" s="17"/>
    </row>
    <row r="2486" spans="2:8" s="16" customFormat="1" ht="16.899999999999999" customHeight="1" x14ac:dyDescent="0.2">
      <c r="B2486" s="17"/>
      <c r="C2486" s="83"/>
      <c r="D2486" s="83" t="s">
        <v>3104</v>
      </c>
      <c r="E2486" s="2"/>
      <c r="F2486" s="200">
        <v>0</v>
      </c>
      <c r="H2486" s="17"/>
    </row>
    <row r="2487" spans="2:8" s="16" customFormat="1" ht="16.899999999999999" customHeight="1" x14ac:dyDescent="0.2">
      <c r="B2487" s="17"/>
      <c r="C2487" s="83"/>
      <c r="D2487" s="83" t="s">
        <v>3386</v>
      </c>
      <c r="E2487" s="2"/>
      <c r="F2487" s="200">
        <v>0.3</v>
      </c>
      <c r="H2487" s="17"/>
    </row>
    <row r="2488" spans="2:8" s="16" customFormat="1" ht="16.899999999999999" customHeight="1" x14ac:dyDescent="0.2">
      <c r="B2488" s="17"/>
      <c r="C2488" s="83"/>
      <c r="D2488" s="83" t="s">
        <v>3106</v>
      </c>
      <c r="E2488" s="2"/>
      <c r="F2488" s="200">
        <v>0</v>
      </c>
      <c r="H2488" s="17"/>
    </row>
    <row r="2489" spans="2:8" s="16" customFormat="1" ht="16.899999999999999" customHeight="1" x14ac:dyDescent="0.2">
      <c r="B2489" s="17"/>
      <c r="C2489" s="83"/>
      <c r="D2489" s="83" t="s">
        <v>3387</v>
      </c>
      <c r="E2489" s="2"/>
      <c r="F2489" s="200">
        <v>5.2</v>
      </c>
      <c r="H2489" s="17"/>
    </row>
    <row r="2490" spans="2:8" s="16" customFormat="1" ht="16.899999999999999" customHeight="1" x14ac:dyDescent="0.2">
      <c r="B2490" s="17"/>
      <c r="C2490" s="83"/>
      <c r="D2490" s="83" t="s">
        <v>3108</v>
      </c>
      <c r="E2490" s="2"/>
      <c r="F2490" s="200">
        <v>0</v>
      </c>
      <c r="H2490" s="17"/>
    </row>
    <row r="2491" spans="2:8" s="16" customFormat="1" ht="16.899999999999999" customHeight="1" x14ac:dyDescent="0.2">
      <c r="B2491" s="17"/>
      <c r="C2491" s="83"/>
      <c r="D2491" s="83" t="s">
        <v>3388</v>
      </c>
      <c r="E2491" s="2"/>
      <c r="F2491" s="200">
        <v>2.7</v>
      </c>
      <c r="H2491" s="17"/>
    </row>
    <row r="2492" spans="2:8" s="16" customFormat="1" ht="16.899999999999999" customHeight="1" x14ac:dyDescent="0.2">
      <c r="B2492" s="17"/>
      <c r="C2492" s="83"/>
      <c r="D2492" s="83"/>
      <c r="E2492" s="2"/>
      <c r="F2492" s="200">
        <v>0</v>
      </c>
      <c r="H2492" s="17"/>
    </row>
    <row r="2493" spans="2:8" s="16" customFormat="1" ht="16.899999999999999" customHeight="1" x14ac:dyDescent="0.2">
      <c r="B2493" s="17"/>
      <c r="C2493" s="83"/>
      <c r="D2493" s="83" t="s">
        <v>3259</v>
      </c>
      <c r="E2493" s="2"/>
      <c r="F2493" s="200">
        <v>0</v>
      </c>
      <c r="H2493" s="17"/>
    </row>
    <row r="2494" spans="2:8" s="16" customFormat="1" ht="16.899999999999999" customHeight="1" x14ac:dyDescent="0.2">
      <c r="B2494" s="17"/>
      <c r="C2494" s="83"/>
      <c r="D2494" s="83" t="s">
        <v>3389</v>
      </c>
      <c r="E2494" s="2"/>
      <c r="F2494" s="200">
        <v>0</v>
      </c>
      <c r="H2494" s="17"/>
    </row>
    <row r="2495" spans="2:8" s="16" customFormat="1" ht="16.899999999999999" customHeight="1" x14ac:dyDescent="0.2">
      <c r="B2495" s="17"/>
      <c r="C2495" s="83"/>
      <c r="D2495" s="83" t="s">
        <v>3390</v>
      </c>
      <c r="E2495" s="2"/>
      <c r="F2495" s="200">
        <v>0</v>
      </c>
      <c r="H2495" s="17"/>
    </row>
    <row r="2496" spans="2:8" s="16" customFormat="1" ht="16.899999999999999" customHeight="1" x14ac:dyDescent="0.2">
      <c r="B2496" s="17"/>
      <c r="C2496" s="83"/>
      <c r="D2496" s="83" t="s">
        <v>3391</v>
      </c>
      <c r="E2496" s="2"/>
      <c r="F2496" s="200">
        <v>4.7249999999999996</v>
      </c>
      <c r="H2496" s="17"/>
    </row>
    <row r="2497" spans="2:8" s="16" customFormat="1" ht="16.899999999999999" customHeight="1" x14ac:dyDescent="0.2">
      <c r="B2497" s="17"/>
      <c r="C2497" s="83"/>
      <c r="D2497" s="83" t="s">
        <v>3392</v>
      </c>
      <c r="E2497" s="2"/>
      <c r="F2497" s="200">
        <v>0</v>
      </c>
      <c r="H2497" s="17"/>
    </row>
    <row r="2498" spans="2:8" s="16" customFormat="1" ht="16.899999999999999" customHeight="1" x14ac:dyDescent="0.2">
      <c r="B2498" s="17"/>
      <c r="C2498" s="83"/>
      <c r="D2498" s="83" t="s">
        <v>3393</v>
      </c>
      <c r="E2498" s="2"/>
      <c r="F2498" s="200">
        <v>6.66</v>
      </c>
      <c r="H2498" s="17"/>
    </row>
    <row r="2499" spans="2:8" s="16" customFormat="1" ht="16.899999999999999" customHeight="1" x14ac:dyDescent="0.2">
      <c r="B2499" s="17"/>
      <c r="C2499" s="83"/>
      <c r="D2499" s="83"/>
      <c r="E2499" s="2"/>
      <c r="F2499" s="200">
        <v>0</v>
      </c>
      <c r="H2499" s="17"/>
    </row>
    <row r="2500" spans="2:8" s="16" customFormat="1" ht="16.899999999999999" customHeight="1" x14ac:dyDescent="0.2">
      <c r="B2500" s="17"/>
      <c r="C2500" s="83"/>
      <c r="D2500" s="83" t="s">
        <v>3336</v>
      </c>
      <c r="E2500" s="2"/>
      <c r="F2500" s="200">
        <v>0</v>
      </c>
      <c r="H2500" s="17"/>
    </row>
    <row r="2501" spans="2:8" s="16" customFormat="1" ht="16.899999999999999" customHeight="1" x14ac:dyDescent="0.2">
      <c r="B2501" s="17"/>
      <c r="C2501" s="83"/>
      <c r="D2501" s="83" t="s">
        <v>3394</v>
      </c>
      <c r="E2501" s="2"/>
      <c r="F2501" s="200">
        <v>0</v>
      </c>
      <c r="H2501" s="17"/>
    </row>
    <row r="2502" spans="2:8" s="16" customFormat="1" ht="16.899999999999999" customHeight="1" x14ac:dyDescent="0.2">
      <c r="B2502" s="17"/>
      <c r="C2502" s="83"/>
      <c r="D2502" s="83" t="s">
        <v>3395</v>
      </c>
      <c r="E2502" s="2"/>
      <c r="F2502" s="200">
        <v>22.475000000000001</v>
      </c>
      <c r="H2502" s="17"/>
    </row>
    <row r="2503" spans="2:8" s="16" customFormat="1" ht="16.899999999999999" customHeight="1" x14ac:dyDescent="0.2">
      <c r="B2503" s="17"/>
      <c r="C2503" s="83"/>
      <c r="D2503" s="83" t="s">
        <v>3396</v>
      </c>
      <c r="E2503" s="2"/>
      <c r="F2503" s="200">
        <v>0</v>
      </c>
      <c r="H2503" s="17"/>
    </row>
    <row r="2504" spans="2:8" s="16" customFormat="1" ht="16.899999999999999" customHeight="1" x14ac:dyDescent="0.2">
      <c r="B2504" s="17"/>
      <c r="C2504" s="83"/>
      <c r="D2504" s="83" t="s">
        <v>3397</v>
      </c>
      <c r="E2504" s="2"/>
      <c r="F2504" s="200">
        <v>0.4</v>
      </c>
      <c r="H2504" s="17"/>
    </row>
    <row r="2505" spans="2:8" s="16" customFormat="1" ht="16.899999999999999" customHeight="1" x14ac:dyDescent="0.2">
      <c r="B2505" s="17"/>
      <c r="C2505" s="83"/>
      <c r="D2505" s="83" t="s">
        <v>3398</v>
      </c>
      <c r="E2505" s="2"/>
      <c r="F2505" s="200">
        <v>0</v>
      </c>
      <c r="H2505" s="17"/>
    </row>
    <row r="2506" spans="2:8" s="16" customFormat="1" ht="16.899999999999999" customHeight="1" x14ac:dyDescent="0.2">
      <c r="B2506" s="17"/>
      <c r="C2506" s="83"/>
      <c r="D2506" s="83" t="s">
        <v>3399</v>
      </c>
      <c r="E2506" s="2"/>
      <c r="F2506" s="200">
        <v>8.875</v>
      </c>
      <c r="H2506" s="17"/>
    </row>
    <row r="2507" spans="2:8" s="16" customFormat="1" ht="16.899999999999999" customHeight="1" x14ac:dyDescent="0.2">
      <c r="B2507" s="17"/>
      <c r="C2507" s="83"/>
      <c r="D2507" s="83" t="s">
        <v>3400</v>
      </c>
      <c r="E2507" s="2"/>
      <c r="F2507" s="200">
        <v>0</v>
      </c>
      <c r="H2507" s="17"/>
    </row>
    <row r="2508" spans="2:8" s="16" customFormat="1" ht="16.899999999999999" customHeight="1" x14ac:dyDescent="0.2">
      <c r="B2508" s="17"/>
      <c r="C2508" s="83"/>
      <c r="D2508" s="83" t="s">
        <v>3401</v>
      </c>
      <c r="E2508" s="2"/>
      <c r="F2508" s="200">
        <v>-3.1</v>
      </c>
      <c r="H2508" s="17"/>
    </row>
    <row r="2509" spans="2:8" s="16" customFormat="1" ht="16.899999999999999" customHeight="1" x14ac:dyDescent="0.2">
      <c r="B2509" s="17"/>
      <c r="C2509" s="83"/>
      <c r="D2509" s="83" t="s">
        <v>3402</v>
      </c>
      <c r="E2509" s="2"/>
      <c r="F2509" s="200">
        <v>-2.5249999999999999</v>
      </c>
      <c r="H2509" s="17"/>
    </row>
    <row r="2510" spans="2:8" s="16" customFormat="1" ht="16.899999999999999" customHeight="1" x14ac:dyDescent="0.2">
      <c r="B2510" s="17"/>
      <c r="C2510" s="83"/>
      <c r="D2510" s="83" t="s">
        <v>3403</v>
      </c>
      <c r="E2510" s="2"/>
      <c r="F2510" s="200">
        <v>0</v>
      </c>
      <c r="H2510" s="17"/>
    </row>
    <row r="2511" spans="2:8" s="16" customFormat="1" ht="16.899999999999999" customHeight="1" x14ac:dyDescent="0.2">
      <c r="B2511" s="17"/>
      <c r="C2511" s="83"/>
      <c r="D2511" s="83" t="s">
        <v>3404</v>
      </c>
      <c r="E2511" s="2"/>
      <c r="F2511" s="200">
        <v>2.855</v>
      </c>
      <c r="H2511" s="17"/>
    </row>
    <row r="2512" spans="2:8" s="16" customFormat="1" ht="16.899999999999999" customHeight="1" x14ac:dyDescent="0.2">
      <c r="B2512" s="17"/>
      <c r="C2512" s="83"/>
      <c r="D2512" s="83" t="s">
        <v>3396</v>
      </c>
      <c r="E2512" s="2"/>
      <c r="F2512" s="200">
        <v>0</v>
      </c>
      <c r="H2512" s="17"/>
    </row>
    <row r="2513" spans="2:8" s="16" customFormat="1" ht="16.899999999999999" customHeight="1" x14ac:dyDescent="0.2">
      <c r="B2513" s="17"/>
      <c r="C2513" s="83"/>
      <c r="D2513" s="83" t="s">
        <v>3405</v>
      </c>
      <c r="E2513" s="2"/>
      <c r="F2513" s="200">
        <v>0.105</v>
      </c>
      <c r="H2513" s="17"/>
    </row>
    <row r="2514" spans="2:8" s="16" customFormat="1" ht="16.899999999999999" customHeight="1" x14ac:dyDescent="0.2">
      <c r="B2514" s="17"/>
      <c r="C2514" s="83"/>
      <c r="D2514" s="83" t="s">
        <v>3406</v>
      </c>
      <c r="E2514" s="2"/>
      <c r="F2514" s="200">
        <v>0</v>
      </c>
      <c r="H2514" s="17"/>
    </row>
    <row r="2515" spans="2:8" s="16" customFormat="1" ht="16.899999999999999" customHeight="1" x14ac:dyDescent="0.2">
      <c r="B2515" s="17"/>
      <c r="C2515" s="83"/>
      <c r="D2515" s="83" t="s">
        <v>3407</v>
      </c>
      <c r="E2515" s="2"/>
      <c r="F2515" s="200">
        <v>0</v>
      </c>
      <c r="H2515" s="17"/>
    </row>
    <row r="2516" spans="2:8" s="16" customFormat="1" ht="16.899999999999999" customHeight="1" x14ac:dyDescent="0.2">
      <c r="B2516" s="17"/>
      <c r="C2516" s="83"/>
      <c r="D2516" s="83" t="s">
        <v>3408</v>
      </c>
      <c r="E2516" s="2"/>
      <c r="F2516" s="200">
        <v>3.05</v>
      </c>
      <c r="H2516" s="17"/>
    </row>
    <row r="2517" spans="2:8" s="16" customFormat="1" ht="16.899999999999999" customHeight="1" x14ac:dyDescent="0.2">
      <c r="B2517" s="17"/>
      <c r="C2517" s="83"/>
      <c r="D2517" s="83" t="s">
        <v>3409</v>
      </c>
      <c r="E2517" s="2"/>
      <c r="F2517" s="200">
        <v>0</v>
      </c>
      <c r="H2517" s="17"/>
    </row>
    <row r="2518" spans="2:8" s="16" customFormat="1" ht="16.899999999999999" customHeight="1" x14ac:dyDescent="0.2">
      <c r="B2518" s="17"/>
      <c r="C2518" s="83"/>
      <c r="D2518" s="83" t="s">
        <v>3410</v>
      </c>
      <c r="E2518" s="2"/>
      <c r="F2518" s="200">
        <v>1.75</v>
      </c>
      <c r="H2518" s="17"/>
    </row>
    <row r="2519" spans="2:8" s="16" customFormat="1" ht="16.899999999999999" customHeight="1" x14ac:dyDescent="0.2">
      <c r="B2519" s="17"/>
      <c r="C2519" s="83"/>
      <c r="D2519" s="83" t="s">
        <v>3117</v>
      </c>
      <c r="E2519" s="2"/>
      <c r="F2519" s="200">
        <v>0</v>
      </c>
      <c r="H2519" s="17"/>
    </row>
    <row r="2520" spans="2:8" s="16" customFormat="1" ht="16.899999999999999" customHeight="1" x14ac:dyDescent="0.2">
      <c r="B2520" s="17"/>
      <c r="C2520" s="83"/>
      <c r="D2520" s="83" t="s">
        <v>3118</v>
      </c>
      <c r="E2520" s="2"/>
      <c r="F2520" s="200">
        <v>3.55</v>
      </c>
      <c r="H2520" s="17"/>
    </row>
    <row r="2521" spans="2:8" s="16" customFormat="1" ht="16.899999999999999" customHeight="1" x14ac:dyDescent="0.2">
      <c r="B2521" s="17"/>
      <c r="C2521" s="83"/>
      <c r="D2521" s="83" t="s">
        <v>759</v>
      </c>
      <c r="E2521" s="2"/>
      <c r="F2521" s="200">
        <v>0</v>
      </c>
      <c r="H2521" s="17"/>
    </row>
    <row r="2522" spans="2:8" s="16" customFormat="1" ht="16.899999999999999" customHeight="1" x14ac:dyDescent="0.2">
      <c r="B2522" s="17"/>
      <c r="C2522" s="83"/>
      <c r="D2522" s="83" t="s">
        <v>3119</v>
      </c>
      <c r="E2522" s="2"/>
      <c r="F2522" s="200">
        <v>2.65</v>
      </c>
      <c r="H2522" s="17"/>
    </row>
    <row r="2523" spans="2:8" s="16" customFormat="1" ht="16.899999999999999" customHeight="1" x14ac:dyDescent="0.2">
      <c r="B2523" s="17"/>
      <c r="C2523" s="83"/>
      <c r="D2523" s="83" t="s">
        <v>3120</v>
      </c>
      <c r="E2523" s="2"/>
      <c r="F2523" s="200">
        <v>4.75</v>
      </c>
      <c r="H2523" s="17"/>
    </row>
    <row r="2524" spans="2:8" s="16" customFormat="1" ht="16.899999999999999" customHeight="1" x14ac:dyDescent="0.2">
      <c r="B2524" s="17"/>
      <c r="C2524" s="83" t="s">
        <v>3027</v>
      </c>
      <c r="D2524" s="83" t="s">
        <v>609</v>
      </c>
      <c r="E2524" s="2"/>
      <c r="F2524" s="200">
        <v>101.66</v>
      </c>
      <c r="H2524" s="17"/>
    </row>
    <row r="2525" spans="2:8" s="16" customFormat="1" ht="16.899999999999999" customHeight="1" x14ac:dyDescent="0.2">
      <c r="B2525" s="17"/>
      <c r="C2525" s="201" t="s">
        <v>8859</v>
      </c>
      <c r="H2525" s="17"/>
    </row>
    <row r="2526" spans="2:8" s="16" customFormat="1" ht="16.899999999999999" customHeight="1" x14ac:dyDescent="0.2">
      <c r="B2526" s="17"/>
      <c r="C2526" s="83" t="s">
        <v>3375</v>
      </c>
      <c r="D2526" s="83" t="s">
        <v>3376</v>
      </c>
      <c r="E2526" s="2" t="s">
        <v>425</v>
      </c>
      <c r="F2526" s="200">
        <v>101.66</v>
      </c>
      <c r="H2526" s="17"/>
    </row>
    <row r="2527" spans="2:8" s="16" customFormat="1" ht="16.899999999999999" customHeight="1" x14ac:dyDescent="0.2">
      <c r="B2527" s="17"/>
      <c r="C2527" s="83" t="s">
        <v>3365</v>
      </c>
      <c r="D2527" s="83" t="s">
        <v>3366</v>
      </c>
      <c r="E2527" s="2" t="s">
        <v>425</v>
      </c>
      <c r="F2527" s="200">
        <v>3379.48</v>
      </c>
      <c r="H2527" s="17"/>
    </row>
    <row r="2528" spans="2:8" s="16" customFormat="1" ht="16.899999999999999" customHeight="1" x14ac:dyDescent="0.2">
      <c r="B2528" s="17"/>
      <c r="C2528" s="83" t="s">
        <v>3728</v>
      </c>
      <c r="D2528" s="83" t="s">
        <v>3729</v>
      </c>
      <c r="E2528" s="2" t="s">
        <v>425</v>
      </c>
      <c r="F2528" s="200">
        <v>101.66</v>
      </c>
      <c r="H2528" s="17"/>
    </row>
    <row r="2529" spans="2:8" s="16" customFormat="1" ht="16.899999999999999" customHeight="1" x14ac:dyDescent="0.2">
      <c r="B2529" s="17"/>
      <c r="C2529" s="83" t="s">
        <v>3820</v>
      </c>
      <c r="D2529" s="83" t="s">
        <v>3821</v>
      </c>
      <c r="E2529" s="2" t="s">
        <v>425</v>
      </c>
      <c r="F2529" s="200">
        <v>4054.9319999999998</v>
      </c>
      <c r="H2529" s="17"/>
    </row>
    <row r="2530" spans="2:8" s="16" customFormat="1" ht="16.899999999999999" customHeight="1" x14ac:dyDescent="0.2">
      <c r="B2530" s="17"/>
      <c r="C2530" s="83" t="s">
        <v>3853</v>
      </c>
      <c r="D2530" s="83" t="s">
        <v>3854</v>
      </c>
      <c r="E2530" s="2" t="s">
        <v>425</v>
      </c>
      <c r="F2530" s="200">
        <v>518.01499999999999</v>
      </c>
      <c r="H2530" s="17"/>
    </row>
    <row r="2531" spans="2:8" s="16" customFormat="1" ht="16.899999999999999" customHeight="1" x14ac:dyDescent="0.2">
      <c r="B2531" s="17"/>
      <c r="C2531" s="83" t="s">
        <v>3865</v>
      </c>
      <c r="D2531" s="83" t="s">
        <v>3866</v>
      </c>
      <c r="E2531" s="2" t="s">
        <v>425</v>
      </c>
      <c r="F2531" s="200">
        <v>1036.03</v>
      </c>
      <c r="H2531" s="17"/>
    </row>
    <row r="2532" spans="2:8" s="16" customFormat="1" ht="16.899999999999999" customHeight="1" x14ac:dyDescent="0.2">
      <c r="B2532" s="17"/>
      <c r="C2532" s="83" t="s">
        <v>3411</v>
      </c>
      <c r="D2532" s="83" t="s">
        <v>3412</v>
      </c>
      <c r="E2532" s="2" t="s">
        <v>425</v>
      </c>
      <c r="F2532" s="200">
        <v>106.74299999999999</v>
      </c>
      <c r="H2532" s="17"/>
    </row>
    <row r="2533" spans="2:8" s="16" customFormat="1" ht="22.5" x14ac:dyDescent="0.2">
      <c r="B2533" s="17"/>
      <c r="C2533" s="83" t="s">
        <v>3878</v>
      </c>
      <c r="D2533" s="83" t="s">
        <v>3879</v>
      </c>
      <c r="E2533" s="2" t="s">
        <v>425</v>
      </c>
      <c r="F2533" s="200">
        <v>621.61800000000005</v>
      </c>
      <c r="H2533" s="17"/>
    </row>
    <row r="2534" spans="2:8" s="16" customFormat="1" ht="22.5" x14ac:dyDescent="0.2">
      <c r="B2534" s="17"/>
      <c r="C2534" s="83" t="s">
        <v>3882</v>
      </c>
      <c r="D2534" s="83" t="s">
        <v>3883</v>
      </c>
      <c r="E2534" s="2" t="s">
        <v>425</v>
      </c>
      <c r="F2534" s="200">
        <v>621.61800000000005</v>
      </c>
      <c r="H2534" s="17"/>
    </row>
    <row r="2535" spans="2:8" s="16" customFormat="1" ht="16.899999999999999" customHeight="1" x14ac:dyDescent="0.2">
      <c r="B2535" s="17"/>
      <c r="C2535" s="196" t="s">
        <v>3029</v>
      </c>
      <c r="D2535" s="197"/>
      <c r="E2535" s="198"/>
      <c r="F2535" s="199">
        <v>380.00200000000001</v>
      </c>
      <c r="H2535" s="17"/>
    </row>
    <row r="2536" spans="2:8" s="16" customFormat="1" ht="16.899999999999999" customHeight="1" x14ac:dyDescent="0.2">
      <c r="B2536" s="17"/>
      <c r="C2536" s="83"/>
      <c r="D2536" s="83"/>
      <c r="E2536" s="2"/>
      <c r="F2536" s="200">
        <v>0</v>
      </c>
      <c r="H2536" s="17"/>
    </row>
    <row r="2537" spans="2:8" s="16" customFormat="1" ht="16.899999999999999" customHeight="1" x14ac:dyDescent="0.2">
      <c r="B2537" s="17"/>
      <c r="C2537" s="83"/>
      <c r="D2537" s="83" t="s">
        <v>3948</v>
      </c>
      <c r="E2537" s="2"/>
      <c r="F2537" s="200">
        <v>0</v>
      </c>
      <c r="H2537" s="17"/>
    </row>
    <row r="2538" spans="2:8" s="16" customFormat="1" ht="16.899999999999999" customHeight="1" x14ac:dyDescent="0.2">
      <c r="B2538" s="17"/>
      <c r="C2538" s="83"/>
      <c r="D2538" s="83" t="s">
        <v>3098</v>
      </c>
      <c r="E2538" s="2"/>
      <c r="F2538" s="200">
        <v>0</v>
      </c>
      <c r="H2538" s="17"/>
    </row>
    <row r="2539" spans="2:8" s="16" customFormat="1" ht="16.899999999999999" customHeight="1" x14ac:dyDescent="0.2">
      <c r="B2539" s="17"/>
      <c r="C2539" s="83"/>
      <c r="D2539" s="83" t="s">
        <v>3892</v>
      </c>
      <c r="E2539" s="2"/>
      <c r="F2539" s="200">
        <v>0</v>
      </c>
      <c r="H2539" s="17"/>
    </row>
    <row r="2540" spans="2:8" s="16" customFormat="1" ht="16.899999999999999" customHeight="1" x14ac:dyDescent="0.2">
      <c r="B2540" s="17"/>
      <c r="C2540" s="83"/>
      <c r="D2540" s="83" t="s">
        <v>3379</v>
      </c>
      <c r="E2540" s="2"/>
      <c r="F2540" s="200">
        <v>0</v>
      </c>
      <c r="H2540" s="17"/>
    </row>
    <row r="2541" spans="2:8" s="16" customFormat="1" ht="16.899999999999999" customHeight="1" x14ac:dyDescent="0.2">
      <c r="B2541" s="17"/>
      <c r="C2541" s="83"/>
      <c r="D2541" s="83" t="s">
        <v>3949</v>
      </c>
      <c r="E2541" s="2"/>
      <c r="F2541" s="200">
        <v>17.03</v>
      </c>
      <c r="H2541" s="17"/>
    </row>
    <row r="2542" spans="2:8" s="16" customFormat="1" ht="16.899999999999999" customHeight="1" x14ac:dyDescent="0.2">
      <c r="B2542" s="17"/>
      <c r="C2542" s="83"/>
      <c r="D2542" s="83" t="s">
        <v>3381</v>
      </c>
      <c r="E2542" s="2"/>
      <c r="F2542" s="200">
        <v>0</v>
      </c>
      <c r="H2542" s="17"/>
    </row>
    <row r="2543" spans="2:8" s="16" customFormat="1" ht="16.899999999999999" customHeight="1" x14ac:dyDescent="0.2">
      <c r="B2543" s="17"/>
      <c r="C2543" s="83"/>
      <c r="D2543" s="83" t="s">
        <v>3950</v>
      </c>
      <c r="E2543" s="2"/>
      <c r="F2543" s="200">
        <v>119.158</v>
      </c>
      <c r="H2543" s="17"/>
    </row>
    <row r="2544" spans="2:8" s="16" customFormat="1" ht="16.899999999999999" customHeight="1" x14ac:dyDescent="0.2">
      <c r="B2544" s="17"/>
      <c r="C2544" s="83"/>
      <c r="D2544" s="83" t="s">
        <v>3383</v>
      </c>
      <c r="E2544" s="2"/>
      <c r="F2544" s="200">
        <v>0</v>
      </c>
      <c r="H2544" s="17"/>
    </row>
    <row r="2545" spans="2:8" s="16" customFormat="1" ht="16.899999999999999" customHeight="1" x14ac:dyDescent="0.2">
      <c r="B2545" s="17"/>
      <c r="C2545" s="83"/>
      <c r="D2545" s="83" t="s">
        <v>3951</v>
      </c>
      <c r="E2545" s="2"/>
      <c r="F2545" s="200">
        <v>30.16</v>
      </c>
      <c r="H2545" s="17"/>
    </row>
    <row r="2546" spans="2:8" s="16" customFormat="1" ht="16.899999999999999" customHeight="1" x14ac:dyDescent="0.2">
      <c r="B2546" s="17"/>
      <c r="C2546" s="83"/>
      <c r="D2546" s="83" t="s">
        <v>3101</v>
      </c>
      <c r="E2546" s="2"/>
      <c r="F2546" s="200">
        <v>0</v>
      </c>
      <c r="H2546" s="17"/>
    </row>
    <row r="2547" spans="2:8" s="16" customFormat="1" ht="16.899999999999999" customHeight="1" x14ac:dyDescent="0.2">
      <c r="B2547" s="17"/>
      <c r="C2547" s="83"/>
      <c r="D2547" s="83" t="s">
        <v>3102</v>
      </c>
      <c r="E2547" s="2"/>
      <c r="F2547" s="200">
        <v>0</v>
      </c>
      <c r="H2547" s="17"/>
    </row>
    <row r="2548" spans="2:8" s="16" customFormat="1" ht="16.899999999999999" customHeight="1" x14ac:dyDescent="0.2">
      <c r="B2548" s="17"/>
      <c r="C2548" s="83"/>
      <c r="D2548" s="83" t="s">
        <v>3952</v>
      </c>
      <c r="E2548" s="2"/>
      <c r="F2548" s="200">
        <v>15.6</v>
      </c>
      <c r="H2548" s="17"/>
    </row>
    <row r="2549" spans="2:8" s="16" customFormat="1" ht="16.899999999999999" customHeight="1" x14ac:dyDescent="0.2">
      <c r="B2549" s="17"/>
      <c r="C2549" s="83"/>
      <c r="D2549" s="83" t="s">
        <v>3104</v>
      </c>
      <c r="E2549" s="2"/>
      <c r="F2549" s="200">
        <v>0</v>
      </c>
      <c r="H2549" s="17"/>
    </row>
    <row r="2550" spans="2:8" s="16" customFormat="1" ht="16.899999999999999" customHeight="1" x14ac:dyDescent="0.2">
      <c r="B2550" s="17"/>
      <c r="C2550" s="83"/>
      <c r="D2550" s="83" t="s">
        <v>3953</v>
      </c>
      <c r="E2550" s="2"/>
      <c r="F2550" s="200">
        <v>1.56</v>
      </c>
      <c r="H2550" s="17"/>
    </row>
    <row r="2551" spans="2:8" s="16" customFormat="1" ht="16.899999999999999" customHeight="1" x14ac:dyDescent="0.2">
      <c r="B2551" s="17"/>
      <c r="C2551" s="83"/>
      <c r="D2551" s="83" t="s">
        <v>3106</v>
      </c>
      <c r="E2551" s="2"/>
      <c r="F2551" s="200">
        <v>0</v>
      </c>
      <c r="H2551" s="17"/>
    </row>
    <row r="2552" spans="2:8" s="16" customFormat="1" ht="16.899999999999999" customHeight="1" x14ac:dyDescent="0.2">
      <c r="B2552" s="17"/>
      <c r="C2552" s="83"/>
      <c r="D2552" s="83" t="s">
        <v>3954</v>
      </c>
      <c r="E2552" s="2"/>
      <c r="F2552" s="200">
        <v>27.04</v>
      </c>
      <c r="H2552" s="17"/>
    </row>
    <row r="2553" spans="2:8" s="16" customFormat="1" ht="16.899999999999999" customHeight="1" x14ac:dyDescent="0.2">
      <c r="B2553" s="17"/>
      <c r="C2553" s="83"/>
      <c r="D2553" s="83" t="s">
        <v>3108</v>
      </c>
      <c r="E2553" s="2"/>
      <c r="F2553" s="200">
        <v>0</v>
      </c>
      <c r="H2553" s="17"/>
    </row>
    <row r="2554" spans="2:8" s="16" customFormat="1" ht="16.899999999999999" customHeight="1" x14ac:dyDescent="0.2">
      <c r="B2554" s="17"/>
      <c r="C2554" s="83"/>
      <c r="D2554" s="83" t="s">
        <v>3955</v>
      </c>
      <c r="E2554" s="2"/>
      <c r="F2554" s="200">
        <v>14.04</v>
      </c>
      <c r="H2554" s="17"/>
    </row>
    <row r="2555" spans="2:8" s="16" customFormat="1" ht="16.899999999999999" customHeight="1" x14ac:dyDescent="0.2">
      <c r="B2555" s="17"/>
      <c r="C2555" s="83"/>
      <c r="D2555" s="83"/>
      <c r="E2555" s="2"/>
      <c r="F2555" s="200">
        <v>0</v>
      </c>
      <c r="H2555" s="17"/>
    </row>
    <row r="2556" spans="2:8" s="16" customFormat="1" ht="16.899999999999999" customHeight="1" x14ac:dyDescent="0.2">
      <c r="B2556" s="17"/>
      <c r="C2556" s="83"/>
      <c r="D2556" s="83" t="s">
        <v>3894</v>
      </c>
      <c r="E2556" s="2"/>
      <c r="F2556" s="200">
        <v>0</v>
      </c>
      <c r="H2556" s="17"/>
    </row>
    <row r="2557" spans="2:8" s="16" customFormat="1" ht="16.899999999999999" customHeight="1" x14ac:dyDescent="0.2">
      <c r="B2557" s="17"/>
      <c r="C2557" s="83"/>
      <c r="D2557" s="83" t="s">
        <v>3956</v>
      </c>
      <c r="E2557" s="2"/>
      <c r="F2557" s="200">
        <v>14.891999999999999</v>
      </c>
      <c r="H2557" s="17"/>
    </row>
    <row r="2558" spans="2:8" s="16" customFormat="1" ht="16.899999999999999" customHeight="1" x14ac:dyDescent="0.2">
      <c r="B2558" s="17"/>
      <c r="C2558" s="83"/>
      <c r="D2558" s="83" t="s">
        <v>3957</v>
      </c>
      <c r="E2558" s="2"/>
      <c r="F2558" s="200">
        <v>2.5960000000000001</v>
      </c>
      <c r="H2558" s="17"/>
    </row>
    <row r="2559" spans="2:8" s="16" customFormat="1" ht="16.899999999999999" customHeight="1" x14ac:dyDescent="0.2">
      <c r="B2559" s="17"/>
      <c r="C2559" s="83"/>
      <c r="D2559" s="83"/>
      <c r="E2559" s="2"/>
      <c r="F2559" s="200">
        <v>0</v>
      </c>
      <c r="H2559" s="17"/>
    </row>
    <row r="2560" spans="2:8" s="16" customFormat="1" ht="16.899999999999999" customHeight="1" x14ac:dyDescent="0.2">
      <c r="B2560" s="17"/>
      <c r="C2560" s="83"/>
      <c r="D2560" s="83" t="s">
        <v>3259</v>
      </c>
      <c r="E2560" s="2"/>
      <c r="F2560" s="200">
        <v>0</v>
      </c>
      <c r="H2560" s="17"/>
    </row>
    <row r="2561" spans="2:8" s="16" customFormat="1" ht="16.899999999999999" customHeight="1" x14ac:dyDescent="0.2">
      <c r="B2561" s="17"/>
      <c r="C2561" s="83"/>
      <c r="D2561" s="83" t="s">
        <v>3958</v>
      </c>
      <c r="E2561" s="2"/>
      <c r="F2561" s="200">
        <v>48.62</v>
      </c>
      <c r="H2561" s="17"/>
    </row>
    <row r="2562" spans="2:8" s="16" customFormat="1" ht="16.899999999999999" customHeight="1" x14ac:dyDescent="0.2">
      <c r="B2562" s="17"/>
      <c r="C2562" s="83"/>
      <c r="D2562" s="83"/>
      <c r="E2562" s="2"/>
      <c r="F2562" s="200">
        <v>0</v>
      </c>
      <c r="H2562" s="17"/>
    </row>
    <row r="2563" spans="2:8" s="16" customFormat="1" ht="16.899999999999999" customHeight="1" x14ac:dyDescent="0.2">
      <c r="B2563" s="17"/>
      <c r="C2563" s="83"/>
      <c r="D2563" s="83" t="s">
        <v>3051</v>
      </c>
      <c r="E2563" s="2"/>
      <c r="F2563" s="200">
        <v>0</v>
      </c>
      <c r="H2563" s="17"/>
    </row>
    <row r="2564" spans="2:8" s="16" customFormat="1" ht="16.899999999999999" customHeight="1" x14ac:dyDescent="0.2">
      <c r="B2564" s="17"/>
      <c r="C2564" s="83"/>
      <c r="D2564" s="83" t="s">
        <v>3113</v>
      </c>
      <c r="E2564" s="2"/>
      <c r="F2564" s="200">
        <v>0</v>
      </c>
      <c r="H2564" s="17"/>
    </row>
    <row r="2565" spans="2:8" s="16" customFormat="1" ht="16.899999999999999" customHeight="1" x14ac:dyDescent="0.2">
      <c r="B2565" s="17"/>
      <c r="C2565" s="83"/>
      <c r="D2565" s="83" t="s">
        <v>3052</v>
      </c>
      <c r="E2565" s="2"/>
      <c r="F2565" s="200">
        <v>0</v>
      </c>
      <c r="H2565" s="17"/>
    </row>
    <row r="2566" spans="2:8" s="16" customFormat="1" ht="16.899999999999999" customHeight="1" x14ac:dyDescent="0.2">
      <c r="B2566" s="17"/>
      <c r="C2566" s="83"/>
      <c r="D2566" s="83" t="s">
        <v>80</v>
      </c>
      <c r="E2566" s="2"/>
      <c r="F2566" s="200">
        <v>0</v>
      </c>
      <c r="H2566" s="17"/>
    </row>
    <row r="2567" spans="2:8" s="16" customFormat="1" ht="16.899999999999999" customHeight="1" x14ac:dyDescent="0.2">
      <c r="B2567" s="17"/>
      <c r="C2567" s="83"/>
      <c r="D2567" s="83" t="s">
        <v>3053</v>
      </c>
      <c r="E2567" s="2"/>
      <c r="F2567" s="200">
        <v>0</v>
      </c>
      <c r="H2567" s="17"/>
    </row>
    <row r="2568" spans="2:8" s="16" customFormat="1" ht="16.899999999999999" customHeight="1" x14ac:dyDescent="0.2">
      <c r="B2568" s="17"/>
      <c r="C2568" s="83"/>
      <c r="D2568" s="83" t="s">
        <v>3959</v>
      </c>
      <c r="E2568" s="2"/>
      <c r="F2568" s="200">
        <v>49.59</v>
      </c>
      <c r="H2568" s="17"/>
    </row>
    <row r="2569" spans="2:8" s="16" customFormat="1" ht="16.899999999999999" customHeight="1" x14ac:dyDescent="0.2">
      <c r="B2569" s="17"/>
      <c r="C2569" s="83"/>
      <c r="D2569" s="83" t="s">
        <v>3115</v>
      </c>
      <c r="E2569" s="2"/>
      <c r="F2569" s="200">
        <v>0</v>
      </c>
      <c r="H2569" s="17"/>
    </row>
    <row r="2570" spans="2:8" s="16" customFormat="1" ht="16.899999999999999" customHeight="1" x14ac:dyDescent="0.2">
      <c r="B2570" s="17"/>
      <c r="C2570" s="83"/>
      <c r="D2570" s="83" t="s">
        <v>3960</v>
      </c>
      <c r="E2570" s="2"/>
      <c r="F2570" s="200">
        <v>28.765999999999998</v>
      </c>
      <c r="H2570" s="17"/>
    </row>
    <row r="2571" spans="2:8" s="16" customFormat="1" ht="16.899999999999999" customHeight="1" x14ac:dyDescent="0.2">
      <c r="B2571" s="17"/>
      <c r="C2571" s="83"/>
      <c r="D2571" s="83"/>
      <c r="E2571" s="2"/>
      <c r="F2571" s="200">
        <v>0</v>
      </c>
      <c r="H2571" s="17"/>
    </row>
    <row r="2572" spans="2:8" s="16" customFormat="1" ht="16.899999999999999" customHeight="1" x14ac:dyDescent="0.2">
      <c r="B2572" s="17"/>
      <c r="C2572" s="83"/>
      <c r="D2572" s="83" t="s">
        <v>3117</v>
      </c>
      <c r="E2572" s="2"/>
      <c r="F2572" s="200">
        <v>0</v>
      </c>
      <c r="H2572" s="17"/>
    </row>
    <row r="2573" spans="2:8" s="16" customFormat="1" ht="16.899999999999999" customHeight="1" x14ac:dyDescent="0.2">
      <c r="B2573" s="17"/>
      <c r="C2573" s="83"/>
      <c r="D2573" s="83" t="s">
        <v>757</v>
      </c>
      <c r="E2573" s="2"/>
      <c r="F2573" s="200">
        <v>0</v>
      </c>
      <c r="H2573" s="17"/>
    </row>
    <row r="2574" spans="2:8" s="16" customFormat="1" ht="16.899999999999999" customHeight="1" x14ac:dyDescent="0.2">
      <c r="B2574" s="17"/>
      <c r="C2574" s="83"/>
      <c r="D2574" s="83" t="s">
        <v>3118</v>
      </c>
      <c r="E2574" s="2"/>
      <c r="F2574" s="200">
        <v>3.55</v>
      </c>
      <c r="H2574" s="17"/>
    </row>
    <row r="2575" spans="2:8" s="16" customFormat="1" ht="16.899999999999999" customHeight="1" x14ac:dyDescent="0.2">
      <c r="B2575" s="17"/>
      <c r="C2575" s="83"/>
      <c r="D2575" s="83" t="s">
        <v>759</v>
      </c>
      <c r="E2575" s="2"/>
      <c r="F2575" s="200">
        <v>0</v>
      </c>
      <c r="H2575" s="17"/>
    </row>
    <row r="2576" spans="2:8" s="16" customFormat="1" ht="16.899999999999999" customHeight="1" x14ac:dyDescent="0.2">
      <c r="B2576" s="17"/>
      <c r="C2576" s="83"/>
      <c r="D2576" s="83" t="s">
        <v>3119</v>
      </c>
      <c r="E2576" s="2"/>
      <c r="F2576" s="200">
        <v>2.65</v>
      </c>
      <c r="H2576" s="17"/>
    </row>
    <row r="2577" spans="2:8" s="16" customFormat="1" ht="16.899999999999999" customHeight="1" x14ac:dyDescent="0.2">
      <c r="B2577" s="17"/>
      <c r="C2577" s="83"/>
      <c r="D2577" s="83" t="s">
        <v>3120</v>
      </c>
      <c r="E2577" s="2"/>
      <c r="F2577" s="200">
        <v>4.75</v>
      </c>
      <c r="H2577" s="17"/>
    </row>
    <row r="2578" spans="2:8" s="16" customFormat="1" ht="16.899999999999999" customHeight="1" x14ac:dyDescent="0.2">
      <c r="B2578" s="17"/>
      <c r="C2578" s="83" t="s">
        <v>3029</v>
      </c>
      <c r="D2578" s="83" t="s">
        <v>609</v>
      </c>
      <c r="E2578" s="2"/>
      <c r="F2578" s="200">
        <v>380.00200000000001</v>
      </c>
      <c r="H2578" s="17"/>
    </row>
    <row r="2579" spans="2:8" s="16" customFormat="1" ht="16.899999999999999" customHeight="1" x14ac:dyDescent="0.2">
      <c r="B2579" s="17"/>
      <c r="C2579" s="201" t="s">
        <v>8859</v>
      </c>
      <c r="H2579" s="17"/>
    </row>
    <row r="2580" spans="2:8" s="16" customFormat="1" ht="16.899999999999999" customHeight="1" x14ac:dyDescent="0.2">
      <c r="B2580" s="17"/>
      <c r="C2580" s="83" t="s">
        <v>3940</v>
      </c>
      <c r="D2580" s="83" t="s">
        <v>3941</v>
      </c>
      <c r="E2580" s="2" t="s">
        <v>425</v>
      </c>
      <c r="F2580" s="200">
        <v>412.166</v>
      </c>
      <c r="H2580" s="17"/>
    </row>
    <row r="2581" spans="2:8" s="16" customFormat="1" ht="16.899999999999999" customHeight="1" x14ac:dyDescent="0.2">
      <c r="B2581" s="17"/>
      <c r="C2581" s="83" t="s">
        <v>3195</v>
      </c>
      <c r="D2581" s="83" t="s">
        <v>3196</v>
      </c>
      <c r="E2581" s="2" t="s">
        <v>342</v>
      </c>
      <c r="F2581" s="200">
        <v>549.08199999999999</v>
      </c>
      <c r="H2581" s="17"/>
    </row>
    <row r="2582" spans="2:8" s="16" customFormat="1" ht="16.899999999999999" customHeight="1" x14ac:dyDescent="0.2">
      <c r="B2582" s="17"/>
      <c r="C2582" s="83" t="s">
        <v>3820</v>
      </c>
      <c r="D2582" s="83" t="s">
        <v>3821</v>
      </c>
      <c r="E2582" s="2" t="s">
        <v>425</v>
      </c>
      <c r="F2582" s="200">
        <v>4054.9319999999998</v>
      </c>
      <c r="H2582" s="17"/>
    </row>
    <row r="2583" spans="2:8" s="16" customFormat="1" ht="16.899999999999999" customHeight="1" x14ac:dyDescent="0.2">
      <c r="B2583" s="17"/>
      <c r="C2583" s="83" t="s">
        <v>3853</v>
      </c>
      <c r="D2583" s="83" t="s">
        <v>3854</v>
      </c>
      <c r="E2583" s="2" t="s">
        <v>425</v>
      </c>
      <c r="F2583" s="200">
        <v>518.01499999999999</v>
      </c>
      <c r="H2583" s="17"/>
    </row>
    <row r="2584" spans="2:8" s="16" customFormat="1" ht="16.899999999999999" customHeight="1" x14ac:dyDescent="0.2">
      <c r="B2584" s="17"/>
      <c r="C2584" s="83" t="s">
        <v>3865</v>
      </c>
      <c r="D2584" s="83" t="s">
        <v>3866</v>
      </c>
      <c r="E2584" s="2" t="s">
        <v>425</v>
      </c>
      <c r="F2584" s="200">
        <v>1036.03</v>
      </c>
      <c r="H2584" s="17"/>
    </row>
    <row r="2585" spans="2:8" s="16" customFormat="1" ht="16.899999999999999" customHeight="1" x14ac:dyDescent="0.2">
      <c r="B2585" s="17"/>
      <c r="C2585" s="83" t="s">
        <v>3886</v>
      </c>
      <c r="D2585" s="83" t="s">
        <v>3887</v>
      </c>
      <c r="E2585" s="2" t="s">
        <v>425</v>
      </c>
      <c r="F2585" s="200">
        <v>416.35500000000002</v>
      </c>
      <c r="H2585" s="17"/>
    </row>
    <row r="2586" spans="2:8" s="16" customFormat="1" ht="16.899999999999999" customHeight="1" x14ac:dyDescent="0.2">
      <c r="B2586" s="17"/>
      <c r="C2586" s="83" t="s">
        <v>3926</v>
      </c>
      <c r="D2586" s="83" t="s">
        <v>3927</v>
      </c>
      <c r="E2586" s="2" t="s">
        <v>425</v>
      </c>
      <c r="F2586" s="200">
        <v>416.35500000000002</v>
      </c>
      <c r="H2586" s="17"/>
    </row>
    <row r="2587" spans="2:8" s="16" customFormat="1" ht="16.899999999999999" customHeight="1" x14ac:dyDescent="0.2">
      <c r="B2587" s="17"/>
      <c r="C2587" s="83" t="s">
        <v>3411</v>
      </c>
      <c r="D2587" s="83" t="s">
        <v>3412</v>
      </c>
      <c r="E2587" s="2" t="s">
        <v>425</v>
      </c>
      <c r="F2587" s="200">
        <v>399.00200000000001</v>
      </c>
      <c r="H2587" s="17"/>
    </row>
    <row r="2588" spans="2:8" s="16" customFormat="1" ht="22.5" x14ac:dyDescent="0.2">
      <c r="B2588" s="17"/>
      <c r="C2588" s="83" t="s">
        <v>3878</v>
      </c>
      <c r="D2588" s="83" t="s">
        <v>3879</v>
      </c>
      <c r="E2588" s="2" t="s">
        <v>425</v>
      </c>
      <c r="F2588" s="200">
        <v>621.61800000000005</v>
      </c>
      <c r="H2588" s="17"/>
    </row>
    <row r="2589" spans="2:8" s="16" customFormat="1" ht="22.5" x14ac:dyDescent="0.2">
      <c r="B2589" s="17"/>
      <c r="C2589" s="83" t="s">
        <v>3882</v>
      </c>
      <c r="D2589" s="83" t="s">
        <v>3883</v>
      </c>
      <c r="E2589" s="2" t="s">
        <v>425</v>
      </c>
      <c r="F2589" s="200">
        <v>621.61800000000005</v>
      </c>
      <c r="H2589" s="17"/>
    </row>
    <row r="2590" spans="2:8" s="16" customFormat="1" ht="16.899999999999999" customHeight="1" x14ac:dyDescent="0.2">
      <c r="B2590" s="17"/>
      <c r="C2590" s="196" t="s">
        <v>3031</v>
      </c>
      <c r="D2590" s="197"/>
      <c r="E2590" s="198"/>
      <c r="F2590" s="199">
        <v>549.08199999999999</v>
      </c>
      <c r="H2590" s="17"/>
    </row>
    <row r="2591" spans="2:8" s="16" customFormat="1" ht="16.899999999999999" customHeight="1" x14ac:dyDescent="0.2">
      <c r="B2591" s="17"/>
      <c r="C2591" s="83"/>
      <c r="D2591" s="83" t="s">
        <v>3172</v>
      </c>
      <c r="E2591" s="2"/>
      <c r="F2591" s="200">
        <v>0</v>
      </c>
      <c r="H2591" s="17"/>
    </row>
    <row r="2592" spans="2:8" s="16" customFormat="1" ht="16.899999999999999" customHeight="1" x14ac:dyDescent="0.2">
      <c r="B2592" s="17"/>
      <c r="C2592" s="83"/>
      <c r="D2592" s="83" t="s">
        <v>2995</v>
      </c>
      <c r="E2592" s="2"/>
      <c r="F2592" s="200">
        <v>198.89599999999999</v>
      </c>
      <c r="H2592" s="17"/>
    </row>
    <row r="2593" spans="2:8" s="16" customFormat="1" ht="16.899999999999999" customHeight="1" x14ac:dyDescent="0.2">
      <c r="B2593" s="17"/>
      <c r="C2593" s="83"/>
      <c r="D2593" s="83" t="s">
        <v>3024</v>
      </c>
      <c r="E2593" s="2"/>
      <c r="F2593" s="200">
        <v>6.1989999999999998</v>
      </c>
      <c r="H2593" s="17"/>
    </row>
    <row r="2594" spans="2:8" s="16" customFormat="1" ht="16.899999999999999" customHeight="1" x14ac:dyDescent="0.2">
      <c r="B2594" s="17"/>
      <c r="C2594" s="83"/>
      <c r="D2594" s="83" t="s">
        <v>3022</v>
      </c>
      <c r="E2594" s="2"/>
      <c r="F2594" s="200">
        <v>459.53500000000003</v>
      </c>
      <c r="H2594" s="17"/>
    </row>
    <row r="2595" spans="2:8" s="16" customFormat="1" ht="16.899999999999999" customHeight="1" x14ac:dyDescent="0.2">
      <c r="B2595" s="17"/>
      <c r="C2595" s="83"/>
      <c r="D2595" s="83"/>
      <c r="E2595" s="2"/>
      <c r="F2595" s="200">
        <v>0</v>
      </c>
      <c r="H2595" s="17"/>
    </row>
    <row r="2596" spans="2:8" s="16" customFormat="1" ht="16.899999999999999" customHeight="1" x14ac:dyDescent="0.2">
      <c r="B2596" s="17"/>
      <c r="C2596" s="83"/>
      <c r="D2596" s="83" t="s">
        <v>3198</v>
      </c>
      <c r="E2596" s="2"/>
      <c r="F2596" s="200">
        <v>0</v>
      </c>
      <c r="H2596" s="17"/>
    </row>
    <row r="2597" spans="2:8" s="16" customFormat="1" ht="16.899999999999999" customHeight="1" x14ac:dyDescent="0.2">
      <c r="B2597" s="17"/>
      <c r="C2597" s="83"/>
      <c r="D2597" s="83" t="s">
        <v>3199</v>
      </c>
      <c r="E2597" s="2"/>
      <c r="F2597" s="200">
        <v>-58.548000000000002</v>
      </c>
      <c r="H2597" s="17"/>
    </row>
    <row r="2598" spans="2:8" s="16" customFormat="1" ht="16.899999999999999" customHeight="1" x14ac:dyDescent="0.2">
      <c r="B2598" s="17"/>
      <c r="C2598" s="83"/>
      <c r="D2598" s="83" t="s">
        <v>3200</v>
      </c>
      <c r="E2598" s="2"/>
      <c r="F2598" s="200">
        <v>0</v>
      </c>
      <c r="H2598" s="17"/>
    </row>
    <row r="2599" spans="2:8" s="16" customFormat="1" ht="16.899999999999999" customHeight="1" x14ac:dyDescent="0.2">
      <c r="B2599" s="17"/>
      <c r="C2599" s="83"/>
      <c r="D2599" s="83" t="s">
        <v>3201</v>
      </c>
      <c r="E2599" s="2"/>
      <c r="F2599" s="200">
        <v>-57</v>
      </c>
      <c r="H2599" s="17"/>
    </row>
    <row r="2600" spans="2:8" s="16" customFormat="1" ht="16.899999999999999" customHeight="1" x14ac:dyDescent="0.2">
      <c r="B2600" s="17"/>
      <c r="C2600" s="83" t="s">
        <v>3031</v>
      </c>
      <c r="D2600" s="83" t="s">
        <v>351</v>
      </c>
      <c r="E2600" s="2"/>
      <c r="F2600" s="200">
        <v>549.08199999999999</v>
      </c>
      <c r="H2600" s="17"/>
    </row>
    <row r="2601" spans="2:8" s="16" customFormat="1" ht="16.899999999999999" customHeight="1" x14ac:dyDescent="0.2">
      <c r="B2601" s="17"/>
      <c r="C2601" s="201" t="s">
        <v>8859</v>
      </c>
      <c r="H2601" s="17"/>
    </row>
    <row r="2602" spans="2:8" s="16" customFormat="1" ht="16.899999999999999" customHeight="1" x14ac:dyDescent="0.2">
      <c r="B2602" s="17"/>
      <c r="C2602" s="83" t="s">
        <v>3195</v>
      </c>
      <c r="D2602" s="83" t="s">
        <v>3196</v>
      </c>
      <c r="E2602" s="2" t="s">
        <v>342</v>
      </c>
      <c r="F2602" s="200">
        <v>549.08199999999999</v>
      </c>
      <c r="H2602" s="17"/>
    </row>
    <row r="2603" spans="2:8" s="16" customFormat="1" ht="16.899999999999999" customHeight="1" x14ac:dyDescent="0.2">
      <c r="B2603" s="17"/>
      <c r="C2603" s="83" t="s">
        <v>3158</v>
      </c>
      <c r="D2603" s="83" t="s">
        <v>3159</v>
      </c>
      <c r="E2603" s="2" t="s">
        <v>342</v>
      </c>
      <c r="F2603" s="200">
        <v>567.33199999999999</v>
      </c>
      <c r="H2603" s="17"/>
    </row>
    <row r="2604" spans="2:8" s="16" customFormat="1" ht="16.899999999999999" customHeight="1" x14ac:dyDescent="0.2">
      <c r="B2604" s="17"/>
      <c r="C2604" s="83" t="s">
        <v>3165</v>
      </c>
      <c r="D2604" s="83" t="s">
        <v>3166</v>
      </c>
      <c r="E2604" s="2" t="s">
        <v>342</v>
      </c>
      <c r="F2604" s="200">
        <v>549.08199999999999</v>
      </c>
      <c r="H2604" s="17"/>
    </row>
    <row r="2605" spans="2:8" s="16" customFormat="1" ht="16.899999999999999" customHeight="1" x14ac:dyDescent="0.2">
      <c r="B2605" s="17"/>
      <c r="C2605" s="83" t="s">
        <v>3168</v>
      </c>
      <c r="D2605" s="83" t="s">
        <v>3169</v>
      </c>
      <c r="E2605" s="2" t="s">
        <v>342</v>
      </c>
      <c r="F2605" s="200">
        <v>115.548</v>
      </c>
      <c r="H2605" s="17"/>
    </row>
    <row r="2606" spans="2:8" s="16" customFormat="1" ht="16.899999999999999" customHeight="1" x14ac:dyDescent="0.2">
      <c r="B2606" s="17"/>
      <c r="C2606" s="83" t="s">
        <v>3179</v>
      </c>
      <c r="D2606" s="83" t="s">
        <v>3180</v>
      </c>
      <c r="E2606" s="2" t="s">
        <v>342</v>
      </c>
      <c r="F2606" s="200">
        <v>274.541</v>
      </c>
      <c r="H2606" s="17"/>
    </row>
    <row r="2607" spans="2:8" s="16" customFormat="1" ht="16.899999999999999" customHeight="1" x14ac:dyDescent="0.2">
      <c r="B2607" s="17"/>
      <c r="C2607" s="83" t="s">
        <v>3183</v>
      </c>
      <c r="D2607" s="83" t="s">
        <v>3184</v>
      </c>
      <c r="E2607" s="2" t="s">
        <v>342</v>
      </c>
      <c r="F2607" s="200">
        <v>274.541</v>
      </c>
      <c r="H2607" s="17"/>
    </row>
    <row r="2608" spans="2:8" s="16" customFormat="1" ht="16.899999999999999" customHeight="1" x14ac:dyDescent="0.2">
      <c r="B2608" s="17"/>
      <c r="C2608" s="83" t="s">
        <v>3190</v>
      </c>
      <c r="D2608" s="83" t="s">
        <v>3191</v>
      </c>
      <c r="E2608" s="2" t="s">
        <v>342</v>
      </c>
      <c r="F2608" s="200">
        <v>664.63</v>
      </c>
      <c r="H2608" s="17"/>
    </row>
    <row r="2609" spans="2:8" s="16" customFormat="1" ht="16.899999999999999" customHeight="1" x14ac:dyDescent="0.2">
      <c r="B2609" s="17"/>
      <c r="C2609" s="196" t="s">
        <v>3033</v>
      </c>
      <c r="D2609" s="197"/>
      <c r="E2609" s="198"/>
      <c r="F2609" s="199">
        <v>9.125</v>
      </c>
      <c r="H2609" s="17"/>
    </row>
    <row r="2610" spans="2:8" s="16" customFormat="1" ht="16.899999999999999" customHeight="1" x14ac:dyDescent="0.2">
      <c r="B2610" s="17"/>
      <c r="C2610" s="83"/>
      <c r="D2610" s="83" t="s">
        <v>3205</v>
      </c>
      <c r="E2610" s="2"/>
      <c r="F2610" s="200">
        <v>0</v>
      </c>
      <c r="H2610" s="17"/>
    </row>
    <row r="2611" spans="2:8" s="16" customFormat="1" ht="16.899999999999999" customHeight="1" x14ac:dyDescent="0.2">
      <c r="B2611" s="17"/>
      <c r="C2611" s="83"/>
      <c r="D2611" s="83" t="s">
        <v>3206</v>
      </c>
      <c r="E2611" s="2"/>
      <c r="F2611" s="200">
        <v>5.2640000000000002</v>
      </c>
      <c r="H2611" s="17"/>
    </row>
    <row r="2612" spans="2:8" s="16" customFormat="1" ht="16.899999999999999" customHeight="1" x14ac:dyDescent="0.2">
      <c r="B2612" s="17"/>
      <c r="C2612" s="83"/>
      <c r="D2612" s="83" t="s">
        <v>3207</v>
      </c>
      <c r="E2612" s="2"/>
      <c r="F2612" s="200">
        <v>1.1879999999999999</v>
      </c>
      <c r="H2612" s="17"/>
    </row>
    <row r="2613" spans="2:8" s="16" customFormat="1" ht="16.899999999999999" customHeight="1" x14ac:dyDescent="0.2">
      <c r="B2613" s="17"/>
      <c r="C2613" s="83"/>
      <c r="D2613" s="83" t="s">
        <v>3208</v>
      </c>
      <c r="E2613" s="2"/>
      <c r="F2613" s="200">
        <v>2.673</v>
      </c>
      <c r="H2613" s="17"/>
    </row>
    <row r="2614" spans="2:8" s="16" customFormat="1" ht="16.899999999999999" customHeight="1" x14ac:dyDescent="0.2">
      <c r="B2614" s="17"/>
      <c r="C2614" s="83" t="s">
        <v>3033</v>
      </c>
      <c r="D2614" s="83" t="s">
        <v>351</v>
      </c>
      <c r="E2614" s="2"/>
      <c r="F2614" s="200">
        <v>9.125</v>
      </c>
      <c r="H2614" s="17"/>
    </row>
    <row r="2615" spans="2:8" s="16" customFormat="1" ht="16.899999999999999" customHeight="1" x14ac:dyDescent="0.2">
      <c r="B2615" s="17"/>
      <c r="C2615" s="201" t="s">
        <v>8859</v>
      </c>
      <c r="H2615" s="17"/>
    </row>
    <row r="2616" spans="2:8" s="16" customFormat="1" ht="16.899999999999999" customHeight="1" x14ac:dyDescent="0.2">
      <c r="B2616" s="17"/>
      <c r="C2616" s="83" t="s">
        <v>3202</v>
      </c>
      <c r="D2616" s="83" t="s">
        <v>3203</v>
      </c>
      <c r="E2616" s="2" t="s">
        <v>342</v>
      </c>
      <c r="F2616" s="200">
        <v>9.125</v>
      </c>
      <c r="H2616" s="17"/>
    </row>
    <row r="2617" spans="2:8" s="16" customFormat="1" ht="16.899999999999999" customHeight="1" x14ac:dyDescent="0.2">
      <c r="B2617" s="17"/>
      <c r="C2617" s="83" t="s">
        <v>3158</v>
      </c>
      <c r="D2617" s="83" t="s">
        <v>3159</v>
      </c>
      <c r="E2617" s="2" t="s">
        <v>342</v>
      </c>
      <c r="F2617" s="200">
        <v>567.33199999999999</v>
      </c>
      <c r="H2617" s="17"/>
    </row>
    <row r="2618" spans="2:8" s="16" customFormat="1" ht="16.899999999999999" customHeight="1" x14ac:dyDescent="0.2">
      <c r="B2618" s="17"/>
      <c r="C2618" s="196" t="s">
        <v>3035</v>
      </c>
      <c r="D2618" s="197"/>
      <c r="E2618" s="198"/>
      <c r="F2618" s="199">
        <v>1350.47</v>
      </c>
      <c r="H2618" s="17"/>
    </row>
    <row r="2619" spans="2:8" s="16" customFormat="1" ht="16.899999999999999" customHeight="1" x14ac:dyDescent="0.2">
      <c r="B2619" s="17"/>
      <c r="C2619" s="83"/>
      <c r="D2619" s="83" t="s">
        <v>3594</v>
      </c>
      <c r="E2619" s="2"/>
      <c r="F2619" s="200">
        <v>0</v>
      </c>
      <c r="H2619" s="17"/>
    </row>
    <row r="2620" spans="2:8" s="16" customFormat="1" ht="16.899999999999999" customHeight="1" x14ac:dyDescent="0.2">
      <c r="B2620" s="17"/>
      <c r="C2620" s="83"/>
      <c r="D2620" s="83" t="s">
        <v>3595</v>
      </c>
      <c r="E2620" s="2"/>
      <c r="F2620" s="200">
        <v>0</v>
      </c>
      <c r="H2620" s="17"/>
    </row>
    <row r="2621" spans="2:8" s="16" customFormat="1" ht="16.899999999999999" customHeight="1" x14ac:dyDescent="0.2">
      <c r="B2621" s="17"/>
      <c r="C2621" s="83"/>
      <c r="D2621" s="83" t="s">
        <v>3596</v>
      </c>
      <c r="E2621" s="2"/>
      <c r="F2621" s="200">
        <v>30</v>
      </c>
      <c r="H2621" s="17"/>
    </row>
    <row r="2622" spans="2:8" s="16" customFormat="1" ht="16.899999999999999" customHeight="1" x14ac:dyDescent="0.2">
      <c r="B2622" s="17"/>
      <c r="C2622" s="83"/>
      <c r="D2622" s="83" t="s">
        <v>3597</v>
      </c>
      <c r="E2622" s="2"/>
      <c r="F2622" s="200">
        <v>0</v>
      </c>
      <c r="H2622" s="17"/>
    </row>
    <row r="2623" spans="2:8" s="16" customFormat="1" ht="16.899999999999999" customHeight="1" x14ac:dyDescent="0.2">
      <c r="B2623" s="17"/>
      <c r="C2623" s="83"/>
      <c r="D2623" s="83" t="s">
        <v>3598</v>
      </c>
      <c r="E2623" s="2"/>
      <c r="F2623" s="200">
        <v>3</v>
      </c>
      <c r="H2623" s="17"/>
    </row>
    <row r="2624" spans="2:8" s="16" customFormat="1" ht="16.899999999999999" customHeight="1" x14ac:dyDescent="0.2">
      <c r="B2624" s="17"/>
      <c r="C2624" s="83"/>
      <c r="D2624" s="83" t="s">
        <v>3599</v>
      </c>
      <c r="E2624" s="2"/>
      <c r="F2624" s="200">
        <v>0</v>
      </c>
      <c r="H2624" s="17"/>
    </row>
    <row r="2625" spans="2:8" s="16" customFormat="1" ht="16.899999999999999" customHeight="1" x14ac:dyDescent="0.2">
      <c r="B2625" s="17"/>
      <c r="C2625" s="83"/>
      <c r="D2625" s="83" t="s">
        <v>3600</v>
      </c>
      <c r="E2625" s="2"/>
      <c r="F2625" s="200">
        <v>42</v>
      </c>
      <c r="H2625" s="17"/>
    </row>
    <row r="2626" spans="2:8" s="16" customFormat="1" ht="16.899999999999999" customHeight="1" x14ac:dyDescent="0.2">
      <c r="B2626" s="17"/>
      <c r="C2626" s="83"/>
      <c r="D2626" s="83" t="s">
        <v>392</v>
      </c>
      <c r="E2626" s="2"/>
      <c r="F2626" s="200">
        <v>0</v>
      </c>
      <c r="H2626" s="17"/>
    </row>
    <row r="2627" spans="2:8" s="16" customFormat="1" ht="16.899999999999999" customHeight="1" x14ac:dyDescent="0.2">
      <c r="B2627" s="17"/>
      <c r="C2627" s="83"/>
      <c r="D2627" s="83" t="s">
        <v>3601</v>
      </c>
      <c r="E2627" s="2"/>
      <c r="F2627" s="200">
        <v>8.4</v>
      </c>
      <c r="H2627" s="17"/>
    </row>
    <row r="2628" spans="2:8" s="16" customFormat="1" ht="16.899999999999999" customHeight="1" x14ac:dyDescent="0.2">
      <c r="B2628" s="17"/>
      <c r="C2628" s="83"/>
      <c r="D2628" s="83" t="s">
        <v>3602</v>
      </c>
      <c r="E2628" s="2"/>
      <c r="F2628" s="200">
        <v>0</v>
      </c>
      <c r="H2628" s="17"/>
    </row>
    <row r="2629" spans="2:8" s="16" customFormat="1" ht="16.899999999999999" customHeight="1" x14ac:dyDescent="0.2">
      <c r="B2629" s="17"/>
      <c r="C2629" s="83"/>
      <c r="D2629" s="83" t="s">
        <v>3603</v>
      </c>
      <c r="E2629" s="2"/>
      <c r="F2629" s="200">
        <v>17.2</v>
      </c>
      <c r="H2629" s="17"/>
    </row>
    <row r="2630" spans="2:8" s="16" customFormat="1" ht="16.899999999999999" customHeight="1" x14ac:dyDescent="0.2">
      <c r="B2630" s="17"/>
      <c r="C2630" s="83"/>
      <c r="D2630" s="83" t="s">
        <v>3604</v>
      </c>
      <c r="E2630" s="2"/>
      <c r="F2630" s="200">
        <v>0</v>
      </c>
      <c r="H2630" s="17"/>
    </row>
    <row r="2631" spans="2:8" s="16" customFormat="1" ht="16.899999999999999" customHeight="1" x14ac:dyDescent="0.2">
      <c r="B2631" s="17"/>
      <c r="C2631" s="83"/>
      <c r="D2631" s="83" t="s">
        <v>3605</v>
      </c>
      <c r="E2631" s="2"/>
      <c r="F2631" s="200">
        <v>12.6</v>
      </c>
      <c r="H2631" s="17"/>
    </row>
    <row r="2632" spans="2:8" s="16" customFormat="1" ht="16.899999999999999" customHeight="1" x14ac:dyDescent="0.2">
      <c r="B2632" s="17"/>
      <c r="C2632" s="83"/>
      <c r="D2632" s="83" t="s">
        <v>3606</v>
      </c>
      <c r="E2632" s="2"/>
      <c r="F2632" s="200">
        <v>0</v>
      </c>
      <c r="H2632" s="17"/>
    </row>
    <row r="2633" spans="2:8" s="16" customFormat="1" ht="16.899999999999999" customHeight="1" x14ac:dyDescent="0.2">
      <c r="B2633" s="17"/>
      <c r="C2633" s="83"/>
      <c r="D2633" s="83" t="s">
        <v>3607</v>
      </c>
      <c r="E2633" s="2"/>
      <c r="F2633" s="200">
        <v>5.54</v>
      </c>
      <c r="H2633" s="17"/>
    </row>
    <row r="2634" spans="2:8" s="16" customFormat="1" ht="16.899999999999999" customHeight="1" x14ac:dyDescent="0.2">
      <c r="B2634" s="17"/>
      <c r="C2634" s="83"/>
      <c r="D2634" s="83" t="s">
        <v>407</v>
      </c>
      <c r="E2634" s="2"/>
      <c r="F2634" s="200">
        <v>0</v>
      </c>
      <c r="H2634" s="17"/>
    </row>
    <row r="2635" spans="2:8" s="16" customFormat="1" ht="16.899999999999999" customHeight="1" x14ac:dyDescent="0.2">
      <c r="B2635" s="17"/>
      <c r="C2635" s="83"/>
      <c r="D2635" s="83" t="s">
        <v>3608</v>
      </c>
      <c r="E2635" s="2"/>
      <c r="F2635" s="200">
        <v>7.2</v>
      </c>
      <c r="H2635" s="17"/>
    </row>
    <row r="2636" spans="2:8" s="16" customFormat="1" ht="16.899999999999999" customHeight="1" x14ac:dyDescent="0.2">
      <c r="B2636" s="17"/>
      <c r="C2636" s="83"/>
      <c r="D2636" s="83" t="s">
        <v>3609</v>
      </c>
      <c r="E2636" s="2"/>
      <c r="F2636" s="200">
        <v>0</v>
      </c>
      <c r="H2636" s="17"/>
    </row>
    <row r="2637" spans="2:8" s="16" customFormat="1" ht="16.899999999999999" customHeight="1" x14ac:dyDescent="0.2">
      <c r="B2637" s="17"/>
      <c r="C2637" s="83"/>
      <c r="D2637" s="83" t="s">
        <v>3610</v>
      </c>
      <c r="E2637" s="2"/>
      <c r="F2637" s="200">
        <v>61.6</v>
      </c>
      <c r="H2637" s="17"/>
    </row>
    <row r="2638" spans="2:8" s="16" customFormat="1" ht="16.899999999999999" customHeight="1" x14ac:dyDescent="0.2">
      <c r="B2638" s="17"/>
      <c r="C2638" s="83"/>
      <c r="D2638" s="83" t="s">
        <v>3611</v>
      </c>
      <c r="E2638" s="2"/>
      <c r="F2638" s="200">
        <v>0</v>
      </c>
      <c r="H2638" s="17"/>
    </row>
    <row r="2639" spans="2:8" s="16" customFormat="1" ht="16.899999999999999" customHeight="1" x14ac:dyDescent="0.2">
      <c r="B2639" s="17"/>
      <c r="C2639" s="83"/>
      <c r="D2639" s="83" t="s">
        <v>3612</v>
      </c>
      <c r="E2639" s="2"/>
      <c r="F2639" s="200">
        <v>7.5</v>
      </c>
      <c r="H2639" s="17"/>
    </row>
    <row r="2640" spans="2:8" s="16" customFormat="1" ht="16.899999999999999" customHeight="1" x14ac:dyDescent="0.2">
      <c r="B2640" s="17"/>
      <c r="C2640" s="83"/>
      <c r="D2640" s="83" t="s">
        <v>3613</v>
      </c>
      <c r="E2640" s="2"/>
      <c r="F2640" s="200">
        <v>0</v>
      </c>
      <c r="H2640" s="17"/>
    </row>
    <row r="2641" spans="2:8" s="16" customFormat="1" ht="16.899999999999999" customHeight="1" x14ac:dyDescent="0.2">
      <c r="B2641" s="17"/>
      <c r="C2641" s="83"/>
      <c r="D2641" s="83" t="s">
        <v>3614</v>
      </c>
      <c r="E2641" s="2"/>
      <c r="F2641" s="200">
        <v>23.88</v>
      </c>
      <c r="H2641" s="17"/>
    </row>
    <row r="2642" spans="2:8" s="16" customFormat="1" ht="16.899999999999999" customHeight="1" x14ac:dyDescent="0.2">
      <c r="B2642" s="17"/>
      <c r="C2642" s="83"/>
      <c r="D2642" s="83" t="s">
        <v>3615</v>
      </c>
      <c r="E2642" s="2"/>
      <c r="F2642" s="200">
        <v>0</v>
      </c>
      <c r="H2642" s="17"/>
    </row>
    <row r="2643" spans="2:8" s="16" customFormat="1" ht="16.899999999999999" customHeight="1" x14ac:dyDescent="0.2">
      <c r="B2643" s="17"/>
      <c r="C2643" s="83"/>
      <c r="D2643" s="83" t="s">
        <v>3616</v>
      </c>
      <c r="E2643" s="2"/>
      <c r="F2643" s="200">
        <v>10.24</v>
      </c>
      <c r="H2643" s="17"/>
    </row>
    <row r="2644" spans="2:8" s="16" customFormat="1" ht="16.899999999999999" customHeight="1" x14ac:dyDescent="0.2">
      <c r="B2644" s="17"/>
      <c r="C2644" s="83"/>
      <c r="D2644" s="83" t="s">
        <v>3617</v>
      </c>
      <c r="E2644" s="2"/>
      <c r="F2644" s="200">
        <v>0</v>
      </c>
      <c r="H2644" s="17"/>
    </row>
    <row r="2645" spans="2:8" s="16" customFormat="1" ht="16.899999999999999" customHeight="1" x14ac:dyDescent="0.2">
      <c r="B2645" s="17"/>
      <c r="C2645" s="83"/>
      <c r="D2645" s="83" t="s">
        <v>3618</v>
      </c>
      <c r="E2645" s="2"/>
      <c r="F2645" s="200">
        <v>6.94</v>
      </c>
      <c r="H2645" s="17"/>
    </row>
    <row r="2646" spans="2:8" s="16" customFormat="1" ht="16.899999999999999" customHeight="1" x14ac:dyDescent="0.2">
      <c r="B2646" s="17"/>
      <c r="C2646" s="83"/>
      <c r="D2646" s="83" t="s">
        <v>405</v>
      </c>
      <c r="E2646" s="2"/>
      <c r="F2646" s="200">
        <v>0</v>
      </c>
      <c r="H2646" s="17"/>
    </row>
    <row r="2647" spans="2:8" s="16" customFormat="1" ht="16.899999999999999" customHeight="1" x14ac:dyDescent="0.2">
      <c r="B2647" s="17"/>
      <c r="C2647" s="83"/>
      <c r="D2647" s="83" t="s">
        <v>3619</v>
      </c>
      <c r="E2647" s="2"/>
      <c r="F2647" s="200">
        <v>25.92</v>
      </c>
      <c r="H2647" s="17"/>
    </row>
    <row r="2648" spans="2:8" s="16" customFormat="1" ht="16.899999999999999" customHeight="1" x14ac:dyDescent="0.2">
      <c r="B2648" s="17"/>
      <c r="C2648" s="83"/>
      <c r="D2648" s="83" t="s">
        <v>3620</v>
      </c>
      <c r="E2648" s="2"/>
      <c r="F2648" s="200">
        <v>0</v>
      </c>
      <c r="H2648" s="17"/>
    </row>
    <row r="2649" spans="2:8" s="16" customFormat="1" ht="16.899999999999999" customHeight="1" x14ac:dyDescent="0.2">
      <c r="B2649" s="17"/>
      <c r="C2649" s="83"/>
      <c r="D2649" s="83" t="s">
        <v>3621</v>
      </c>
      <c r="E2649" s="2"/>
      <c r="F2649" s="200">
        <v>35.6</v>
      </c>
      <c r="H2649" s="17"/>
    </row>
    <row r="2650" spans="2:8" s="16" customFormat="1" ht="16.899999999999999" customHeight="1" x14ac:dyDescent="0.2">
      <c r="B2650" s="17"/>
      <c r="C2650" s="83"/>
      <c r="D2650" s="83" t="s">
        <v>3622</v>
      </c>
      <c r="E2650" s="2"/>
      <c r="F2650" s="200">
        <v>0</v>
      </c>
      <c r="H2650" s="17"/>
    </row>
    <row r="2651" spans="2:8" s="16" customFormat="1" ht="16.899999999999999" customHeight="1" x14ac:dyDescent="0.2">
      <c r="B2651" s="17"/>
      <c r="C2651" s="83"/>
      <c r="D2651" s="83" t="s">
        <v>3623</v>
      </c>
      <c r="E2651" s="2"/>
      <c r="F2651" s="200">
        <v>18.12</v>
      </c>
      <c r="H2651" s="17"/>
    </row>
    <row r="2652" spans="2:8" s="16" customFormat="1" ht="16.899999999999999" customHeight="1" x14ac:dyDescent="0.2">
      <c r="B2652" s="17"/>
      <c r="C2652" s="83"/>
      <c r="D2652" s="83" t="s">
        <v>409</v>
      </c>
      <c r="E2652" s="2"/>
      <c r="F2652" s="200">
        <v>0</v>
      </c>
      <c r="H2652" s="17"/>
    </row>
    <row r="2653" spans="2:8" s="16" customFormat="1" ht="16.899999999999999" customHeight="1" x14ac:dyDescent="0.2">
      <c r="B2653" s="17"/>
      <c r="C2653" s="83"/>
      <c r="D2653" s="83" t="s">
        <v>3624</v>
      </c>
      <c r="E2653" s="2"/>
      <c r="F2653" s="200">
        <v>8.9499999999999993</v>
      </c>
      <c r="H2653" s="17"/>
    </row>
    <row r="2654" spans="2:8" s="16" customFormat="1" ht="16.899999999999999" customHeight="1" x14ac:dyDescent="0.2">
      <c r="B2654" s="17"/>
      <c r="C2654" s="83"/>
      <c r="D2654" s="83" t="s">
        <v>399</v>
      </c>
      <c r="E2654" s="2"/>
      <c r="F2654" s="200">
        <v>0</v>
      </c>
      <c r="H2654" s="17"/>
    </row>
    <row r="2655" spans="2:8" s="16" customFormat="1" ht="16.899999999999999" customHeight="1" x14ac:dyDescent="0.2">
      <c r="B2655" s="17"/>
      <c r="C2655" s="83"/>
      <c r="D2655" s="83" t="s">
        <v>3625</v>
      </c>
      <c r="E2655" s="2"/>
      <c r="F2655" s="200">
        <v>36.76</v>
      </c>
      <c r="H2655" s="17"/>
    </row>
    <row r="2656" spans="2:8" s="16" customFormat="1" ht="16.899999999999999" customHeight="1" x14ac:dyDescent="0.2">
      <c r="B2656" s="17"/>
      <c r="C2656" s="83"/>
      <c r="D2656" s="83" t="s">
        <v>3626</v>
      </c>
      <c r="E2656" s="2"/>
      <c r="F2656" s="200">
        <v>0</v>
      </c>
      <c r="H2656" s="17"/>
    </row>
    <row r="2657" spans="2:8" s="16" customFormat="1" ht="16.899999999999999" customHeight="1" x14ac:dyDescent="0.2">
      <c r="B2657" s="17"/>
      <c r="C2657" s="83"/>
      <c r="D2657" s="83" t="s">
        <v>3627</v>
      </c>
      <c r="E2657" s="2"/>
      <c r="F2657" s="200">
        <v>9.6</v>
      </c>
      <c r="H2657" s="17"/>
    </row>
    <row r="2658" spans="2:8" s="16" customFormat="1" ht="16.899999999999999" customHeight="1" x14ac:dyDescent="0.2">
      <c r="B2658" s="17"/>
      <c r="C2658" s="83"/>
      <c r="D2658" s="83" t="s">
        <v>3628</v>
      </c>
      <c r="E2658" s="2"/>
      <c r="F2658" s="200">
        <v>0</v>
      </c>
      <c r="H2658" s="17"/>
    </row>
    <row r="2659" spans="2:8" s="16" customFormat="1" ht="16.899999999999999" customHeight="1" x14ac:dyDescent="0.2">
      <c r="B2659" s="17"/>
      <c r="C2659" s="83"/>
      <c r="D2659" s="83" t="s">
        <v>3629</v>
      </c>
      <c r="E2659" s="2"/>
      <c r="F2659" s="200">
        <v>11.4</v>
      </c>
      <c r="H2659" s="17"/>
    </row>
    <row r="2660" spans="2:8" s="16" customFormat="1" ht="16.899999999999999" customHeight="1" x14ac:dyDescent="0.2">
      <c r="B2660" s="17"/>
      <c r="C2660" s="83"/>
      <c r="D2660" s="83" t="s">
        <v>3630</v>
      </c>
      <c r="E2660" s="2"/>
      <c r="F2660" s="200">
        <v>0</v>
      </c>
      <c r="H2660" s="17"/>
    </row>
    <row r="2661" spans="2:8" s="16" customFormat="1" ht="16.899999999999999" customHeight="1" x14ac:dyDescent="0.2">
      <c r="B2661" s="17"/>
      <c r="C2661" s="83"/>
      <c r="D2661" s="83" t="s">
        <v>3629</v>
      </c>
      <c r="E2661" s="2"/>
      <c r="F2661" s="200">
        <v>11.4</v>
      </c>
      <c r="H2661" s="17"/>
    </row>
    <row r="2662" spans="2:8" s="16" customFormat="1" ht="16.899999999999999" customHeight="1" x14ac:dyDescent="0.2">
      <c r="B2662" s="17"/>
      <c r="C2662" s="83"/>
      <c r="D2662" s="83" t="s">
        <v>3631</v>
      </c>
      <c r="E2662" s="2"/>
      <c r="F2662" s="200">
        <v>0</v>
      </c>
      <c r="H2662" s="17"/>
    </row>
    <row r="2663" spans="2:8" s="16" customFormat="1" ht="16.899999999999999" customHeight="1" x14ac:dyDescent="0.2">
      <c r="B2663" s="17"/>
      <c r="C2663" s="83"/>
      <c r="D2663" s="83" t="s">
        <v>3632</v>
      </c>
      <c r="E2663" s="2"/>
      <c r="F2663" s="200">
        <v>23.72</v>
      </c>
      <c r="H2663" s="17"/>
    </row>
    <row r="2664" spans="2:8" s="16" customFormat="1" ht="16.899999999999999" customHeight="1" x14ac:dyDescent="0.2">
      <c r="B2664" s="17"/>
      <c r="C2664" s="83"/>
      <c r="D2664" s="83" t="s">
        <v>3633</v>
      </c>
      <c r="E2664" s="2"/>
      <c r="F2664" s="200">
        <v>0</v>
      </c>
      <c r="H2664" s="17"/>
    </row>
    <row r="2665" spans="2:8" s="16" customFormat="1" ht="16.899999999999999" customHeight="1" x14ac:dyDescent="0.2">
      <c r="B2665" s="17"/>
      <c r="C2665" s="83"/>
      <c r="D2665" s="83" t="s">
        <v>3634</v>
      </c>
      <c r="E2665" s="2"/>
      <c r="F2665" s="200">
        <v>58</v>
      </c>
      <c r="H2665" s="17"/>
    </row>
    <row r="2666" spans="2:8" s="16" customFormat="1" ht="16.899999999999999" customHeight="1" x14ac:dyDescent="0.2">
      <c r="B2666" s="17"/>
      <c r="C2666" s="83"/>
      <c r="D2666" s="83" t="s">
        <v>3635</v>
      </c>
      <c r="E2666" s="2"/>
      <c r="F2666" s="200">
        <v>0</v>
      </c>
      <c r="H2666" s="17"/>
    </row>
    <row r="2667" spans="2:8" s="16" customFormat="1" ht="16.899999999999999" customHeight="1" x14ac:dyDescent="0.2">
      <c r="B2667" s="17"/>
      <c r="C2667" s="83"/>
      <c r="D2667" s="83" t="s">
        <v>3636</v>
      </c>
      <c r="E2667" s="2"/>
      <c r="F2667" s="200">
        <v>13.06</v>
      </c>
      <c r="H2667" s="17"/>
    </row>
    <row r="2668" spans="2:8" s="16" customFormat="1" ht="16.899999999999999" customHeight="1" x14ac:dyDescent="0.2">
      <c r="B2668" s="17"/>
      <c r="C2668" s="83"/>
      <c r="D2668" s="83" t="s">
        <v>3637</v>
      </c>
      <c r="E2668" s="2"/>
      <c r="F2668" s="200">
        <v>0</v>
      </c>
      <c r="H2668" s="17"/>
    </row>
    <row r="2669" spans="2:8" s="16" customFormat="1" ht="16.899999999999999" customHeight="1" x14ac:dyDescent="0.2">
      <c r="B2669" s="17"/>
      <c r="C2669" s="83"/>
      <c r="D2669" s="83" t="s">
        <v>3638</v>
      </c>
      <c r="E2669" s="2"/>
      <c r="F2669" s="200">
        <v>26.12</v>
      </c>
      <c r="H2669" s="17"/>
    </row>
    <row r="2670" spans="2:8" s="16" customFormat="1" ht="16.899999999999999" customHeight="1" x14ac:dyDescent="0.2">
      <c r="B2670" s="17"/>
      <c r="C2670" s="83"/>
      <c r="D2670" s="83" t="s">
        <v>3639</v>
      </c>
      <c r="E2670" s="2"/>
      <c r="F2670" s="200">
        <v>0</v>
      </c>
      <c r="H2670" s="17"/>
    </row>
    <row r="2671" spans="2:8" s="16" customFormat="1" ht="16.899999999999999" customHeight="1" x14ac:dyDescent="0.2">
      <c r="B2671" s="17"/>
      <c r="C2671" s="83"/>
      <c r="D2671" s="83" t="s">
        <v>3640</v>
      </c>
      <c r="E2671" s="2"/>
      <c r="F2671" s="200">
        <v>39.18</v>
      </c>
      <c r="H2671" s="17"/>
    </row>
    <row r="2672" spans="2:8" s="16" customFormat="1" ht="16.899999999999999" customHeight="1" x14ac:dyDescent="0.2">
      <c r="B2672" s="17"/>
      <c r="C2672" s="83"/>
      <c r="D2672" s="83" t="s">
        <v>3641</v>
      </c>
      <c r="E2672" s="2"/>
      <c r="F2672" s="200">
        <v>0</v>
      </c>
      <c r="H2672" s="17"/>
    </row>
    <row r="2673" spans="2:8" s="16" customFormat="1" ht="16.899999999999999" customHeight="1" x14ac:dyDescent="0.2">
      <c r="B2673" s="17"/>
      <c r="C2673" s="83"/>
      <c r="D2673" s="83" t="s">
        <v>3642</v>
      </c>
      <c r="E2673" s="2"/>
      <c r="F2673" s="200">
        <v>216</v>
      </c>
      <c r="H2673" s="17"/>
    </row>
    <row r="2674" spans="2:8" s="16" customFormat="1" ht="16.899999999999999" customHeight="1" x14ac:dyDescent="0.2">
      <c r="B2674" s="17"/>
      <c r="C2674" s="83"/>
      <c r="D2674" s="83" t="s">
        <v>3643</v>
      </c>
      <c r="E2674" s="2"/>
      <c r="F2674" s="200">
        <v>0</v>
      </c>
      <c r="H2674" s="17"/>
    </row>
    <row r="2675" spans="2:8" s="16" customFormat="1" ht="16.899999999999999" customHeight="1" x14ac:dyDescent="0.2">
      <c r="B2675" s="17"/>
      <c r="C2675" s="83"/>
      <c r="D2675" s="83" t="s">
        <v>3644</v>
      </c>
      <c r="E2675" s="2"/>
      <c r="F2675" s="200">
        <v>146</v>
      </c>
      <c r="H2675" s="17"/>
    </row>
    <row r="2676" spans="2:8" s="16" customFormat="1" ht="16.899999999999999" customHeight="1" x14ac:dyDescent="0.2">
      <c r="B2676" s="17"/>
      <c r="C2676" s="83"/>
      <c r="D2676" s="83" t="s">
        <v>3645</v>
      </c>
      <c r="E2676" s="2"/>
      <c r="F2676" s="200">
        <v>0</v>
      </c>
      <c r="H2676" s="17"/>
    </row>
    <row r="2677" spans="2:8" s="16" customFormat="1" ht="16.899999999999999" customHeight="1" x14ac:dyDescent="0.2">
      <c r="B2677" s="17"/>
      <c r="C2677" s="83"/>
      <c r="D2677" s="83" t="s">
        <v>3646</v>
      </c>
      <c r="E2677" s="2"/>
      <c r="F2677" s="200">
        <v>19.54</v>
      </c>
      <c r="H2677" s="17"/>
    </row>
    <row r="2678" spans="2:8" s="16" customFormat="1" ht="16.899999999999999" customHeight="1" x14ac:dyDescent="0.2">
      <c r="B2678" s="17"/>
      <c r="C2678" s="83"/>
      <c r="D2678" s="83" t="s">
        <v>3647</v>
      </c>
      <c r="E2678" s="2"/>
      <c r="F2678" s="200">
        <v>0</v>
      </c>
      <c r="H2678" s="17"/>
    </row>
    <row r="2679" spans="2:8" s="16" customFormat="1" ht="16.899999999999999" customHeight="1" x14ac:dyDescent="0.2">
      <c r="B2679" s="17"/>
      <c r="C2679" s="83"/>
      <c r="D2679" s="83" t="s">
        <v>3648</v>
      </c>
      <c r="E2679" s="2"/>
      <c r="F2679" s="200">
        <v>21.26</v>
      </c>
      <c r="H2679" s="17"/>
    </row>
    <row r="2680" spans="2:8" s="16" customFormat="1" ht="16.899999999999999" customHeight="1" x14ac:dyDescent="0.2">
      <c r="B2680" s="17"/>
      <c r="C2680" s="83"/>
      <c r="D2680" s="83" t="s">
        <v>3649</v>
      </c>
      <c r="E2680" s="2"/>
      <c r="F2680" s="200">
        <v>0</v>
      </c>
      <c r="H2680" s="17"/>
    </row>
    <row r="2681" spans="2:8" s="16" customFormat="1" ht="16.899999999999999" customHeight="1" x14ac:dyDescent="0.2">
      <c r="B2681" s="17"/>
      <c r="C2681" s="83"/>
      <c r="D2681" s="83" t="s">
        <v>3650</v>
      </c>
      <c r="E2681" s="2"/>
      <c r="F2681" s="200">
        <v>16</v>
      </c>
      <c r="H2681" s="17"/>
    </row>
    <row r="2682" spans="2:8" s="16" customFormat="1" ht="16.899999999999999" customHeight="1" x14ac:dyDescent="0.2">
      <c r="B2682" s="17"/>
      <c r="C2682" s="83"/>
      <c r="D2682" s="83" t="s">
        <v>397</v>
      </c>
      <c r="E2682" s="2"/>
      <c r="F2682" s="200">
        <v>0</v>
      </c>
      <c r="H2682" s="17"/>
    </row>
    <row r="2683" spans="2:8" s="16" customFormat="1" ht="16.899999999999999" customHeight="1" x14ac:dyDescent="0.2">
      <c r="B2683" s="17"/>
      <c r="C2683" s="83"/>
      <c r="D2683" s="83" t="s">
        <v>3651</v>
      </c>
      <c r="E2683" s="2"/>
      <c r="F2683" s="200">
        <v>369.6</v>
      </c>
      <c r="H2683" s="17"/>
    </row>
    <row r="2684" spans="2:8" s="16" customFormat="1" ht="16.899999999999999" customHeight="1" x14ac:dyDescent="0.2">
      <c r="B2684" s="17"/>
      <c r="C2684" s="83"/>
      <c r="D2684" s="83" t="s">
        <v>3652</v>
      </c>
      <c r="E2684" s="2"/>
      <c r="F2684" s="200">
        <v>0</v>
      </c>
      <c r="H2684" s="17"/>
    </row>
    <row r="2685" spans="2:8" s="16" customFormat="1" ht="16.899999999999999" customHeight="1" x14ac:dyDescent="0.2">
      <c r="B2685" s="17"/>
      <c r="C2685" s="83"/>
      <c r="D2685" s="83" t="s">
        <v>3653</v>
      </c>
      <c r="E2685" s="2"/>
      <c r="F2685" s="200">
        <v>8.14</v>
      </c>
      <c r="H2685" s="17"/>
    </row>
    <row r="2686" spans="2:8" s="16" customFormat="1" ht="16.899999999999999" customHeight="1" x14ac:dyDescent="0.2">
      <c r="B2686" s="17"/>
      <c r="C2686" s="83" t="s">
        <v>3035</v>
      </c>
      <c r="D2686" s="83" t="s">
        <v>609</v>
      </c>
      <c r="E2686" s="2"/>
      <c r="F2686" s="200">
        <v>1350.47</v>
      </c>
      <c r="H2686" s="17"/>
    </row>
    <row r="2687" spans="2:8" s="16" customFormat="1" ht="16.899999999999999" customHeight="1" x14ac:dyDescent="0.2">
      <c r="B2687" s="17"/>
      <c r="C2687" s="201" t="s">
        <v>8859</v>
      </c>
      <c r="H2687" s="17"/>
    </row>
    <row r="2688" spans="2:8" s="16" customFormat="1" ht="16.899999999999999" customHeight="1" x14ac:dyDescent="0.2">
      <c r="B2688" s="17"/>
      <c r="C2688" s="83" t="s">
        <v>3591</v>
      </c>
      <c r="D2688" s="83" t="s">
        <v>3592</v>
      </c>
      <c r="E2688" s="2" t="s">
        <v>724</v>
      </c>
      <c r="F2688" s="200">
        <v>1350.47</v>
      </c>
      <c r="H2688" s="17"/>
    </row>
    <row r="2689" spans="2:8" s="16" customFormat="1" ht="16.899999999999999" customHeight="1" x14ac:dyDescent="0.2">
      <c r="B2689" s="17"/>
      <c r="C2689" s="83" t="s">
        <v>3365</v>
      </c>
      <c r="D2689" s="83" t="s">
        <v>3366</v>
      </c>
      <c r="E2689" s="2" t="s">
        <v>425</v>
      </c>
      <c r="F2689" s="200">
        <v>3379.48</v>
      </c>
      <c r="H2689" s="17"/>
    </row>
    <row r="2690" spans="2:8" s="16" customFormat="1" ht="16.899999999999999" customHeight="1" x14ac:dyDescent="0.2">
      <c r="B2690" s="17"/>
      <c r="C2690" s="83" t="s">
        <v>3732</v>
      </c>
      <c r="D2690" s="83" t="s">
        <v>3733</v>
      </c>
      <c r="E2690" s="2" t="s">
        <v>425</v>
      </c>
      <c r="F2690" s="200">
        <v>1462.261</v>
      </c>
      <c r="H2690" s="17"/>
    </row>
    <row r="2691" spans="2:8" s="16" customFormat="1" ht="16.899999999999999" customHeight="1" x14ac:dyDescent="0.2">
      <c r="B2691" s="17"/>
      <c r="C2691" s="83" t="s">
        <v>3770</v>
      </c>
      <c r="D2691" s="83" t="s">
        <v>3771</v>
      </c>
      <c r="E2691" s="2" t="s">
        <v>425</v>
      </c>
      <c r="F2691" s="200">
        <v>1789.6020000000001</v>
      </c>
      <c r="H2691" s="17"/>
    </row>
    <row r="2692" spans="2:8" s="16" customFormat="1" ht="16.899999999999999" customHeight="1" x14ac:dyDescent="0.2">
      <c r="B2692" s="17"/>
      <c r="C2692" s="83" t="s">
        <v>3820</v>
      </c>
      <c r="D2692" s="83" t="s">
        <v>3821</v>
      </c>
      <c r="E2692" s="2" t="s">
        <v>425</v>
      </c>
      <c r="F2692" s="200">
        <v>4054.9319999999998</v>
      </c>
      <c r="H2692" s="17"/>
    </row>
    <row r="2693" spans="2:8" s="16" customFormat="1" ht="16.899999999999999" customHeight="1" x14ac:dyDescent="0.2">
      <c r="B2693" s="17"/>
      <c r="C2693" s="83" t="s">
        <v>3422</v>
      </c>
      <c r="D2693" s="83" t="s">
        <v>3423</v>
      </c>
      <c r="E2693" s="2" t="s">
        <v>425</v>
      </c>
      <c r="F2693" s="200">
        <v>212.7</v>
      </c>
      <c r="H2693" s="17"/>
    </row>
    <row r="2694" spans="2:8" s="16" customFormat="1" ht="26.45" customHeight="1" x14ac:dyDescent="0.2">
      <c r="B2694" s="17"/>
      <c r="C2694" s="195" t="s">
        <v>8863</v>
      </c>
      <c r="D2694" s="195" t="s">
        <v>103</v>
      </c>
      <c r="H2694" s="17"/>
    </row>
    <row r="2695" spans="2:8" s="16" customFormat="1" ht="16.899999999999999" customHeight="1" x14ac:dyDescent="0.2">
      <c r="B2695" s="17"/>
      <c r="C2695" s="196" t="s">
        <v>4013</v>
      </c>
      <c r="D2695" s="197"/>
      <c r="E2695" s="198"/>
      <c r="F2695" s="199">
        <v>190.62100000000001</v>
      </c>
      <c r="H2695" s="17"/>
    </row>
    <row r="2696" spans="2:8" s="16" customFormat="1" ht="16.899999999999999" customHeight="1" x14ac:dyDescent="0.2">
      <c r="B2696" s="17"/>
      <c r="C2696" s="83"/>
      <c r="D2696" s="83" t="s">
        <v>4326</v>
      </c>
      <c r="E2696" s="2"/>
      <c r="F2696" s="200">
        <v>0</v>
      </c>
      <c r="H2696" s="17"/>
    </row>
    <row r="2697" spans="2:8" s="16" customFormat="1" ht="16.899999999999999" customHeight="1" x14ac:dyDescent="0.2">
      <c r="B2697" s="17"/>
      <c r="C2697" s="83"/>
      <c r="D2697" s="83" t="s">
        <v>4327</v>
      </c>
      <c r="E2697" s="2"/>
      <c r="F2697" s="200">
        <v>0</v>
      </c>
      <c r="H2697" s="17"/>
    </row>
    <row r="2698" spans="2:8" s="16" customFormat="1" ht="16.899999999999999" customHeight="1" x14ac:dyDescent="0.2">
      <c r="B2698" s="17"/>
      <c r="C2698" s="83"/>
      <c r="D2698" s="83" t="s">
        <v>362</v>
      </c>
      <c r="E2698" s="2"/>
      <c r="F2698" s="200">
        <v>0</v>
      </c>
      <c r="H2698" s="17"/>
    </row>
    <row r="2699" spans="2:8" s="16" customFormat="1" ht="16.899999999999999" customHeight="1" x14ac:dyDescent="0.2">
      <c r="B2699" s="17"/>
      <c r="C2699" s="83"/>
      <c r="D2699" s="83" t="s">
        <v>4375</v>
      </c>
      <c r="E2699" s="2"/>
      <c r="F2699" s="200">
        <v>32.1</v>
      </c>
      <c r="H2699" s="17"/>
    </row>
    <row r="2700" spans="2:8" s="16" customFormat="1" ht="16.899999999999999" customHeight="1" x14ac:dyDescent="0.2">
      <c r="B2700" s="17"/>
      <c r="C2700" s="83"/>
      <c r="D2700" s="83" t="s">
        <v>367</v>
      </c>
      <c r="E2700" s="2"/>
      <c r="F2700" s="200">
        <v>0</v>
      </c>
      <c r="H2700" s="17"/>
    </row>
    <row r="2701" spans="2:8" s="16" customFormat="1" ht="16.899999999999999" customHeight="1" x14ac:dyDescent="0.2">
      <c r="B2701" s="17"/>
      <c r="C2701" s="83"/>
      <c r="D2701" s="83" t="s">
        <v>4376</v>
      </c>
      <c r="E2701" s="2"/>
      <c r="F2701" s="200">
        <v>38.520000000000003</v>
      </c>
      <c r="H2701" s="17"/>
    </row>
    <row r="2702" spans="2:8" s="16" customFormat="1" ht="16.899999999999999" customHeight="1" x14ac:dyDescent="0.2">
      <c r="B2702" s="17"/>
      <c r="C2702" s="83"/>
      <c r="D2702" s="83" t="s">
        <v>368</v>
      </c>
      <c r="E2702" s="2"/>
      <c r="F2702" s="200">
        <v>0</v>
      </c>
      <c r="H2702" s="17"/>
    </row>
    <row r="2703" spans="2:8" s="16" customFormat="1" ht="16.899999999999999" customHeight="1" x14ac:dyDescent="0.2">
      <c r="B2703" s="17"/>
      <c r="C2703" s="83"/>
      <c r="D2703" s="83" t="s">
        <v>4377</v>
      </c>
      <c r="E2703" s="2"/>
      <c r="F2703" s="200">
        <v>44.94</v>
      </c>
      <c r="H2703" s="17"/>
    </row>
    <row r="2704" spans="2:8" s="16" customFormat="1" ht="16.899999999999999" customHeight="1" x14ac:dyDescent="0.2">
      <c r="B2704" s="17"/>
      <c r="C2704" s="83"/>
      <c r="D2704" s="83" t="s">
        <v>370</v>
      </c>
      <c r="E2704" s="2"/>
      <c r="F2704" s="200">
        <v>0</v>
      </c>
      <c r="H2704" s="17"/>
    </row>
    <row r="2705" spans="2:8" s="16" customFormat="1" ht="16.899999999999999" customHeight="1" x14ac:dyDescent="0.2">
      <c r="B2705" s="17"/>
      <c r="C2705" s="83"/>
      <c r="D2705" s="83" t="s">
        <v>4377</v>
      </c>
      <c r="E2705" s="2"/>
      <c r="F2705" s="200">
        <v>44.94</v>
      </c>
      <c r="H2705" s="17"/>
    </row>
    <row r="2706" spans="2:8" s="16" customFormat="1" ht="16.899999999999999" customHeight="1" x14ac:dyDescent="0.2">
      <c r="B2706" s="17"/>
      <c r="C2706" s="83"/>
      <c r="D2706" s="83" t="s">
        <v>434</v>
      </c>
      <c r="E2706" s="2"/>
      <c r="F2706" s="200">
        <v>0</v>
      </c>
      <c r="H2706" s="17"/>
    </row>
    <row r="2707" spans="2:8" s="16" customFormat="1" ht="16.899999999999999" customHeight="1" x14ac:dyDescent="0.2">
      <c r="B2707" s="17"/>
      <c r="C2707" s="83"/>
      <c r="D2707" s="83" t="s">
        <v>4378</v>
      </c>
      <c r="E2707" s="2"/>
      <c r="F2707" s="200">
        <v>3.15</v>
      </c>
      <c r="H2707" s="17"/>
    </row>
    <row r="2708" spans="2:8" s="16" customFormat="1" ht="16.899999999999999" customHeight="1" x14ac:dyDescent="0.2">
      <c r="B2708" s="17"/>
      <c r="C2708" s="83"/>
      <c r="D2708" s="83" t="s">
        <v>4379</v>
      </c>
      <c r="E2708" s="2"/>
      <c r="F2708" s="200">
        <v>26.971</v>
      </c>
      <c r="H2708" s="17"/>
    </row>
    <row r="2709" spans="2:8" s="16" customFormat="1" ht="16.899999999999999" customHeight="1" x14ac:dyDescent="0.2">
      <c r="B2709" s="17"/>
      <c r="C2709" s="83" t="s">
        <v>4013</v>
      </c>
      <c r="D2709" s="83" t="s">
        <v>609</v>
      </c>
      <c r="E2709" s="2"/>
      <c r="F2709" s="200">
        <v>190.62100000000001</v>
      </c>
      <c r="H2709" s="17"/>
    </row>
    <row r="2710" spans="2:8" s="16" customFormat="1" ht="16.899999999999999" customHeight="1" x14ac:dyDescent="0.2">
      <c r="B2710" s="17"/>
      <c r="C2710" s="201" t="s">
        <v>8859</v>
      </c>
      <c r="H2710" s="17"/>
    </row>
    <row r="2711" spans="2:8" s="16" customFormat="1" ht="16.899999999999999" customHeight="1" x14ac:dyDescent="0.2">
      <c r="B2711" s="17"/>
      <c r="C2711" s="83" t="s">
        <v>4372</v>
      </c>
      <c r="D2711" s="83" t="s">
        <v>4373</v>
      </c>
      <c r="E2711" s="2" t="s">
        <v>425</v>
      </c>
      <c r="F2711" s="200">
        <v>190.62100000000001</v>
      </c>
      <c r="H2711" s="17"/>
    </row>
    <row r="2712" spans="2:8" s="16" customFormat="1" ht="22.5" x14ac:dyDescent="0.2">
      <c r="B2712" s="17"/>
      <c r="C2712" s="83" t="s">
        <v>4380</v>
      </c>
      <c r="D2712" s="83" t="s">
        <v>4381</v>
      </c>
      <c r="E2712" s="2" t="s">
        <v>425</v>
      </c>
      <c r="F2712" s="200">
        <v>209.68299999999999</v>
      </c>
      <c r="H2712" s="17"/>
    </row>
    <row r="2713" spans="2:8" s="16" customFormat="1" ht="16.899999999999999" customHeight="1" x14ac:dyDescent="0.2">
      <c r="B2713" s="17"/>
      <c r="C2713" s="196" t="s">
        <v>4009</v>
      </c>
      <c r="D2713" s="197"/>
      <c r="E2713" s="198"/>
      <c r="F2713" s="199">
        <v>316.43</v>
      </c>
      <c r="H2713" s="17"/>
    </row>
    <row r="2714" spans="2:8" s="16" customFormat="1" ht="16.899999999999999" customHeight="1" x14ac:dyDescent="0.2">
      <c r="B2714" s="17"/>
      <c r="C2714" s="83"/>
      <c r="D2714" s="83" t="s">
        <v>4351</v>
      </c>
      <c r="E2714" s="2"/>
      <c r="F2714" s="200">
        <v>0</v>
      </c>
      <c r="H2714" s="17"/>
    </row>
    <row r="2715" spans="2:8" s="16" customFormat="1" ht="16.899999999999999" customHeight="1" x14ac:dyDescent="0.2">
      <c r="B2715" s="17"/>
      <c r="C2715" s="83"/>
      <c r="D2715" s="83" t="s">
        <v>4352</v>
      </c>
      <c r="E2715" s="2"/>
      <c r="F2715" s="200">
        <v>14.4</v>
      </c>
      <c r="H2715" s="17"/>
    </row>
    <row r="2716" spans="2:8" s="16" customFormat="1" ht="16.899999999999999" customHeight="1" x14ac:dyDescent="0.2">
      <c r="B2716" s="17"/>
      <c r="C2716" s="83"/>
      <c r="D2716" s="83" t="s">
        <v>4353</v>
      </c>
      <c r="E2716" s="2"/>
      <c r="F2716" s="200">
        <v>0</v>
      </c>
      <c r="H2716" s="17"/>
    </row>
    <row r="2717" spans="2:8" s="16" customFormat="1" ht="16.899999999999999" customHeight="1" x14ac:dyDescent="0.2">
      <c r="B2717" s="17"/>
      <c r="C2717" s="83"/>
      <c r="D2717" s="83" t="s">
        <v>4354</v>
      </c>
      <c r="E2717" s="2"/>
      <c r="F2717" s="200">
        <v>244.75</v>
      </c>
      <c r="H2717" s="17"/>
    </row>
    <row r="2718" spans="2:8" s="16" customFormat="1" ht="16.899999999999999" customHeight="1" x14ac:dyDescent="0.2">
      <c r="B2718" s="17"/>
      <c r="C2718" s="83"/>
      <c r="D2718" s="83" t="s">
        <v>4355</v>
      </c>
      <c r="E2718" s="2"/>
      <c r="F2718" s="200">
        <v>0</v>
      </c>
      <c r="H2718" s="17"/>
    </row>
    <row r="2719" spans="2:8" s="16" customFormat="1" ht="16.899999999999999" customHeight="1" x14ac:dyDescent="0.2">
      <c r="B2719" s="17"/>
      <c r="C2719" s="83"/>
      <c r="D2719" s="83" t="s">
        <v>4356</v>
      </c>
      <c r="E2719" s="2"/>
      <c r="F2719" s="200">
        <v>43.78</v>
      </c>
      <c r="H2719" s="17"/>
    </row>
    <row r="2720" spans="2:8" s="16" customFormat="1" ht="16.899999999999999" customHeight="1" x14ac:dyDescent="0.2">
      <c r="B2720" s="17"/>
      <c r="C2720" s="83"/>
      <c r="D2720" s="83" t="s">
        <v>4357</v>
      </c>
      <c r="E2720" s="2"/>
      <c r="F2720" s="200">
        <v>13.5</v>
      </c>
      <c r="H2720" s="17"/>
    </row>
    <row r="2721" spans="2:8" s="16" customFormat="1" ht="16.899999999999999" customHeight="1" x14ac:dyDescent="0.2">
      <c r="B2721" s="17"/>
      <c r="C2721" s="83" t="s">
        <v>4009</v>
      </c>
      <c r="D2721" s="83" t="s">
        <v>609</v>
      </c>
      <c r="E2721" s="2"/>
      <c r="F2721" s="200">
        <v>316.43</v>
      </c>
      <c r="H2721" s="17"/>
    </row>
    <row r="2722" spans="2:8" s="16" customFormat="1" ht="16.899999999999999" customHeight="1" x14ac:dyDescent="0.2">
      <c r="B2722" s="17"/>
      <c r="C2722" s="201" t="s">
        <v>8859</v>
      </c>
      <c r="H2722" s="17"/>
    </row>
    <row r="2723" spans="2:8" s="16" customFormat="1" ht="16.899999999999999" customHeight="1" x14ac:dyDescent="0.2">
      <c r="B2723" s="17"/>
      <c r="C2723" s="83" t="s">
        <v>4348</v>
      </c>
      <c r="D2723" s="83" t="s">
        <v>4349</v>
      </c>
      <c r="E2723" s="2" t="s">
        <v>724</v>
      </c>
      <c r="F2723" s="200">
        <v>316.43</v>
      </c>
      <c r="H2723" s="17"/>
    </row>
    <row r="2724" spans="2:8" s="16" customFormat="1" ht="16.899999999999999" customHeight="1" x14ac:dyDescent="0.2">
      <c r="B2724" s="17"/>
      <c r="C2724" s="83" t="s">
        <v>1548</v>
      </c>
      <c r="D2724" s="83" t="s">
        <v>1549</v>
      </c>
      <c r="E2724" s="2" t="s">
        <v>425</v>
      </c>
      <c r="F2724" s="200">
        <v>43.719000000000001</v>
      </c>
      <c r="H2724" s="17"/>
    </row>
    <row r="2725" spans="2:8" s="16" customFormat="1" ht="16.899999999999999" customHeight="1" x14ac:dyDescent="0.2">
      <c r="B2725" s="17"/>
      <c r="C2725" s="83" t="s">
        <v>2264</v>
      </c>
      <c r="D2725" s="83" t="s">
        <v>2265</v>
      </c>
      <c r="E2725" s="2" t="s">
        <v>724</v>
      </c>
      <c r="F2725" s="200">
        <v>379.589</v>
      </c>
      <c r="H2725" s="17"/>
    </row>
    <row r="2726" spans="2:8" s="16" customFormat="1" ht="16.899999999999999" customHeight="1" x14ac:dyDescent="0.2">
      <c r="B2726" s="17"/>
      <c r="C2726" s="83" t="s">
        <v>4361</v>
      </c>
      <c r="D2726" s="83" t="s">
        <v>4362</v>
      </c>
      <c r="E2726" s="2" t="s">
        <v>724</v>
      </c>
      <c r="F2726" s="200">
        <v>348.07299999999998</v>
      </c>
      <c r="H2726" s="17"/>
    </row>
    <row r="2727" spans="2:8" s="16" customFormat="1" ht="16.899999999999999" customHeight="1" x14ac:dyDescent="0.2">
      <c r="B2727" s="17"/>
      <c r="C2727" s="196" t="s">
        <v>4015</v>
      </c>
      <c r="D2727" s="197"/>
      <c r="E2727" s="198"/>
      <c r="F2727" s="199">
        <v>83.45</v>
      </c>
      <c r="H2727" s="17"/>
    </row>
    <row r="2728" spans="2:8" s="16" customFormat="1" ht="16.899999999999999" customHeight="1" x14ac:dyDescent="0.2">
      <c r="B2728" s="17"/>
      <c r="C2728" s="201" t="s">
        <v>8859</v>
      </c>
      <c r="H2728" s="17"/>
    </row>
    <row r="2729" spans="2:8" s="16" customFormat="1" ht="16.899999999999999" customHeight="1" x14ac:dyDescent="0.2">
      <c r="B2729" s="17"/>
      <c r="C2729" s="83" t="s">
        <v>4372</v>
      </c>
      <c r="D2729" s="83" t="s">
        <v>4373</v>
      </c>
      <c r="E2729" s="2" t="s">
        <v>425</v>
      </c>
      <c r="F2729" s="200">
        <v>190.62100000000001</v>
      </c>
      <c r="H2729" s="17"/>
    </row>
    <row r="2730" spans="2:8" s="16" customFormat="1" ht="22.5" x14ac:dyDescent="0.2">
      <c r="B2730" s="17"/>
      <c r="C2730" s="83" t="s">
        <v>4391</v>
      </c>
      <c r="D2730" s="83" t="s">
        <v>4392</v>
      </c>
      <c r="E2730" s="2" t="s">
        <v>425</v>
      </c>
      <c r="F2730" s="200">
        <v>99.715000000000003</v>
      </c>
      <c r="H2730" s="17"/>
    </row>
    <row r="2731" spans="2:8" s="16" customFormat="1" ht="16.899999999999999" customHeight="1" x14ac:dyDescent="0.2">
      <c r="B2731" s="17"/>
      <c r="C2731" s="196" t="s">
        <v>4011</v>
      </c>
      <c r="D2731" s="197"/>
      <c r="E2731" s="198"/>
      <c r="F2731" s="199">
        <v>14.4</v>
      </c>
      <c r="H2731" s="17"/>
    </row>
    <row r="2732" spans="2:8" s="16" customFormat="1" ht="16.899999999999999" customHeight="1" x14ac:dyDescent="0.2">
      <c r="B2732" s="17"/>
      <c r="C2732" s="83"/>
      <c r="D2732" s="83" t="s">
        <v>4344</v>
      </c>
      <c r="E2732" s="2"/>
      <c r="F2732" s="200">
        <v>0</v>
      </c>
      <c r="H2732" s="17"/>
    </row>
    <row r="2733" spans="2:8" s="16" customFormat="1" ht="16.899999999999999" customHeight="1" x14ac:dyDescent="0.2">
      <c r="B2733" s="17"/>
      <c r="C2733" s="83"/>
      <c r="D2733" s="83" t="s">
        <v>4352</v>
      </c>
      <c r="E2733" s="2"/>
      <c r="F2733" s="200">
        <v>14.4</v>
      </c>
      <c r="H2733" s="17"/>
    </row>
    <row r="2734" spans="2:8" s="16" customFormat="1" ht="16.899999999999999" customHeight="1" x14ac:dyDescent="0.2">
      <c r="B2734" s="17"/>
      <c r="C2734" s="83" t="s">
        <v>4011</v>
      </c>
      <c r="D2734" s="83" t="s">
        <v>609</v>
      </c>
      <c r="E2734" s="2"/>
      <c r="F2734" s="200">
        <v>14.4</v>
      </c>
      <c r="H2734" s="17"/>
    </row>
    <row r="2735" spans="2:8" s="16" customFormat="1" ht="16.899999999999999" customHeight="1" x14ac:dyDescent="0.2">
      <c r="B2735" s="17"/>
      <c r="C2735" s="201" t="s">
        <v>8859</v>
      </c>
      <c r="H2735" s="17"/>
    </row>
    <row r="2736" spans="2:8" s="16" customFormat="1" ht="16.899999999999999" customHeight="1" x14ac:dyDescent="0.2">
      <c r="B2736" s="17"/>
      <c r="C2736" s="83" t="s">
        <v>4358</v>
      </c>
      <c r="D2736" s="83" t="s">
        <v>4359</v>
      </c>
      <c r="E2736" s="2" t="s">
        <v>724</v>
      </c>
      <c r="F2736" s="200">
        <v>14.4</v>
      </c>
      <c r="H2736" s="17"/>
    </row>
    <row r="2737" spans="2:8" s="16" customFormat="1" ht="16.899999999999999" customHeight="1" x14ac:dyDescent="0.2">
      <c r="B2737" s="17"/>
      <c r="C2737" s="83" t="s">
        <v>2264</v>
      </c>
      <c r="D2737" s="83" t="s">
        <v>2265</v>
      </c>
      <c r="E2737" s="2" t="s">
        <v>724</v>
      </c>
      <c r="F2737" s="200">
        <v>379.589</v>
      </c>
      <c r="H2737" s="17"/>
    </row>
    <row r="2738" spans="2:8" s="16" customFormat="1" ht="16.899999999999999" customHeight="1" x14ac:dyDescent="0.2">
      <c r="B2738" s="17"/>
      <c r="C2738" s="83" t="s">
        <v>4365</v>
      </c>
      <c r="D2738" s="83" t="s">
        <v>4366</v>
      </c>
      <c r="E2738" s="2" t="s">
        <v>724</v>
      </c>
      <c r="F2738" s="200">
        <v>69.474999999999994</v>
      </c>
      <c r="H2738" s="17"/>
    </row>
    <row r="2739" spans="2:8" s="16" customFormat="1" ht="16.899999999999999" customHeight="1" x14ac:dyDescent="0.2">
      <c r="B2739" s="17"/>
      <c r="C2739" s="196" t="s">
        <v>4007</v>
      </c>
      <c r="D2739" s="197"/>
      <c r="E2739" s="198"/>
      <c r="F2739" s="199">
        <v>48.759</v>
      </c>
      <c r="H2739" s="17"/>
    </row>
    <row r="2740" spans="2:8" s="16" customFormat="1" ht="16.899999999999999" customHeight="1" x14ac:dyDescent="0.2">
      <c r="B2740" s="17"/>
      <c r="C2740" s="83"/>
      <c r="D2740" s="83" t="s">
        <v>4344</v>
      </c>
      <c r="E2740" s="2"/>
      <c r="F2740" s="200">
        <v>0</v>
      </c>
      <c r="H2740" s="17"/>
    </row>
    <row r="2741" spans="2:8" s="16" customFormat="1" ht="16.899999999999999" customHeight="1" x14ac:dyDescent="0.2">
      <c r="B2741" s="17"/>
      <c r="C2741" s="83"/>
      <c r="D2741" s="83" t="s">
        <v>4345</v>
      </c>
      <c r="E2741" s="2"/>
      <c r="F2741" s="200">
        <v>21.428999999999998</v>
      </c>
      <c r="H2741" s="17"/>
    </row>
    <row r="2742" spans="2:8" s="16" customFormat="1" ht="16.899999999999999" customHeight="1" x14ac:dyDescent="0.2">
      <c r="B2742" s="17"/>
      <c r="C2742" s="83"/>
      <c r="D2742" s="83" t="s">
        <v>4346</v>
      </c>
      <c r="E2742" s="2"/>
      <c r="F2742" s="200">
        <v>-2.71</v>
      </c>
      <c r="H2742" s="17"/>
    </row>
    <row r="2743" spans="2:8" s="16" customFormat="1" ht="16.899999999999999" customHeight="1" x14ac:dyDescent="0.2">
      <c r="B2743" s="17"/>
      <c r="C2743" s="83"/>
      <c r="D2743" s="83" t="s">
        <v>4347</v>
      </c>
      <c r="E2743" s="2"/>
      <c r="F2743" s="200">
        <v>31.04</v>
      </c>
      <c r="H2743" s="17"/>
    </row>
    <row r="2744" spans="2:8" s="16" customFormat="1" ht="16.899999999999999" customHeight="1" x14ac:dyDescent="0.2">
      <c r="B2744" s="17"/>
      <c r="C2744" s="83"/>
      <c r="D2744" s="83" t="s">
        <v>1586</v>
      </c>
      <c r="E2744" s="2"/>
      <c r="F2744" s="200">
        <v>-1</v>
      </c>
      <c r="H2744" s="17"/>
    </row>
    <row r="2745" spans="2:8" s="16" customFormat="1" ht="16.899999999999999" customHeight="1" x14ac:dyDescent="0.2">
      <c r="B2745" s="17"/>
      <c r="C2745" s="83" t="s">
        <v>4007</v>
      </c>
      <c r="D2745" s="83" t="s">
        <v>609</v>
      </c>
      <c r="E2745" s="2"/>
      <c r="F2745" s="200">
        <v>48.759</v>
      </c>
      <c r="H2745" s="17"/>
    </row>
    <row r="2746" spans="2:8" s="16" customFormat="1" ht="16.899999999999999" customHeight="1" x14ac:dyDescent="0.2">
      <c r="B2746" s="17"/>
      <c r="C2746" s="201" t="s">
        <v>8859</v>
      </c>
      <c r="H2746" s="17"/>
    </row>
    <row r="2747" spans="2:8" s="16" customFormat="1" ht="16.899999999999999" customHeight="1" x14ac:dyDescent="0.2">
      <c r="B2747" s="17"/>
      <c r="C2747" s="83" t="s">
        <v>4341</v>
      </c>
      <c r="D2747" s="83" t="s">
        <v>4342</v>
      </c>
      <c r="E2747" s="2" t="s">
        <v>724</v>
      </c>
      <c r="F2747" s="200">
        <v>48.759</v>
      </c>
      <c r="H2747" s="17"/>
    </row>
    <row r="2748" spans="2:8" s="16" customFormat="1" ht="16.899999999999999" customHeight="1" x14ac:dyDescent="0.2">
      <c r="B2748" s="17"/>
      <c r="C2748" s="83" t="s">
        <v>1548</v>
      </c>
      <c r="D2748" s="83" t="s">
        <v>1549</v>
      </c>
      <c r="E2748" s="2" t="s">
        <v>425</v>
      </c>
      <c r="F2748" s="200">
        <v>43.719000000000001</v>
      </c>
      <c r="H2748" s="17"/>
    </row>
    <row r="2749" spans="2:8" s="16" customFormat="1" ht="16.899999999999999" customHeight="1" x14ac:dyDescent="0.2">
      <c r="B2749" s="17"/>
      <c r="C2749" s="83" t="s">
        <v>2264</v>
      </c>
      <c r="D2749" s="83" t="s">
        <v>2265</v>
      </c>
      <c r="E2749" s="2" t="s">
        <v>724</v>
      </c>
      <c r="F2749" s="200">
        <v>379.589</v>
      </c>
      <c r="H2749" s="17"/>
    </row>
    <row r="2750" spans="2:8" s="16" customFormat="1" ht="16.899999999999999" customHeight="1" x14ac:dyDescent="0.2">
      <c r="B2750" s="17"/>
      <c r="C2750" s="83" t="s">
        <v>4365</v>
      </c>
      <c r="D2750" s="83" t="s">
        <v>4366</v>
      </c>
      <c r="E2750" s="2" t="s">
        <v>724</v>
      </c>
      <c r="F2750" s="200">
        <v>69.474999999999994</v>
      </c>
      <c r="H2750" s="17"/>
    </row>
    <row r="2751" spans="2:8" s="16" customFormat="1" ht="16.899999999999999" customHeight="1" x14ac:dyDescent="0.2">
      <c r="B2751" s="17"/>
      <c r="C2751" s="196" t="s">
        <v>261</v>
      </c>
      <c r="D2751" s="197"/>
      <c r="E2751" s="198"/>
      <c r="F2751" s="199">
        <v>140.36799999999999</v>
      </c>
      <c r="H2751" s="17"/>
    </row>
    <row r="2752" spans="2:8" s="16" customFormat="1" ht="16.899999999999999" customHeight="1" x14ac:dyDescent="0.2">
      <c r="B2752" s="17"/>
      <c r="C2752" s="201" t="s">
        <v>8859</v>
      </c>
      <c r="H2752" s="17"/>
    </row>
    <row r="2753" spans="2:8" s="16" customFormat="1" ht="16.899999999999999" customHeight="1" x14ac:dyDescent="0.2">
      <c r="B2753" s="17"/>
      <c r="C2753" s="83" t="s">
        <v>4252</v>
      </c>
      <c r="D2753" s="83" t="s">
        <v>4253</v>
      </c>
      <c r="E2753" s="2" t="s">
        <v>425</v>
      </c>
      <c r="F2753" s="200">
        <v>978.38800000000003</v>
      </c>
      <c r="H2753" s="17"/>
    </row>
    <row r="2754" spans="2:8" s="16" customFormat="1" ht="16.899999999999999" customHeight="1" x14ac:dyDescent="0.2">
      <c r="B2754" s="17"/>
      <c r="C2754" s="83" t="s">
        <v>4255</v>
      </c>
      <c r="D2754" s="83" t="s">
        <v>4256</v>
      </c>
      <c r="E2754" s="2" t="s">
        <v>342</v>
      </c>
      <c r="F2754" s="200">
        <v>222.042</v>
      </c>
      <c r="H2754" s="17"/>
    </row>
    <row r="2755" spans="2:8" s="16" customFormat="1" ht="16.899999999999999" customHeight="1" x14ac:dyDescent="0.2">
      <c r="B2755" s="17"/>
      <c r="C2755" s="196" t="s">
        <v>4017</v>
      </c>
      <c r="D2755" s="197"/>
      <c r="E2755" s="198"/>
      <c r="F2755" s="199">
        <v>239.91</v>
      </c>
      <c r="H2755" s="17"/>
    </row>
    <row r="2756" spans="2:8" s="16" customFormat="1" ht="16.899999999999999" customHeight="1" x14ac:dyDescent="0.2">
      <c r="B2756" s="17"/>
      <c r="C2756" s="83"/>
      <c r="D2756" s="83" t="s">
        <v>4077</v>
      </c>
      <c r="E2756" s="2"/>
      <c r="F2756" s="200">
        <v>0</v>
      </c>
      <c r="H2756" s="17"/>
    </row>
    <row r="2757" spans="2:8" s="16" customFormat="1" ht="16.899999999999999" customHeight="1" x14ac:dyDescent="0.2">
      <c r="B2757" s="17"/>
      <c r="C2757" s="83"/>
      <c r="D2757" s="83" t="s">
        <v>4078</v>
      </c>
      <c r="E2757" s="2"/>
      <c r="F2757" s="200">
        <v>0</v>
      </c>
      <c r="H2757" s="17"/>
    </row>
    <row r="2758" spans="2:8" s="16" customFormat="1" ht="16.899999999999999" customHeight="1" x14ac:dyDescent="0.2">
      <c r="B2758" s="17"/>
      <c r="C2758" s="83"/>
      <c r="D2758" s="83" t="s">
        <v>4079</v>
      </c>
      <c r="E2758" s="2"/>
      <c r="F2758" s="200">
        <v>0</v>
      </c>
      <c r="H2758" s="17"/>
    </row>
    <row r="2759" spans="2:8" s="16" customFormat="1" ht="16.899999999999999" customHeight="1" x14ac:dyDescent="0.2">
      <c r="B2759" s="17"/>
      <c r="C2759" s="83"/>
      <c r="D2759" s="83" t="s">
        <v>4080</v>
      </c>
      <c r="E2759" s="2"/>
      <c r="F2759" s="200">
        <v>0</v>
      </c>
      <c r="H2759" s="17"/>
    </row>
    <row r="2760" spans="2:8" s="16" customFormat="1" ht="16.899999999999999" customHeight="1" x14ac:dyDescent="0.2">
      <c r="B2760" s="17"/>
      <c r="C2760" s="83"/>
      <c r="D2760" s="83" t="s">
        <v>4081</v>
      </c>
      <c r="E2760" s="2"/>
      <c r="F2760" s="200">
        <v>131.75</v>
      </c>
      <c r="H2760" s="17"/>
    </row>
    <row r="2761" spans="2:8" s="16" customFormat="1" ht="16.899999999999999" customHeight="1" x14ac:dyDescent="0.2">
      <c r="B2761" s="17"/>
      <c r="C2761" s="83"/>
      <c r="D2761" s="83" t="s">
        <v>4082</v>
      </c>
      <c r="E2761" s="2"/>
      <c r="F2761" s="200">
        <v>30.55</v>
      </c>
      <c r="H2761" s="17"/>
    </row>
    <row r="2762" spans="2:8" s="16" customFormat="1" ht="16.899999999999999" customHeight="1" x14ac:dyDescent="0.2">
      <c r="B2762" s="17"/>
      <c r="C2762" s="83"/>
      <c r="D2762" s="83" t="s">
        <v>4083</v>
      </c>
      <c r="E2762" s="2"/>
      <c r="F2762" s="200">
        <v>0</v>
      </c>
      <c r="H2762" s="17"/>
    </row>
    <row r="2763" spans="2:8" s="16" customFormat="1" ht="16.899999999999999" customHeight="1" x14ac:dyDescent="0.2">
      <c r="B2763" s="17"/>
      <c r="C2763" s="83"/>
      <c r="D2763" s="83" t="s">
        <v>4084</v>
      </c>
      <c r="E2763" s="2"/>
      <c r="F2763" s="200">
        <v>-15.77</v>
      </c>
      <c r="H2763" s="17"/>
    </row>
    <row r="2764" spans="2:8" s="16" customFormat="1" ht="16.899999999999999" customHeight="1" x14ac:dyDescent="0.2">
      <c r="B2764" s="17"/>
      <c r="C2764" s="83"/>
      <c r="D2764" s="83"/>
      <c r="E2764" s="2"/>
      <c r="F2764" s="200">
        <v>0</v>
      </c>
      <c r="H2764" s="17"/>
    </row>
    <row r="2765" spans="2:8" s="16" customFormat="1" ht="16.899999999999999" customHeight="1" x14ac:dyDescent="0.2">
      <c r="B2765" s="17"/>
      <c r="C2765" s="83"/>
      <c r="D2765" s="83" t="s">
        <v>4085</v>
      </c>
      <c r="E2765" s="2"/>
      <c r="F2765" s="200">
        <v>0</v>
      </c>
      <c r="H2765" s="17"/>
    </row>
    <row r="2766" spans="2:8" s="16" customFormat="1" ht="16.899999999999999" customHeight="1" x14ac:dyDescent="0.2">
      <c r="B2766" s="17"/>
      <c r="C2766" s="83"/>
      <c r="D2766" s="83" t="s">
        <v>4086</v>
      </c>
      <c r="E2766" s="2"/>
      <c r="F2766" s="200">
        <v>93.38</v>
      </c>
      <c r="H2766" s="17"/>
    </row>
    <row r="2767" spans="2:8" s="16" customFormat="1" ht="16.899999999999999" customHeight="1" x14ac:dyDescent="0.2">
      <c r="B2767" s="17"/>
      <c r="C2767" s="83" t="s">
        <v>4017</v>
      </c>
      <c r="D2767" s="83" t="s">
        <v>609</v>
      </c>
      <c r="E2767" s="2"/>
      <c r="F2767" s="200">
        <v>239.91</v>
      </c>
      <c r="H2767" s="17"/>
    </row>
    <row r="2768" spans="2:8" s="16" customFormat="1" ht="16.899999999999999" customHeight="1" x14ac:dyDescent="0.2">
      <c r="B2768" s="17"/>
      <c r="C2768" s="201" t="s">
        <v>8859</v>
      </c>
      <c r="H2768" s="17"/>
    </row>
    <row r="2769" spans="2:8" s="16" customFormat="1" ht="16.899999999999999" customHeight="1" x14ac:dyDescent="0.2">
      <c r="B2769" s="17"/>
      <c r="C2769" s="83" t="s">
        <v>4074</v>
      </c>
      <c r="D2769" s="83" t="s">
        <v>4075</v>
      </c>
      <c r="E2769" s="2" t="s">
        <v>425</v>
      </c>
      <c r="F2769" s="200">
        <v>1695.24</v>
      </c>
      <c r="H2769" s="17"/>
    </row>
    <row r="2770" spans="2:8" s="16" customFormat="1" ht="16.899999999999999" customHeight="1" x14ac:dyDescent="0.2">
      <c r="B2770" s="17"/>
      <c r="C2770" s="83" t="s">
        <v>4063</v>
      </c>
      <c r="D2770" s="83" t="s">
        <v>4064</v>
      </c>
      <c r="E2770" s="2" t="s">
        <v>425</v>
      </c>
      <c r="F2770" s="200">
        <v>857.22</v>
      </c>
      <c r="H2770" s="17"/>
    </row>
    <row r="2771" spans="2:8" s="16" customFormat="1" ht="16.899999999999999" customHeight="1" x14ac:dyDescent="0.2">
      <c r="B2771" s="17"/>
      <c r="C2771" s="83" t="s">
        <v>4071</v>
      </c>
      <c r="D2771" s="83" t="s">
        <v>4072</v>
      </c>
      <c r="E2771" s="2" t="s">
        <v>425</v>
      </c>
      <c r="F2771" s="200">
        <v>325.05</v>
      </c>
      <c r="H2771" s="17"/>
    </row>
    <row r="2772" spans="2:8" s="16" customFormat="1" ht="16.899999999999999" customHeight="1" x14ac:dyDescent="0.2">
      <c r="B2772" s="17"/>
      <c r="C2772" s="83" t="s">
        <v>4241</v>
      </c>
      <c r="D2772" s="83" t="s">
        <v>4242</v>
      </c>
      <c r="E2772" s="2" t="s">
        <v>425</v>
      </c>
      <c r="F2772" s="200">
        <v>812.1</v>
      </c>
      <c r="H2772" s="17"/>
    </row>
    <row r="2773" spans="2:8" s="16" customFormat="1" ht="16.899999999999999" customHeight="1" x14ac:dyDescent="0.2">
      <c r="B2773" s="17"/>
      <c r="C2773" s="83" t="s">
        <v>4252</v>
      </c>
      <c r="D2773" s="83" t="s">
        <v>4253</v>
      </c>
      <c r="E2773" s="2" t="s">
        <v>425</v>
      </c>
      <c r="F2773" s="200">
        <v>978.38800000000003</v>
      </c>
      <c r="H2773" s="17"/>
    </row>
    <row r="2774" spans="2:8" s="16" customFormat="1" ht="16.899999999999999" customHeight="1" x14ac:dyDescent="0.2">
      <c r="B2774" s="17"/>
      <c r="C2774" s="83" t="s">
        <v>871</v>
      </c>
      <c r="D2774" s="83" t="s">
        <v>872</v>
      </c>
      <c r="E2774" s="2" t="s">
        <v>425</v>
      </c>
      <c r="F2774" s="200">
        <v>285.74</v>
      </c>
      <c r="H2774" s="17"/>
    </row>
    <row r="2775" spans="2:8" s="16" customFormat="1" ht="16.899999999999999" customHeight="1" x14ac:dyDescent="0.2">
      <c r="B2775" s="17"/>
      <c r="C2775" s="83" t="s">
        <v>951</v>
      </c>
      <c r="D2775" s="83" t="s">
        <v>952</v>
      </c>
      <c r="E2775" s="2" t="s">
        <v>425</v>
      </c>
      <c r="F2775" s="200">
        <v>325.05</v>
      </c>
      <c r="H2775" s="17"/>
    </row>
    <row r="2776" spans="2:8" s="16" customFormat="1" ht="16.899999999999999" customHeight="1" x14ac:dyDescent="0.2">
      <c r="B2776" s="17"/>
      <c r="C2776" s="83" t="s">
        <v>4244</v>
      </c>
      <c r="D2776" s="83" t="s">
        <v>4245</v>
      </c>
      <c r="E2776" s="2" t="s">
        <v>425</v>
      </c>
      <c r="F2776" s="200">
        <v>790.524</v>
      </c>
      <c r="H2776" s="17"/>
    </row>
    <row r="2777" spans="2:8" s="16" customFormat="1" ht="16.899999999999999" customHeight="1" x14ac:dyDescent="0.2">
      <c r="B2777" s="17"/>
      <c r="C2777" s="83" t="s">
        <v>4255</v>
      </c>
      <c r="D2777" s="83" t="s">
        <v>4256</v>
      </c>
      <c r="E2777" s="2" t="s">
        <v>342</v>
      </c>
      <c r="F2777" s="200">
        <v>222.042</v>
      </c>
      <c r="H2777" s="17"/>
    </row>
    <row r="2778" spans="2:8" s="16" customFormat="1" ht="22.5" x14ac:dyDescent="0.2">
      <c r="B2778" s="17"/>
      <c r="C2778" s="83" t="s">
        <v>3878</v>
      </c>
      <c r="D2778" s="83" t="s">
        <v>3879</v>
      </c>
      <c r="E2778" s="2" t="s">
        <v>425</v>
      </c>
      <c r="F2778" s="200">
        <v>1377.317</v>
      </c>
      <c r="H2778" s="17"/>
    </row>
    <row r="2779" spans="2:8" s="16" customFormat="1" ht="16.899999999999999" customHeight="1" x14ac:dyDescent="0.2">
      <c r="B2779" s="17"/>
      <c r="C2779" s="83" t="s">
        <v>4161</v>
      </c>
      <c r="D2779" s="83" t="s">
        <v>4162</v>
      </c>
      <c r="E2779" s="2" t="s">
        <v>425</v>
      </c>
      <c r="F2779" s="200">
        <v>1377.317</v>
      </c>
      <c r="H2779" s="17"/>
    </row>
    <row r="2780" spans="2:8" s="16" customFormat="1" ht="22.5" x14ac:dyDescent="0.2">
      <c r="B2780" s="17"/>
      <c r="C2780" s="83" t="s">
        <v>4165</v>
      </c>
      <c r="D2780" s="83" t="s">
        <v>4166</v>
      </c>
      <c r="E2780" s="2" t="s">
        <v>425</v>
      </c>
      <c r="F2780" s="200">
        <v>1353.317</v>
      </c>
      <c r="H2780" s="17"/>
    </row>
    <row r="2781" spans="2:8" s="16" customFormat="1" ht="16.899999999999999" customHeight="1" x14ac:dyDescent="0.2">
      <c r="B2781" s="17"/>
      <c r="C2781" s="196" t="s">
        <v>4019</v>
      </c>
      <c r="D2781" s="197"/>
      <c r="E2781" s="198"/>
      <c r="F2781" s="199">
        <v>120.461</v>
      </c>
      <c r="H2781" s="17"/>
    </row>
    <row r="2782" spans="2:8" s="16" customFormat="1" ht="16.899999999999999" customHeight="1" x14ac:dyDescent="0.2">
      <c r="B2782" s="17"/>
      <c r="C2782" s="83"/>
      <c r="D2782" s="83" t="s">
        <v>4077</v>
      </c>
      <c r="E2782" s="2"/>
      <c r="F2782" s="200">
        <v>0</v>
      </c>
      <c r="H2782" s="17"/>
    </row>
    <row r="2783" spans="2:8" s="16" customFormat="1" ht="16.899999999999999" customHeight="1" x14ac:dyDescent="0.2">
      <c r="B2783" s="17"/>
      <c r="C2783" s="83"/>
      <c r="D2783" s="83" t="s">
        <v>4079</v>
      </c>
      <c r="E2783" s="2"/>
      <c r="F2783" s="200">
        <v>0</v>
      </c>
      <c r="H2783" s="17"/>
    </row>
    <row r="2784" spans="2:8" s="16" customFormat="1" ht="16.899999999999999" customHeight="1" x14ac:dyDescent="0.2">
      <c r="B2784" s="17"/>
      <c r="C2784" s="83"/>
      <c r="D2784" s="83" t="s">
        <v>4123</v>
      </c>
      <c r="E2784" s="2"/>
      <c r="F2784" s="200">
        <v>0</v>
      </c>
      <c r="H2784" s="17"/>
    </row>
    <row r="2785" spans="2:8" s="16" customFormat="1" ht="16.899999999999999" customHeight="1" x14ac:dyDescent="0.2">
      <c r="B2785" s="17"/>
      <c r="C2785" s="83"/>
      <c r="D2785" s="83" t="s">
        <v>4124</v>
      </c>
      <c r="E2785" s="2"/>
      <c r="F2785" s="200">
        <v>0</v>
      </c>
      <c r="H2785" s="17"/>
    </row>
    <row r="2786" spans="2:8" s="16" customFormat="1" ht="16.899999999999999" customHeight="1" x14ac:dyDescent="0.2">
      <c r="B2786" s="17"/>
      <c r="C2786" s="83"/>
      <c r="D2786" s="83" t="s">
        <v>4125</v>
      </c>
      <c r="E2786" s="2"/>
      <c r="F2786" s="200">
        <v>55.25</v>
      </c>
      <c r="H2786" s="17"/>
    </row>
    <row r="2787" spans="2:8" s="16" customFormat="1" ht="16.899999999999999" customHeight="1" x14ac:dyDescent="0.2">
      <c r="B2787" s="17"/>
      <c r="C2787" s="83"/>
      <c r="D2787" s="83" t="s">
        <v>4126</v>
      </c>
      <c r="E2787" s="2"/>
      <c r="F2787" s="200">
        <v>0</v>
      </c>
      <c r="H2787" s="17"/>
    </row>
    <row r="2788" spans="2:8" s="16" customFormat="1" ht="16.899999999999999" customHeight="1" x14ac:dyDescent="0.2">
      <c r="B2788" s="17"/>
      <c r="C2788" s="83"/>
      <c r="D2788" s="83" t="s">
        <v>4127</v>
      </c>
      <c r="E2788" s="2"/>
      <c r="F2788" s="200">
        <v>7.95</v>
      </c>
      <c r="H2788" s="17"/>
    </row>
    <row r="2789" spans="2:8" s="16" customFormat="1" ht="16.899999999999999" customHeight="1" x14ac:dyDescent="0.2">
      <c r="B2789" s="17"/>
      <c r="C2789" s="83"/>
      <c r="D2789" s="83"/>
      <c r="E2789" s="2"/>
      <c r="F2789" s="200">
        <v>0</v>
      </c>
      <c r="H2789" s="17"/>
    </row>
    <row r="2790" spans="2:8" s="16" customFormat="1" ht="16.899999999999999" customHeight="1" x14ac:dyDescent="0.2">
      <c r="B2790" s="17"/>
      <c r="C2790" s="83"/>
      <c r="D2790" s="83" t="s">
        <v>4085</v>
      </c>
      <c r="E2790" s="2"/>
      <c r="F2790" s="200">
        <v>0</v>
      </c>
      <c r="H2790" s="17"/>
    </row>
    <row r="2791" spans="2:8" s="16" customFormat="1" ht="16.899999999999999" customHeight="1" x14ac:dyDescent="0.2">
      <c r="B2791" s="17"/>
      <c r="C2791" s="83"/>
      <c r="D2791" s="83" t="s">
        <v>4128</v>
      </c>
      <c r="E2791" s="2"/>
      <c r="F2791" s="200">
        <v>0</v>
      </c>
      <c r="H2791" s="17"/>
    </row>
    <row r="2792" spans="2:8" s="16" customFormat="1" ht="16.899999999999999" customHeight="1" x14ac:dyDescent="0.2">
      <c r="B2792" s="17"/>
      <c r="C2792" s="83"/>
      <c r="D2792" s="83" t="s">
        <v>4129</v>
      </c>
      <c r="E2792" s="2"/>
      <c r="F2792" s="200">
        <v>49.070999999999998</v>
      </c>
      <c r="H2792" s="17"/>
    </row>
    <row r="2793" spans="2:8" s="16" customFormat="1" ht="16.899999999999999" customHeight="1" x14ac:dyDescent="0.2">
      <c r="B2793" s="17"/>
      <c r="C2793" s="83"/>
      <c r="D2793" s="83" t="s">
        <v>4130</v>
      </c>
      <c r="E2793" s="2"/>
      <c r="F2793" s="200">
        <v>0</v>
      </c>
      <c r="H2793" s="17"/>
    </row>
    <row r="2794" spans="2:8" s="16" customFormat="1" ht="16.899999999999999" customHeight="1" x14ac:dyDescent="0.2">
      <c r="B2794" s="17"/>
      <c r="C2794" s="83"/>
      <c r="D2794" s="83" t="s">
        <v>4131</v>
      </c>
      <c r="E2794" s="2"/>
      <c r="F2794" s="200">
        <v>8.19</v>
      </c>
      <c r="H2794" s="17"/>
    </row>
    <row r="2795" spans="2:8" s="16" customFormat="1" ht="16.899999999999999" customHeight="1" x14ac:dyDescent="0.2">
      <c r="B2795" s="17"/>
      <c r="C2795" s="83" t="s">
        <v>4019</v>
      </c>
      <c r="D2795" s="83" t="s">
        <v>609</v>
      </c>
      <c r="E2795" s="2"/>
      <c r="F2795" s="200">
        <v>120.461</v>
      </c>
      <c r="H2795" s="17"/>
    </row>
    <row r="2796" spans="2:8" s="16" customFormat="1" ht="16.899999999999999" customHeight="1" x14ac:dyDescent="0.2">
      <c r="B2796" s="17"/>
      <c r="C2796" s="201" t="s">
        <v>8859</v>
      </c>
      <c r="H2796" s="17"/>
    </row>
    <row r="2797" spans="2:8" s="16" customFormat="1" ht="16.899999999999999" customHeight="1" x14ac:dyDescent="0.2">
      <c r="B2797" s="17"/>
      <c r="C2797" s="83" t="s">
        <v>4120</v>
      </c>
      <c r="D2797" s="83" t="s">
        <v>4121</v>
      </c>
      <c r="E2797" s="2" t="s">
        <v>425</v>
      </c>
      <c r="F2797" s="200">
        <v>977.18299999999999</v>
      </c>
      <c r="H2797" s="17"/>
    </row>
    <row r="2798" spans="2:8" s="16" customFormat="1" ht="16.899999999999999" customHeight="1" x14ac:dyDescent="0.2">
      <c r="B2798" s="17"/>
      <c r="C2798" s="83" t="s">
        <v>4115</v>
      </c>
      <c r="D2798" s="83" t="s">
        <v>4116</v>
      </c>
      <c r="E2798" s="2" t="s">
        <v>425</v>
      </c>
      <c r="F2798" s="200">
        <v>326.26100000000002</v>
      </c>
      <c r="H2798" s="17"/>
    </row>
    <row r="2799" spans="2:8" s="16" customFormat="1" ht="22.5" x14ac:dyDescent="0.2">
      <c r="B2799" s="17"/>
      <c r="C2799" s="83" t="s">
        <v>3878</v>
      </c>
      <c r="D2799" s="83" t="s">
        <v>3879</v>
      </c>
      <c r="E2799" s="2" t="s">
        <v>425</v>
      </c>
      <c r="F2799" s="200">
        <v>1377.317</v>
      </c>
      <c r="H2799" s="17"/>
    </row>
    <row r="2800" spans="2:8" s="16" customFormat="1" ht="16.899999999999999" customHeight="1" x14ac:dyDescent="0.2">
      <c r="B2800" s="17"/>
      <c r="C2800" s="83" t="s">
        <v>4161</v>
      </c>
      <c r="D2800" s="83" t="s">
        <v>4162</v>
      </c>
      <c r="E2800" s="2" t="s">
        <v>425</v>
      </c>
      <c r="F2800" s="200">
        <v>1377.317</v>
      </c>
      <c r="H2800" s="17"/>
    </row>
    <row r="2801" spans="2:8" s="16" customFormat="1" ht="22.5" x14ac:dyDescent="0.2">
      <c r="B2801" s="17"/>
      <c r="C2801" s="83" t="s">
        <v>4165</v>
      </c>
      <c r="D2801" s="83" t="s">
        <v>4166</v>
      </c>
      <c r="E2801" s="2" t="s">
        <v>425</v>
      </c>
      <c r="F2801" s="200">
        <v>1353.317</v>
      </c>
      <c r="H2801" s="17"/>
    </row>
    <row r="2802" spans="2:8" s="16" customFormat="1" ht="16.899999999999999" customHeight="1" x14ac:dyDescent="0.2">
      <c r="B2802" s="17"/>
      <c r="C2802" s="196" t="s">
        <v>4021</v>
      </c>
      <c r="D2802" s="197"/>
      <c r="E2802" s="198"/>
      <c r="F2802" s="199">
        <v>59.22</v>
      </c>
      <c r="H2802" s="17"/>
    </row>
    <row r="2803" spans="2:8" s="16" customFormat="1" ht="16.899999999999999" customHeight="1" x14ac:dyDescent="0.2">
      <c r="B2803" s="17"/>
      <c r="C2803" s="83"/>
      <c r="D2803" s="83"/>
      <c r="E2803" s="2"/>
      <c r="F2803" s="200">
        <v>0</v>
      </c>
      <c r="H2803" s="17"/>
    </row>
    <row r="2804" spans="2:8" s="16" customFormat="1" ht="16.899999999999999" customHeight="1" x14ac:dyDescent="0.2">
      <c r="B2804" s="17"/>
      <c r="C2804" s="83"/>
      <c r="D2804" s="83" t="s">
        <v>4087</v>
      </c>
      <c r="E2804" s="2"/>
      <c r="F2804" s="200">
        <v>0</v>
      </c>
      <c r="H2804" s="17"/>
    </row>
    <row r="2805" spans="2:8" s="16" customFormat="1" ht="16.899999999999999" customHeight="1" x14ac:dyDescent="0.2">
      <c r="B2805" s="17"/>
      <c r="C2805" s="83"/>
      <c r="D2805" s="83" t="s">
        <v>4088</v>
      </c>
      <c r="E2805" s="2"/>
      <c r="F2805" s="200">
        <v>59.22</v>
      </c>
      <c r="H2805" s="17"/>
    </row>
    <row r="2806" spans="2:8" s="16" customFormat="1" ht="16.899999999999999" customHeight="1" x14ac:dyDescent="0.2">
      <c r="B2806" s="17"/>
      <c r="C2806" s="83" t="s">
        <v>4021</v>
      </c>
      <c r="D2806" s="83" t="s">
        <v>609</v>
      </c>
      <c r="E2806" s="2"/>
      <c r="F2806" s="200">
        <v>59.22</v>
      </c>
      <c r="H2806" s="17"/>
    </row>
    <row r="2807" spans="2:8" s="16" customFormat="1" ht="16.899999999999999" customHeight="1" x14ac:dyDescent="0.2">
      <c r="B2807" s="17"/>
      <c r="C2807" s="201" t="s">
        <v>8859</v>
      </c>
      <c r="H2807" s="17"/>
    </row>
    <row r="2808" spans="2:8" s="16" customFormat="1" ht="16.899999999999999" customHeight="1" x14ac:dyDescent="0.2">
      <c r="B2808" s="17"/>
      <c r="C2808" s="83" t="s">
        <v>4074</v>
      </c>
      <c r="D2808" s="83" t="s">
        <v>4075</v>
      </c>
      <c r="E2808" s="2" t="s">
        <v>425</v>
      </c>
      <c r="F2808" s="200">
        <v>1695.24</v>
      </c>
      <c r="H2808" s="17"/>
    </row>
    <row r="2809" spans="2:8" s="16" customFormat="1" ht="16.899999999999999" customHeight="1" x14ac:dyDescent="0.2">
      <c r="B2809" s="17"/>
      <c r="C2809" s="83" t="s">
        <v>4063</v>
      </c>
      <c r="D2809" s="83" t="s">
        <v>4064</v>
      </c>
      <c r="E2809" s="2" t="s">
        <v>425</v>
      </c>
      <c r="F2809" s="200">
        <v>857.22</v>
      </c>
      <c r="H2809" s="17"/>
    </row>
    <row r="2810" spans="2:8" s="16" customFormat="1" ht="16.899999999999999" customHeight="1" x14ac:dyDescent="0.2">
      <c r="B2810" s="17"/>
      <c r="C2810" s="83" t="s">
        <v>4071</v>
      </c>
      <c r="D2810" s="83" t="s">
        <v>4072</v>
      </c>
      <c r="E2810" s="2" t="s">
        <v>425</v>
      </c>
      <c r="F2810" s="200">
        <v>325.05</v>
      </c>
      <c r="H2810" s="17"/>
    </row>
    <row r="2811" spans="2:8" s="16" customFormat="1" ht="16.899999999999999" customHeight="1" x14ac:dyDescent="0.2">
      <c r="B2811" s="17"/>
      <c r="C2811" s="83" t="s">
        <v>4241</v>
      </c>
      <c r="D2811" s="83" t="s">
        <v>4242</v>
      </c>
      <c r="E2811" s="2" t="s">
        <v>425</v>
      </c>
      <c r="F2811" s="200">
        <v>812.1</v>
      </c>
      <c r="H2811" s="17"/>
    </row>
    <row r="2812" spans="2:8" s="16" customFormat="1" ht="16.899999999999999" customHeight="1" x14ac:dyDescent="0.2">
      <c r="B2812" s="17"/>
      <c r="C2812" s="83" t="s">
        <v>4252</v>
      </c>
      <c r="D2812" s="83" t="s">
        <v>4253</v>
      </c>
      <c r="E2812" s="2" t="s">
        <v>425</v>
      </c>
      <c r="F2812" s="200">
        <v>978.38800000000003</v>
      </c>
      <c r="H2812" s="17"/>
    </row>
    <row r="2813" spans="2:8" s="16" customFormat="1" ht="16.899999999999999" customHeight="1" x14ac:dyDescent="0.2">
      <c r="B2813" s="17"/>
      <c r="C2813" s="83" t="s">
        <v>871</v>
      </c>
      <c r="D2813" s="83" t="s">
        <v>872</v>
      </c>
      <c r="E2813" s="2" t="s">
        <v>425</v>
      </c>
      <c r="F2813" s="200">
        <v>285.74</v>
      </c>
      <c r="H2813" s="17"/>
    </row>
    <row r="2814" spans="2:8" s="16" customFormat="1" ht="16.899999999999999" customHeight="1" x14ac:dyDescent="0.2">
      <c r="B2814" s="17"/>
      <c r="C2814" s="83" t="s">
        <v>951</v>
      </c>
      <c r="D2814" s="83" t="s">
        <v>952</v>
      </c>
      <c r="E2814" s="2" t="s">
        <v>425</v>
      </c>
      <c r="F2814" s="200">
        <v>325.05</v>
      </c>
      <c r="H2814" s="17"/>
    </row>
    <row r="2815" spans="2:8" s="16" customFormat="1" ht="16.899999999999999" customHeight="1" x14ac:dyDescent="0.2">
      <c r="B2815" s="17"/>
      <c r="C2815" s="83" t="s">
        <v>4249</v>
      </c>
      <c r="D2815" s="83" t="s">
        <v>4250</v>
      </c>
      <c r="E2815" s="2" t="s">
        <v>425</v>
      </c>
      <c r="F2815" s="200">
        <v>59.22</v>
      </c>
      <c r="H2815" s="17"/>
    </row>
    <row r="2816" spans="2:8" s="16" customFormat="1" ht="16.899999999999999" customHeight="1" x14ac:dyDescent="0.2">
      <c r="B2816" s="17"/>
      <c r="C2816" s="83" t="s">
        <v>4255</v>
      </c>
      <c r="D2816" s="83" t="s">
        <v>4256</v>
      </c>
      <c r="E2816" s="2" t="s">
        <v>342</v>
      </c>
      <c r="F2816" s="200">
        <v>222.042</v>
      </c>
      <c r="H2816" s="17"/>
    </row>
    <row r="2817" spans="2:8" s="16" customFormat="1" ht="22.5" x14ac:dyDescent="0.2">
      <c r="B2817" s="17"/>
      <c r="C2817" s="83" t="s">
        <v>3878</v>
      </c>
      <c r="D2817" s="83" t="s">
        <v>3879</v>
      </c>
      <c r="E2817" s="2" t="s">
        <v>425</v>
      </c>
      <c r="F2817" s="200">
        <v>1377.317</v>
      </c>
      <c r="H2817" s="17"/>
    </row>
    <row r="2818" spans="2:8" s="16" customFormat="1" ht="16.899999999999999" customHeight="1" x14ac:dyDescent="0.2">
      <c r="B2818" s="17"/>
      <c r="C2818" s="83" t="s">
        <v>4161</v>
      </c>
      <c r="D2818" s="83" t="s">
        <v>4162</v>
      </c>
      <c r="E2818" s="2" t="s">
        <v>425</v>
      </c>
      <c r="F2818" s="200">
        <v>1377.317</v>
      </c>
      <c r="H2818" s="17"/>
    </row>
    <row r="2819" spans="2:8" s="16" customFormat="1" ht="22.5" x14ac:dyDescent="0.2">
      <c r="B2819" s="17"/>
      <c r="C2819" s="83" t="s">
        <v>4165</v>
      </c>
      <c r="D2819" s="83" t="s">
        <v>4166</v>
      </c>
      <c r="E2819" s="2" t="s">
        <v>425</v>
      </c>
      <c r="F2819" s="200">
        <v>1353.317</v>
      </c>
      <c r="H2819" s="17"/>
    </row>
    <row r="2820" spans="2:8" s="16" customFormat="1" ht="16.899999999999999" customHeight="1" x14ac:dyDescent="0.2">
      <c r="B2820" s="17"/>
      <c r="C2820" s="196" t="s">
        <v>4024</v>
      </c>
      <c r="D2820" s="197"/>
      <c r="E2820" s="198"/>
      <c r="F2820" s="199">
        <v>34.6</v>
      </c>
      <c r="H2820" s="17"/>
    </row>
    <row r="2821" spans="2:8" s="16" customFormat="1" ht="16.899999999999999" customHeight="1" x14ac:dyDescent="0.2">
      <c r="B2821" s="17"/>
      <c r="C2821" s="83"/>
      <c r="D2821" s="83"/>
      <c r="E2821" s="2"/>
      <c r="F2821" s="200">
        <v>0</v>
      </c>
      <c r="H2821" s="17"/>
    </row>
    <row r="2822" spans="2:8" s="16" customFormat="1" ht="16.899999999999999" customHeight="1" x14ac:dyDescent="0.2">
      <c r="B2822" s="17"/>
      <c r="C2822" s="83"/>
      <c r="D2822" s="83" t="s">
        <v>4132</v>
      </c>
      <c r="E2822" s="2"/>
      <c r="F2822" s="200">
        <v>0</v>
      </c>
      <c r="H2822" s="17"/>
    </row>
    <row r="2823" spans="2:8" s="16" customFormat="1" ht="16.899999999999999" customHeight="1" x14ac:dyDescent="0.2">
      <c r="B2823" s="17"/>
      <c r="C2823" s="83"/>
      <c r="D2823" s="83" t="s">
        <v>4133</v>
      </c>
      <c r="E2823" s="2"/>
      <c r="F2823" s="200">
        <v>0</v>
      </c>
      <c r="H2823" s="17"/>
    </row>
    <row r="2824" spans="2:8" s="16" customFormat="1" ht="16.899999999999999" customHeight="1" x14ac:dyDescent="0.2">
      <c r="B2824" s="17"/>
      <c r="C2824" s="83"/>
      <c r="D2824" s="83" t="s">
        <v>4134</v>
      </c>
      <c r="E2824" s="2"/>
      <c r="F2824" s="200">
        <v>29.9</v>
      </c>
      <c r="H2824" s="17"/>
    </row>
    <row r="2825" spans="2:8" s="16" customFormat="1" ht="16.899999999999999" customHeight="1" x14ac:dyDescent="0.2">
      <c r="B2825" s="17"/>
      <c r="C2825" s="83"/>
      <c r="D2825" s="83" t="s">
        <v>4135</v>
      </c>
      <c r="E2825" s="2"/>
      <c r="F2825" s="200">
        <v>0</v>
      </c>
      <c r="H2825" s="17"/>
    </row>
    <row r="2826" spans="2:8" s="16" customFormat="1" ht="16.899999999999999" customHeight="1" x14ac:dyDescent="0.2">
      <c r="B2826" s="17"/>
      <c r="C2826" s="83"/>
      <c r="D2826" s="83" t="s">
        <v>4136</v>
      </c>
      <c r="E2826" s="2"/>
      <c r="F2826" s="200">
        <v>4.7</v>
      </c>
      <c r="H2826" s="17"/>
    </row>
    <row r="2827" spans="2:8" s="16" customFormat="1" ht="16.899999999999999" customHeight="1" x14ac:dyDescent="0.2">
      <c r="B2827" s="17"/>
      <c r="C2827" s="83" t="s">
        <v>4024</v>
      </c>
      <c r="D2827" s="83" t="s">
        <v>609</v>
      </c>
      <c r="E2827" s="2"/>
      <c r="F2827" s="200">
        <v>34.6</v>
      </c>
      <c r="H2827" s="17"/>
    </row>
    <row r="2828" spans="2:8" s="16" customFormat="1" ht="16.899999999999999" customHeight="1" x14ac:dyDescent="0.2">
      <c r="B2828" s="17"/>
      <c r="C2828" s="201" t="s">
        <v>8859</v>
      </c>
      <c r="H2828" s="17"/>
    </row>
    <row r="2829" spans="2:8" s="16" customFormat="1" ht="16.899999999999999" customHeight="1" x14ac:dyDescent="0.2">
      <c r="B2829" s="17"/>
      <c r="C2829" s="83" t="s">
        <v>4120</v>
      </c>
      <c r="D2829" s="83" t="s">
        <v>4121</v>
      </c>
      <c r="E2829" s="2" t="s">
        <v>425</v>
      </c>
      <c r="F2829" s="200">
        <v>977.18299999999999</v>
      </c>
      <c r="H2829" s="17"/>
    </row>
    <row r="2830" spans="2:8" s="16" customFormat="1" ht="16.899999999999999" customHeight="1" x14ac:dyDescent="0.2">
      <c r="B2830" s="17"/>
      <c r="C2830" s="83" t="s">
        <v>4115</v>
      </c>
      <c r="D2830" s="83" t="s">
        <v>4116</v>
      </c>
      <c r="E2830" s="2" t="s">
        <v>425</v>
      </c>
      <c r="F2830" s="200">
        <v>326.26100000000002</v>
      </c>
      <c r="H2830" s="17"/>
    </row>
    <row r="2831" spans="2:8" s="16" customFormat="1" ht="22.5" x14ac:dyDescent="0.2">
      <c r="B2831" s="17"/>
      <c r="C2831" s="83" t="s">
        <v>3878</v>
      </c>
      <c r="D2831" s="83" t="s">
        <v>3879</v>
      </c>
      <c r="E2831" s="2" t="s">
        <v>425</v>
      </c>
      <c r="F2831" s="200">
        <v>1377.317</v>
      </c>
      <c r="H2831" s="17"/>
    </row>
    <row r="2832" spans="2:8" s="16" customFormat="1" ht="16.899999999999999" customHeight="1" x14ac:dyDescent="0.2">
      <c r="B2832" s="17"/>
      <c r="C2832" s="83" t="s">
        <v>4161</v>
      </c>
      <c r="D2832" s="83" t="s">
        <v>4162</v>
      </c>
      <c r="E2832" s="2" t="s">
        <v>425</v>
      </c>
      <c r="F2832" s="200">
        <v>1377.317</v>
      </c>
      <c r="H2832" s="17"/>
    </row>
    <row r="2833" spans="2:8" s="16" customFormat="1" ht="22.5" x14ac:dyDescent="0.2">
      <c r="B2833" s="17"/>
      <c r="C2833" s="83" t="s">
        <v>4165</v>
      </c>
      <c r="D2833" s="83" t="s">
        <v>4166</v>
      </c>
      <c r="E2833" s="2" t="s">
        <v>425</v>
      </c>
      <c r="F2833" s="200">
        <v>1353.317</v>
      </c>
      <c r="H2833" s="17"/>
    </row>
    <row r="2834" spans="2:8" s="16" customFormat="1" ht="16.899999999999999" customHeight="1" x14ac:dyDescent="0.2">
      <c r="B2834" s="17"/>
      <c r="C2834" s="196" t="s">
        <v>4026</v>
      </c>
      <c r="D2834" s="197"/>
      <c r="E2834" s="198"/>
      <c r="F2834" s="199">
        <v>512.97</v>
      </c>
      <c r="H2834" s="17"/>
    </row>
    <row r="2835" spans="2:8" s="16" customFormat="1" ht="16.899999999999999" customHeight="1" x14ac:dyDescent="0.2">
      <c r="B2835" s="17"/>
      <c r="C2835" s="83"/>
      <c r="D2835" s="83"/>
      <c r="E2835" s="2"/>
      <c r="F2835" s="200">
        <v>0</v>
      </c>
      <c r="H2835" s="17"/>
    </row>
    <row r="2836" spans="2:8" s="16" customFormat="1" ht="16.899999999999999" customHeight="1" x14ac:dyDescent="0.2">
      <c r="B2836" s="17"/>
      <c r="C2836" s="83"/>
      <c r="D2836" s="83" t="s">
        <v>4089</v>
      </c>
      <c r="E2836" s="2"/>
      <c r="F2836" s="200">
        <v>0</v>
      </c>
      <c r="H2836" s="17"/>
    </row>
    <row r="2837" spans="2:8" s="16" customFormat="1" ht="16.899999999999999" customHeight="1" x14ac:dyDescent="0.2">
      <c r="B2837" s="17"/>
      <c r="C2837" s="83"/>
      <c r="D2837" s="83" t="s">
        <v>4090</v>
      </c>
      <c r="E2837" s="2"/>
      <c r="F2837" s="200">
        <v>480.96</v>
      </c>
      <c r="H2837" s="17"/>
    </row>
    <row r="2838" spans="2:8" s="16" customFormat="1" ht="16.899999999999999" customHeight="1" x14ac:dyDescent="0.2">
      <c r="B2838" s="17"/>
      <c r="C2838" s="83"/>
      <c r="D2838" s="83" t="s">
        <v>4091</v>
      </c>
      <c r="E2838" s="2"/>
      <c r="F2838" s="200">
        <v>0</v>
      </c>
      <c r="H2838" s="17"/>
    </row>
    <row r="2839" spans="2:8" s="16" customFormat="1" ht="16.899999999999999" customHeight="1" x14ac:dyDescent="0.2">
      <c r="B2839" s="17"/>
      <c r="C2839" s="83"/>
      <c r="D2839" s="83" t="s">
        <v>4092</v>
      </c>
      <c r="E2839" s="2"/>
      <c r="F2839" s="200">
        <v>26.75</v>
      </c>
      <c r="H2839" s="17"/>
    </row>
    <row r="2840" spans="2:8" s="16" customFormat="1" ht="16.899999999999999" customHeight="1" x14ac:dyDescent="0.2">
      <c r="B2840" s="17"/>
      <c r="C2840" s="83"/>
      <c r="D2840" s="83" t="s">
        <v>4093</v>
      </c>
      <c r="E2840" s="2"/>
      <c r="F2840" s="200">
        <v>0.78</v>
      </c>
      <c r="H2840" s="17"/>
    </row>
    <row r="2841" spans="2:8" s="16" customFormat="1" ht="16.899999999999999" customHeight="1" x14ac:dyDescent="0.2">
      <c r="B2841" s="17"/>
      <c r="C2841" s="83"/>
      <c r="D2841" s="83" t="s">
        <v>4094</v>
      </c>
      <c r="E2841" s="2"/>
      <c r="F2841" s="200">
        <v>0</v>
      </c>
      <c r="H2841" s="17"/>
    </row>
    <row r="2842" spans="2:8" s="16" customFormat="1" ht="16.899999999999999" customHeight="1" x14ac:dyDescent="0.2">
      <c r="B2842" s="17"/>
      <c r="C2842" s="83"/>
      <c r="D2842" s="83" t="s">
        <v>4095</v>
      </c>
      <c r="E2842" s="2"/>
      <c r="F2842" s="200">
        <v>4.4800000000000004</v>
      </c>
      <c r="H2842" s="17"/>
    </row>
    <row r="2843" spans="2:8" s="16" customFormat="1" ht="16.899999999999999" customHeight="1" x14ac:dyDescent="0.2">
      <c r="B2843" s="17"/>
      <c r="C2843" s="83" t="s">
        <v>4026</v>
      </c>
      <c r="D2843" s="83" t="s">
        <v>609</v>
      </c>
      <c r="E2843" s="2"/>
      <c r="F2843" s="200">
        <v>512.97</v>
      </c>
      <c r="H2843" s="17"/>
    </row>
    <row r="2844" spans="2:8" s="16" customFormat="1" ht="16.899999999999999" customHeight="1" x14ac:dyDescent="0.2">
      <c r="B2844" s="17"/>
      <c r="C2844" s="201" t="s">
        <v>8859</v>
      </c>
      <c r="H2844" s="17"/>
    </row>
    <row r="2845" spans="2:8" s="16" customFormat="1" ht="16.899999999999999" customHeight="1" x14ac:dyDescent="0.2">
      <c r="B2845" s="17"/>
      <c r="C2845" s="83" t="s">
        <v>4074</v>
      </c>
      <c r="D2845" s="83" t="s">
        <v>4075</v>
      </c>
      <c r="E2845" s="2" t="s">
        <v>425</v>
      </c>
      <c r="F2845" s="200">
        <v>1695.24</v>
      </c>
      <c r="H2845" s="17"/>
    </row>
    <row r="2846" spans="2:8" s="16" customFormat="1" ht="16.899999999999999" customHeight="1" x14ac:dyDescent="0.2">
      <c r="B2846" s="17"/>
      <c r="C2846" s="83" t="s">
        <v>4063</v>
      </c>
      <c r="D2846" s="83" t="s">
        <v>4064</v>
      </c>
      <c r="E2846" s="2" t="s">
        <v>425</v>
      </c>
      <c r="F2846" s="200">
        <v>857.22</v>
      </c>
      <c r="H2846" s="17"/>
    </row>
    <row r="2847" spans="2:8" s="16" customFormat="1" ht="16.899999999999999" customHeight="1" x14ac:dyDescent="0.2">
      <c r="B2847" s="17"/>
      <c r="C2847" s="83" t="s">
        <v>4066</v>
      </c>
      <c r="D2847" s="83" t="s">
        <v>4067</v>
      </c>
      <c r="E2847" s="2" t="s">
        <v>425</v>
      </c>
      <c r="F2847" s="200">
        <v>532.16999999999996</v>
      </c>
      <c r="H2847" s="17"/>
    </row>
    <row r="2848" spans="2:8" s="16" customFormat="1" ht="16.899999999999999" customHeight="1" x14ac:dyDescent="0.2">
      <c r="B2848" s="17"/>
      <c r="C2848" s="83" t="s">
        <v>4241</v>
      </c>
      <c r="D2848" s="83" t="s">
        <v>4242</v>
      </c>
      <c r="E2848" s="2" t="s">
        <v>425</v>
      </c>
      <c r="F2848" s="200">
        <v>812.1</v>
      </c>
      <c r="H2848" s="17"/>
    </row>
    <row r="2849" spans="2:8" s="16" customFormat="1" ht="16.899999999999999" customHeight="1" x14ac:dyDescent="0.2">
      <c r="B2849" s="17"/>
      <c r="C2849" s="83" t="s">
        <v>4252</v>
      </c>
      <c r="D2849" s="83" t="s">
        <v>4253</v>
      </c>
      <c r="E2849" s="2" t="s">
        <v>425</v>
      </c>
      <c r="F2849" s="200">
        <v>978.38800000000003</v>
      </c>
      <c r="H2849" s="17"/>
    </row>
    <row r="2850" spans="2:8" s="16" customFormat="1" ht="16.899999999999999" customHeight="1" x14ac:dyDescent="0.2">
      <c r="B2850" s="17"/>
      <c r="C2850" s="83" t="s">
        <v>4275</v>
      </c>
      <c r="D2850" s="83" t="s">
        <v>4276</v>
      </c>
      <c r="E2850" s="2" t="s">
        <v>425</v>
      </c>
      <c r="F2850" s="200">
        <v>532.16999999999996</v>
      </c>
      <c r="H2850" s="17"/>
    </row>
    <row r="2851" spans="2:8" s="16" customFormat="1" ht="16.899999999999999" customHeight="1" x14ac:dyDescent="0.2">
      <c r="B2851" s="17"/>
      <c r="C2851" s="83" t="s">
        <v>4286</v>
      </c>
      <c r="D2851" s="83" t="s">
        <v>4287</v>
      </c>
      <c r="E2851" s="2" t="s">
        <v>342</v>
      </c>
      <c r="F2851" s="200">
        <v>15.929</v>
      </c>
      <c r="H2851" s="17"/>
    </row>
    <row r="2852" spans="2:8" s="16" customFormat="1" ht="16.899999999999999" customHeight="1" x14ac:dyDescent="0.2">
      <c r="B2852" s="17"/>
      <c r="C2852" s="83" t="s">
        <v>871</v>
      </c>
      <c r="D2852" s="83" t="s">
        <v>872</v>
      </c>
      <c r="E2852" s="2" t="s">
        <v>425</v>
      </c>
      <c r="F2852" s="200">
        <v>285.74</v>
      </c>
      <c r="H2852" s="17"/>
    </row>
    <row r="2853" spans="2:8" s="16" customFormat="1" ht="16.899999999999999" customHeight="1" x14ac:dyDescent="0.2">
      <c r="B2853" s="17"/>
      <c r="C2853" s="83" t="s">
        <v>4244</v>
      </c>
      <c r="D2853" s="83" t="s">
        <v>4245</v>
      </c>
      <c r="E2853" s="2" t="s">
        <v>425</v>
      </c>
      <c r="F2853" s="200">
        <v>790.524</v>
      </c>
      <c r="H2853" s="17"/>
    </row>
    <row r="2854" spans="2:8" s="16" customFormat="1" ht="16.899999999999999" customHeight="1" x14ac:dyDescent="0.2">
      <c r="B2854" s="17"/>
      <c r="C2854" s="83" t="s">
        <v>4255</v>
      </c>
      <c r="D2854" s="83" t="s">
        <v>4256</v>
      </c>
      <c r="E2854" s="2" t="s">
        <v>342</v>
      </c>
      <c r="F2854" s="200">
        <v>222.042</v>
      </c>
      <c r="H2854" s="17"/>
    </row>
    <row r="2855" spans="2:8" s="16" customFormat="1" ht="22.5" x14ac:dyDescent="0.2">
      <c r="B2855" s="17"/>
      <c r="C2855" s="83" t="s">
        <v>3878</v>
      </c>
      <c r="D2855" s="83" t="s">
        <v>3879</v>
      </c>
      <c r="E2855" s="2" t="s">
        <v>425</v>
      </c>
      <c r="F2855" s="200">
        <v>1377.317</v>
      </c>
      <c r="H2855" s="17"/>
    </row>
    <row r="2856" spans="2:8" s="16" customFormat="1" ht="16.899999999999999" customHeight="1" x14ac:dyDescent="0.2">
      <c r="B2856" s="17"/>
      <c r="C2856" s="83" t="s">
        <v>4161</v>
      </c>
      <c r="D2856" s="83" t="s">
        <v>4162</v>
      </c>
      <c r="E2856" s="2" t="s">
        <v>425</v>
      </c>
      <c r="F2856" s="200">
        <v>1377.317</v>
      </c>
      <c r="H2856" s="17"/>
    </row>
    <row r="2857" spans="2:8" s="16" customFormat="1" ht="22.5" x14ac:dyDescent="0.2">
      <c r="B2857" s="17"/>
      <c r="C2857" s="83" t="s">
        <v>4165</v>
      </c>
      <c r="D2857" s="83" t="s">
        <v>4166</v>
      </c>
      <c r="E2857" s="2" t="s">
        <v>425</v>
      </c>
      <c r="F2857" s="200">
        <v>1353.317</v>
      </c>
      <c r="H2857" s="17"/>
    </row>
    <row r="2858" spans="2:8" s="16" customFormat="1" ht="16.899999999999999" customHeight="1" x14ac:dyDescent="0.2">
      <c r="B2858" s="17"/>
      <c r="C2858" s="196" t="s">
        <v>4028</v>
      </c>
      <c r="D2858" s="197"/>
      <c r="E2858" s="198"/>
      <c r="F2858" s="199">
        <v>161.56</v>
      </c>
      <c r="H2858" s="17"/>
    </row>
    <row r="2859" spans="2:8" s="16" customFormat="1" ht="16.899999999999999" customHeight="1" x14ac:dyDescent="0.2">
      <c r="B2859" s="17"/>
      <c r="C2859" s="83"/>
      <c r="D2859" s="83"/>
      <c r="E2859" s="2"/>
      <c r="F2859" s="200">
        <v>0</v>
      </c>
      <c r="H2859" s="17"/>
    </row>
    <row r="2860" spans="2:8" s="16" customFormat="1" ht="16.899999999999999" customHeight="1" x14ac:dyDescent="0.2">
      <c r="B2860" s="17"/>
      <c r="C2860" s="83"/>
      <c r="D2860" s="83" t="s">
        <v>4089</v>
      </c>
      <c r="E2860" s="2"/>
      <c r="F2860" s="200">
        <v>0</v>
      </c>
      <c r="H2860" s="17"/>
    </row>
    <row r="2861" spans="2:8" s="16" customFormat="1" ht="16.899999999999999" customHeight="1" x14ac:dyDescent="0.2">
      <c r="B2861" s="17"/>
      <c r="C2861" s="83"/>
      <c r="D2861" s="83" t="s">
        <v>4137</v>
      </c>
      <c r="E2861" s="2"/>
      <c r="F2861" s="200">
        <v>0</v>
      </c>
      <c r="H2861" s="17"/>
    </row>
    <row r="2862" spans="2:8" s="16" customFormat="1" ht="16.899999999999999" customHeight="1" x14ac:dyDescent="0.2">
      <c r="B2862" s="17"/>
      <c r="C2862" s="83"/>
      <c r="D2862" s="83" t="s">
        <v>4138</v>
      </c>
      <c r="E2862" s="2"/>
      <c r="F2862" s="200">
        <v>136.32</v>
      </c>
      <c r="H2862" s="17"/>
    </row>
    <row r="2863" spans="2:8" s="16" customFormat="1" ht="16.899999999999999" customHeight="1" x14ac:dyDescent="0.2">
      <c r="B2863" s="17"/>
      <c r="C2863" s="83"/>
      <c r="D2863" s="83" t="s">
        <v>4139</v>
      </c>
      <c r="E2863" s="2"/>
      <c r="F2863" s="200">
        <v>0</v>
      </c>
      <c r="H2863" s="17"/>
    </row>
    <row r="2864" spans="2:8" s="16" customFormat="1" ht="16.899999999999999" customHeight="1" x14ac:dyDescent="0.2">
      <c r="B2864" s="17"/>
      <c r="C2864" s="83"/>
      <c r="D2864" s="83" t="s">
        <v>4140</v>
      </c>
      <c r="E2864" s="2"/>
      <c r="F2864" s="200">
        <v>18.84</v>
      </c>
      <c r="H2864" s="17"/>
    </row>
    <row r="2865" spans="2:8" s="16" customFormat="1" ht="16.899999999999999" customHeight="1" x14ac:dyDescent="0.2">
      <c r="B2865" s="17"/>
      <c r="C2865" s="83"/>
      <c r="D2865" s="83" t="s">
        <v>4141</v>
      </c>
      <c r="E2865" s="2"/>
      <c r="F2865" s="200">
        <v>0</v>
      </c>
      <c r="H2865" s="17"/>
    </row>
    <row r="2866" spans="2:8" s="16" customFormat="1" ht="16.899999999999999" customHeight="1" x14ac:dyDescent="0.2">
      <c r="B2866" s="17"/>
      <c r="C2866" s="83"/>
      <c r="D2866" s="83" t="s">
        <v>4142</v>
      </c>
      <c r="E2866" s="2"/>
      <c r="F2866" s="200">
        <v>6.4</v>
      </c>
      <c r="H2866" s="17"/>
    </row>
    <row r="2867" spans="2:8" s="16" customFormat="1" ht="16.899999999999999" customHeight="1" x14ac:dyDescent="0.2">
      <c r="B2867" s="17"/>
      <c r="C2867" s="83" t="s">
        <v>4028</v>
      </c>
      <c r="D2867" s="83" t="s">
        <v>609</v>
      </c>
      <c r="E2867" s="2"/>
      <c r="F2867" s="200">
        <v>161.56</v>
      </c>
      <c r="H2867" s="17"/>
    </row>
    <row r="2868" spans="2:8" s="16" customFormat="1" ht="16.899999999999999" customHeight="1" x14ac:dyDescent="0.2">
      <c r="B2868" s="17"/>
      <c r="C2868" s="201" t="s">
        <v>8859</v>
      </c>
      <c r="H2868" s="17"/>
    </row>
    <row r="2869" spans="2:8" s="16" customFormat="1" ht="16.899999999999999" customHeight="1" x14ac:dyDescent="0.2">
      <c r="B2869" s="17"/>
      <c r="C2869" s="83" t="s">
        <v>4120</v>
      </c>
      <c r="D2869" s="83" t="s">
        <v>4121</v>
      </c>
      <c r="E2869" s="2" t="s">
        <v>425</v>
      </c>
      <c r="F2869" s="200">
        <v>977.18299999999999</v>
      </c>
      <c r="H2869" s="17"/>
    </row>
    <row r="2870" spans="2:8" s="16" customFormat="1" ht="16.899999999999999" customHeight="1" x14ac:dyDescent="0.2">
      <c r="B2870" s="17"/>
      <c r="C2870" s="83" t="s">
        <v>4115</v>
      </c>
      <c r="D2870" s="83" t="s">
        <v>4116</v>
      </c>
      <c r="E2870" s="2" t="s">
        <v>425</v>
      </c>
      <c r="F2870" s="200">
        <v>326.26100000000002</v>
      </c>
      <c r="H2870" s="17"/>
    </row>
    <row r="2871" spans="2:8" s="16" customFormat="1" ht="22.5" x14ac:dyDescent="0.2">
      <c r="B2871" s="17"/>
      <c r="C2871" s="83" t="s">
        <v>3878</v>
      </c>
      <c r="D2871" s="83" t="s">
        <v>3879</v>
      </c>
      <c r="E2871" s="2" t="s">
        <v>425</v>
      </c>
      <c r="F2871" s="200">
        <v>1377.317</v>
      </c>
      <c r="H2871" s="17"/>
    </row>
    <row r="2872" spans="2:8" s="16" customFormat="1" ht="16.899999999999999" customHeight="1" x14ac:dyDescent="0.2">
      <c r="B2872" s="17"/>
      <c r="C2872" s="83" t="s">
        <v>4161</v>
      </c>
      <c r="D2872" s="83" t="s">
        <v>4162</v>
      </c>
      <c r="E2872" s="2" t="s">
        <v>425</v>
      </c>
      <c r="F2872" s="200">
        <v>1377.317</v>
      </c>
      <c r="H2872" s="17"/>
    </row>
    <row r="2873" spans="2:8" s="16" customFormat="1" ht="22.5" x14ac:dyDescent="0.2">
      <c r="B2873" s="17"/>
      <c r="C2873" s="83" t="s">
        <v>4165</v>
      </c>
      <c r="D2873" s="83" t="s">
        <v>4166</v>
      </c>
      <c r="E2873" s="2" t="s">
        <v>425</v>
      </c>
      <c r="F2873" s="200">
        <v>1353.317</v>
      </c>
      <c r="H2873" s="17"/>
    </row>
    <row r="2874" spans="2:8" s="16" customFormat="1" ht="16.899999999999999" customHeight="1" x14ac:dyDescent="0.2">
      <c r="B2874" s="17"/>
      <c r="C2874" s="196" t="s">
        <v>4030</v>
      </c>
      <c r="D2874" s="197"/>
      <c r="E2874" s="198"/>
      <c r="F2874" s="199">
        <v>19.2</v>
      </c>
      <c r="H2874" s="17"/>
    </row>
    <row r="2875" spans="2:8" s="16" customFormat="1" ht="16.899999999999999" customHeight="1" x14ac:dyDescent="0.2">
      <c r="B2875" s="17"/>
      <c r="C2875" s="83"/>
      <c r="D2875" s="83"/>
      <c r="E2875" s="2"/>
      <c r="F2875" s="200">
        <v>0</v>
      </c>
      <c r="H2875" s="17"/>
    </row>
    <row r="2876" spans="2:8" s="16" customFormat="1" ht="16.899999999999999" customHeight="1" x14ac:dyDescent="0.2">
      <c r="B2876" s="17"/>
      <c r="C2876" s="83"/>
      <c r="D2876" s="83" t="s">
        <v>4096</v>
      </c>
      <c r="E2876" s="2"/>
      <c r="F2876" s="200">
        <v>0</v>
      </c>
      <c r="H2876" s="17"/>
    </row>
    <row r="2877" spans="2:8" s="16" customFormat="1" ht="16.899999999999999" customHeight="1" x14ac:dyDescent="0.2">
      <c r="B2877" s="17"/>
      <c r="C2877" s="83"/>
      <c r="D2877" s="83" t="s">
        <v>4097</v>
      </c>
      <c r="E2877" s="2"/>
      <c r="F2877" s="200">
        <v>19.2</v>
      </c>
      <c r="H2877" s="17"/>
    </row>
    <row r="2878" spans="2:8" s="16" customFormat="1" ht="16.899999999999999" customHeight="1" x14ac:dyDescent="0.2">
      <c r="B2878" s="17"/>
      <c r="C2878" s="83" t="s">
        <v>4030</v>
      </c>
      <c r="D2878" s="83" t="s">
        <v>609</v>
      </c>
      <c r="E2878" s="2"/>
      <c r="F2878" s="200">
        <v>19.2</v>
      </c>
      <c r="H2878" s="17"/>
    </row>
    <row r="2879" spans="2:8" s="16" customFormat="1" ht="16.899999999999999" customHeight="1" x14ac:dyDescent="0.2">
      <c r="B2879" s="17"/>
      <c r="C2879" s="201" t="s">
        <v>8859</v>
      </c>
      <c r="H2879" s="17"/>
    </row>
    <row r="2880" spans="2:8" s="16" customFormat="1" ht="16.899999999999999" customHeight="1" x14ac:dyDescent="0.2">
      <c r="B2880" s="17"/>
      <c r="C2880" s="83" t="s">
        <v>4074</v>
      </c>
      <c r="D2880" s="83" t="s">
        <v>4075</v>
      </c>
      <c r="E2880" s="2" t="s">
        <v>425</v>
      </c>
      <c r="F2880" s="200">
        <v>1695.24</v>
      </c>
      <c r="H2880" s="17"/>
    </row>
    <row r="2881" spans="2:8" s="16" customFormat="1" ht="16.899999999999999" customHeight="1" x14ac:dyDescent="0.2">
      <c r="B2881" s="17"/>
      <c r="C2881" s="83" t="s">
        <v>4063</v>
      </c>
      <c r="D2881" s="83" t="s">
        <v>4064</v>
      </c>
      <c r="E2881" s="2" t="s">
        <v>425</v>
      </c>
      <c r="F2881" s="200">
        <v>857.22</v>
      </c>
      <c r="H2881" s="17"/>
    </row>
    <row r="2882" spans="2:8" s="16" customFormat="1" ht="16.899999999999999" customHeight="1" x14ac:dyDescent="0.2">
      <c r="B2882" s="17"/>
      <c r="C2882" s="83" t="s">
        <v>4066</v>
      </c>
      <c r="D2882" s="83" t="s">
        <v>4067</v>
      </c>
      <c r="E2882" s="2" t="s">
        <v>425</v>
      </c>
      <c r="F2882" s="200">
        <v>532.16999999999996</v>
      </c>
      <c r="H2882" s="17"/>
    </row>
    <row r="2883" spans="2:8" s="16" customFormat="1" ht="16.899999999999999" customHeight="1" x14ac:dyDescent="0.2">
      <c r="B2883" s="17"/>
      <c r="C2883" s="83" t="s">
        <v>4275</v>
      </c>
      <c r="D2883" s="83" t="s">
        <v>4276</v>
      </c>
      <c r="E2883" s="2" t="s">
        <v>425</v>
      </c>
      <c r="F2883" s="200">
        <v>532.16999999999996</v>
      </c>
      <c r="H2883" s="17"/>
    </row>
    <row r="2884" spans="2:8" s="16" customFormat="1" ht="16.899999999999999" customHeight="1" x14ac:dyDescent="0.2">
      <c r="B2884" s="17"/>
      <c r="C2884" s="83" t="s">
        <v>4286</v>
      </c>
      <c r="D2884" s="83" t="s">
        <v>4287</v>
      </c>
      <c r="E2884" s="2" t="s">
        <v>342</v>
      </c>
      <c r="F2884" s="200">
        <v>15.929</v>
      </c>
      <c r="H2884" s="17"/>
    </row>
    <row r="2885" spans="2:8" s="16" customFormat="1" ht="16.899999999999999" customHeight="1" x14ac:dyDescent="0.2">
      <c r="B2885" s="17"/>
      <c r="C2885" s="83" t="s">
        <v>871</v>
      </c>
      <c r="D2885" s="83" t="s">
        <v>872</v>
      </c>
      <c r="E2885" s="2" t="s">
        <v>425</v>
      </c>
      <c r="F2885" s="200">
        <v>285.74</v>
      </c>
      <c r="H2885" s="17"/>
    </row>
    <row r="2886" spans="2:8" s="16" customFormat="1" ht="22.5" x14ac:dyDescent="0.2">
      <c r="B2886" s="17"/>
      <c r="C2886" s="83" t="s">
        <v>3878</v>
      </c>
      <c r="D2886" s="83" t="s">
        <v>3879</v>
      </c>
      <c r="E2886" s="2" t="s">
        <v>425</v>
      </c>
      <c r="F2886" s="200">
        <v>1377.317</v>
      </c>
      <c r="H2886" s="17"/>
    </row>
    <row r="2887" spans="2:8" s="16" customFormat="1" ht="16.899999999999999" customHeight="1" x14ac:dyDescent="0.2">
      <c r="B2887" s="17"/>
      <c r="C2887" s="83" t="s">
        <v>4161</v>
      </c>
      <c r="D2887" s="83" t="s">
        <v>4162</v>
      </c>
      <c r="E2887" s="2" t="s">
        <v>425</v>
      </c>
      <c r="F2887" s="200">
        <v>1377.317</v>
      </c>
      <c r="H2887" s="17"/>
    </row>
    <row r="2888" spans="2:8" s="16" customFormat="1" ht="16.899999999999999" customHeight="1" x14ac:dyDescent="0.2">
      <c r="B2888" s="17"/>
      <c r="C2888" s="196" t="s">
        <v>4032</v>
      </c>
      <c r="D2888" s="197"/>
      <c r="E2888" s="198"/>
      <c r="F2888" s="199">
        <v>1.6</v>
      </c>
      <c r="H2888" s="17"/>
    </row>
    <row r="2889" spans="2:8" s="16" customFormat="1" ht="16.899999999999999" customHeight="1" x14ac:dyDescent="0.2">
      <c r="B2889" s="17"/>
      <c r="C2889" s="83"/>
      <c r="D2889" s="83"/>
      <c r="E2889" s="2"/>
      <c r="F2889" s="200">
        <v>0</v>
      </c>
      <c r="H2889" s="17"/>
    </row>
    <row r="2890" spans="2:8" s="16" customFormat="1" ht="16.899999999999999" customHeight="1" x14ac:dyDescent="0.2">
      <c r="B2890" s="17"/>
      <c r="C2890" s="83"/>
      <c r="D2890" s="83" t="s">
        <v>4143</v>
      </c>
      <c r="E2890" s="2"/>
      <c r="F2890" s="200">
        <v>0</v>
      </c>
      <c r="H2890" s="17"/>
    </row>
    <row r="2891" spans="2:8" s="16" customFormat="1" ht="16.899999999999999" customHeight="1" x14ac:dyDescent="0.2">
      <c r="B2891" s="17"/>
      <c r="C2891" s="83"/>
      <c r="D2891" s="83" t="s">
        <v>4144</v>
      </c>
      <c r="E2891" s="2"/>
      <c r="F2891" s="200">
        <v>0</v>
      </c>
      <c r="H2891" s="17"/>
    </row>
    <row r="2892" spans="2:8" s="16" customFormat="1" ht="16.899999999999999" customHeight="1" x14ac:dyDescent="0.2">
      <c r="B2892" s="17"/>
      <c r="C2892" s="83"/>
      <c r="D2892" s="83" t="s">
        <v>4145</v>
      </c>
      <c r="E2892" s="2"/>
      <c r="F2892" s="200">
        <v>1.6</v>
      </c>
      <c r="H2892" s="17"/>
    </row>
    <row r="2893" spans="2:8" s="16" customFormat="1" ht="16.899999999999999" customHeight="1" x14ac:dyDescent="0.2">
      <c r="B2893" s="17"/>
      <c r="C2893" s="83" t="s">
        <v>4032</v>
      </c>
      <c r="D2893" s="83" t="s">
        <v>609</v>
      </c>
      <c r="E2893" s="2"/>
      <c r="F2893" s="200">
        <v>1.6</v>
      </c>
      <c r="H2893" s="17"/>
    </row>
    <row r="2894" spans="2:8" s="16" customFormat="1" ht="16.899999999999999" customHeight="1" x14ac:dyDescent="0.2">
      <c r="B2894" s="17"/>
      <c r="C2894" s="201" t="s">
        <v>8859</v>
      </c>
      <c r="H2894" s="17"/>
    </row>
    <row r="2895" spans="2:8" s="16" customFormat="1" ht="16.899999999999999" customHeight="1" x14ac:dyDescent="0.2">
      <c r="B2895" s="17"/>
      <c r="C2895" s="83" t="s">
        <v>4120</v>
      </c>
      <c r="D2895" s="83" t="s">
        <v>4121</v>
      </c>
      <c r="E2895" s="2" t="s">
        <v>425</v>
      </c>
      <c r="F2895" s="200">
        <v>977.18299999999999</v>
      </c>
      <c r="H2895" s="17"/>
    </row>
    <row r="2896" spans="2:8" s="16" customFormat="1" ht="16.899999999999999" customHeight="1" x14ac:dyDescent="0.2">
      <c r="B2896" s="17"/>
      <c r="C2896" s="83" t="s">
        <v>4115</v>
      </c>
      <c r="D2896" s="83" t="s">
        <v>4116</v>
      </c>
      <c r="E2896" s="2" t="s">
        <v>425</v>
      </c>
      <c r="F2896" s="200">
        <v>326.26100000000002</v>
      </c>
      <c r="H2896" s="17"/>
    </row>
    <row r="2897" spans="2:8" s="16" customFormat="1" ht="22.5" x14ac:dyDescent="0.2">
      <c r="B2897" s="17"/>
      <c r="C2897" s="83" t="s">
        <v>3878</v>
      </c>
      <c r="D2897" s="83" t="s">
        <v>3879</v>
      </c>
      <c r="E2897" s="2" t="s">
        <v>425</v>
      </c>
      <c r="F2897" s="200">
        <v>1377.317</v>
      </c>
      <c r="H2897" s="17"/>
    </row>
    <row r="2898" spans="2:8" s="16" customFormat="1" ht="16.899999999999999" customHeight="1" x14ac:dyDescent="0.2">
      <c r="B2898" s="17"/>
      <c r="C2898" s="83" t="s">
        <v>4161</v>
      </c>
      <c r="D2898" s="83" t="s">
        <v>4162</v>
      </c>
      <c r="E2898" s="2" t="s">
        <v>425</v>
      </c>
      <c r="F2898" s="200">
        <v>1377.317</v>
      </c>
      <c r="H2898" s="17"/>
    </row>
    <row r="2899" spans="2:8" s="16" customFormat="1" ht="16.899999999999999" customHeight="1" x14ac:dyDescent="0.2">
      <c r="B2899" s="17"/>
      <c r="C2899" s="196" t="s">
        <v>4034</v>
      </c>
      <c r="D2899" s="197"/>
      <c r="E2899" s="198"/>
      <c r="F2899" s="199">
        <v>25.92</v>
      </c>
      <c r="H2899" s="17"/>
    </row>
    <row r="2900" spans="2:8" s="16" customFormat="1" ht="16.899999999999999" customHeight="1" x14ac:dyDescent="0.2">
      <c r="B2900" s="17"/>
      <c r="C2900" s="83"/>
      <c r="D2900" s="83"/>
      <c r="E2900" s="2"/>
      <c r="F2900" s="200">
        <v>0</v>
      </c>
      <c r="H2900" s="17"/>
    </row>
    <row r="2901" spans="2:8" s="16" customFormat="1" ht="16.899999999999999" customHeight="1" x14ac:dyDescent="0.2">
      <c r="B2901" s="17"/>
      <c r="C2901" s="83"/>
      <c r="D2901" s="83" t="s">
        <v>4098</v>
      </c>
      <c r="E2901" s="2"/>
      <c r="F2901" s="200">
        <v>0</v>
      </c>
      <c r="H2901" s="17"/>
    </row>
    <row r="2902" spans="2:8" s="16" customFormat="1" ht="16.899999999999999" customHeight="1" x14ac:dyDescent="0.2">
      <c r="B2902" s="17"/>
      <c r="C2902" s="83"/>
      <c r="D2902" s="83" t="s">
        <v>4099</v>
      </c>
      <c r="E2902" s="2"/>
      <c r="F2902" s="200">
        <v>25.92</v>
      </c>
      <c r="H2902" s="17"/>
    </row>
    <row r="2903" spans="2:8" s="16" customFormat="1" ht="16.899999999999999" customHeight="1" x14ac:dyDescent="0.2">
      <c r="B2903" s="17"/>
      <c r="C2903" s="83" t="s">
        <v>4034</v>
      </c>
      <c r="D2903" s="83" t="s">
        <v>609</v>
      </c>
      <c r="E2903" s="2"/>
      <c r="F2903" s="200">
        <v>25.92</v>
      </c>
      <c r="H2903" s="17"/>
    </row>
    <row r="2904" spans="2:8" s="16" customFormat="1" ht="16.899999999999999" customHeight="1" x14ac:dyDescent="0.2">
      <c r="B2904" s="17"/>
      <c r="C2904" s="201" t="s">
        <v>8859</v>
      </c>
      <c r="H2904" s="17"/>
    </row>
    <row r="2905" spans="2:8" s="16" customFormat="1" ht="16.899999999999999" customHeight="1" x14ac:dyDescent="0.2">
      <c r="B2905" s="17"/>
      <c r="C2905" s="83" t="s">
        <v>4074</v>
      </c>
      <c r="D2905" s="83" t="s">
        <v>4075</v>
      </c>
      <c r="E2905" s="2" t="s">
        <v>425</v>
      </c>
      <c r="F2905" s="200">
        <v>1695.24</v>
      </c>
      <c r="H2905" s="17"/>
    </row>
    <row r="2906" spans="2:8" s="16" customFormat="1" ht="16.899999999999999" customHeight="1" x14ac:dyDescent="0.2">
      <c r="B2906" s="17"/>
      <c r="C2906" s="83" t="s">
        <v>808</v>
      </c>
      <c r="D2906" s="83" t="s">
        <v>4047</v>
      </c>
      <c r="E2906" s="2" t="s">
        <v>425</v>
      </c>
      <c r="F2906" s="200">
        <v>25.92</v>
      </c>
      <c r="H2906" s="17"/>
    </row>
    <row r="2907" spans="2:8" s="16" customFormat="1" ht="16.899999999999999" customHeight="1" x14ac:dyDescent="0.2">
      <c r="B2907" s="17"/>
      <c r="C2907" s="83" t="s">
        <v>4063</v>
      </c>
      <c r="D2907" s="83" t="s">
        <v>4064</v>
      </c>
      <c r="E2907" s="2" t="s">
        <v>425</v>
      </c>
      <c r="F2907" s="200">
        <v>857.22</v>
      </c>
      <c r="H2907" s="17"/>
    </row>
    <row r="2908" spans="2:8" s="16" customFormat="1" ht="16.899999999999999" customHeight="1" x14ac:dyDescent="0.2">
      <c r="B2908" s="17"/>
      <c r="C2908" s="83" t="s">
        <v>4071</v>
      </c>
      <c r="D2908" s="83" t="s">
        <v>4072</v>
      </c>
      <c r="E2908" s="2" t="s">
        <v>425</v>
      </c>
      <c r="F2908" s="200">
        <v>325.05</v>
      </c>
      <c r="H2908" s="17"/>
    </row>
    <row r="2909" spans="2:8" s="16" customFormat="1" ht="16.899999999999999" customHeight="1" x14ac:dyDescent="0.2">
      <c r="B2909" s="17"/>
      <c r="C2909" s="83" t="s">
        <v>4252</v>
      </c>
      <c r="D2909" s="83" t="s">
        <v>4253</v>
      </c>
      <c r="E2909" s="2" t="s">
        <v>425</v>
      </c>
      <c r="F2909" s="200">
        <v>978.38800000000003</v>
      </c>
      <c r="H2909" s="17"/>
    </row>
    <row r="2910" spans="2:8" s="16" customFormat="1" ht="16.899999999999999" customHeight="1" x14ac:dyDescent="0.2">
      <c r="B2910" s="17"/>
      <c r="C2910" s="83" t="s">
        <v>871</v>
      </c>
      <c r="D2910" s="83" t="s">
        <v>872</v>
      </c>
      <c r="E2910" s="2" t="s">
        <v>425</v>
      </c>
      <c r="F2910" s="200">
        <v>285.74</v>
      </c>
      <c r="H2910" s="17"/>
    </row>
    <row r="2911" spans="2:8" s="16" customFormat="1" ht="16.899999999999999" customHeight="1" x14ac:dyDescent="0.2">
      <c r="B2911" s="17"/>
      <c r="C2911" s="83" t="s">
        <v>951</v>
      </c>
      <c r="D2911" s="83" t="s">
        <v>952</v>
      </c>
      <c r="E2911" s="2" t="s">
        <v>425</v>
      </c>
      <c r="F2911" s="200">
        <v>325.05</v>
      </c>
      <c r="H2911" s="17"/>
    </row>
    <row r="2912" spans="2:8" s="16" customFormat="1" ht="16.899999999999999" customHeight="1" x14ac:dyDescent="0.2">
      <c r="B2912" s="17"/>
      <c r="C2912" s="83" t="s">
        <v>4268</v>
      </c>
      <c r="D2912" s="83" t="s">
        <v>4269</v>
      </c>
      <c r="E2912" s="2" t="s">
        <v>425</v>
      </c>
      <c r="F2912" s="200">
        <v>27.216000000000001</v>
      </c>
      <c r="H2912" s="17"/>
    </row>
    <row r="2913" spans="2:8" s="16" customFormat="1" ht="22.5" x14ac:dyDescent="0.2">
      <c r="B2913" s="17"/>
      <c r="C2913" s="83" t="s">
        <v>3878</v>
      </c>
      <c r="D2913" s="83" t="s">
        <v>3879</v>
      </c>
      <c r="E2913" s="2" t="s">
        <v>425</v>
      </c>
      <c r="F2913" s="200">
        <v>1377.317</v>
      </c>
      <c r="H2913" s="17"/>
    </row>
    <row r="2914" spans="2:8" s="16" customFormat="1" ht="16.899999999999999" customHeight="1" x14ac:dyDescent="0.2">
      <c r="B2914" s="17"/>
      <c r="C2914" s="83" t="s">
        <v>4161</v>
      </c>
      <c r="D2914" s="83" t="s">
        <v>4162</v>
      </c>
      <c r="E2914" s="2" t="s">
        <v>425</v>
      </c>
      <c r="F2914" s="200">
        <v>1377.317</v>
      </c>
      <c r="H2914" s="17"/>
    </row>
    <row r="2915" spans="2:8" s="16" customFormat="1" ht="22.5" x14ac:dyDescent="0.2">
      <c r="B2915" s="17"/>
      <c r="C2915" s="83" t="s">
        <v>4165</v>
      </c>
      <c r="D2915" s="83" t="s">
        <v>4166</v>
      </c>
      <c r="E2915" s="2" t="s">
        <v>425</v>
      </c>
      <c r="F2915" s="200">
        <v>1353.317</v>
      </c>
      <c r="H2915" s="17"/>
    </row>
    <row r="2916" spans="2:8" s="16" customFormat="1" ht="16.899999999999999" customHeight="1" x14ac:dyDescent="0.2">
      <c r="B2916" s="17"/>
      <c r="C2916" s="196" t="s">
        <v>4036</v>
      </c>
      <c r="D2916" s="197"/>
      <c r="E2916" s="198"/>
      <c r="F2916" s="199">
        <v>8.0399999999999991</v>
      </c>
      <c r="H2916" s="17"/>
    </row>
    <row r="2917" spans="2:8" s="16" customFormat="1" ht="16.899999999999999" customHeight="1" x14ac:dyDescent="0.2">
      <c r="B2917" s="17"/>
      <c r="C2917" s="83"/>
      <c r="D2917" s="83"/>
      <c r="E2917" s="2"/>
      <c r="F2917" s="200">
        <v>0</v>
      </c>
      <c r="H2917" s="17"/>
    </row>
    <row r="2918" spans="2:8" s="16" customFormat="1" ht="16.899999999999999" customHeight="1" x14ac:dyDescent="0.2">
      <c r="B2918" s="17"/>
      <c r="C2918" s="83"/>
      <c r="D2918" s="83" t="s">
        <v>4098</v>
      </c>
      <c r="E2918" s="2"/>
      <c r="F2918" s="200">
        <v>0</v>
      </c>
      <c r="H2918" s="17"/>
    </row>
    <row r="2919" spans="2:8" s="16" customFormat="1" ht="16.899999999999999" customHeight="1" x14ac:dyDescent="0.2">
      <c r="B2919" s="17"/>
      <c r="C2919" s="83"/>
      <c r="D2919" s="83" t="s">
        <v>4146</v>
      </c>
      <c r="E2919" s="2"/>
      <c r="F2919" s="200">
        <v>8.0399999999999991</v>
      </c>
      <c r="H2919" s="17"/>
    </row>
    <row r="2920" spans="2:8" s="16" customFormat="1" ht="16.899999999999999" customHeight="1" x14ac:dyDescent="0.2">
      <c r="B2920" s="17"/>
      <c r="C2920" s="83" t="s">
        <v>4036</v>
      </c>
      <c r="D2920" s="83" t="s">
        <v>609</v>
      </c>
      <c r="E2920" s="2"/>
      <c r="F2920" s="200">
        <v>8.0399999999999991</v>
      </c>
      <c r="H2920" s="17"/>
    </row>
    <row r="2921" spans="2:8" s="16" customFormat="1" ht="16.899999999999999" customHeight="1" x14ac:dyDescent="0.2">
      <c r="B2921" s="17"/>
      <c r="C2921" s="201" t="s">
        <v>8859</v>
      </c>
      <c r="H2921" s="17"/>
    </row>
    <row r="2922" spans="2:8" s="16" customFormat="1" ht="16.899999999999999" customHeight="1" x14ac:dyDescent="0.2">
      <c r="B2922" s="17"/>
      <c r="C2922" s="83" t="s">
        <v>4120</v>
      </c>
      <c r="D2922" s="83" t="s">
        <v>4121</v>
      </c>
      <c r="E2922" s="2" t="s">
        <v>425</v>
      </c>
      <c r="F2922" s="200">
        <v>977.18299999999999</v>
      </c>
      <c r="H2922" s="17"/>
    </row>
    <row r="2923" spans="2:8" s="16" customFormat="1" ht="16.899999999999999" customHeight="1" x14ac:dyDescent="0.2">
      <c r="B2923" s="17"/>
      <c r="C2923" s="83" t="s">
        <v>4115</v>
      </c>
      <c r="D2923" s="83" t="s">
        <v>4116</v>
      </c>
      <c r="E2923" s="2" t="s">
        <v>425</v>
      </c>
      <c r="F2923" s="200">
        <v>326.26100000000002</v>
      </c>
      <c r="H2923" s="17"/>
    </row>
    <row r="2924" spans="2:8" s="16" customFormat="1" ht="22.5" x14ac:dyDescent="0.2">
      <c r="B2924" s="17"/>
      <c r="C2924" s="83" t="s">
        <v>3878</v>
      </c>
      <c r="D2924" s="83" t="s">
        <v>3879</v>
      </c>
      <c r="E2924" s="2" t="s">
        <v>425</v>
      </c>
      <c r="F2924" s="200">
        <v>1377.317</v>
      </c>
      <c r="H2924" s="17"/>
    </row>
    <row r="2925" spans="2:8" s="16" customFormat="1" ht="16.899999999999999" customHeight="1" x14ac:dyDescent="0.2">
      <c r="B2925" s="17"/>
      <c r="C2925" s="83" t="s">
        <v>4161</v>
      </c>
      <c r="D2925" s="83" t="s">
        <v>4162</v>
      </c>
      <c r="E2925" s="2" t="s">
        <v>425</v>
      </c>
      <c r="F2925" s="200">
        <v>1377.317</v>
      </c>
      <c r="H2925" s="17"/>
    </row>
    <row r="2926" spans="2:8" s="16" customFormat="1" ht="22.5" x14ac:dyDescent="0.2">
      <c r="B2926" s="17"/>
      <c r="C2926" s="83" t="s">
        <v>4165</v>
      </c>
      <c r="D2926" s="83" t="s">
        <v>4166</v>
      </c>
      <c r="E2926" s="2" t="s">
        <v>425</v>
      </c>
      <c r="F2926" s="200">
        <v>1353.317</v>
      </c>
      <c r="H2926" s="17"/>
    </row>
    <row r="2927" spans="2:8" s="16" customFormat="1" ht="16.899999999999999" customHeight="1" x14ac:dyDescent="0.2">
      <c r="B2927" s="17"/>
      <c r="C2927" s="196" t="s">
        <v>4038</v>
      </c>
      <c r="D2927" s="197"/>
      <c r="E2927" s="198"/>
      <c r="F2927" s="199">
        <v>190.196</v>
      </c>
      <c r="H2927" s="17"/>
    </row>
    <row r="2928" spans="2:8" s="16" customFormat="1" ht="16.899999999999999" customHeight="1" x14ac:dyDescent="0.2">
      <c r="B2928" s="17"/>
      <c r="C2928" s="83"/>
      <c r="D2928" s="83" t="s">
        <v>4204</v>
      </c>
      <c r="E2928" s="2"/>
      <c r="F2928" s="200">
        <v>0</v>
      </c>
      <c r="H2928" s="17"/>
    </row>
    <row r="2929" spans="2:8" s="16" customFormat="1" ht="16.899999999999999" customHeight="1" x14ac:dyDescent="0.2">
      <c r="B2929" s="17"/>
      <c r="C2929" s="83"/>
      <c r="D2929" s="83" t="s">
        <v>4077</v>
      </c>
      <c r="E2929" s="2"/>
      <c r="F2929" s="200">
        <v>0</v>
      </c>
      <c r="H2929" s="17"/>
    </row>
    <row r="2930" spans="2:8" s="16" customFormat="1" ht="16.899999999999999" customHeight="1" x14ac:dyDescent="0.2">
      <c r="B2930" s="17"/>
      <c r="C2930" s="83"/>
      <c r="D2930" s="83" t="s">
        <v>4205</v>
      </c>
      <c r="E2930" s="2"/>
      <c r="F2930" s="200">
        <v>0</v>
      </c>
      <c r="H2930" s="17"/>
    </row>
    <row r="2931" spans="2:8" s="16" customFormat="1" ht="16.899999999999999" customHeight="1" x14ac:dyDescent="0.2">
      <c r="B2931" s="17"/>
      <c r="C2931" s="83"/>
      <c r="D2931" s="83" t="s">
        <v>4206</v>
      </c>
      <c r="E2931" s="2"/>
      <c r="F2931" s="200">
        <v>0</v>
      </c>
      <c r="H2931" s="17"/>
    </row>
    <row r="2932" spans="2:8" s="16" customFormat="1" ht="16.899999999999999" customHeight="1" x14ac:dyDescent="0.2">
      <c r="B2932" s="17"/>
      <c r="C2932" s="83"/>
      <c r="D2932" s="83" t="s">
        <v>4207</v>
      </c>
      <c r="E2932" s="2"/>
      <c r="F2932" s="200">
        <v>34</v>
      </c>
      <c r="H2932" s="17"/>
    </row>
    <row r="2933" spans="2:8" s="16" customFormat="1" ht="16.899999999999999" customHeight="1" x14ac:dyDescent="0.2">
      <c r="B2933" s="17"/>
      <c r="C2933" s="83"/>
      <c r="D2933" s="83"/>
      <c r="E2933" s="2"/>
      <c r="F2933" s="200">
        <v>0</v>
      </c>
      <c r="H2933" s="17"/>
    </row>
    <row r="2934" spans="2:8" s="16" customFormat="1" ht="16.899999999999999" customHeight="1" x14ac:dyDescent="0.2">
      <c r="B2934" s="17"/>
      <c r="C2934" s="83"/>
      <c r="D2934" s="83" t="s">
        <v>4085</v>
      </c>
      <c r="E2934" s="2"/>
      <c r="F2934" s="200">
        <v>0</v>
      </c>
      <c r="H2934" s="17"/>
    </row>
    <row r="2935" spans="2:8" s="16" customFormat="1" ht="16.899999999999999" customHeight="1" x14ac:dyDescent="0.2">
      <c r="B2935" s="17"/>
      <c r="C2935" s="83"/>
      <c r="D2935" s="83" t="s">
        <v>4208</v>
      </c>
      <c r="E2935" s="2"/>
      <c r="F2935" s="200">
        <v>0</v>
      </c>
      <c r="H2935" s="17"/>
    </row>
    <row r="2936" spans="2:8" s="16" customFormat="1" ht="16.899999999999999" customHeight="1" x14ac:dyDescent="0.2">
      <c r="B2936" s="17"/>
      <c r="C2936" s="83"/>
      <c r="D2936" s="83" t="s">
        <v>4209</v>
      </c>
      <c r="E2936" s="2"/>
      <c r="F2936" s="200">
        <v>31.155999999999999</v>
      </c>
      <c r="H2936" s="17"/>
    </row>
    <row r="2937" spans="2:8" s="16" customFormat="1" ht="16.899999999999999" customHeight="1" x14ac:dyDescent="0.2">
      <c r="B2937" s="17"/>
      <c r="C2937" s="83"/>
      <c r="D2937" s="83"/>
      <c r="E2937" s="2"/>
      <c r="F2937" s="200">
        <v>0</v>
      </c>
      <c r="H2937" s="17"/>
    </row>
    <row r="2938" spans="2:8" s="16" customFormat="1" ht="16.899999999999999" customHeight="1" x14ac:dyDescent="0.2">
      <c r="B2938" s="17"/>
      <c r="C2938" s="83"/>
      <c r="D2938" s="83" t="s">
        <v>4132</v>
      </c>
      <c r="E2938" s="2"/>
      <c r="F2938" s="200">
        <v>0</v>
      </c>
      <c r="H2938" s="17"/>
    </row>
    <row r="2939" spans="2:8" s="16" customFormat="1" ht="16.899999999999999" customHeight="1" x14ac:dyDescent="0.2">
      <c r="B2939" s="17"/>
      <c r="C2939" s="83"/>
      <c r="D2939" s="83" t="s">
        <v>4210</v>
      </c>
      <c r="E2939" s="2"/>
      <c r="F2939" s="200">
        <v>18.399999999999999</v>
      </c>
      <c r="H2939" s="17"/>
    </row>
    <row r="2940" spans="2:8" s="16" customFormat="1" ht="16.899999999999999" customHeight="1" x14ac:dyDescent="0.2">
      <c r="B2940" s="17"/>
      <c r="C2940" s="83"/>
      <c r="D2940" s="83"/>
      <c r="E2940" s="2"/>
      <c r="F2940" s="200">
        <v>0</v>
      </c>
      <c r="H2940" s="17"/>
    </row>
    <row r="2941" spans="2:8" s="16" customFormat="1" ht="16.899999999999999" customHeight="1" x14ac:dyDescent="0.2">
      <c r="B2941" s="17"/>
      <c r="C2941" s="83"/>
      <c r="D2941" s="83" t="s">
        <v>4195</v>
      </c>
      <c r="E2941" s="2"/>
      <c r="F2941" s="200">
        <v>0</v>
      </c>
      <c r="H2941" s="17"/>
    </row>
    <row r="2942" spans="2:8" s="16" customFormat="1" ht="16.899999999999999" customHeight="1" x14ac:dyDescent="0.2">
      <c r="B2942" s="17"/>
      <c r="C2942" s="83"/>
      <c r="D2942" s="83" t="s">
        <v>4196</v>
      </c>
      <c r="E2942" s="2"/>
      <c r="F2942" s="200">
        <v>90.88</v>
      </c>
      <c r="H2942" s="17"/>
    </row>
    <row r="2943" spans="2:8" s="16" customFormat="1" ht="16.899999999999999" customHeight="1" x14ac:dyDescent="0.2">
      <c r="B2943" s="17"/>
      <c r="C2943" s="83"/>
      <c r="D2943" s="83" t="s">
        <v>4197</v>
      </c>
      <c r="E2943" s="2"/>
      <c r="F2943" s="200">
        <v>0</v>
      </c>
      <c r="H2943" s="17"/>
    </row>
    <row r="2944" spans="2:8" s="16" customFormat="1" ht="16.899999999999999" customHeight="1" x14ac:dyDescent="0.2">
      <c r="B2944" s="17"/>
      <c r="C2944" s="83"/>
      <c r="D2944" s="83" t="s">
        <v>4198</v>
      </c>
      <c r="E2944" s="2"/>
      <c r="F2944" s="200">
        <v>12.56</v>
      </c>
      <c r="H2944" s="17"/>
    </row>
    <row r="2945" spans="2:8" s="16" customFormat="1" ht="16.899999999999999" customHeight="1" x14ac:dyDescent="0.2">
      <c r="B2945" s="17"/>
      <c r="C2945" s="83"/>
      <c r="D2945" s="83" t="s">
        <v>4199</v>
      </c>
      <c r="E2945" s="2"/>
      <c r="F2945" s="200">
        <v>0</v>
      </c>
      <c r="H2945" s="17"/>
    </row>
    <row r="2946" spans="2:8" s="16" customFormat="1" ht="16.899999999999999" customHeight="1" x14ac:dyDescent="0.2">
      <c r="B2946" s="17"/>
      <c r="C2946" s="83"/>
      <c r="D2946" s="83" t="s">
        <v>4200</v>
      </c>
      <c r="E2946" s="2"/>
      <c r="F2946" s="200">
        <v>3.2</v>
      </c>
      <c r="H2946" s="17"/>
    </row>
    <row r="2947" spans="2:8" s="16" customFormat="1" ht="16.899999999999999" customHeight="1" x14ac:dyDescent="0.2">
      <c r="B2947" s="17"/>
      <c r="C2947" s="83" t="s">
        <v>4038</v>
      </c>
      <c r="D2947" s="83" t="s">
        <v>609</v>
      </c>
      <c r="E2947" s="2"/>
      <c r="F2947" s="200">
        <v>190.196</v>
      </c>
      <c r="H2947" s="17"/>
    </row>
    <row r="2948" spans="2:8" s="16" customFormat="1" ht="16.899999999999999" customHeight="1" x14ac:dyDescent="0.2">
      <c r="B2948" s="17"/>
      <c r="C2948" s="201" t="s">
        <v>8859</v>
      </c>
      <c r="H2948" s="17"/>
    </row>
    <row r="2949" spans="2:8" s="16" customFormat="1" ht="16.899999999999999" customHeight="1" x14ac:dyDescent="0.2">
      <c r="B2949" s="17"/>
      <c r="C2949" s="83" t="s">
        <v>4201</v>
      </c>
      <c r="D2949" s="83" t="s">
        <v>4202</v>
      </c>
      <c r="E2949" s="2" t="s">
        <v>425</v>
      </c>
      <c r="F2949" s="200">
        <v>333.69400000000002</v>
      </c>
      <c r="H2949" s="17"/>
    </row>
    <row r="2950" spans="2:8" s="16" customFormat="1" ht="16.899999999999999" customHeight="1" x14ac:dyDescent="0.2">
      <c r="B2950" s="17"/>
      <c r="C2950" s="83" t="s">
        <v>3438</v>
      </c>
      <c r="D2950" s="83" t="s">
        <v>3439</v>
      </c>
      <c r="E2950" s="2" t="s">
        <v>425</v>
      </c>
      <c r="F2950" s="200">
        <v>311.678</v>
      </c>
      <c r="H2950" s="17"/>
    </row>
    <row r="2951" spans="2:8" s="16" customFormat="1" ht="16.899999999999999" customHeight="1" x14ac:dyDescent="0.2">
      <c r="B2951" s="17"/>
      <c r="C2951" s="196" t="s">
        <v>4040</v>
      </c>
      <c r="D2951" s="197"/>
      <c r="E2951" s="198"/>
      <c r="F2951" s="199">
        <v>118.473</v>
      </c>
      <c r="H2951" s="17"/>
    </row>
    <row r="2952" spans="2:8" s="16" customFormat="1" ht="16.899999999999999" customHeight="1" x14ac:dyDescent="0.2">
      <c r="B2952" s="17"/>
      <c r="C2952" s="83"/>
      <c r="D2952" s="83"/>
      <c r="E2952" s="2"/>
      <c r="F2952" s="200">
        <v>0</v>
      </c>
      <c r="H2952" s="17"/>
    </row>
    <row r="2953" spans="2:8" s="16" customFormat="1" ht="16.899999999999999" customHeight="1" x14ac:dyDescent="0.2">
      <c r="B2953" s="17"/>
      <c r="C2953" s="83"/>
      <c r="D2953" s="83" t="s">
        <v>4211</v>
      </c>
      <c r="E2953" s="2"/>
      <c r="F2953" s="200">
        <v>0</v>
      </c>
      <c r="H2953" s="17"/>
    </row>
    <row r="2954" spans="2:8" s="16" customFormat="1" ht="16.899999999999999" customHeight="1" x14ac:dyDescent="0.2">
      <c r="B2954" s="17"/>
      <c r="C2954" s="83"/>
      <c r="D2954" s="83" t="s">
        <v>4212</v>
      </c>
      <c r="E2954" s="2"/>
      <c r="F2954" s="200">
        <v>0</v>
      </c>
      <c r="H2954" s="17"/>
    </row>
    <row r="2955" spans="2:8" s="16" customFormat="1" ht="16.899999999999999" customHeight="1" x14ac:dyDescent="0.2">
      <c r="B2955" s="17"/>
      <c r="C2955" s="83"/>
      <c r="D2955" s="83" t="s">
        <v>4213</v>
      </c>
      <c r="E2955" s="2"/>
      <c r="F2955" s="200">
        <v>25.5</v>
      </c>
      <c r="H2955" s="17"/>
    </row>
    <row r="2956" spans="2:8" s="16" customFormat="1" ht="16.899999999999999" customHeight="1" x14ac:dyDescent="0.2">
      <c r="B2956" s="17"/>
      <c r="C2956" s="83"/>
      <c r="D2956" s="83"/>
      <c r="E2956" s="2"/>
      <c r="F2956" s="200">
        <v>0</v>
      </c>
      <c r="H2956" s="17"/>
    </row>
    <row r="2957" spans="2:8" s="16" customFormat="1" ht="16.899999999999999" customHeight="1" x14ac:dyDescent="0.2">
      <c r="B2957" s="17"/>
      <c r="C2957" s="83"/>
      <c r="D2957" s="83" t="s">
        <v>4085</v>
      </c>
      <c r="E2957" s="2"/>
      <c r="F2957" s="200">
        <v>0</v>
      </c>
      <c r="H2957" s="17"/>
    </row>
    <row r="2958" spans="2:8" s="16" customFormat="1" ht="16.899999999999999" customHeight="1" x14ac:dyDescent="0.2">
      <c r="B2958" s="17"/>
      <c r="C2958" s="83"/>
      <c r="D2958" s="83" t="s">
        <v>4214</v>
      </c>
      <c r="E2958" s="2"/>
      <c r="F2958" s="200">
        <v>19.472999999999999</v>
      </c>
      <c r="H2958" s="17"/>
    </row>
    <row r="2959" spans="2:8" s="16" customFormat="1" ht="16.899999999999999" customHeight="1" x14ac:dyDescent="0.2">
      <c r="B2959" s="17"/>
      <c r="C2959" s="83"/>
      <c r="D2959" s="83"/>
      <c r="E2959" s="2"/>
      <c r="F2959" s="200">
        <v>0</v>
      </c>
      <c r="H2959" s="17"/>
    </row>
    <row r="2960" spans="2:8" s="16" customFormat="1" ht="16.899999999999999" customHeight="1" x14ac:dyDescent="0.2">
      <c r="B2960" s="17"/>
      <c r="C2960" s="83"/>
      <c r="D2960" s="83" t="s">
        <v>4132</v>
      </c>
      <c r="E2960" s="2"/>
      <c r="F2960" s="200">
        <v>0</v>
      </c>
      <c r="H2960" s="17"/>
    </row>
    <row r="2961" spans="2:8" s="16" customFormat="1" ht="16.899999999999999" customHeight="1" x14ac:dyDescent="0.2">
      <c r="B2961" s="17"/>
      <c r="C2961" s="83"/>
      <c r="D2961" s="83" t="s">
        <v>4215</v>
      </c>
      <c r="E2961" s="2"/>
      <c r="F2961" s="200">
        <v>11.5</v>
      </c>
      <c r="H2961" s="17"/>
    </row>
    <row r="2962" spans="2:8" s="16" customFormat="1" ht="16.899999999999999" customHeight="1" x14ac:dyDescent="0.2">
      <c r="B2962" s="17"/>
      <c r="C2962" s="83"/>
      <c r="D2962" s="83"/>
      <c r="E2962" s="2"/>
      <c r="F2962" s="200">
        <v>0</v>
      </c>
      <c r="H2962" s="17"/>
    </row>
    <row r="2963" spans="2:8" s="16" customFormat="1" ht="16.899999999999999" customHeight="1" x14ac:dyDescent="0.2">
      <c r="B2963" s="17"/>
      <c r="C2963" s="83"/>
      <c r="D2963" s="83" t="s">
        <v>4195</v>
      </c>
      <c r="E2963" s="2"/>
      <c r="F2963" s="200">
        <v>0</v>
      </c>
      <c r="H2963" s="17"/>
    </row>
    <row r="2964" spans="2:8" s="16" customFormat="1" ht="16.899999999999999" customHeight="1" x14ac:dyDescent="0.2">
      <c r="B2964" s="17"/>
      <c r="C2964" s="83"/>
      <c r="D2964" s="83" t="s">
        <v>4216</v>
      </c>
      <c r="E2964" s="2"/>
      <c r="F2964" s="200">
        <v>45.44</v>
      </c>
      <c r="H2964" s="17"/>
    </row>
    <row r="2965" spans="2:8" s="16" customFormat="1" ht="16.899999999999999" customHeight="1" x14ac:dyDescent="0.2">
      <c r="B2965" s="17"/>
      <c r="C2965" s="83"/>
      <c r="D2965" s="83" t="s">
        <v>4197</v>
      </c>
      <c r="E2965" s="2"/>
      <c r="F2965" s="200">
        <v>0</v>
      </c>
      <c r="H2965" s="17"/>
    </row>
    <row r="2966" spans="2:8" s="16" customFormat="1" ht="16.899999999999999" customHeight="1" x14ac:dyDescent="0.2">
      <c r="B2966" s="17"/>
      <c r="C2966" s="83"/>
      <c r="D2966" s="83" t="s">
        <v>4198</v>
      </c>
      <c r="E2966" s="2"/>
      <c r="F2966" s="200">
        <v>12.56</v>
      </c>
      <c r="H2966" s="17"/>
    </row>
    <row r="2967" spans="2:8" s="16" customFormat="1" ht="16.899999999999999" customHeight="1" x14ac:dyDescent="0.2">
      <c r="B2967" s="17"/>
      <c r="C2967" s="83"/>
      <c r="D2967" s="83" t="s">
        <v>4199</v>
      </c>
      <c r="E2967" s="2"/>
      <c r="F2967" s="200">
        <v>0</v>
      </c>
      <c r="H2967" s="17"/>
    </row>
    <row r="2968" spans="2:8" s="16" customFormat="1" ht="16.899999999999999" customHeight="1" x14ac:dyDescent="0.2">
      <c r="B2968" s="17"/>
      <c r="C2968" s="83"/>
      <c r="D2968" s="83" t="s">
        <v>4217</v>
      </c>
      <c r="E2968" s="2"/>
      <c r="F2968" s="200">
        <v>4</v>
      </c>
      <c r="H2968" s="17"/>
    </row>
    <row r="2969" spans="2:8" s="16" customFormat="1" ht="16.899999999999999" customHeight="1" x14ac:dyDescent="0.2">
      <c r="B2969" s="17"/>
      <c r="C2969" s="83" t="s">
        <v>4040</v>
      </c>
      <c r="D2969" s="83" t="s">
        <v>609</v>
      </c>
      <c r="E2969" s="2"/>
      <c r="F2969" s="200">
        <v>118.473</v>
      </c>
      <c r="H2969" s="17"/>
    </row>
    <row r="2970" spans="2:8" s="16" customFormat="1" ht="16.899999999999999" customHeight="1" x14ac:dyDescent="0.2">
      <c r="B2970" s="17"/>
      <c r="C2970" s="201" t="s">
        <v>8859</v>
      </c>
      <c r="H2970" s="17"/>
    </row>
    <row r="2971" spans="2:8" s="16" customFormat="1" ht="16.899999999999999" customHeight="1" x14ac:dyDescent="0.2">
      <c r="B2971" s="17"/>
      <c r="C2971" s="83" t="s">
        <v>4201</v>
      </c>
      <c r="D2971" s="83" t="s">
        <v>4202</v>
      </c>
      <c r="E2971" s="2" t="s">
        <v>425</v>
      </c>
      <c r="F2971" s="200">
        <v>333.69400000000002</v>
      </c>
      <c r="H2971" s="17"/>
    </row>
    <row r="2972" spans="2:8" s="16" customFormat="1" ht="16.899999999999999" customHeight="1" x14ac:dyDescent="0.2">
      <c r="B2972" s="17"/>
      <c r="C2972" s="83" t="s">
        <v>4223</v>
      </c>
      <c r="D2972" s="83" t="s">
        <v>4224</v>
      </c>
      <c r="E2972" s="2" t="s">
        <v>342</v>
      </c>
      <c r="F2972" s="200">
        <v>10.547000000000001</v>
      </c>
      <c r="H2972" s="17"/>
    </row>
    <row r="2973" spans="2:8" s="16" customFormat="1" ht="16.899999999999999" customHeight="1" x14ac:dyDescent="0.2">
      <c r="B2973" s="17"/>
      <c r="C2973" s="196" t="s">
        <v>4042</v>
      </c>
      <c r="D2973" s="197"/>
      <c r="E2973" s="198"/>
      <c r="F2973" s="199">
        <v>106.64</v>
      </c>
      <c r="H2973" s="17"/>
    </row>
    <row r="2974" spans="2:8" s="16" customFormat="1" ht="16.899999999999999" customHeight="1" x14ac:dyDescent="0.2">
      <c r="B2974" s="17"/>
      <c r="C2974" s="83"/>
      <c r="D2974" s="83" t="s">
        <v>4194</v>
      </c>
      <c r="E2974" s="2"/>
      <c r="F2974" s="200">
        <v>0</v>
      </c>
      <c r="H2974" s="17"/>
    </row>
    <row r="2975" spans="2:8" s="16" customFormat="1" ht="16.899999999999999" customHeight="1" x14ac:dyDescent="0.2">
      <c r="B2975" s="17"/>
      <c r="C2975" s="83"/>
      <c r="D2975" s="83" t="s">
        <v>4195</v>
      </c>
      <c r="E2975" s="2"/>
      <c r="F2975" s="200">
        <v>0</v>
      </c>
      <c r="H2975" s="17"/>
    </row>
    <row r="2976" spans="2:8" s="16" customFormat="1" ht="16.899999999999999" customHeight="1" x14ac:dyDescent="0.2">
      <c r="B2976" s="17"/>
      <c r="C2976" s="83"/>
      <c r="D2976" s="83" t="s">
        <v>4196</v>
      </c>
      <c r="E2976" s="2"/>
      <c r="F2976" s="200">
        <v>90.88</v>
      </c>
      <c r="H2976" s="17"/>
    </row>
    <row r="2977" spans="2:8" s="16" customFormat="1" ht="16.899999999999999" customHeight="1" x14ac:dyDescent="0.2">
      <c r="B2977" s="17"/>
      <c r="C2977" s="83"/>
      <c r="D2977" s="83" t="s">
        <v>4197</v>
      </c>
      <c r="E2977" s="2"/>
      <c r="F2977" s="200">
        <v>0</v>
      </c>
      <c r="H2977" s="17"/>
    </row>
    <row r="2978" spans="2:8" s="16" customFormat="1" ht="16.899999999999999" customHeight="1" x14ac:dyDescent="0.2">
      <c r="B2978" s="17"/>
      <c r="C2978" s="83"/>
      <c r="D2978" s="83" t="s">
        <v>4198</v>
      </c>
      <c r="E2978" s="2"/>
      <c r="F2978" s="200">
        <v>12.56</v>
      </c>
      <c r="H2978" s="17"/>
    </row>
    <row r="2979" spans="2:8" s="16" customFormat="1" ht="16.899999999999999" customHeight="1" x14ac:dyDescent="0.2">
      <c r="B2979" s="17"/>
      <c r="C2979" s="83"/>
      <c r="D2979" s="83" t="s">
        <v>4199</v>
      </c>
      <c r="E2979" s="2"/>
      <c r="F2979" s="200">
        <v>0</v>
      </c>
      <c r="H2979" s="17"/>
    </row>
    <row r="2980" spans="2:8" s="16" customFormat="1" ht="16.899999999999999" customHeight="1" x14ac:dyDescent="0.2">
      <c r="B2980" s="17"/>
      <c r="C2980" s="83"/>
      <c r="D2980" s="83" t="s">
        <v>4200</v>
      </c>
      <c r="E2980" s="2"/>
      <c r="F2980" s="200">
        <v>3.2</v>
      </c>
      <c r="H2980" s="17"/>
    </row>
    <row r="2981" spans="2:8" s="16" customFormat="1" ht="16.899999999999999" customHeight="1" x14ac:dyDescent="0.2">
      <c r="B2981" s="17"/>
      <c r="C2981" s="83" t="s">
        <v>4042</v>
      </c>
      <c r="D2981" s="83" t="s">
        <v>351</v>
      </c>
      <c r="E2981" s="2"/>
      <c r="F2981" s="200">
        <v>106.64</v>
      </c>
      <c r="H2981" s="17"/>
    </row>
    <row r="2982" spans="2:8" s="16" customFormat="1" ht="16.899999999999999" customHeight="1" x14ac:dyDescent="0.2">
      <c r="B2982" s="17"/>
      <c r="C2982" s="201" t="s">
        <v>8859</v>
      </c>
      <c r="H2982" s="17"/>
    </row>
    <row r="2983" spans="2:8" s="16" customFormat="1" ht="16.899999999999999" customHeight="1" x14ac:dyDescent="0.2">
      <c r="B2983" s="17"/>
      <c r="C2983" s="83" t="s">
        <v>4191</v>
      </c>
      <c r="D2983" s="83" t="s">
        <v>4192</v>
      </c>
      <c r="E2983" s="2" t="s">
        <v>425</v>
      </c>
      <c r="F2983" s="200">
        <v>106.64</v>
      </c>
      <c r="H2983" s="17"/>
    </row>
    <row r="2984" spans="2:8" s="16" customFormat="1" ht="16.899999999999999" customHeight="1" x14ac:dyDescent="0.2">
      <c r="B2984" s="17"/>
      <c r="C2984" s="83" t="s">
        <v>3438</v>
      </c>
      <c r="D2984" s="83" t="s">
        <v>3439</v>
      </c>
      <c r="E2984" s="2" t="s">
        <v>425</v>
      </c>
      <c r="F2984" s="200">
        <v>311.678</v>
      </c>
      <c r="H2984" s="17"/>
    </row>
    <row r="2985" spans="2:8" s="16" customFormat="1" ht="26.45" customHeight="1" x14ac:dyDescent="0.2">
      <c r="B2985" s="17"/>
      <c r="C2985" s="195" t="s">
        <v>8864</v>
      </c>
      <c r="D2985" s="195" t="s">
        <v>125</v>
      </c>
      <c r="H2985" s="17"/>
    </row>
    <row r="2986" spans="2:8" s="16" customFormat="1" ht="16.899999999999999" customHeight="1" x14ac:dyDescent="0.2">
      <c r="B2986" s="17"/>
      <c r="C2986" s="196" t="s">
        <v>4810</v>
      </c>
      <c r="D2986" s="197"/>
      <c r="E2986" s="198"/>
      <c r="F2986" s="199">
        <v>89.444999999999993</v>
      </c>
      <c r="H2986" s="17"/>
    </row>
    <row r="2987" spans="2:8" s="16" customFormat="1" ht="16.899999999999999" customHeight="1" x14ac:dyDescent="0.2">
      <c r="B2987" s="17"/>
      <c r="C2987" s="83"/>
      <c r="D2987" s="83" t="s">
        <v>4951</v>
      </c>
      <c r="E2987" s="2"/>
      <c r="F2987" s="200">
        <v>0</v>
      </c>
      <c r="H2987" s="17"/>
    </row>
    <row r="2988" spans="2:8" s="16" customFormat="1" ht="16.899999999999999" customHeight="1" x14ac:dyDescent="0.2">
      <c r="B2988" s="17"/>
      <c r="C2988" s="83"/>
      <c r="D2988" s="83" t="s">
        <v>4952</v>
      </c>
      <c r="E2988" s="2"/>
      <c r="F2988" s="200">
        <v>0</v>
      </c>
      <c r="H2988" s="17"/>
    </row>
    <row r="2989" spans="2:8" s="16" customFormat="1" ht="16.899999999999999" customHeight="1" x14ac:dyDescent="0.2">
      <c r="B2989" s="17"/>
      <c r="C2989" s="83"/>
      <c r="D2989" s="83"/>
      <c r="E2989" s="2"/>
      <c r="F2989" s="200">
        <v>0</v>
      </c>
      <c r="H2989" s="17"/>
    </row>
    <row r="2990" spans="2:8" s="16" customFormat="1" ht="16.899999999999999" customHeight="1" x14ac:dyDescent="0.2">
      <c r="B2990" s="17"/>
      <c r="C2990" s="83"/>
      <c r="D2990" s="83" t="s">
        <v>4953</v>
      </c>
      <c r="E2990" s="2"/>
      <c r="F2990" s="200">
        <v>0</v>
      </c>
      <c r="H2990" s="17"/>
    </row>
    <row r="2991" spans="2:8" s="16" customFormat="1" ht="16.899999999999999" customHeight="1" x14ac:dyDescent="0.2">
      <c r="B2991" s="17"/>
      <c r="C2991" s="83"/>
      <c r="D2991" s="83" t="s">
        <v>4954</v>
      </c>
      <c r="E2991" s="2"/>
      <c r="F2991" s="200">
        <v>76.05</v>
      </c>
      <c r="H2991" s="17"/>
    </row>
    <row r="2992" spans="2:8" s="16" customFormat="1" ht="16.899999999999999" customHeight="1" x14ac:dyDescent="0.2">
      <c r="B2992" s="17"/>
      <c r="C2992" s="83"/>
      <c r="D2992" s="83" t="s">
        <v>4955</v>
      </c>
      <c r="E2992" s="2"/>
      <c r="F2992" s="200">
        <v>0</v>
      </c>
      <c r="H2992" s="17"/>
    </row>
    <row r="2993" spans="2:8" s="16" customFormat="1" ht="16.899999999999999" customHeight="1" x14ac:dyDescent="0.2">
      <c r="B2993" s="17"/>
      <c r="C2993" s="83"/>
      <c r="D2993" s="83" t="s">
        <v>4956</v>
      </c>
      <c r="E2993" s="2"/>
      <c r="F2993" s="200">
        <v>13.395</v>
      </c>
      <c r="H2993" s="17"/>
    </row>
    <row r="2994" spans="2:8" s="16" customFormat="1" ht="16.899999999999999" customHeight="1" x14ac:dyDescent="0.2">
      <c r="B2994" s="17"/>
      <c r="C2994" s="83"/>
      <c r="D2994" s="83"/>
      <c r="E2994" s="2"/>
      <c r="F2994" s="200">
        <v>0</v>
      </c>
      <c r="H2994" s="17"/>
    </row>
    <row r="2995" spans="2:8" s="16" customFormat="1" ht="16.899999999999999" customHeight="1" x14ac:dyDescent="0.2">
      <c r="B2995" s="17"/>
      <c r="C2995" s="83"/>
      <c r="D2995" s="83" t="s">
        <v>4957</v>
      </c>
      <c r="E2995" s="2"/>
      <c r="F2995" s="200">
        <v>0</v>
      </c>
      <c r="H2995" s="17"/>
    </row>
    <row r="2996" spans="2:8" s="16" customFormat="1" ht="16.899999999999999" customHeight="1" x14ac:dyDescent="0.2">
      <c r="B2996" s="17"/>
      <c r="C2996" s="83" t="s">
        <v>4810</v>
      </c>
      <c r="D2996" s="83" t="s">
        <v>351</v>
      </c>
      <c r="E2996" s="2"/>
      <c r="F2996" s="200">
        <v>89.444999999999993</v>
      </c>
      <c r="H2996" s="17"/>
    </row>
    <row r="2997" spans="2:8" s="16" customFormat="1" ht="16.899999999999999" customHeight="1" x14ac:dyDescent="0.2">
      <c r="B2997" s="17"/>
      <c r="C2997" s="201" t="s">
        <v>8859</v>
      </c>
      <c r="H2997" s="17"/>
    </row>
    <row r="2998" spans="2:8" s="16" customFormat="1" ht="16.899999999999999" customHeight="1" x14ac:dyDescent="0.2">
      <c r="B2998" s="17"/>
      <c r="C2998" s="83" t="s">
        <v>2970</v>
      </c>
      <c r="D2998" s="83" t="s">
        <v>2971</v>
      </c>
      <c r="E2998" s="2" t="s">
        <v>425</v>
      </c>
      <c r="F2998" s="200">
        <v>89.444999999999993</v>
      </c>
      <c r="H2998" s="17"/>
    </row>
    <row r="2999" spans="2:8" s="16" customFormat="1" ht="16.899999999999999" customHeight="1" x14ac:dyDescent="0.2">
      <c r="B2999" s="17"/>
      <c r="C2999" s="83" t="s">
        <v>4939</v>
      </c>
      <c r="D2999" s="83" t="s">
        <v>4940</v>
      </c>
      <c r="E2999" s="2" t="s">
        <v>425</v>
      </c>
      <c r="F2999" s="200">
        <v>89.444999999999993</v>
      </c>
      <c r="H2999" s="17"/>
    </row>
    <row r="3000" spans="2:8" s="16" customFormat="1" ht="16.899999999999999" customHeight="1" x14ac:dyDescent="0.2">
      <c r="B3000" s="17"/>
      <c r="C3000" s="83" t="s">
        <v>2935</v>
      </c>
      <c r="D3000" s="83" t="s">
        <v>2936</v>
      </c>
      <c r="E3000" s="2" t="s">
        <v>425</v>
      </c>
      <c r="F3000" s="200">
        <v>89.444999999999993</v>
      </c>
      <c r="H3000" s="17"/>
    </row>
    <row r="3001" spans="2:8" s="16" customFormat="1" ht="16.899999999999999" customHeight="1" x14ac:dyDescent="0.2">
      <c r="B3001" s="17"/>
      <c r="C3001" s="83" t="s">
        <v>4944</v>
      </c>
      <c r="D3001" s="83" t="s">
        <v>4945</v>
      </c>
      <c r="E3001" s="2" t="s">
        <v>425</v>
      </c>
      <c r="F3001" s="200">
        <v>89.444999999999993</v>
      </c>
      <c r="H3001" s="17"/>
    </row>
    <row r="3002" spans="2:8" s="16" customFormat="1" ht="16.899999999999999" customHeight="1" x14ac:dyDescent="0.2">
      <c r="B3002" s="17"/>
      <c r="C3002" s="83" t="s">
        <v>4947</v>
      </c>
      <c r="D3002" s="83" t="s">
        <v>4948</v>
      </c>
      <c r="E3002" s="2" t="s">
        <v>425</v>
      </c>
      <c r="F3002" s="200">
        <v>89.444999999999993</v>
      </c>
      <c r="H3002" s="17"/>
    </row>
    <row r="3003" spans="2:8" s="16" customFormat="1" ht="16.899999999999999" customHeight="1" x14ac:dyDescent="0.2">
      <c r="B3003" s="17"/>
      <c r="C3003" s="83" t="s">
        <v>2973</v>
      </c>
      <c r="D3003" s="83" t="s">
        <v>2974</v>
      </c>
      <c r="E3003" s="2" t="s">
        <v>425</v>
      </c>
      <c r="F3003" s="200">
        <v>89.444999999999993</v>
      </c>
      <c r="H3003" s="17"/>
    </row>
    <row r="3004" spans="2:8" s="16" customFormat="1" ht="16.899999999999999" customHeight="1" x14ac:dyDescent="0.2">
      <c r="B3004" s="17"/>
      <c r="C3004" s="83" t="s">
        <v>2976</v>
      </c>
      <c r="D3004" s="83" t="s">
        <v>2977</v>
      </c>
      <c r="E3004" s="2" t="s">
        <v>425</v>
      </c>
      <c r="F3004" s="200">
        <v>89.444999999999993</v>
      </c>
      <c r="H3004" s="17"/>
    </row>
    <row r="3005" spans="2:8" s="16" customFormat="1" ht="26.45" customHeight="1" x14ac:dyDescent="0.2">
      <c r="B3005" s="17"/>
      <c r="C3005" s="195" t="s">
        <v>8865</v>
      </c>
      <c r="D3005" s="195" t="s">
        <v>128</v>
      </c>
      <c r="H3005" s="17"/>
    </row>
    <row r="3006" spans="2:8" s="16" customFormat="1" ht="16.899999999999999" customHeight="1" x14ac:dyDescent="0.2">
      <c r="B3006" s="17"/>
      <c r="C3006" s="196" t="s">
        <v>4960</v>
      </c>
      <c r="D3006" s="197"/>
      <c r="E3006" s="198"/>
      <c r="F3006" s="199">
        <v>154.63</v>
      </c>
      <c r="H3006" s="17"/>
    </row>
    <row r="3007" spans="2:8" s="16" customFormat="1" ht="16.899999999999999" customHeight="1" x14ac:dyDescent="0.2">
      <c r="B3007" s="17"/>
      <c r="C3007" s="83"/>
      <c r="D3007" s="83" t="s">
        <v>3117</v>
      </c>
      <c r="E3007" s="2"/>
      <c r="F3007" s="200">
        <v>0</v>
      </c>
      <c r="H3007" s="17"/>
    </row>
    <row r="3008" spans="2:8" s="16" customFormat="1" ht="16.899999999999999" customHeight="1" x14ac:dyDescent="0.2">
      <c r="B3008" s="17"/>
      <c r="C3008" s="83"/>
      <c r="D3008" s="83" t="s">
        <v>4973</v>
      </c>
      <c r="E3008" s="2"/>
      <c r="F3008" s="200">
        <v>0</v>
      </c>
      <c r="H3008" s="17"/>
    </row>
    <row r="3009" spans="2:8" s="16" customFormat="1" ht="16.899999999999999" customHeight="1" x14ac:dyDescent="0.2">
      <c r="B3009" s="17"/>
      <c r="C3009" s="83"/>
      <c r="D3009" s="83" t="s">
        <v>4974</v>
      </c>
      <c r="E3009" s="2"/>
      <c r="F3009" s="200">
        <v>45.44</v>
      </c>
      <c r="H3009" s="17"/>
    </row>
    <row r="3010" spans="2:8" s="16" customFormat="1" ht="16.899999999999999" customHeight="1" x14ac:dyDescent="0.2">
      <c r="B3010" s="17"/>
      <c r="C3010" s="83"/>
      <c r="D3010" s="83" t="s">
        <v>4975</v>
      </c>
      <c r="E3010" s="2"/>
      <c r="F3010" s="200">
        <v>0</v>
      </c>
      <c r="H3010" s="17"/>
    </row>
    <row r="3011" spans="2:8" s="16" customFormat="1" ht="16.899999999999999" customHeight="1" x14ac:dyDescent="0.2">
      <c r="B3011" s="17"/>
      <c r="C3011" s="83"/>
      <c r="D3011" s="83" t="s">
        <v>4976</v>
      </c>
      <c r="E3011" s="2"/>
      <c r="F3011" s="200">
        <v>90.27</v>
      </c>
      <c r="H3011" s="17"/>
    </row>
    <row r="3012" spans="2:8" s="16" customFormat="1" ht="16.899999999999999" customHeight="1" x14ac:dyDescent="0.2">
      <c r="B3012" s="17"/>
      <c r="C3012" s="83"/>
      <c r="D3012" s="83" t="s">
        <v>4977</v>
      </c>
      <c r="E3012" s="2"/>
      <c r="F3012" s="200">
        <v>18.920000000000002</v>
      </c>
      <c r="H3012" s="17"/>
    </row>
    <row r="3013" spans="2:8" s="16" customFormat="1" ht="16.899999999999999" customHeight="1" x14ac:dyDescent="0.2">
      <c r="B3013" s="17"/>
      <c r="C3013" s="83" t="s">
        <v>4960</v>
      </c>
      <c r="D3013" s="83" t="s">
        <v>351</v>
      </c>
      <c r="E3013" s="2"/>
      <c r="F3013" s="200">
        <v>154.63</v>
      </c>
      <c r="H3013" s="17"/>
    </row>
    <row r="3014" spans="2:8" s="16" customFormat="1" ht="16.899999999999999" customHeight="1" x14ac:dyDescent="0.2">
      <c r="B3014" s="17"/>
      <c r="C3014" s="201" t="s">
        <v>8859</v>
      </c>
      <c r="H3014" s="17"/>
    </row>
    <row r="3015" spans="2:8" s="16" customFormat="1" ht="16.899999999999999" customHeight="1" x14ac:dyDescent="0.2">
      <c r="B3015" s="17"/>
      <c r="C3015" s="83" t="s">
        <v>4970</v>
      </c>
      <c r="D3015" s="83" t="s">
        <v>4971</v>
      </c>
      <c r="E3015" s="2" t="s">
        <v>425</v>
      </c>
      <c r="F3015" s="200">
        <v>154.63</v>
      </c>
      <c r="H3015" s="17"/>
    </row>
    <row r="3016" spans="2:8" s="16" customFormat="1" ht="16.899999999999999" customHeight="1" x14ac:dyDescent="0.2">
      <c r="B3016" s="17"/>
      <c r="C3016" s="83" t="s">
        <v>5001</v>
      </c>
      <c r="D3016" s="83" t="s">
        <v>5002</v>
      </c>
      <c r="E3016" s="2" t="s">
        <v>425</v>
      </c>
      <c r="F3016" s="200">
        <v>9277.7999999999993</v>
      </c>
      <c r="H3016" s="17"/>
    </row>
    <row r="3017" spans="2:8" s="16" customFormat="1" ht="16.899999999999999" customHeight="1" x14ac:dyDescent="0.2">
      <c r="B3017" s="17"/>
      <c r="C3017" s="83" t="s">
        <v>5015</v>
      </c>
      <c r="D3017" s="83" t="s">
        <v>5016</v>
      </c>
      <c r="E3017" s="2" t="s">
        <v>425</v>
      </c>
      <c r="F3017" s="200">
        <v>3860.9079999999999</v>
      </c>
      <c r="H3017" s="17"/>
    </row>
    <row r="3018" spans="2:8" s="16" customFormat="1" ht="16.899999999999999" customHeight="1" x14ac:dyDescent="0.2">
      <c r="B3018" s="17"/>
      <c r="C3018" s="83" t="s">
        <v>5018</v>
      </c>
      <c r="D3018" s="83" t="s">
        <v>5019</v>
      </c>
      <c r="E3018" s="2" t="s">
        <v>425</v>
      </c>
      <c r="F3018" s="200">
        <v>231654.48</v>
      </c>
      <c r="H3018" s="17"/>
    </row>
    <row r="3019" spans="2:8" s="16" customFormat="1" ht="16.899999999999999" customHeight="1" x14ac:dyDescent="0.2">
      <c r="B3019" s="17"/>
      <c r="C3019" s="196" t="s">
        <v>4962</v>
      </c>
      <c r="D3019" s="197"/>
      <c r="E3019" s="198"/>
      <c r="F3019" s="199">
        <v>3706.2779999999998</v>
      </c>
      <c r="H3019" s="17"/>
    </row>
    <row r="3020" spans="2:8" s="16" customFormat="1" ht="16.899999999999999" customHeight="1" x14ac:dyDescent="0.2">
      <c r="B3020" s="17"/>
      <c r="C3020" s="83"/>
      <c r="D3020" s="83" t="s">
        <v>3458</v>
      </c>
      <c r="E3020" s="2"/>
      <c r="F3020" s="200">
        <v>0</v>
      </c>
      <c r="H3020" s="17"/>
    </row>
    <row r="3021" spans="2:8" s="16" customFormat="1" ht="16.899999999999999" customHeight="1" x14ac:dyDescent="0.2">
      <c r="B3021" s="17"/>
      <c r="C3021" s="83"/>
      <c r="D3021" s="83" t="s">
        <v>3459</v>
      </c>
      <c r="E3021" s="2"/>
      <c r="F3021" s="200">
        <v>0</v>
      </c>
      <c r="H3021" s="17"/>
    </row>
    <row r="3022" spans="2:8" s="16" customFormat="1" ht="16.899999999999999" customHeight="1" x14ac:dyDescent="0.2">
      <c r="B3022" s="17"/>
      <c r="C3022" s="83"/>
      <c r="D3022" s="83"/>
      <c r="E3022" s="2"/>
      <c r="F3022" s="200">
        <v>0</v>
      </c>
      <c r="H3022" s="17"/>
    </row>
    <row r="3023" spans="2:8" s="16" customFormat="1" ht="16.899999999999999" customHeight="1" x14ac:dyDescent="0.2">
      <c r="B3023" s="17"/>
      <c r="C3023" s="83"/>
      <c r="D3023" s="83" t="s">
        <v>4981</v>
      </c>
      <c r="E3023" s="2"/>
      <c r="F3023" s="200">
        <v>0</v>
      </c>
      <c r="H3023" s="17"/>
    </row>
    <row r="3024" spans="2:8" s="16" customFormat="1" ht="16.899999999999999" customHeight="1" x14ac:dyDescent="0.2">
      <c r="B3024" s="17"/>
      <c r="C3024" s="83"/>
      <c r="D3024" s="83" t="s">
        <v>3460</v>
      </c>
      <c r="E3024" s="2"/>
      <c r="F3024" s="200">
        <v>0</v>
      </c>
      <c r="H3024" s="17"/>
    </row>
    <row r="3025" spans="2:8" s="16" customFormat="1" ht="16.899999999999999" customHeight="1" x14ac:dyDescent="0.2">
      <c r="B3025" s="17"/>
      <c r="C3025" s="83"/>
      <c r="D3025" s="83" t="s">
        <v>3461</v>
      </c>
      <c r="E3025" s="2"/>
      <c r="F3025" s="200">
        <v>0</v>
      </c>
      <c r="H3025" s="17"/>
    </row>
    <row r="3026" spans="2:8" s="16" customFormat="1" ht="16.899999999999999" customHeight="1" x14ac:dyDescent="0.2">
      <c r="B3026" s="17"/>
      <c r="C3026" s="83"/>
      <c r="D3026" s="83" t="s">
        <v>4982</v>
      </c>
      <c r="E3026" s="2"/>
      <c r="F3026" s="200">
        <v>178.99600000000001</v>
      </c>
      <c r="H3026" s="17"/>
    </row>
    <row r="3027" spans="2:8" s="16" customFormat="1" ht="16.899999999999999" customHeight="1" x14ac:dyDescent="0.2">
      <c r="B3027" s="17"/>
      <c r="C3027" s="83"/>
      <c r="D3027" s="83" t="s">
        <v>3463</v>
      </c>
      <c r="E3027" s="2"/>
      <c r="F3027" s="200">
        <v>1.5389999999999999</v>
      </c>
      <c r="H3027" s="17"/>
    </row>
    <row r="3028" spans="2:8" s="16" customFormat="1" ht="16.899999999999999" customHeight="1" x14ac:dyDescent="0.2">
      <c r="B3028" s="17"/>
      <c r="C3028" s="83"/>
      <c r="D3028" s="83"/>
      <c r="E3028" s="2"/>
      <c r="F3028" s="200">
        <v>0</v>
      </c>
      <c r="H3028" s="17"/>
    </row>
    <row r="3029" spans="2:8" s="16" customFormat="1" ht="16.899999999999999" customHeight="1" x14ac:dyDescent="0.2">
      <c r="B3029" s="17"/>
      <c r="C3029" s="83"/>
      <c r="D3029" s="83" t="s">
        <v>3466</v>
      </c>
      <c r="E3029" s="2"/>
      <c r="F3029" s="200">
        <v>0</v>
      </c>
      <c r="H3029" s="17"/>
    </row>
    <row r="3030" spans="2:8" s="16" customFormat="1" ht="16.899999999999999" customHeight="1" x14ac:dyDescent="0.2">
      <c r="B3030" s="17"/>
      <c r="C3030" s="83"/>
      <c r="D3030" s="83" t="s">
        <v>3467</v>
      </c>
      <c r="E3030" s="2"/>
      <c r="F3030" s="200">
        <v>0</v>
      </c>
      <c r="H3030" s="17"/>
    </row>
    <row r="3031" spans="2:8" s="16" customFormat="1" ht="16.899999999999999" customHeight="1" x14ac:dyDescent="0.2">
      <c r="B3031" s="17"/>
      <c r="C3031" s="83"/>
      <c r="D3031" s="83" t="s">
        <v>3379</v>
      </c>
      <c r="E3031" s="2"/>
      <c r="F3031" s="200">
        <v>0</v>
      </c>
      <c r="H3031" s="17"/>
    </row>
    <row r="3032" spans="2:8" s="16" customFormat="1" ht="16.899999999999999" customHeight="1" x14ac:dyDescent="0.2">
      <c r="B3032" s="17"/>
      <c r="C3032" s="83"/>
      <c r="D3032" s="83" t="s">
        <v>4983</v>
      </c>
      <c r="E3032" s="2"/>
      <c r="F3032" s="200">
        <v>110.985</v>
      </c>
      <c r="H3032" s="17"/>
    </row>
    <row r="3033" spans="2:8" s="16" customFormat="1" ht="16.899999999999999" customHeight="1" x14ac:dyDescent="0.2">
      <c r="B3033" s="17"/>
      <c r="C3033" s="83"/>
      <c r="D3033" s="83" t="s">
        <v>3470</v>
      </c>
      <c r="E3033" s="2"/>
      <c r="F3033" s="200">
        <v>0.6</v>
      </c>
      <c r="H3033" s="17"/>
    </row>
    <row r="3034" spans="2:8" s="16" customFormat="1" ht="16.899999999999999" customHeight="1" x14ac:dyDescent="0.2">
      <c r="B3034" s="17"/>
      <c r="C3034" s="83"/>
      <c r="D3034" s="83" t="s">
        <v>3381</v>
      </c>
      <c r="E3034" s="2"/>
      <c r="F3034" s="200">
        <v>0</v>
      </c>
      <c r="H3034" s="17"/>
    </row>
    <row r="3035" spans="2:8" s="16" customFormat="1" ht="16.899999999999999" customHeight="1" x14ac:dyDescent="0.2">
      <c r="B3035" s="17"/>
      <c r="C3035" s="83"/>
      <c r="D3035" s="83" t="s">
        <v>4984</v>
      </c>
      <c r="E3035" s="2"/>
      <c r="F3035" s="200">
        <v>811.19100000000003</v>
      </c>
      <c r="H3035" s="17"/>
    </row>
    <row r="3036" spans="2:8" s="16" customFormat="1" ht="16.899999999999999" customHeight="1" x14ac:dyDescent="0.2">
      <c r="B3036" s="17"/>
      <c r="C3036" s="83"/>
      <c r="D3036" s="83" t="s">
        <v>3383</v>
      </c>
      <c r="E3036" s="2"/>
      <c r="F3036" s="200">
        <v>0</v>
      </c>
      <c r="H3036" s="17"/>
    </row>
    <row r="3037" spans="2:8" s="16" customFormat="1" ht="16.899999999999999" customHeight="1" x14ac:dyDescent="0.2">
      <c r="B3037" s="17"/>
      <c r="C3037" s="83"/>
      <c r="D3037" s="83" t="s">
        <v>4985</v>
      </c>
      <c r="E3037" s="2"/>
      <c r="F3037" s="200">
        <v>275.20999999999998</v>
      </c>
      <c r="H3037" s="17"/>
    </row>
    <row r="3038" spans="2:8" s="16" customFormat="1" ht="16.899999999999999" customHeight="1" x14ac:dyDescent="0.2">
      <c r="B3038" s="17"/>
      <c r="C3038" s="83"/>
      <c r="D3038" s="83"/>
      <c r="E3038" s="2"/>
      <c r="F3038" s="200">
        <v>0</v>
      </c>
      <c r="H3038" s="17"/>
    </row>
    <row r="3039" spans="2:8" s="16" customFormat="1" ht="16.899999999999999" customHeight="1" x14ac:dyDescent="0.2">
      <c r="B3039" s="17"/>
      <c r="C3039" s="83"/>
      <c r="D3039" s="83" t="s">
        <v>3101</v>
      </c>
      <c r="E3039" s="2"/>
      <c r="F3039" s="200">
        <v>0</v>
      </c>
      <c r="H3039" s="17"/>
    </row>
    <row r="3040" spans="2:8" s="16" customFormat="1" ht="16.899999999999999" customHeight="1" x14ac:dyDescent="0.2">
      <c r="B3040" s="17"/>
      <c r="C3040" s="83"/>
      <c r="D3040" s="83" t="s">
        <v>3102</v>
      </c>
      <c r="E3040" s="2"/>
      <c r="F3040" s="200">
        <v>0</v>
      </c>
      <c r="H3040" s="17"/>
    </row>
    <row r="3041" spans="2:8" s="16" customFormat="1" ht="16.899999999999999" customHeight="1" x14ac:dyDescent="0.2">
      <c r="B3041" s="17"/>
      <c r="C3041" s="83"/>
      <c r="D3041" s="83" t="s">
        <v>4986</v>
      </c>
      <c r="E3041" s="2"/>
      <c r="F3041" s="200">
        <v>141.6</v>
      </c>
      <c r="H3041" s="17"/>
    </row>
    <row r="3042" spans="2:8" s="16" customFormat="1" ht="16.899999999999999" customHeight="1" x14ac:dyDescent="0.2">
      <c r="B3042" s="17"/>
      <c r="C3042" s="83"/>
      <c r="D3042" s="83" t="s">
        <v>3104</v>
      </c>
      <c r="E3042" s="2"/>
      <c r="F3042" s="200">
        <v>0</v>
      </c>
      <c r="H3042" s="17"/>
    </row>
    <row r="3043" spans="2:8" s="16" customFormat="1" ht="16.899999999999999" customHeight="1" x14ac:dyDescent="0.2">
      <c r="B3043" s="17"/>
      <c r="C3043" s="83"/>
      <c r="D3043" s="83" t="s">
        <v>4987</v>
      </c>
      <c r="E3043" s="2"/>
      <c r="F3043" s="200">
        <v>28.32</v>
      </c>
      <c r="H3043" s="17"/>
    </row>
    <row r="3044" spans="2:8" s="16" customFormat="1" ht="16.899999999999999" customHeight="1" x14ac:dyDescent="0.2">
      <c r="B3044" s="17"/>
      <c r="C3044" s="83"/>
      <c r="D3044" s="83" t="s">
        <v>3106</v>
      </c>
      <c r="E3044" s="2"/>
      <c r="F3044" s="200">
        <v>0</v>
      </c>
      <c r="H3044" s="17"/>
    </row>
    <row r="3045" spans="2:8" s="16" customFormat="1" ht="16.899999999999999" customHeight="1" x14ac:dyDescent="0.2">
      <c r="B3045" s="17"/>
      <c r="C3045" s="83"/>
      <c r="D3045" s="83" t="s">
        <v>4988</v>
      </c>
      <c r="E3045" s="2"/>
      <c r="F3045" s="200">
        <v>219.48</v>
      </c>
      <c r="H3045" s="17"/>
    </row>
    <row r="3046" spans="2:8" s="16" customFormat="1" ht="16.899999999999999" customHeight="1" x14ac:dyDescent="0.2">
      <c r="B3046" s="17"/>
      <c r="C3046" s="83"/>
      <c r="D3046" s="83" t="s">
        <v>3108</v>
      </c>
      <c r="E3046" s="2"/>
      <c r="F3046" s="200">
        <v>0</v>
      </c>
      <c r="H3046" s="17"/>
    </row>
    <row r="3047" spans="2:8" s="16" customFormat="1" ht="16.899999999999999" customHeight="1" x14ac:dyDescent="0.2">
      <c r="B3047" s="17"/>
      <c r="C3047" s="83"/>
      <c r="D3047" s="83" t="s">
        <v>4989</v>
      </c>
      <c r="E3047" s="2"/>
      <c r="F3047" s="200">
        <v>113.28</v>
      </c>
      <c r="H3047" s="17"/>
    </row>
    <row r="3048" spans="2:8" s="16" customFormat="1" ht="16.899999999999999" customHeight="1" x14ac:dyDescent="0.2">
      <c r="B3048" s="17"/>
      <c r="C3048" s="83"/>
      <c r="D3048" s="83"/>
      <c r="E3048" s="2"/>
      <c r="F3048" s="200">
        <v>0</v>
      </c>
      <c r="H3048" s="17"/>
    </row>
    <row r="3049" spans="2:8" s="16" customFormat="1" ht="16.899999999999999" customHeight="1" x14ac:dyDescent="0.2">
      <c r="B3049" s="17"/>
      <c r="C3049" s="83"/>
      <c r="D3049" s="83" t="s">
        <v>3259</v>
      </c>
      <c r="E3049" s="2"/>
      <c r="F3049" s="200">
        <v>0</v>
      </c>
      <c r="H3049" s="17"/>
    </row>
    <row r="3050" spans="2:8" s="16" customFormat="1" ht="16.899999999999999" customHeight="1" x14ac:dyDescent="0.2">
      <c r="B3050" s="17"/>
      <c r="C3050" s="83"/>
      <c r="D3050" s="83" t="s">
        <v>3467</v>
      </c>
      <c r="E3050" s="2"/>
      <c r="F3050" s="200">
        <v>0</v>
      </c>
      <c r="H3050" s="17"/>
    </row>
    <row r="3051" spans="2:8" s="16" customFormat="1" ht="16.899999999999999" customHeight="1" x14ac:dyDescent="0.2">
      <c r="B3051" s="17"/>
      <c r="C3051" s="83"/>
      <c r="D3051" s="83" t="s">
        <v>4990</v>
      </c>
      <c r="E3051" s="2"/>
      <c r="F3051" s="200">
        <v>302.51</v>
      </c>
      <c r="H3051" s="17"/>
    </row>
    <row r="3052" spans="2:8" s="16" customFormat="1" ht="16.899999999999999" customHeight="1" x14ac:dyDescent="0.2">
      <c r="B3052" s="17"/>
      <c r="C3052" s="83"/>
      <c r="D3052" s="83"/>
      <c r="E3052" s="2"/>
      <c r="F3052" s="200">
        <v>0</v>
      </c>
      <c r="H3052" s="17"/>
    </row>
    <row r="3053" spans="2:8" s="16" customFormat="1" ht="16.899999999999999" customHeight="1" x14ac:dyDescent="0.2">
      <c r="B3053" s="17"/>
      <c r="C3053" s="83"/>
      <c r="D3053" s="83"/>
      <c r="E3053" s="2"/>
      <c r="F3053" s="200">
        <v>0</v>
      </c>
      <c r="H3053" s="17"/>
    </row>
    <row r="3054" spans="2:8" s="16" customFormat="1" ht="16.899999999999999" customHeight="1" x14ac:dyDescent="0.2">
      <c r="B3054" s="17"/>
      <c r="C3054" s="83"/>
      <c r="D3054" s="83" t="s">
        <v>3336</v>
      </c>
      <c r="E3054" s="2"/>
      <c r="F3054" s="200">
        <v>0</v>
      </c>
      <c r="H3054" s="17"/>
    </row>
    <row r="3055" spans="2:8" s="16" customFormat="1" ht="16.899999999999999" customHeight="1" x14ac:dyDescent="0.2">
      <c r="B3055" s="17"/>
      <c r="C3055" s="83"/>
      <c r="D3055" s="83" t="s">
        <v>3513</v>
      </c>
      <c r="E3055" s="2"/>
      <c r="F3055" s="200">
        <v>0</v>
      </c>
      <c r="H3055" s="17"/>
    </row>
    <row r="3056" spans="2:8" s="16" customFormat="1" ht="16.899999999999999" customHeight="1" x14ac:dyDescent="0.2">
      <c r="B3056" s="17"/>
      <c r="C3056" s="83"/>
      <c r="D3056" s="83" t="s">
        <v>3394</v>
      </c>
      <c r="E3056" s="2"/>
      <c r="F3056" s="200">
        <v>0</v>
      </c>
      <c r="H3056" s="17"/>
    </row>
    <row r="3057" spans="2:8" s="16" customFormat="1" ht="16.899999999999999" customHeight="1" x14ac:dyDescent="0.2">
      <c r="B3057" s="17"/>
      <c r="C3057" s="83"/>
      <c r="D3057" s="83" t="s">
        <v>4991</v>
      </c>
      <c r="E3057" s="2"/>
      <c r="F3057" s="200">
        <v>744.39</v>
      </c>
      <c r="H3057" s="17"/>
    </row>
    <row r="3058" spans="2:8" s="16" customFormat="1" ht="16.899999999999999" customHeight="1" x14ac:dyDescent="0.2">
      <c r="B3058" s="17"/>
      <c r="C3058" s="83"/>
      <c r="D3058" s="83" t="s">
        <v>3396</v>
      </c>
      <c r="E3058" s="2"/>
      <c r="F3058" s="200">
        <v>0</v>
      </c>
      <c r="H3058" s="17"/>
    </row>
    <row r="3059" spans="2:8" s="16" customFormat="1" ht="16.899999999999999" customHeight="1" x14ac:dyDescent="0.2">
      <c r="B3059" s="17"/>
      <c r="C3059" s="83"/>
      <c r="D3059" s="83" t="s">
        <v>4992</v>
      </c>
      <c r="E3059" s="2"/>
      <c r="F3059" s="200">
        <v>12.96</v>
      </c>
      <c r="H3059" s="17"/>
    </row>
    <row r="3060" spans="2:8" s="16" customFormat="1" ht="16.899999999999999" customHeight="1" x14ac:dyDescent="0.2">
      <c r="B3060" s="17"/>
      <c r="C3060" s="83"/>
      <c r="D3060" s="83" t="s">
        <v>3398</v>
      </c>
      <c r="E3060" s="2"/>
      <c r="F3060" s="200">
        <v>0</v>
      </c>
      <c r="H3060" s="17"/>
    </row>
    <row r="3061" spans="2:8" s="16" customFormat="1" ht="16.899999999999999" customHeight="1" x14ac:dyDescent="0.2">
      <c r="B3061" s="17"/>
      <c r="C3061" s="83"/>
      <c r="D3061" s="83" t="s">
        <v>4993</v>
      </c>
      <c r="E3061" s="2"/>
      <c r="F3061" s="200">
        <v>292.875</v>
      </c>
      <c r="H3061" s="17"/>
    </row>
    <row r="3062" spans="2:8" s="16" customFormat="1" ht="16.899999999999999" customHeight="1" x14ac:dyDescent="0.2">
      <c r="B3062" s="17"/>
      <c r="C3062" s="83"/>
      <c r="D3062" s="83" t="s">
        <v>3400</v>
      </c>
      <c r="E3062" s="2"/>
      <c r="F3062" s="200">
        <v>0</v>
      </c>
      <c r="H3062" s="17"/>
    </row>
    <row r="3063" spans="2:8" s="16" customFormat="1" ht="16.899999999999999" customHeight="1" x14ac:dyDescent="0.2">
      <c r="B3063" s="17"/>
      <c r="C3063" s="83"/>
      <c r="D3063" s="83" t="s">
        <v>4994</v>
      </c>
      <c r="E3063" s="2"/>
      <c r="F3063" s="200">
        <v>-14.88</v>
      </c>
      <c r="H3063" s="17"/>
    </row>
    <row r="3064" spans="2:8" s="16" customFormat="1" ht="16.899999999999999" customHeight="1" x14ac:dyDescent="0.2">
      <c r="B3064" s="17"/>
      <c r="C3064" s="83"/>
      <c r="D3064" s="83" t="s">
        <v>4995</v>
      </c>
      <c r="E3064" s="2"/>
      <c r="F3064" s="200">
        <v>-16.16</v>
      </c>
      <c r="H3064" s="17"/>
    </row>
    <row r="3065" spans="2:8" s="16" customFormat="1" ht="16.899999999999999" customHeight="1" x14ac:dyDescent="0.2">
      <c r="B3065" s="17"/>
      <c r="C3065" s="83"/>
      <c r="D3065" s="83" t="s">
        <v>3403</v>
      </c>
      <c r="E3065" s="2"/>
      <c r="F3065" s="200">
        <v>0</v>
      </c>
      <c r="H3065" s="17"/>
    </row>
    <row r="3066" spans="2:8" s="16" customFormat="1" ht="16.899999999999999" customHeight="1" x14ac:dyDescent="0.2">
      <c r="B3066" s="17"/>
      <c r="C3066" s="83"/>
      <c r="D3066" s="83" t="s">
        <v>4996</v>
      </c>
      <c r="E3066" s="2"/>
      <c r="F3066" s="200">
        <v>118.096</v>
      </c>
      <c r="H3066" s="17"/>
    </row>
    <row r="3067" spans="2:8" s="16" customFormat="1" ht="16.899999999999999" customHeight="1" x14ac:dyDescent="0.2">
      <c r="B3067" s="17"/>
      <c r="C3067" s="83"/>
      <c r="D3067" s="83" t="s">
        <v>3396</v>
      </c>
      <c r="E3067" s="2"/>
      <c r="F3067" s="200">
        <v>0</v>
      </c>
      <c r="H3067" s="17"/>
    </row>
    <row r="3068" spans="2:8" s="16" customFormat="1" ht="16.899999999999999" customHeight="1" x14ac:dyDescent="0.2">
      <c r="B3068" s="17"/>
      <c r="C3068" s="83"/>
      <c r="D3068" s="83" t="s">
        <v>4997</v>
      </c>
      <c r="E3068" s="2"/>
      <c r="F3068" s="200">
        <v>3.6960000000000002</v>
      </c>
      <c r="H3068" s="17"/>
    </row>
    <row r="3069" spans="2:8" s="16" customFormat="1" ht="16.899999999999999" customHeight="1" x14ac:dyDescent="0.2">
      <c r="B3069" s="17"/>
      <c r="C3069" s="83"/>
      <c r="D3069" s="83" t="s">
        <v>3406</v>
      </c>
      <c r="E3069" s="2"/>
      <c r="F3069" s="200">
        <v>0</v>
      </c>
      <c r="H3069" s="17"/>
    </row>
    <row r="3070" spans="2:8" s="16" customFormat="1" ht="16.899999999999999" customHeight="1" x14ac:dyDescent="0.2">
      <c r="B3070" s="17"/>
      <c r="C3070" s="83"/>
      <c r="D3070" s="83" t="s">
        <v>4998</v>
      </c>
      <c r="E3070" s="2"/>
      <c r="F3070" s="200">
        <v>207.68</v>
      </c>
      <c r="H3070" s="17"/>
    </row>
    <row r="3071" spans="2:8" s="16" customFormat="1" ht="16.899999999999999" customHeight="1" x14ac:dyDescent="0.2">
      <c r="B3071" s="17"/>
      <c r="C3071" s="83"/>
      <c r="D3071" s="83" t="s">
        <v>4999</v>
      </c>
      <c r="E3071" s="2"/>
      <c r="F3071" s="200">
        <v>0</v>
      </c>
      <c r="H3071" s="17"/>
    </row>
    <row r="3072" spans="2:8" s="16" customFormat="1" ht="16.899999999999999" customHeight="1" x14ac:dyDescent="0.2">
      <c r="B3072" s="17"/>
      <c r="C3072" s="83"/>
      <c r="D3072" s="83" t="s">
        <v>5000</v>
      </c>
      <c r="E3072" s="2"/>
      <c r="F3072" s="200">
        <v>173.91</v>
      </c>
      <c r="H3072" s="17"/>
    </row>
    <row r="3073" spans="2:8" s="16" customFormat="1" ht="16.899999999999999" customHeight="1" x14ac:dyDescent="0.2">
      <c r="B3073" s="17"/>
      <c r="C3073" s="83" t="s">
        <v>4962</v>
      </c>
      <c r="D3073" s="83" t="s">
        <v>351</v>
      </c>
      <c r="E3073" s="2"/>
      <c r="F3073" s="200">
        <v>3706.2779999999998</v>
      </c>
      <c r="H3073" s="17"/>
    </row>
    <row r="3074" spans="2:8" s="16" customFormat="1" ht="16.899999999999999" customHeight="1" x14ac:dyDescent="0.2">
      <c r="B3074" s="17"/>
      <c r="C3074" s="201" t="s">
        <v>8859</v>
      </c>
      <c r="H3074" s="17"/>
    </row>
    <row r="3075" spans="2:8" s="16" customFormat="1" ht="16.899999999999999" customHeight="1" x14ac:dyDescent="0.2">
      <c r="B3075" s="17"/>
      <c r="C3075" s="83" t="s">
        <v>4978</v>
      </c>
      <c r="D3075" s="83" t="s">
        <v>4979</v>
      </c>
      <c r="E3075" s="2" t="s">
        <v>425</v>
      </c>
      <c r="F3075" s="200">
        <v>3706.2779999999998</v>
      </c>
      <c r="H3075" s="17"/>
    </row>
    <row r="3076" spans="2:8" s="16" customFormat="1" ht="16.899999999999999" customHeight="1" x14ac:dyDescent="0.2">
      <c r="B3076" s="17"/>
      <c r="C3076" s="83" t="s">
        <v>5005</v>
      </c>
      <c r="D3076" s="83" t="s">
        <v>5006</v>
      </c>
      <c r="E3076" s="2" t="s">
        <v>425</v>
      </c>
      <c r="F3076" s="200">
        <v>222376.68</v>
      </c>
      <c r="H3076" s="17"/>
    </row>
    <row r="3077" spans="2:8" s="16" customFormat="1" ht="16.899999999999999" customHeight="1" x14ac:dyDescent="0.2">
      <c r="B3077" s="17"/>
      <c r="C3077" s="83" t="s">
        <v>5012</v>
      </c>
      <c r="D3077" s="83" t="s">
        <v>5013</v>
      </c>
      <c r="E3077" s="2" t="s">
        <v>425</v>
      </c>
      <c r="F3077" s="200">
        <v>3706.2779999999998</v>
      </c>
      <c r="H3077" s="17"/>
    </row>
    <row r="3078" spans="2:8" s="16" customFormat="1" ht="16.899999999999999" customHeight="1" x14ac:dyDescent="0.2">
      <c r="B3078" s="17"/>
      <c r="C3078" s="83" t="s">
        <v>5015</v>
      </c>
      <c r="D3078" s="83" t="s">
        <v>5016</v>
      </c>
      <c r="E3078" s="2" t="s">
        <v>425</v>
      </c>
      <c r="F3078" s="200">
        <v>3860.9079999999999</v>
      </c>
      <c r="H3078" s="17"/>
    </row>
    <row r="3079" spans="2:8" s="16" customFormat="1" ht="16.899999999999999" customHeight="1" x14ac:dyDescent="0.2">
      <c r="B3079" s="17"/>
      <c r="C3079" s="83" t="s">
        <v>5018</v>
      </c>
      <c r="D3079" s="83" t="s">
        <v>5019</v>
      </c>
      <c r="E3079" s="2" t="s">
        <v>425</v>
      </c>
      <c r="F3079" s="200">
        <v>231654.48</v>
      </c>
      <c r="H3079" s="17"/>
    </row>
    <row r="3080" spans="2:8" s="16" customFormat="1" ht="26.45" customHeight="1" x14ac:dyDescent="0.2">
      <c r="B3080" s="17"/>
      <c r="C3080" s="195" t="s">
        <v>8866</v>
      </c>
      <c r="D3080" s="195" t="s">
        <v>131</v>
      </c>
      <c r="H3080" s="17"/>
    </row>
    <row r="3081" spans="2:8" s="16" customFormat="1" ht="16.899999999999999" customHeight="1" x14ac:dyDescent="0.2">
      <c r="B3081" s="17"/>
      <c r="C3081" s="196" t="s">
        <v>5153</v>
      </c>
      <c r="D3081" s="197"/>
      <c r="E3081" s="198"/>
      <c r="F3081" s="199">
        <v>30.986000000000001</v>
      </c>
      <c r="H3081" s="17"/>
    </row>
    <row r="3082" spans="2:8" s="16" customFormat="1" ht="16.899999999999999" customHeight="1" x14ac:dyDescent="0.2">
      <c r="B3082" s="17"/>
      <c r="C3082" s="83"/>
      <c r="D3082" s="83" t="s">
        <v>5699</v>
      </c>
      <c r="E3082" s="2"/>
      <c r="F3082" s="200">
        <v>0</v>
      </c>
      <c r="H3082" s="17"/>
    </row>
    <row r="3083" spans="2:8" s="16" customFormat="1" ht="16.899999999999999" customHeight="1" x14ac:dyDescent="0.2">
      <c r="B3083" s="17"/>
      <c r="C3083" s="83"/>
      <c r="D3083" s="83" t="s">
        <v>5700</v>
      </c>
      <c r="E3083" s="2"/>
      <c r="F3083" s="200">
        <v>5.1349999999999998</v>
      </c>
      <c r="H3083" s="17"/>
    </row>
    <row r="3084" spans="2:8" s="16" customFormat="1" ht="16.899999999999999" customHeight="1" x14ac:dyDescent="0.2">
      <c r="B3084" s="17"/>
      <c r="C3084" s="83"/>
      <c r="D3084" s="83" t="s">
        <v>5701</v>
      </c>
      <c r="E3084" s="2"/>
      <c r="F3084" s="200">
        <v>11.528</v>
      </c>
      <c r="H3084" s="17"/>
    </row>
    <row r="3085" spans="2:8" s="16" customFormat="1" ht="16.899999999999999" customHeight="1" x14ac:dyDescent="0.2">
      <c r="B3085" s="17"/>
      <c r="C3085" s="83"/>
      <c r="D3085" s="83"/>
      <c r="E3085" s="2"/>
      <c r="F3085" s="200">
        <v>0</v>
      </c>
      <c r="H3085" s="17"/>
    </row>
    <row r="3086" spans="2:8" s="16" customFormat="1" ht="16.899999999999999" customHeight="1" x14ac:dyDescent="0.2">
      <c r="B3086" s="17"/>
      <c r="C3086" s="83"/>
      <c r="D3086" s="83" t="s">
        <v>5702</v>
      </c>
      <c r="E3086" s="2"/>
      <c r="F3086" s="200">
        <v>0</v>
      </c>
      <c r="H3086" s="17"/>
    </row>
    <row r="3087" spans="2:8" s="16" customFormat="1" ht="16.899999999999999" customHeight="1" x14ac:dyDescent="0.2">
      <c r="B3087" s="17"/>
      <c r="C3087" s="83"/>
      <c r="D3087" s="83" t="s">
        <v>5703</v>
      </c>
      <c r="E3087" s="2"/>
      <c r="F3087" s="200">
        <v>0</v>
      </c>
      <c r="H3087" s="17"/>
    </row>
    <row r="3088" spans="2:8" s="16" customFormat="1" ht="16.899999999999999" customHeight="1" x14ac:dyDescent="0.2">
      <c r="B3088" s="17"/>
      <c r="C3088" s="83"/>
      <c r="D3088" s="83" t="s">
        <v>5704</v>
      </c>
      <c r="E3088" s="2"/>
      <c r="F3088" s="200">
        <v>3.581</v>
      </c>
      <c r="H3088" s="17"/>
    </row>
    <row r="3089" spans="2:8" s="16" customFormat="1" ht="16.899999999999999" customHeight="1" x14ac:dyDescent="0.2">
      <c r="B3089" s="17"/>
      <c r="C3089" s="83"/>
      <c r="D3089" s="83" t="s">
        <v>5705</v>
      </c>
      <c r="E3089" s="2"/>
      <c r="F3089" s="200">
        <v>10.742000000000001</v>
      </c>
      <c r="H3089" s="17"/>
    </row>
    <row r="3090" spans="2:8" s="16" customFormat="1" ht="16.899999999999999" customHeight="1" x14ac:dyDescent="0.2">
      <c r="B3090" s="17"/>
      <c r="C3090" s="83" t="s">
        <v>5153</v>
      </c>
      <c r="D3090" s="83" t="s">
        <v>609</v>
      </c>
      <c r="E3090" s="2"/>
      <c r="F3090" s="200">
        <v>30.986000000000001</v>
      </c>
      <c r="H3090" s="17"/>
    </row>
    <row r="3091" spans="2:8" s="16" customFormat="1" ht="16.899999999999999" customHeight="1" x14ac:dyDescent="0.2">
      <c r="B3091" s="17"/>
      <c r="C3091" s="201" t="s">
        <v>8859</v>
      </c>
      <c r="H3091" s="17"/>
    </row>
    <row r="3092" spans="2:8" s="16" customFormat="1" ht="16.899999999999999" customHeight="1" x14ac:dyDescent="0.2">
      <c r="B3092" s="17"/>
      <c r="C3092" s="83" t="s">
        <v>5696</v>
      </c>
      <c r="D3092" s="83" t="s">
        <v>5697</v>
      </c>
      <c r="E3092" s="2" t="s">
        <v>990</v>
      </c>
      <c r="F3092" s="200">
        <v>30.986000000000001</v>
      </c>
      <c r="H3092" s="17"/>
    </row>
    <row r="3093" spans="2:8" s="16" customFormat="1" ht="16.899999999999999" customHeight="1" x14ac:dyDescent="0.2">
      <c r="B3093" s="17"/>
      <c r="C3093" s="83" t="s">
        <v>5671</v>
      </c>
      <c r="D3093" s="83" t="s">
        <v>5672</v>
      </c>
      <c r="E3093" s="2" t="s">
        <v>990</v>
      </c>
      <c r="F3093" s="200">
        <v>434.07299999999998</v>
      </c>
      <c r="H3093" s="17"/>
    </row>
    <row r="3094" spans="2:8" s="16" customFormat="1" ht="16.899999999999999" customHeight="1" x14ac:dyDescent="0.2">
      <c r="B3094" s="17"/>
      <c r="C3094" s="196" t="s">
        <v>5188</v>
      </c>
      <c r="D3094" s="197"/>
      <c r="E3094" s="198"/>
      <c r="F3094" s="199">
        <v>943.87099999999998</v>
      </c>
      <c r="H3094" s="17"/>
    </row>
    <row r="3095" spans="2:8" s="16" customFormat="1" ht="16.899999999999999" customHeight="1" x14ac:dyDescent="0.2">
      <c r="B3095" s="17"/>
      <c r="C3095" s="83"/>
      <c r="D3095" s="83" t="s">
        <v>5652</v>
      </c>
      <c r="E3095" s="2"/>
      <c r="F3095" s="200">
        <v>0</v>
      </c>
      <c r="H3095" s="17"/>
    </row>
    <row r="3096" spans="2:8" s="16" customFormat="1" ht="16.899999999999999" customHeight="1" x14ac:dyDescent="0.2">
      <c r="B3096" s="17"/>
      <c r="C3096" s="83"/>
      <c r="D3096" s="83" t="s">
        <v>5653</v>
      </c>
      <c r="E3096" s="2"/>
      <c r="F3096" s="200">
        <v>242.14699999999999</v>
      </c>
      <c r="H3096" s="17"/>
    </row>
    <row r="3097" spans="2:8" s="16" customFormat="1" ht="16.899999999999999" customHeight="1" x14ac:dyDescent="0.2">
      <c r="B3097" s="17"/>
      <c r="C3097" s="83"/>
      <c r="D3097" s="83" t="s">
        <v>5654</v>
      </c>
      <c r="E3097" s="2"/>
      <c r="F3097" s="200">
        <v>0</v>
      </c>
      <c r="H3097" s="17"/>
    </row>
    <row r="3098" spans="2:8" s="16" customFormat="1" ht="16.899999999999999" customHeight="1" x14ac:dyDescent="0.2">
      <c r="B3098" s="17"/>
      <c r="C3098" s="83"/>
      <c r="D3098" s="83" t="s">
        <v>5655</v>
      </c>
      <c r="E3098" s="2"/>
      <c r="F3098" s="200">
        <v>374.24599999999998</v>
      </c>
      <c r="H3098" s="17"/>
    </row>
    <row r="3099" spans="2:8" s="16" customFormat="1" ht="16.899999999999999" customHeight="1" x14ac:dyDescent="0.2">
      <c r="B3099" s="17"/>
      <c r="C3099" s="83"/>
      <c r="D3099" s="83" t="s">
        <v>5656</v>
      </c>
      <c r="E3099" s="2"/>
      <c r="F3099" s="200">
        <v>0</v>
      </c>
      <c r="H3099" s="17"/>
    </row>
    <row r="3100" spans="2:8" s="16" customFormat="1" ht="16.899999999999999" customHeight="1" x14ac:dyDescent="0.2">
      <c r="B3100" s="17"/>
      <c r="C3100" s="83"/>
      <c r="D3100" s="83" t="s">
        <v>5657</v>
      </c>
      <c r="E3100" s="2"/>
      <c r="F3100" s="200">
        <v>54.688000000000002</v>
      </c>
      <c r="H3100" s="17"/>
    </row>
    <row r="3101" spans="2:8" s="16" customFormat="1" ht="16.899999999999999" customHeight="1" x14ac:dyDescent="0.2">
      <c r="B3101" s="17"/>
      <c r="C3101" s="83"/>
      <c r="D3101" s="83" t="s">
        <v>5658</v>
      </c>
      <c r="E3101" s="2"/>
      <c r="F3101" s="200">
        <v>108.72499999999999</v>
      </c>
      <c r="H3101" s="17"/>
    </row>
    <row r="3102" spans="2:8" s="16" customFormat="1" ht="16.899999999999999" customHeight="1" x14ac:dyDescent="0.2">
      <c r="B3102" s="17"/>
      <c r="C3102" s="83"/>
      <c r="D3102" s="83" t="s">
        <v>5659</v>
      </c>
      <c r="E3102" s="2"/>
      <c r="F3102" s="200">
        <v>164.065</v>
      </c>
      <c r="H3102" s="17"/>
    </row>
    <row r="3103" spans="2:8" s="16" customFormat="1" ht="16.899999999999999" customHeight="1" x14ac:dyDescent="0.2">
      <c r="B3103" s="17"/>
      <c r="C3103" s="83" t="s">
        <v>5188</v>
      </c>
      <c r="D3103" s="83" t="s">
        <v>609</v>
      </c>
      <c r="E3103" s="2"/>
      <c r="F3103" s="200">
        <v>943.87099999999998</v>
      </c>
      <c r="H3103" s="17"/>
    </row>
    <row r="3104" spans="2:8" s="16" customFormat="1" ht="16.899999999999999" customHeight="1" x14ac:dyDescent="0.2">
      <c r="B3104" s="17"/>
      <c r="C3104" s="201" t="s">
        <v>8859</v>
      </c>
      <c r="H3104" s="17"/>
    </row>
    <row r="3105" spans="2:8" s="16" customFormat="1" ht="16.899999999999999" customHeight="1" x14ac:dyDescent="0.2">
      <c r="B3105" s="17"/>
      <c r="C3105" s="83" t="s">
        <v>5649</v>
      </c>
      <c r="D3105" s="83" t="s">
        <v>5650</v>
      </c>
      <c r="E3105" s="2" t="s">
        <v>990</v>
      </c>
      <c r="F3105" s="200">
        <v>943.87099999999998</v>
      </c>
      <c r="H3105" s="17"/>
    </row>
    <row r="3106" spans="2:8" s="16" customFormat="1" ht="16.899999999999999" customHeight="1" x14ac:dyDescent="0.2">
      <c r="B3106" s="17"/>
      <c r="C3106" s="83" t="s">
        <v>5671</v>
      </c>
      <c r="D3106" s="83" t="s">
        <v>5672</v>
      </c>
      <c r="E3106" s="2" t="s">
        <v>990</v>
      </c>
      <c r="F3106" s="200">
        <v>434.07299999999998</v>
      </c>
      <c r="H3106" s="17"/>
    </row>
    <row r="3107" spans="2:8" s="16" customFormat="1" ht="16.899999999999999" customHeight="1" x14ac:dyDescent="0.2">
      <c r="B3107" s="17"/>
      <c r="C3107" s="196" t="s">
        <v>5186</v>
      </c>
      <c r="D3107" s="197"/>
      <c r="E3107" s="198"/>
      <c r="F3107" s="199">
        <v>12.141</v>
      </c>
      <c r="H3107" s="17"/>
    </row>
    <row r="3108" spans="2:8" s="16" customFormat="1" ht="16.899999999999999" customHeight="1" x14ac:dyDescent="0.2">
      <c r="B3108" s="17"/>
      <c r="C3108" s="83"/>
      <c r="D3108" s="83" t="s">
        <v>5642</v>
      </c>
      <c r="E3108" s="2"/>
      <c r="F3108" s="200">
        <v>0</v>
      </c>
      <c r="H3108" s="17"/>
    </row>
    <row r="3109" spans="2:8" s="16" customFormat="1" ht="16.899999999999999" customHeight="1" x14ac:dyDescent="0.2">
      <c r="B3109" s="17"/>
      <c r="C3109" s="83"/>
      <c r="D3109" s="83" t="s">
        <v>5643</v>
      </c>
      <c r="E3109" s="2"/>
      <c r="F3109" s="200">
        <v>2.65</v>
      </c>
      <c r="H3109" s="17"/>
    </row>
    <row r="3110" spans="2:8" s="16" customFormat="1" ht="16.899999999999999" customHeight="1" x14ac:dyDescent="0.2">
      <c r="B3110" s="17"/>
      <c r="C3110" s="83"/>
      <c r="D3110" s="83" t="s">
        <v>5644</v>
      </c>
      <c r="E3110" s="2"/>
      <c r="F3110" s="200">
        <v>0</v>
      </c>
      <c r="H3110" s="17"/>
    </row>
    <row r="3111" spans="2:8" s="16" customFormat="1" ht="16.899999999999999" customHeight="1" x14ac:dyDescent="0.2">
      <c r="B3111" s="17"/>
      <c r="C3111" s="83"/>
      <c r="D3111" s="83" t="s">
        <v>5645</v>
      </c>
      <c r="E3111" s="2"/>
      <c r="F3111" s="200">
        <v>9.4909999999999997</v>
      </c>
      <c r="H3111" s="17"/>
    </row>
    <row r="3112" spans="2:8" s="16" customFormat="1" ht="16.899999999999999" customHeight="1" x14ac:dyDescent="0.2">
      <c r="B3112" s="17"/>
      <c r="C3112" s="83" t="s">
        <v>5186</v>
      </c>
      <c r="D3112" s="83" t="s">
        <v>609</v>
      </c>
      <c r="E3112" s="2"/>
      <c r="F3112" s="200">
        <v>12.141</v>
      </c>
      <c r="H3112" s="17"/>
    </row>
    <row r="3113" spans="2:8" s="16" customFormat="1" ht="16.899999999999999" customHeight="1" x14ac:dyDescent="0.2">
      <c r="B3113" s="17"/>
      <c r="C3113" s="201" t="s">
        <v>8859</v>
      </c>
      <c r="H3113" s="17"/>
    </row>
    <row r="3114" spans="2:8" s="16" customFormat="1" ht="16.899999999999999" customHeight="1" x14ac:dyDescent="0.2">
      <c r="B3114" s="17"/>
      <c r="C3114" s="83" t="s">
        <v>5639</v>
      </c>
      <c r="D3114" s="83" t="s">
        <v>5640</v>
      </c>
      <c r="E3114" s="2" t="s">
        <v>990</v>
      </c>
      <c r="F3114" s="200">
        <v>12.141</v>
      </c>
      <c r="H3114" s="17"/>
    </row>
    <row r="3115" spans="2:8" s="16" customFormat="1" ht="16.899999999999999" customHeight="1" x14ac:dyDescent="0.2">
      <c r="B3115" s="17"/>
      <c r="C3115" s="83" t="s">
        <v>5671</v>
      </c>
      <c r="D3115" s="83" t="s">
        <v>5672</v>
      </c>
      <c r="E3115" s="2" t="s">
        <v>990</v>
      </c>
      <c r="F3115" s="200">
        <v>434.07299999999998</v>
      </c>
      <c r="H3115" s="17"/>
    </row>
    <row r="3116" spans="2:8" s="16" customFormat="1" ht="16.899999999999999" customHeight="1" x14ac:dyDescent="0.2">
      <c r="B3116" s="17"/>
      <c r="C3116" s="196" t="s">
        <v>5155</v>
      </c>
      <c r="D3116" s="197"/>
      <c r="E3116" s="198"/>
      <c r="F3116" s="199">
        <v>15.196</v>
      </c>
      <c r="H3116" s="17"/>
    </row>
    <row r="3117" spans="2:8" s="16" customFormat="1" ht="16.899999999999999" customHeight="1" x14ac:dyDescent="0.2">
      <c r="B3117" s="17"/>
      <c r="C3117" s="83"/>
      <c r="D3117" s="83" t="s">
        <v>5694</v>
      </c>
      <c r="E3117" s="2"/>
      <c r="F3117" s="200">
        <v>0</v>
      </c>
      <c r="H3117" s="17"/>
    </row>
    <row r="3118" spans="2:8" s="16" customFormat="1" ht="16.899999999999999" customHeight="1" x14ac:dyDescent="0.2">
      <c r="B3118" s="17"/>
      <c r="C3118" s="83"/>
      <c r="D3118" s="83" t="s">
        <v>5695</v>
      </c>
      <c r="E3118" s="2"/>
      <c r="F3118" s="200">
        <v>15.196</v>
      </c>
      <c r="H3118" s="17"/>
    </row>
    <row r="3119" spans="2:8" s="16" customFormat="1" ht="16.899999999999999" customHeight="1" x14ac:dyDescent="0.2">
      <c r="B3119" s="17"/>
      <c r="C3119" s="83" t="s">
        <v>5155</v>
      </c>
      <c r="D3119" s="83" t="s">
        <v>609</v>
      </c>
      <c r="E3119" s="2"/>
      <c r="F3119" s="200">
        <v>15.196</v>
      </c>
      <c r="H3119" s="17"/>
    </row>
    <row r="3120" spans="2:8" s="16" customFormat="1" ht="16.899999999999999" customHeight="1" x14ac:dyDescent="0.2">
      <c r="B3120" s="17"/>
      <c r="C3120" s="201" t="s">
        <v>8859</v>
      </c>
      <c r="H3120" s="17"/>
    </row>
    <row r="3121" spans="2:8" s="16" customFormat="1" ht="16.899999999999999" customHeight="1" x14ac:dyDescent="0.2">
      <c r="B3121" s="17"/>
      <c r="C3121" s="83" t="s">
        <v>5691</v>
      </c>
      <c r="D3121" s="83" t="s">
        <v>5692</v>
      </c>
      <c r="E3121" s="2" t="s">
        <v>990</v>
      </c>
      <c r="F3121" s="200">
        <v>15.196</v>
      </c>
      <c r="H3121" s="17"/>
    </row>
    <row r="3122" spans="2:8" s="16" customFormat="1" ht="16.899999999999999" customHeight="1" x14ac:dyDescent="0.2">
      <c r="B3122" s="17"/>
      <c r="C3122" s="83" t="s">
        <v>5671</v>
      </c>
      <c r="D3122" s="83" t="s">
        <v>5672</v>
      </c>
      <c r="E3122" s="2" t="s">
        <v>990</v>
      </c>
      <c r="F3122" s="200">
        <v>434.07299999999998</v>
      </c>
      <c r="H3122" s="17"/>
    </row>
    <row r="3123" spans="2:8" s="16" customFormat="1" ht="16.899999999999999" customHeight="1" x14ac:dyDescent="0.2">
      <c r="B3123" s="17"/>
      <c r="C3123" s="196" t="s">
        <v>5157</v>
      </c>
      <c r="D3123" s="197"/>
      <c r="E3123" s="198"/>
      <c r="F3123" s="199">
        <v>2.9750000000000001</v>
      </c>
      <c r="H3123" s="17"/>
    </row>
    <row r="3124" spans="2:8" s="16" customFormat="1" ht="16.899999999999999" customHeight="1" x14ac:dyDescent="0.2">
      <c r="B3124" s="17"/>
      <c r="C3124" s="83"/>
      <c r="D3124" s="83" t="s">
        <v>5707</v>
      </c>
      <c r="E3124" s="2"/>
      <c r="F3124" s="200">
        <v>0</v>
      </c>
      <c r="H3124" s="17"/>
    </row>
    <row r="3125" spans="2:8" s="16" customFormat="1" ht="16.899999999999999" customHeight="1" x14ac:dyDescent="0.2">
      <c r="B3125" s="17"/>
      <c r="C3125" s="83"/>
      <c r="D3125" s="83" t="s">
        <v>5708</v>
      </c>
      <c r="E3125" s="2"/>
      <c r="F3125" s="200">
        <v>1.5389999999999999</v>
      </c>
      <c r="H3125" s="17"/>
    </row>
    <row r="3126" spans="2:8" s="16" customFormat="1" ht="16.899999999999999" customHeight="1" x14ac:dyDescent="0.2">
      <c r="B3126" s="17"/>
      <c r="C3126" s="83"/>
      <c r="D3126" s="83" t="s">
        <v>5709</v>
      </c>
      <c r="E3126" s="2"/>
      <c r="F3126" s="200">
        <v>0</v>
      </c>
      <c r="H3126" s="17"/>
    </row>
    <row r="3127" spans="2:8" s="16" customFormat="1" ht="16.899999999999999" customHeight="1" x14ac:dyDescent="0.2">
      <c r="B3127" s="17"/>
      <c r="C3127" s="83"/>
      <c r="D3127" s="83" t="s">
        <v>5710</v>
      </c>
      <c r="E3127" s="2"/>
      <c r="F3127" s="200">
        <v>1.4359999999999999</v>
      </c>
      <c r="H3127" s="17"/>
    </row>
    <row r="3128" spans="2:8" s="16" customFormat="1" ht="16.899999999999999" customHeight="1" x14ac:dyDescent="0.2">
      <c r="B3128" s="17"/>
      <c r="C3128" s="83" t="s">
        <v>5157</v>
      </c>
      <c r="D3128" s="83" t="s">
        <v>609</v>
      </c>
      <c r="E3128" s="2"/>
      <c r="F3128" s="200">
        <v>2.9750000000000001</v>
      </c>
      <c r="H3128" s="17"/>
    </row>
    <row r="3129" spans="2:8" s="16" customFormat="1" ht="16.899999999999999" customHeight="1" x14ac:dyDescent="0.2">
      <c r="B3129" s="17"/>
      <c r="C3129" s="201" t="s">
        <v>8859</v>
      </c>
      <c r="H3129" s="17"/>
    </row>
    <row r="3130" spans="2:8" s="16" customFormat="1" ht="16.899999999999999" customHeight="1" x14ac:dyDescent="0.2">
      <c r="B3130" s="17"/>
      <c r="C3130" s="83" t="s">
        <v>4933</v>
      </c>
      <c r="D3130" s="83" t="s">
        <v>4934</v>
      </c>
      <c r="E3130" s="2" t="s">
        <v>990</v>
      </c>
      <c r="F3130" s="200">
        <v>2.9750000000000001</v>
      </c>
      <c r="H3130" s="17"/>
    </row>
    <row r="3131" spans="2:8" s="16" customFormat="1" ht="16.899999999999999" customHeight="1" x14ac:dyDescent="0.2">
      <c r="B3131" s="17"/>
      <c r="C3131" s="83" t="s">
        <v>5671</v>
      </c>
      <c r="D3131" s="83" t="s">
        <v>5672</v>
      </c>
      <c r="E3131" s="2" t="s">
        <v>990</v>
      </c>
      <c r="F3131" s="200">
        <v>434.07299999999998</v>
      </c>
      <c r="H3131" s="17"/>
    </row>
    <row r="3132" spans="2:8" s="16" customFormat="1" ht="16.899999999999999" customHeight="1" x14ac:dyDescent="0.2">
      <c r="B3132" s="17"/>
      <c r="C3132" s="196" t="s">
        <v>5184</v>
      </c>
      <c r="D3132" s="197"/>
      <c r="E3132" s="198"/>
      <c r="F3132" s="199">
        <v>5.8419999999999996</v>
      </c>
      <c r="H3132" s="17"/>
    </row>
    <row r="3133" spans="2:8" s="16" customFormat="1" ht="16.899999999999999" customHeight="1" x14ac:dyDescent="0.2">
      <c r="B3133" s="17"/>
      <c r="C3133" s="83"/>
      <c r="D3133" s="83" t="s">
        <v>5637</v>
      </c>
      <c r="E3133" s="2"/>
      <c r="F3133" s="200">
        <v>0</v>
      </c>
      <c r="H3133" s="17"/>
    </row>
    <row r="3134" spans="2:8" s="16" customFormat="1" ht="16.899999999999999" customHeight="1" x14ac:dyDescent="0.2">
      <c r="B3134" s="17"/>
      <c r="C3134" s="83"/>
      <c r="D3134" s="83" t="s">
        <v>5638</v>
      </c>
      <c r="E3134" s="2"/>
      <c r="F3134" s="200">
        <v>5.8419999999999996</v>
      </c>
      <c r="H3134" s="17"/>
    </row>
    <row r="3135" spans="2:8" s="16" customFormat="1" ht="16.899999999999999" customHeight="1" x14ac:dyDescent="0.2">
      <c r="B3135" s="17"/>
      <c r="C3135" s="83" t="s">
        <v>5184</v>
      </c>
      <c r="D3135" s="83" t="s">
        <v>609</v>
      </c>
      <c r="E3135" s="2"/>
      <c r="F3135" s="200">
        <v>5.8419999999999996</v>
      </c>
      <c r="H3135" s="17"/>
    </row>
    <row r="3136" spans="2:8" s="16" customFormat="1" ht="16.899999999999999" customHeight="1" x14ac:dyDescent="0.2">
      <c r="B3136" s="17"/>
      <c r="C3136" s="201" t="s">
        <v>8859</v>
      </c>
      <c r="H3136" s="17"/>
    </row>
    <row r="3137" spans="2:8" s="16" customFormat="1" ht="16.899999999999999" customHeight="1" x14ac:dyDescent="0.2">
      <c r="B3137" s="17"/>
      <c r="C3137" s="83" t="s">
        <v>5634</v>
      </c>
      <c r="D3137" s="83" t="s">
        <v>5635</v>
      </c>
      <c r="E3137" s="2" t="s">
        <v>990</v>
      </c>
      <c r="F3137" s="200">
        <v>5.8419999999999996</v>
      </c>
      <c r="H3137" s="17"/>
    </row>
    <row r="3138" spans="2:8" s="16" customFormat="1" ht="16.899999999999999" customHeight="1" x14ac:dyDescent="0.2">
      <c r="B3138" s="17"/>
      <c r="C3138" s="83" t="s">
        <v>5671</v>
      </c>
      <c r="D3138" s="83" t="s">
        <v>5672</v>
      </c>
      <c r="E3138" s="2" t="s">
        <v>990</v>
      </c>
      <c r="F3138" s="200">
        <v>434.07299999999998</v>
      </c>
      <c r="H3138" s="17"/>
    </row>
    <row r="3139" spans="2:8" s="16" customFormat="1" ht="16.899999999999999" customHeight="1" x14ac:dyDescent="0.2">
      <c r="B3139" s="17"/>
      <c r="C3139" s="196" t="s">
        <v>5163</v>
      </c>
      <c r="D3139" s="197"/>
      <c r="E3139" s="198"/>
      <c r="F3139" s="199">
        <v>1697.96</v>
      </c>
      <c r="H3139" s="17"/>
    </row>
    <row r="3140" spans="2:8" s="16" customFormat="1" ht="16.899999999999999" customHeight="1" x14ac:dyDescent="0.2">
      <c r="B3140" s="17"/>
      <c r="C3140" s="83"/>
      <c r="D3140" s="83" t="s">
        <v>5854</v>
      </c>
      <c r="E3140" s="2"/>
      <c r="F3140" s="200">
        <v>0</v>
      </c>
      <c r="H3140" s="17"/>
    </row>
    <row r="3141" spans="2:8" s="16" customFormat="1" ht="16.899999999999999" customHeight="1" x14ac:dyDescent="0.2">
      <c r="B3141" s="17"/>
      <c r="C3141" s="83"/>
      <c r="D3141" s="83" t="s">
        <v>5855</v>
      </c>
      <c r="E3141" s="2"/>
      <c r="F3141" s="200">
        <v>85.04</v>
      </c>
      <c r="H3141" s="17"/>
    </row>
    <row r="3142" spans="2:8" s="16" customFormat="1" ht="16.899999999999999" customHeight="1" x14ac:dyDescent="0.2">
      <c r="B3142" s="17"/>
      <c r="C3142" s="83"/>
      <c r="D3142" s="83" t="s">
        <v>5856</v>
      </c>
      <c r="E3142" s="2"/>
      <c r="F3142" s="200">
        <v>41.82</v>
      </c>
      <c r="H3142" s="17"/>
    </row>
    <row r="3143" spans="2:8" s="16" customFormat="1" ht="16.899999999999999" customHeight="1" x14ac:dyDescent="0.2">
      <c r="B3143" s="17"/>
      <c r="C3143" s="83"/>
      <c r="D3143" s="83" t="s">
        <v>5857</v>
      </c>
      <c r="E3143" s="2"/>
      <c r="F3143" s="200">
        <v>7.71</v>
      </c>
      <c r="H3143" s="17"/>
    </row>
    <row r="3144" spans="2:8" s="16" customFormat="1" ht="16.899999999999999" customHeight="1" x14ac:dyDescent="0.2">
      <c r="B3144" s="17"/>
      <c r="C3144" s="83"/>
      <c r="D3144" s="83" t="s">
        <v>5858</v>
      </c>
      <c r="E3144" s="2"/>
      <c r="F3144" s="200">
        <v>4.7699999999999996</v>
      </c>
      <c r="H3144" s="17"/>
    </row>
    <row r="3145" spans="2:8" s="16" customFormat="1" ht="16.899999999999999" customHeight="1" x14ac:dyDescent="0.2">
      <c r="B3145" s="17"/>
      <c r="C3145" s="83"/>
      <c r="D3145" s="83" t="s">
        <v>5859</v>
      </c>
      <c r="E3145" s="2"/>
      <c r="F3145" s="200">
        <v>3.61</v>
      </c>
      <c r="H3145" s="17"/>
    </row>
    <row r="3146" spans="2:8" s="16" customFormat="1" ht="16.899999999999999" customHeight="1" x14ac:dyDescent="0.2">
      <c r="B3146" s="17"/>
      <c r="C3146" s="83"/>
      <c r="D3146" s="83" t="s">
        <v>5860</v>
      </c>
      <c r="E3146" s="2"/>
      <c r="F3146" s="200">
        <v>13.28</v>
      </c>
      <c r="H3146" s="17"/>
    </row>
    <row r="3147" spans="2:8" s="16" customFormat="1" ht="16.899999999999999" customHeight="1" x14ac:dyDescent="0.2">
      <c r="B3147" s="17"/>
      <c r="C3147" s="83"/>
      <c r="D3147" s="83" t="s">
        <v>5861</v>
      </c>
      <c r="E3147" s="2"/>
      <c r="F3147" s="200">
        <v>3.59</v>
      </c>
      <c r="H3147" s="17"/>
    </row>
    <row r="3148" spans="2:8" s="16" customFormat="1" ht="16.899999999999999" customHeight="1" x14ac:dyDescent="0.2">
      <c r="B3148" s="17"/>
      <c r="C3148" s="83"/>
      <c r="D3148" s="83" t="s">
        <v>5862</v>
      </c>
      <c r="E3148" s="2"/>
      <c r="F3148" s="200">
        <v>13.28</v>
      </c>
      <c r="H3148" s="17"/>
    </row>
    <row r="3149" spans="2:8" s="16" customFormat="1" ht="16.899999999999999" customHeight="1" x14ac:dyDescent="0.2">
      <c r="B3149" s="17"/>
      <c r="C3149" s="83"/>
      <c r="D3149" s="83" t="s">
        <v>5863</v>
      </c>
      <c r="E3149" s="2"/>
      <c r="F3149" s="200">
        <v>3.59</v>
      </c>
      <c r="H3149" s="17"/>
    </row>
    <row r="3150" spans="2:8" s="16" customFormat="1" ht="16.899999999999999" customHeight="1" x14ac:dyDescent="0.2">
      <c r="B3150" s="17"/>
      <c r="C3150" s="83"/>
      <c r="D3150" s="83" t="s">
        <v>5864</v>
      </c>
      <c r="E3150" s="2"/>
      <c r="F3150" s="200">
        <v>13.28</v>
      </c>
      <c r="H3150" s="17"/>
    </row>
    <row r="3151" spans="2:8" s="16" customFormat="1" ht="16.899999999999999" customHeight="1" x14ac:dyDescent="0.2">
      <c r="B3151" s="17"/>
      <c r="C3151" s="83"/>
      <c r="D3151" s="83" t="s">
        <v>5865</v>
      </c>
      <c r="E3151" s="2"/>
      <c r="F3151" s="200">
        <v>3.59</v>
      </c>
      <c r="H3151" s="17"/>
    </row>
    <row r="3152" spans="2:8" s="16" customFormat="1" ht="16.899999999999999" customHeight="1" x14ac:dyDescent="0.2">
      <c r="B3152" s="17"/>
      <c r="C3152" s="83"/>
      <c r="D3152" s="83" t="s">
        <v>5866</v>
      </c>
      <c r="E3152" s="2"/>
      <c r="F3152" s="200">
        <v>13.28</v>
      </c>
      <c r="H3152" s="17"/>
    </row>
    <row r="3153" spans="2:8" s="16" customFormat="1" ht="16.899999999999999" customHeight="1" x14ac:dyDescent="0.2">
      <c r="B3153" s="17"/>
      <c r="C3153" s="83"/>
      <c r="D3153" s="83" t="s">
        <v>5867</v>
      </c>
      <c r="E3153" s="2"/>
      <c r="F3153" s="200">
        <v>3.59</v>
      </c>
      <c r="H3153" s="17"/>
    </row>
    <row r="3154" spans="2:8" s="16" customFormat="1" ht="16.899999999999999" customHeight="1" x14ac:dyDescent="0.2">
      <c r="B3154" s="17"/>
      <c r="C3154" s="83"/>
      <c r="D3154" s="83" t="s">
        <v>5868</v>
      </c>
      <c r="E3154" s="2"/>
      <c r="F3154" s="200">
        <v>13.28</v>
      </c>
      <c r="H3154" s="17"/>
    </row>
    <row r="3155" spans="2:8" s="16" customFormat="1" ht="16.899999999999999" customHeight="1" x14ac:dyDescent="0.2">
      <c r="B3155" s="17"/>
      <c r="C3155" s="83"/>
      <c r="D3155" s="83" t="s">
        <v>5869</v>
      </c>
      <c r="E3155" s="2"/>
      <c r="F3155" s="200">
        <v>3.59</v>
      </c>
      <c r="H3155" s="17"/>
    </row>
    <row r="3156" spans="2:8" s="16" customFormat="1" ht="16.899999999999999" customHeight="1" x14ac:dyDescent="0.2">
      <c r="B3156" s="17"/>
      <c r="C3156" s="83"/>
      <c r="D3156" s="83" t="s">
        <v>5870</v>
      </c>
      <c r="E3156" s="2"/>
      <c r="F3156" s="200">
        <v>13.28</v>
      </c>
      <c r="H3156" s="17"/>
    </row>
    <row r="3157" spans="2:8" s="16" customFormat="1" ht="16.899999999999999" customHeight="1" x14ac:dyDescent="0.2">
      <c r="B3157" s="17"/>
      <c r="C3157" s="83"/>
      <c r="D3157" s="83" t="s">
        <v>5871</v>
      </c>
      <c r="E3157" s="2"/>
      <c r="F3157" s="200">
        <v>3.67</v>
      </c>
      <c r="H3157" s="17"/>
    </row>
    <row r="3158" spans="2:8" s="16" customFormat="1" ht="16.899999999999999" customHeight="1" x14ac:dyDescent="0.2">
      <c r="B3158" s="17"/>
      <c r="C3158" s="83"/>
      <c r="D3158" s="83" t="s">
        <v>5872</v>
      </c>
      <c r="E3158" s="2"/>
      <c r="F3158" s="200">
        <v>13.28</v>
      </c>
      <c r="H3158" s="17"/>
    </row>
    <row r="3159" spans="2:8" s="16" customFormat="1" ht="16.899999999999999" customHeight="1" x14ac:dyDescent="0.2">
      <c r="B3159" s="17"/>
      <c r="C3159" s="83"/>
      <c r="D3159" s="83" t="s">
        <v>5873</v>
      </c>
      <c r="E3159" s="2"/>
      <c r="F3159" s="200">
        <v>4.1500000000000004</v>
      </c>
      <c r="H3159" s="17"/>
    </row>
    <row r="3160" spans="2:8" s="16" customFormat="1" ht="16.899999999999999" customHeight="1" x14ac:dyDescent="0.2">
      <c r="B3160" s="17"/>
      <c r="C3160" s="83"/>
      <c r="D3160" s="83" t="s">
        <v>5874</v>
      </c>
      <c r="E3160" s="2"/>
      <c r="F3160" s="200">
        <v>15.71</v>
      </c>
      <c r="H3160" s="17"/>
    </row>
    <row r="3161" spans="2:8" s="16" customFormat="1" ht="16.899999999999999" customHeight="1" x14ac:dyDescent="0.2">
      <c r="B3161" s="17"/>
      <c r="C3161" s="83"/>
      <c r="D3161" s="83" t="s">
        <v>5875</v>
      </c>
      <c r="E3161" s="2"/>
      <c r="F3161" s="200">
        <v>3.51</v>
      </c>
      <c r="H3161" s="17"/>
    </row>
    <row r="3162" spans="2:8" s="16" customFormat="1" ht="16.899999999999999" customHeight="1" x14ac:dyDescent="0.2">
      <c r="B3162" s="17"/>
      <c r="C3162" s="83"/>
      <c r="D3162" s="83" t="s">
        <v>5876</v>
      </c>
      <c r="E3162" s="2"/>
      <c r="F3162" s="200">
        <v>13.28</v>
      </c>
      <c r="H3162" s="17"/>
    </row>
    <row r="3163" spans="2:8" s="16" customFormat="1" ht="16.899999999999999" customHeight="1" x14ac:dyDescent="0.2">
      <c r="B3163" s="17"/>
      <c r="C3163" s="83"/>
      <c r="D3163" s="83" t="s">
        <v>5877</v>
      </c>
      <c r="E3163" s="2"/>
      <c r="F3163" s="200">
        <v>13.28</v>
      </c>
      <c r="H3163" s="17"/>
    </row>
    <row r="3164" spans="2:8" s="16" customFormat="1" ht="16.899999999999999" customHeight="1" x14ac:dyDescent="0.2">
      <c r="B3164" s="17"/>
      <c r="C3164" s="83"/>
      <c r="D3164" s="83" t="s">
        <v>5878</v>
      </c>
      <c r="E3164" s="2"/>
      <c r="F3164" s="200">
        <v>3.56</v>
      </c>
      <c r="H3164" s="17"/>
    </row>
    <row r="3165" spans="2:8" s="16" customFormat="1" ht="16.899999999999999" customHeight="1" x14ac:dyDescent="0.2">
      <c r="B3165" s="17"/>
      <c r="C3165" s="83"/>
      <c r="D3165" s="83" t="s">
        <v>5879</v>
      </c>
      <c r="E3165" s="2"/>
      <c r="F3165" s="200">
        <v>3.94</v>
      </c>
      <c r="H3165" s="17"/>
    </row>
    <row r="3166" spans="2:8" s="16" customFormat="1" ht="16.899999999999999" customHeight="1" x14ac:dyDescent="0.2">
      <c r="B3166" s="17"/>
      <c r="C3166" s="83"/>
      <c r="D3166" s="83" t="s">
        <v>5880</v>
      </c>
      <c r="E3166" s="2"/>
      <c r="F3166" s="200">
        <v>14.55</v>
      </c>
      <c r="H3166" s="17"/>
    </row>
    <row r="3167" spans="2:8" s="16" customFormat="1" ht="16.899999999999999" customHeight="1" x14ac:dyDescent="0.2">
      <c r="B3167" s="17"/>
      <c r="C3167" s="83"/>
      <c r="D3167" s="83" t="s">
        <v>5881</v>
      </c>
      <c r="E3167" s="2"/>
      <c r="F3167" s="200">
        <v>3.59</v>
      </c>
      <c r="H3167" s="17"/>
    </row>
    <row r="3168" spans="2:8" s="16" customFormat="1" ht="16.899999999999999" customHeight="1" x14ac:dyDescent="0.2">
      <c r="B3168" s="17"/>
      <c r="C3168" s="83"/>
      <c r="D3168" s="83" t="s">
        <v>5882</v>
      </c>
      <c r="E3168" s="2"/>
      <c r="F3168" s="200">
        <v>12.67</v>
      </c>
      <c r="H3168" s="17"/>
    </row>
    <row r="3169" spans="2:8" s="16" customFormat="1" ht="16.899999999999999" customHeight="1" x14ac:dyDescent="0.2">
      <c r="B3169" s="17"/>
      <c r="C3169" s="83"/>
      <c r="D3169" s="83" t="s">
        <v>5883</v>
      </c>
      <c r="E3169" s="2"/>
      <c r="F3169" s="200">
        <v>4.38</v>
      </c>
      <c r="H3169" s="17"/>
    </row>
    <row r="3170" spans="2:8" s="16" customFormat="1" ht="16.899999999999999" customHeight="1" x14ac:dyDescent="0.2">
      <c r="B3170" s="17"/>
      <c r="C3170" s="83"/>
      <c r="D3170" s="83" t="s">
        <v>5884</v>
      </c>
      <c r="E3170" s="2"/>
      <c r="F3170" s="200">
        <v>14.3</v>
      </c>
      <c r="H3170" s="17"/>
    </row>
    <row r="3171" spans="2:8" s="16" customFormat="1" ht="16.899999999999999" customHeight="1" x14ac:dyDescent="0.2">
      <c r="B3171" s="17"/>
      <c r="C3171" s="83"/>
      <c r="D3171" s="83" t="s">
        <v>5885</v>
      </c>
      <c r="E3171" s="2"/>
      <c r="F3171" s="200">
        <v>96.48</v>
      </c>
      <c r="H3171" s="17"/>
    </row>
    <row r="3172" spans="2:8" s="16" customFormat="1" ht="16.899999999999999" customHeight="1" x14ac:dyDescent="0.2">
      <c r="B3172" s="17"/>
      <c r="C3172" s="83"/>
      <c r="D3172" s="83" t="s">
        <v>5886</v>
      </c>
      <c r="E3172" s="2"/>
      <c r="F3172" s="200">
        <v>11.83</v>
      </c>
      <c r="H3172" s="17"/>
    </row>
    <row r="3173" spans="2:8" s="16" customFormat="1" ht="16.899999999999999" customHeight="1" x14ac:dyDescent="0.2">
      <c r="B3173" s="17"/>
      <c r="C3173" s="83"/>
      <c r="D3173" s="83" t="s">
        <v>5887</v>
      </c>
      <c r="E3173" s="2"/>
      <c r="F3173" s="200">
        <v>86.76</v>
      </c>
      <c r="H3173" s="17"/>
    </row>
    <row r="3174" spans="2:8" s="16" customFormat="1" ht="16.899999999999999" customHeight="1" x14ac:dyDescent="0.2">
      <c r="B3174" s="17"/>
      <c r="C3174" s="83"/>
      <c r="D3174" s="83" t="s">
        <v>5888</v>
      </c>
      <c r="E3174" s="2"/>
      <c r="F3174" s="200">
        <v>13.47</v>
      </c>
      <c r="H3174" s="17"/>
    </row>
    <row r="3175" spans="2:8" s="16" customFormat="1" ht="16.899999999999999" customHeight="1" x14ac:dyDescent="0.2">
      <c r="B3175" s="17"/>
      <c r="C3175" s="83"/>
      <c r="D3175" s="83" t="s">
        <v>5889</v>
      </c>
      <c r="E3175" s="2"/>
      <c r="F3175" s="200">
        <v>3.61</v>
      </c>
      <c r="H3175" s="17"/>
    </row>
    <row r="3176" spans="2:8" s="16" customFormat="1" ht="16.899999999999999" customHeight="1" x14ac:dyDescent="0.2">
      <c r="B3176" s="17"/>
      <c r="C3176" s="83"/>
      <c r="D3176" s="83" t="s">
        <v>5890</v>
      </c>
      <c r="E3176" s="2"/>
      <c r="F3176" s="200">
        <v>13.28</v>
      </c>
      <c r="H3176" s="17"/>
    </row>
    <row r="3177" spans="2:8" s="16" customFormat="1" ht="16.899999999999999" customHeight="1" x14ac:dyDescent="0.2">
      <c r="B3177" s="17"/>
      <c r="C3177" s="83"/>
      <c r="D3177" s="83" t="s">
        <v>5891</v>
      </c>
      <c r="E3177" s="2"/>
      <c r="F3177" s="200">
        <v>3.59</v>
      </c>
      <c r="H3177" s="17"/>
    </row>
    <row r="3178" spans="2:8" s="16" customFormat="1" ht="16.899999999999999" customHeight="1" x14ac:dyDescent="0.2">
      <c r="B3178" s="17"/>
      <c r="C3178" s="83"/>
      <c r="D3178" s="83" t="s">
        <v>5892</v>
      </c>
      <c r="E3178" s="2"/>
      <c r="F3178" s="200">
        <v>13.28</v>
      </c>
      <c r="H3178" s="17"/>
    </row>
    <row r="3179" spans="2:8" s="16" customFormat="1" ht="16.899999999999999" customHeight="1" x14ac:dyDescent="0.2">
      <c r="B3179" s="17"/>
      <c r="C3179" s="83"/>
      <c r="D3179" s="83" t="s">
        <v>5893</v>
      </c>
      <c r="E3179" s="2"/>
      <c r="F3179" s="200">
        <v>3.59</v>
      </c>
      <c r="H3179" s="17"/>
    </row>
    <row r="3180" spans="2:8" s="16" customFormat="1" ht="16.899999999999999" customHeight="1" x14ac:dyDescent="0.2">
      <c r="B3180" s="17"/>
      <c r="C3180" s="83"/>
      <c r="D3180" s="83" t="s">
        <v>5894</v>
      </c>
      <c r="E3180" s="2"/>
      <c r="F3180" s="200">
        <v>13.28</v>
      </c>
      <c r="H3180" s="17"/>
    </row>
    <row r="3181" spans="2:8" s="16" customFormat="1" ht="16.899999999999999" customHeight="1" x14ac:dyDescent="0.2">
      <c r="B3181" s="17"/>
      <c r="C3181" s="83"/>
      <c r="D3181" s="83" t="s">
        <v>5895</v>
      </c>
      <c r="E3181" s="2"/>
      <c r="F3181" s="200">
        <v>3.59</v>
      </c>
      <c r="H3181" s="17"/>
    </row>
    <row r="3182" spans="2:8" s="16" customFormat="1" ht="16.899999999999999" customHeight="1" x14ac:dyDescent="0.2">
      <c r="B3182" s="17"/>
      <c r="C3182" s="83"/>
      <c r="D3182" s="83" t="s">
        <v>5896</v>
      </c>
      <c r="E3182" s="2"/>
      <c r="F3182" s="200">
        <v>13.28</v>
      </c>
      <c r="H3182" s="17"/>
    </row>
    <row r="3183" spans="2:8" s="16" customFormat="1" ht="16.899999999999999" customHeight="1" x14ac:dyDescent="0.2">
      <c r="B3183" s="17"/>
      <c r="C3183" s="83"/>
      <c r="D3183" s="83" t="s">
        <v>5897</v>
      </c>
      <c r="E3183" s="2"/>
      <c r="F3183" s="200">
        <v>3.59</v>
      </c>
      <c r="H3183" s="17"/>
    </row>
    <row r="3184" spans="2:8" s="16" customFormat="1" ht="16.899999999999999" customHeight="1" x14ac:dyDescent="0.2">
      <c r="B3184" s="17"/>
      <c r="C3184" s="83"/>
      <c r="D3184" s="83" t="s">
        <v>5898</v>
      </c>
      <c r="E3184" s="2"/>
      <c r="F3184" s="200">
        <v>13.28</v>
      </c>
      <c r="H3184" s="17"/>
    </row>
    <row r="3185" spans="2:8" s="16" customFormat="1" ht="16.899999999999999" customHeight="1" x14ac:dyDescent="0.2">
      <c r="B3185" s="17"/>
      <c r="C3185" s="83"/>
      <c r="D3185" s="83" t="s">
        <v>5899</v>
      </c>
      <c r="E3185" s="2"/>
      <c r="F3185" s="200">
        <v>3.59</v>
      </c>
      <c r="H3185" s="17"/>
    </row>
    <row r="3186" spans="2:8" s="16" customFormat="1" ht="16.899999999999999" customHeight="1" x14ac:dyDescent="0.2">
      <c r="B3186" s="17"/>
      <c r="C3186" s="83"/>
      <c r="D3186" s="83" t="s">
        <v>5900</v>
      </c>
      <c r="E3186" s="2"/>
      <c r="F3186" s="200">
        <v>13.28</v>
      </c>
      <c r="H3186" s="17"/>
    </row>
    <row r="3187" spans="2:8" s="16" customFormat="1" ht="16.899999999999999" customHeight="1" x14ac:dyDescent="0.2">
      <c r="B3187" s="17"/>
      <c r="C3187" s="83"/>
      <c r="D3187" s="83" t="s">
        <v>5901</v>
      </c>
      <c r="E3187" s="2"/>
      <c r="F3187" s="200">
        <v>3.59</v>
      </c>
      <c r="H3187" s="17"/>
    </row>
    <row r="3188" spans="2:8" s="16" customFormat="1" ht="16.899999999999999" customHeight="1" x14ac:dyDescent="0.2">
      <c r="B3188" s="17"/>
      <c r="C3188" s="83"/>
      <c r="D3188" s="83" t="s">
        <v>5902</v>
      </c>
      <c r="E3188" s="2"/>
      <c r="F3188" s="200">
        <v>13.28</v>
      </c>
      <c r="H3188" s="17"/>
    </row>
    <row r="3189" spans="2:8" s="16" customFormat="1" ht="16.899999999999999" customHeight="1" x14ac:dyDescent="0.2">
      <c r="B3189" s="17"/>
      <c r="C3189" s="83"/>
      <c r="D3189" s="83" t="s">
        <v>5903</v>
      </c>
      <c r="E3189" s="2"/>
      <c r="F3189" s="200">
        <v>3.59</v>
      </c>
      <c r="H3189" s="17"/>
    </row>
    <row r="3190" spans="2:8" s="16" customFormat="1" ht="16.899999999999999" customHeight="1" x14ac:dyDescent="0.2">
      <c r="B3190" s="17"/>
      <c r="C3190" s="83"/>
      <c r="D3190" s="83" t="s">
        <v>5904</v>
      </c>
      <c r="E3190" s="2"/>
      <c r="F3190" s="200">
        <v>13.28</v>
      </c>
      <c r="H3190" s="17"/>
    </row>
    <row r="3191" spans="2:8" s="16" customFormat="1" ht="16.899999999999999" customHeight="1" x14ac:dyDescent="0.2">
      <c r="B3191" s="17"/>
      <c r="C3191" s="83"/>
      <c r="D3191" s="83" t="s">
        <v>5905</v>
      </c>
      <c r="E3191" s="2"/>
      <c r="F3191" s="200">
        <v>3.67</v>
      </c>
      <c r="H3191" s="17"/>
    </row>
    <row r="3192" spans="2:8" s="16" customFormat="1" ht="16.899999999999999" customHeight="1" x14ac:dyDescent="0.2">
      <c r="B3192" s="17"/>
      <c r="C3192" s="83"/>
      <c r="D3192" s="83" t="s">
        <v>5906</v>
      </c>
      <c r="E3192" s="2"/>
      <c r="F3192" s="200">
        <v>13.28</v>
      </c>
      <c r="H3192" s="17"/>
    </row>
    <row r="3193" spans="2:8" s="16" customFormat="1" ht="16.899999999999999" customHeight="1" x14ac:dyDescent="0.2">
      <c r="B3193" s="17"/>
      <c r="C3193" s="83"/>
      <c r="D3193" s="83" t="s">
        <v>5907</v>
      </c>
      <c r="E3193" s="2"/>
      <c r="F3193" s="200">
        <v>4.1500000000000004</v>
      </c>
      <c r="H3193" s="17"/>
    </row>
    <row r="3194" spans="2:8" s="16" customFormat="1" ht="16.899999999999999" customHeight="1" x14ac:dyDescent="0.2">
      <c r="B3194" s="17"/>
      <c r="C3194" s="83"/>
      <c r="D3194" s="83" t="s">
        <v>5908</v>
      </c>
      <c r="E3194" s="2"/>
      <c r="F3194" s="200">
        <v>15.71</v>
      </c>
      <c r="H3194" s="17"/>
    </row>
    <row r="3195" spans="2:8" s="16" customFormat="1" ht="16.899999999999999" customHeight="1" x14ac:dyDescent="0.2">
      <c r="B3195" s="17"/>
      <c r="C3195" s="83"/>
      <c r="D3195" s="83" t="s">
        <v>5909</v>
      </c>
      <c r="E3195" s="2"/>
      <c r="F3195" s="200">
        <v>3.51</v>
      </c>
      <c r="H3195" s="17"/>
    </row>
    <row r="3196" spans="2:8" s="16" customFormat="1" ht="16.899999999999999" customHeight="1" x14ac:dyDescent="0.2">
      <c r="B3196" s="17"/>
      <c r="C3196" s="83"/>
      <c r="D3196" s="83" t="s">
        <v>5910</v>
      </c>
      <c r="E3196" s="2"/>
      <c r="F3196" s="200">
        <v>13.28</v>
      </c>
      <c r="H3196" s="17"/>
    </row>
    <row r="3197" spans="2:8" s="16" customFormat="1" ht="16.899999999999999" customHeight="1" x14ac:dyDescent="0.2">
      <c r="B3197" s="17"/>
      <c r="C3197" s="83"/>
      <c r="D3197" s="83" t="s">
        <v>5911</v>
      </c>
      <c r="E3197" s="2"/>
      <c r="F3197" s="200">
        <v>13.28</v>
      </c>
      <c r="H3197" s="17"/>
    </row>
    <row r="3198" spans="2:8" s="16" customFormat="1" ht="16.899999999999999" customHeight="1" x14ac:dyDescent="0.2">
      <c r="B3198" s="17"/>
      <c r="C3198" s="83"/>
      <c r="D3198" s="83" t="s">
        <v>5912</v>
      </c>
      <c r="E3198" s="2"/>
      <c r="F3198" s="200">
        <v>3.56</v>
      </c>
      <c r="H3198" s="17"/>
    </row>
    <row r="3199" spans="2:8" s="16" customFormat="1" ht="16.899999999999999" customHeight="1" x14ac:dyDescent="0.2">
      <c r="B3199" s="17"/>
      <c r="C3199" s="83"/>
      <c r="D3199" s="83" t="s">
        <v>5913</v>
      </c>
      <c r="E3199" s="2"/>
      <c r="F3199" s="200">
        <v>3.94</v>
      </c>
      <c r="H3199" s="17"/>
    </row>
    <row r="3200" spans="2:8" s="16" customFormat="1" ht="16.899999999999999" customHeight="1" x14ac:dyDescent="0.2">
      <c r="B3200" s="17"/>
      <c r="C3200" s="83"/>
      <c r="D3200" s="83" t="s">
        <v>5914</v>
      </c>
      <c r="E3200" s="2"/>
      <c r="F3200" s="200">
        <v>14.55</v>
      </c>
      <c r="H3200" s="17"/>
    </row>
    <row r="3201" spans="2:8" s="16" customFormat="1" ht="16.899999999999999" customHeight="1" x14ac:dyDescent="0.2">
      <c r="B3201" s="17"/>
      <c r="C3201" s="83"/>
      <c r="D3201" s="83" t="s">
        <v>5915</v>
      </c>
      <c r="E3201" s="2"/>
      <c r="F3201" s="200">
        <v>3.59</v>
      </c>
      <c r="H3201" s="17"/>
    </row>
    <row r="3202" spans="2:8" s="16" customFormat="1" ht="16.899999999999999" customHeight="1" x14ac:dyDescent="0.2">
      <c r="B3202" s="17"/>
      <c r="C3202" s="83"/>
      <c r="D3202" s="83" t="s">
        <v>5916</v>
      </c>
      <c r="E3202" s="2"/>
      <c r="F3202" s="200">
        <v>12.67</v>
      </c>
      <c r="H3202" s="17"/>
    </row>
    <row r="3203" spans="2:8" s="16" customFormat="1" ht="16.899999999999999" customHeight="1" x14ac:dyDescent="0.2">
      <c r="B3203" s="17"/>
      <c r="C3203" s="83"/>
      <c r="D3203" s="83" t="s">
        <v>5917</v>
      </c>
      <c r="E3203" s="2"/>
      <c r="F3203" s="200">
        <v>4.38</v>
      </c>
      <c r="H3203" s="17"/>
    </row>
    <row r="3204" spans="2:8" s="16" customFormat="1" ht="16.899999999999999" customHeight="1" x14ac:dyDescent="0.2">
      <c r="B3204" s="17"/>
      <c r="C3204" s="83"/>
      <c r="D3204" s="83" t="s">
        <v>5918</v>
      </c>
      <c r="E3204" s="2"/>
      <c r="F3204" s="200">
        <v>14.3</v>
      </c>
      <c r="H3204" s="17"/>
    </row>
    <row r="3205" spans="2:8" s="16" customFormat="1" ht="16.899999999999999" customHeight="1" x14ac:dyDescent="0.2">
      <c r="B3205" s="17"/>
      <c r="C3205" s="83"/>
      <c r="D3205" s="83" t="s">
        <v>5919</v>
      </c>
      <c r="E3205" s="2"/>
      <c r="F3205" s="200">
        <v>17.03</v>
      </c>
      <c r="H3205" s="17"/>
    </row>
    <row r="3206" spans="2:8" s="16" customFormat="1" ht="16.899999999999999" customHeight="1" x14ac:dyDescent="0.2">
      <c r="B3206" s="17"/>
      <c r="C3206" s="83"/>
      <c r="D3206" s="83" t="s">
        <v>5920</v>
      </c>
      <c r="E3206" s="2"/>
      <c r="F3206" s="200">
        <v>13.28</v>
      </c>
      <c r="H3206" s="17"/>
    </row>
    <row r="3207" spans="2:8" s="16" customFormat="1" ht="16.899999999999999" customHeight="1" x14ac:dyDescent="0.2">
      <c r="B3207" s="17"/>
      <c r="C3207" s="83"/>
      <c r="D3207" s="83" t="s">
        <v>5921</v>
      </c>
      <c r="E3207" s="2"/>
      <c r="F3207" s="200">
        <v>15.6</v>
      </c>
      <c r="H3207" s="17"/>
    </row>
    <row r="3208" spans="2:8" s="16" customFormat="1" ht="16.899999999999999" customHeight="1" x14ac:dyDescent="0.2">
      <c r="B3208" s="17"/>
      <c r="C3208" s="83"/>
      <c r="D3208" s="83" t="s">
        <v>5922</v>
      </c>
      <c r="E3208" s="2"/>
      <c r="F3208" s="200">
        <v>96.48</v>
      </c>
      <c r="H3208" s="17"/>
    </row>
    <row r="3209" spans="2:8" s="16" customFormat="1" ht="16.899999999999999" customHeight="1" x14ac:dyDescent="0.2">
      <c r="B3209" s="17"/>
      <c r="C3209" s="83"/>
      <c r="D3209" s="83" t="s">
        <v>5923</v>
      </c>
      <c r="E3209" s="2"/>
      <c r="F3209" s="200">
        <v>11.81</v>
      </c>
      <c r="H3209" s="17"/>
    </row>
    <row r="3210" spans="2:8" s="16" customFormat="1" ht="16.899999999999999" customHeight="1" x14ac:dyDescent="0.2">
      <c r="B3210" s="17"/>
      <c r="C3210" s="83"/>
      <c r="D3210" s="83" t="s">
        <v>5924</v>
      </c>
      <c r="E3210" s="2"/>
      <c r="F3210" s="200">
        <v>3.61</v>
      </c>
      <c r="H3210" s="17"/>
    </row>
    <row r="3211" spans="2:8" s="16" customFormat="1" ht="16.899999999999999" customHeight="1" x14ac:dyDescent="0.2">
      <c r="B3211" s="17"/>
      <c r="C3211" s="83"/>
      <c r="D3211" s="83" t="s">
        <v>5925</v>
      </c>
      <c r="E3211" s="2"/>
      <c r="F3211" s="200">
        <v>13.28</v>
      </c>
      <c r="H3211" s="17"/>
    </row>
    <row r="3212" spans="2:8" s="16" customFormat="1" ht="16.899999999999999" customHeight="1" x14ac:dyDescent="0.2">
      <c r="B3212" s="17"/>
      <c r="C3212" s="83"/>
      <c r="D3212" s="83" t="s">
        <v>5926</v>
      </c>
      <c r="E3212" s="2"/>
      <c r="F3212" s="200">
        <v>3.59</v>
      </c>
      <c r="H3212" s="17"/>
    </row>
    <row r="3213" spans="2:8" s="16" customFormat="1" ht="16.899999999999999" customHeight="1" x14ac:dyDescent="0.2">
      <c r="B3213" s="17"/>
      <c r="C3213" s="83"/>
      <c r="D3213" s="83" t="s">
        <v>5925</v>
      </c>
      <c r="E3213" s="2"/>
      <c r="F3213" s="200">
        <v>13.28</v>
      </c>
      <c r="H3213" s="17"/>
    </row>
    <row r="3214" spans="2:8" s="16" customFormat="1" ht="16.899999999999999" customHeight="1" x14ac:dyDescent="0.2">
      <c r="B3214" s="17"/>
      <c r="C3214" s="83"/>
      <c r="D3214" s="83" t="s">
        <v>5926</v>
      </c>
      <c r="E3214" s="2"/>
      <c r="F3214" s="200">
        <v>3.59</v>
      </c>
      <c r="H3214" s="17"/>
    </row>
    <row r="3215" spans="2:8" s="16" customFormat="1" ht="16.899999999999999" customHeight="1" x14ac:dyDescent="0.2">
      <c r="B3215" s="17"/>
      <c r="C3215" s="83"/>
      <c r="D3215" s="83" t="s">
        <v>5925</v>
      </c>
      <c r="E3215" s="2"/>
      <c r="F3215" s="200">
        <v>13.28</v>
      </c>
      <c r="H3215" s="17"/>
    </row>
    <row r="3216" spans="2:8" s="16" customFormat="1" ht="16.899999999999999" customHeight="1" x14ac:dyDescent="0.2">
      <c r="B3216" s="17"/>
      <c r="C3216" s="83"/>
      <c r="D3216" s="83" t="s">
        <v>5926</v>
      </c>
      <c r="E3216" s="2"/>
      <c r="F3216" s="200">
        <v>3.59</v>
      </c>
      <c r="H3216" s="17"/>
    </row>
    <row r="3217" spans="2:8" s="16" customFormat="1" ht="16.899999999999999" customHeight="1" x14ac:dyDescent="0.2">
      <c r="B3217" s="17"/>
      <c r="C3217" s="83"/>
      <c r="D3217" s="83" t="s">
        <v>5925</v>
      </c>
      <c r="E3217" s="2"/>
      <c r="F3217" s="200">
        <v>13.28</v>
      </c>
      <c r="H3217" s="17"/>
    </row>
    <row r="3218" spans="2:8" s="16" customFormat="1" ht="16.899999999999999" customHeight="1" x14ac:dyDescent="0.2">
      <c r="B3218" s="17"/>
      <c r="C3218" s="83"/>
      <c r="D3218" s="83" t="s">
        <v>5926</v>
      </c>
      <c r="E3218" s="2"/>
      <c r="F3218" s="200">
        <v>3.59</v>
      </c>
      <c r="H3218" s="17"/>
    </row>
    <row r="3219" spans="2:8" s="16" customFormat="1" ht="16.899999999999999" customHeight="1" x14ac:dyDescent="0.2">
      <c r="B3219" s="17"/>
      <c r="C3219" s="83"/>
      <c r="D3219" s="83" t="s">
        <v>5925</v>
      </c>
      <c r="E3219" s="2"/>
      <c r="F3219" s="200">
        <v>13.28</v>
      </c>
      <c r="H3219" s="17"/>
    </row>
    <row r="3220" spans="2:8" s="16" customFormat="1" ht="16.899999999999999" customHeight="1" x14ac:dyDescent="0.2">
      <c r="B3220" s="17"/>
      <c r="C3220" s="83"/>
      <c r="D3220" s="83" t="s">
        <v>5926</v>
      </c>
      <c r="E3220" s="2"/>
      <c r="F3220" s="200">
        <v>3.59</v>
      </c>
      <c r="H3220" s="17"/>
    </row>
    <row r="3221" spans="2:8" s="16" customFormat="1" ht="16.899999999999999" customHeight="1" x14ac:dyDescent="0.2">
      <c r="B3221" s="17"/>
      <c r="C3221" s="83"/>
      <c r="D3221" s="83" t="s">
        <v>5925</v>
      </c>
      <c r="E3221" s="2"/>
      <c r="F3221" s="200">
        <v>13.28</v>
      </c>
      <c r="H3221" s="17"/>
    </row>
    <row r="3222" spans="2:8" s="16" customFormat="1" ht="16.899999999999999" customHeight="1" x14ac:dyDescent="0.2">
      <c r="B3222" s="17"/>
      <c r="C3222" s="83"/>
      <c r="D3222" s="83" t="s">
        <v>5926</v>
      </c>
      <c r="E3222" s="2"/>
      <c r="F3222" s="200">
        <v>3.59</v>
      </c>
      <c r="H3222" s="17"/>
    </row>
    <row r="3223" spans="2:8" s="16" customFormat="1" ht="16.899999999999999" customHeight="1" x14ac:dyDescent="0.2">
      <c r="B3223" s="17"/>
      <c r="C3223" s="83"/>
      <c r="D3223" s="83" t="s">
        <v>5925</v>
      </c>
      <c r="E3223" s="2"/>
      <c r="F3223" s="200">
        <v>13.28</v>
      </c>
      <c r="H3223" s="17"/>
    </row>
    <row r="3224" spans="2:8" s="16" customFormat="1" ht="16.899999999999999" customHeight="1" x14ac:dyDescent="0.2">
      <c r="B3224" s="17"/>
      <c r="C3224" s="83"/>
      <c r="D3224" s="83" t="s">
        <v>5927</v>
      </c>
      <c r="E3224" s="2"/>
      <c r="F3224" s="200">
        <v>3.59</v>
      </c>
      <c r="H3224" s="17"/>
    </row>
    <row r="3225" spans="2:8" s="16" customFormat="1" ht="16.899999999999999" customHeight="1" x14ac:dyDescent="0.2">
      <c r="B3225" s="17"/>
      <c r="C3225" s="83"/>
      <c r="D3225" s="83" t="s">
        <v>5928</v>
      </c>
      <c r="E3225" s="2"/>
      <c r="F3225" s="200">
        <v>13.28</v>
      </c>
      <c r="H3225" s="17"/>
    </row>
    <row r="3226" spans="2:8" s="16" customFormat="1" ht="16.899999999999999" customHeight="1" x14ac:dyDescent="0.2">
      <c r="B3226" s="17"/>
      <c r="C3226" s="83"/>
      <c r="D3226" s="83" t="s">
        <v>5929</v>
      </c>
      <c r="E3226" s="2"/>
      <c r="F3226" s="200">
        <v>3.67</v>
      </c>
      <c r="H3226" s="17"/>
    </row>
    <row r="3227" spans="2:8" s="16" customFormat="1" ht="16.899999999999999" customHeight="1" x14ac:dyDescent="0.2">
      <c r="B3227" s="17"/>
      <c r="C3227" s="83"/>
      <c r="D3227" s="83" t="s">
        <v>5930</v>
      </c>
      <c r="E3227" s="2"/>
      <c r="F3227" s="200">
        <v>13.28</v>
      </c>
      <c r="H3227" s="17"/>
    </row>
    <row r="3228" spans="2:8" s="16" customFormat="1" ht="16.899999999999999" customHeight="1" x14ac:dyDescent="0.2">
      <c r="B3228" s="17"/>
      <c r="C3228" s="83"/>
      <c r="D3228" s="83" t="s">
        <v>5931</v>
      </c>
      <c r="E3228" s="2"/>
      <c r="F3228" s="200">
        <v>4.1500000000000004</v>
      </c>
      <c r="H3228" s="17"/>
    </row>
    <row r="3229" spans="2:8" s="16" customFormat="1" ht="16.899999999999999" customHeight="1" x14ac:dyDescent="0.2">
      <c r="B3229" s="17"/>
      <c r="C3229" s="83"/>
      <c r="D3229" s="83" t="s">
        <v>5932</v>
      </c>
      <c r="E3229" s="2"/>
      <c r="F3229" s="200">
        <v>15.71</v>
      </c>
      <c r="H3229" s="17"/>
    </row>
    <row r="3230" spans="2:8" s="16" customFormat="1" ht="16.899999999999999" customHeight="1" x14ac:dyDescent="0.2">
      <c r="B3230" s="17"/>
      <c r="C3230" s="83"/>
      <c r="D3230" s="83" t="s">
        <v>5933</v>
      </c>
      <c r="E3230" s="2"/>
      <c r="F3230" s="200">
        <v>3.51</v>
      </c>
      <c r="H3230" s="17"/>
    </row>
    <row r="3231" spans="2:8" s="16" customFormat="1" ht="16.899999999999999" customHeight="1" x14ac:dyDescent="0.2">
      <c r="B3231" s="17"/>
      <c r="C3231" s="83"/>
      <c r="D3231" s="83" t="s">
        <v>5934</v>
      </c>
      <c r="E3231" s="2"/>
      <c r="F3231" s="200">
        <v>13.28</v>
      </c>
      <c r="H3231" s="17"/>
    </row>
    <row r="3232" spans="2:8" s="16" customFormat="1" ht="16.899999999999999" customHeight="1" x14ac:dyDescent="0.2">
      <c r="B3232" s="17"/>
      <c r="C3232" s="83"/>
      <c r="D3232" s="83" t="s">
        <v>5935</v>
      </c>
      <c r="E3232" s="2"/>
      <c r="F3232" s="200">
        <v>13.28</v>
      </c>
      <c r="H3232" s="17"/>
    </row>
    <row r="3233" spans="2:8" s="16" customFormat="1" ht="16.899999999999999" customHeight="1" x14ac:dyDescent="0.2">
      <c r="B3233" s="17"/>
      <c r="C3233" s="83"/>
      <c r="D3233" s="83" t="s">
        <v>5936</v>
      </c>
      <c r="E3233" s="2"/>
      <c r="F3233" s="200">
        <v>3.56</v>
      </c>
      <c r="H3233" s="17"/>
    </row>
    <row r="3234" spans="2:8" s="16" customFormat="1" ht="16.899999999999999" customHeight="1" x14ac:dyDescent="0.2">
      <c r="B3234" s="17"/>
      <c r="C3234" s="83"/>
      <c r="D3234" s="83" t="s">
        <v>5937</v>
      </c>
      <c r="E3234" s="2"/>
      <c r="F3234" s="200">
        <v>3.94</v>
      </c>
      <c r="H3234" s="17"/>
    </row>
    <row r="3235" spans="2:8" s="16" customFormat="1" ht="16.899999999999999" customHeight="1" x14ac:dyDescent="0.2">
      <c r="B3235" s="17"/>
      <c r="C3235" s="83"/>
      <c r="D3235" s="83" t="s">
        <v>5938</v>
      </c>
      <c r="E3235" s="2"/>
      <c r="F3235" s="200">
        <v>14.55</v>
      </c>
      <c r="H3235" s="17"/>
    </row>
    <row r="3236" spans="2:8" s="16" customFormat="1" ht="16.899999999999999" customHeight="1" x14ac:dyDescent="0.2">
      <c r="B3236" s="17"/>
      <c r="C3236" s="83"/>
      <c r="D3236" s="83" t="s">
        <v>5939</v>
      </c>
      <c r="E3236" s="2"/>
      <c r="F3236" s="200">
        <v>3.59</v>
      </c>
      <c r="H3236" s="17"/>
    </row>
    <row r="3237" spans="2:8" s="16" customFormat="1" ht="16.899999999999999" customHeight="1" x14ac:dyDescent="0.2">
      <c r="B3237" s="17"/>
      <c r="C3237" s="83"/>
      <c r="D3237" s="83" t="s">
        <v>5940</v>
      </c>
      <c r="E3237" s="2"/>
      <c r="F3237" s="200">
        <v>12.67</v>
      </c>
      <c r="H3237" s="17"/>
    </row>
    <row r="3238" spans="2:8" s="16" customFormat="1" ht="16.899999999999999" customHeight="1" x14ac:dyDescent="0.2">
      <c r="B3238" s="17"/>
      <c r="C3238" s="83"/>
      <c r="D3238" s="83" t="s">
        <v>5941</v>
      </c>
      <c r="E3238" s="2"/>
      <c r="F3238" s="200">
        <v>4.38</v>
      </c>
      <c r="H3238" s="17"/>
    </row>
    <row r="3239" spans="2:8" s="16" customFormat="1" ht="16.899999999999999" customHeight="1" x14ac:dyDescent="0.2">
      <c r="B3239" s="17"/>
      <c r="C3239" s="83"/>
      <c r="D3239" s="83" t="s">
        <v>5942</v>
      </c>
      <c r="E3239" s="2"/>
      <c r="F3239" s="200">
        <v>14.3</v>
      </c>
      <c r="H3239" s="17"/>
    </row>
    <row r="3240" spans="2:8" s="16" customFormat="1" ht="16.899999999999999" customHeight="1" x14ac:dyDescent="0.2">
      <c r="B3240" s="17"/>
      <c r="C3240" s="83"/>
      <c r="D3240" s="83" t="s">
        <v>5943</v>
      </c>
      <c r="E3240" s="2"/>
      <c r="F3240" s="200">
        <v>17.03</v>
      </c>
      <c r="H3240" s="17"/>
    </row>
    <row r="3241" spans="2:8" s="16" customFormat="1" ht="16.899999999999999" customHeight="1" x14ac:dyDescent="0.2">
      <c r="B3241" s="17"/>
      <c r="C3241" s="83"/>
      <c r="D3241" s="83" t="s">
        <v>5944</v>
      </c>
      <c r="E3241" s="2"/>
      <c r="F3241" s="200">
        <v>13.28</v>
      </c>
      <c r="H3241" s="17"/>
    </row>
    <row r="3242" spans="2:8" s="16" customFormat="1" ht="16.899999999999999" customHeight="1" x14ac:dyDescent="0.2">
      <c r="B3242" s="17"/>
      <c r="C3242" s="83"/>
      <c r="D3242" s="83" t="s">
        <v>5945</v>
      </c>
      <c r="E3242" s="2"/>
      <c r="F3242" s="200">
        <v>15.6</v>
      </c>
      <c r="H3242" s="17"/>
    </row>
    <row r="3243" spans="2:8" s="16" customFormat="1" ht="16.899999999999999" customHeight="1" x14ac:dyDescent="0.2">
      <c r="B3243" s="17"/>
      <c r="C3243" s="83"/>
      <c r="D3243" s="83" t="s">
        <v>5946</v>
      </c>
      <c r="E3243" s="2"/>
      <c r="F3243" s="200">
        <v>96.48</v>
      </c>
      <c r="H3243" s="17"/>
    </row>
    <row r="3244" spans="2:8" s="16" customFormat="1" ht="16.899999999999999" customHeight="1" x14ac:dyDescent="0.2">
      <c r="B3244" s="17"/>
      <c r="C3244" s="83"/>
      <c r="D3244" s="83" t="s">
        <v>5947</v>
      </c>
      <c r="E3244" s="2"/>
      <c r="F3244" s="200">
        <v>5.92</v>
      </c>
      <c r="H3244" s="17"/>
    </row>
    <row r="3245" spans="2:8" s="16" customFormat="1" ht="16.899999999999999" customHeight="1" x14ac:dyDescent="0.2">
      <c r="B3245" s="17"/>
      <c r="C3245" s="83"/>
      <c r="D3245" s="83" t="s">
        <v>5948</v>
      </c>
      <c r="E3245" s="2"/>
      <c r="F3245" s="200">
        <v>3.61</v>
      </c>
      <c r="H3245" s="17"/>
    </row>
    <row r="3246" spans="2:8" s="16" customFormat="1" ht="16.899999999999999" customHeight="1" x14ac:dyDescent="0.2">
      <c r="B3246" s="17"/>
      <c r="C3246" s="83"/>
      <c r="D3246" s="83" t="s">
        <v>5949</v>
      </c>
      <c r="E3246" s="2"/>
      <c r="F3246" s="200">
        <v>13.28</v>
      </c>
      <c r="H3246" s="17"/>
    </row>
    <row r="3247" spans="2:8" s="16" customFormat="1" ht="16.899999999999999" customHeight="1" x14ac:dyDescent="0.2">
      <c r="B3247" s="17"/>
      <c r="C3247" s="83"/>
      <c r="D3247" s="83" t="s">
        <v>5950</v>
      </c>
      <c r="E3247" s="2"/>
      <c r="F3247" s="200">
        <v>3.59</v>
      </c>
      <c r="H3247" s="17"/>
    </row>
    <row r="3248" spans="2:8" s="16" customFormat="1" ht="16.899999999999999" customHeight="1" x14ac:dyDescent="0.2">
      <c r="B3248" s="17"/>
      <c r="C3248" s="83"/>
      <c r="D3248" s="83" t="s">
        <v>5951</v>
      </c>
      <c r="E3248" s="2"/>
      <c r="F3248" s="200">
        <v>13.28</v>
      </c>
      <c r="H3248" s="17"/>
    </row>
    <row r="3249" spans="2:8" s="16" customFormat="1" ht="16.899999999999999" customHeight="1" x14ac:dyDescent="0.2">
      <c r="B3249" s="17"/>
      <c r="C3249" s="83"/>
      <c r="D3249" s="83" t="s">
        <v>5952</v>
      </c>
      <c r="E3249" s="2"/>
      <c r="F3249" s="200">
        <v>3.59</v>
      </c>
      <c r="H3249" s="17"/>
    </row>
    <row r="3250" spans="2:8" s="16" customFormat="1" ht="16.899999999999999" customHeight="1" x14ac:dyDescent="0.2">
      <c r="B3250" s="17"/>
      <c r="C3250" s="83"/>
      <c r="D3250" s="83" t="s">
        <v>5953</v>
      </c>
      <c r="E3250" s="2"/>
      <c r="F3250" s="200">
        <v>13.28</v>
      </c>
      <c r="H3250" s="17"/>
    </row>
    <row r="3251" spans="2:8" s="16" customFormat="1" ht="16.899999999999999" customHeight="1" x14ac:dyDescent="0.2">
      <c r="B3251" s="17"/>
      <c r="C3251" s="83"/>
      <c r="D3251" s="83" t="s">
        <v>5954</v>
      </c>
      <c r="E3251" s="2"/>
      <c r="F3251" s="200">
        <v>3.59</v>
      </c>
      <c r="H3251" s="17"/>
    </row>
    <row r="3252" spans="2:8" s="16" customFormat="1" ht="16.899999999999999" customHeight="1" x14ac:dyDescent="0.2">
      <c r="B3252" s="17"/>
      <c r="C3252" s="83"/>
      <c r="D3252" s="83" t="s">
        <v>5955</v>
      </c>
      <c r="E3252" s="2"/>
      <c r="F3252" s="200">
        <v>13.28</v>
      </c>
      <c r="H3252" s="17"/>
    </row>
    <row r="3253" spans="2:8" s="16" customFormat="1" ht="16.899999999999999" customHeight="1" x14ac:dyDescent="0.2">
      <c r="B3253" s="17"/>
      <c r="C3253" s="83"/>
      <c r="D3253" s="83" t="s">
        <v>5956</v>
      </c>
      <c r="E3253" s="2"/>
      <c r="F3253" s="200">
        <v>3.59</v>
      </c>
      <c r="H3253" s="17"/>
    </row>
    <row r="3254" spans="2:8" s="16" customFormat="1" ht="16.899999999999999" customHeight="1" x14ac:dyDescent="0.2">
      <c r="B3254" s="17"/>
      <c r="C3254" s="83"/>
      <c r="D3254" s="83" t="s">
        <v>5957</v>
      </c>
      <c r="E3254" s="2"/>
      <c r="F3254" s="200">
        <v>13.28</v>
      </c>
      <c r="H3254" s="17"/>
    </row>
    <row r="3255" spans="2:8" s="16" customFormat="1" ht="16.899999999999999" customHeight="1" x14ac:dyDescent="0.2">
      <c r="B3255" s="17"/>
      <c r="C3255" s="83"/>
      <c r="D3255" s="83" t="s">
        <v>5958</v>
      </c>
      <c r="E3255" s="2"/>
      <c r="F3255" s="200">
        <v>3.59</v>
      </c>
      <c r="H3255" s="17"/>
    </row>
    <row r="3256" spans="2:8" s="16" customFormat="1" ht="16.899999999999999" customHeight="1" x14ac:dyDescent="0.2">
      <c r="B3256" s="17"/>
      <c r="C3256" s="83"/>
      <c r="D3256" s="83" t="s">
        <v>5959</v>
      </c>
      <c r="E3256" s="2"/>
      <c r="F3256" s="200">
        <v>13.28</v>
      </c>
      <c r="H3256" s="17"/>
    </row>
    <row r="3257" spans="2:8" s="16" customFormat="1" ht="16.899999999999999" customHeight="1" x14ac:dyDescent="0.2">
      <c r="B3257" s="17"/>
      <c r="C3257" s="83"/>
      <c r="D3257" s="83" t="s">
        <v>5960</v>
      </c>
      <c r="E3257" s="2"/>
      <c r="F3257" s="200">
        <v>3.59</v>
      </c>
      <c r="H3257" s="17"/>
    </row>
    <row r="3258" spans="2:8" s="16" customFormat="1" ht="16.899999999999999" customHeight="1" x14ac:dyDescent="0.2">
      <c r="B3258" s="17"/>
      <c r="C3258" s="83"/>
      <c r="D3258" s="83" t="s">
        <v>5961</v>
      </c>
      <c r="E3258" s="2"/>
      <c r="F3258" s="200">
        <v>13.28</v>
      </c>
      <c r="H3258" s="17"/>
    </row>
    <row r="3259" spans="2:8" s="16" customFormat="1" ht="16.899999999999999" customHeight="1" x14ac:dyDescent="0.2">
      <c r="B3259" s="17"/>
      <c r="C3259" s="83"/>
      <c r="D3259" s="83" t="s">
        <v>5962</v>
      </c>
      <c r="E3259" s="2"/>
      <c r="F3259" s="200">
        <v>3.59</v>
      </c>
      <c r="H3259" s="17"/>
    </row>
    <row r="3260" spans="2:8" s="16" customFormat="1" ht="16.899999999999999" customHeight="1" x14ac:dyDescent="0.2">
      <c r="B3260" s="17"/>
      <c r="C3260" s="83"/>
      <c r="D3260" s="83" t="s">
        <v>5963</v>
      </c>
      <c r="E3260" s="2"/>
      <c r="F3260" s="200">
        <v>13.28</v>
      </c>
      <c r="H3260" s="17"/>
    </row>
    <row r="3261" spans="2:8" s="16" customFormat="1" ht="16.899999999999999" customHeight="1" x14ac:dyDescent="0.2">
      <c r="B3261" s="17"/>
      <c r="C3261" s="83"/>
      <c r="D3261" s="83" t="s">
        <v>5964</v>
      </c>
      <c r="E3261" s="2"/>
      <c r="F3261" s="200">
        <v>3.67</v>
      </c>
      <c r="H3261" s="17"/>
    </row>
    <row r="3262" spans="2:8" s="16" customFormat="1" ht="16.899999999999999" customHeight="1" x14ac:dyDescent="0.2">
      <c r="B3262" s="17"/>
      <c r="C3262" s="83"/>
      <c r="D3262" s="83" t="s">
        <v>5965</v>
      </c>
      <c r="E3262" s="2"/>
      <c r="F3262" s="200">
        <v>13.28</v>
      </c>
      <c r="H3262" s="17"/>
    </row>
    <row r="3263" spans="2:8" s="16" customFormat="1" ht="16.899999999999999" customHeight="1" x14ac:dyDescent="0.2">
      <c r="B3263" s="17"/>
      <c r="C3263" s="83"/>
      <c r="D3263" s="83" t="s">
        <v>5966</v>
      </c>
      <c r="E3263" s="2"/>
      <c r="F3263" s="200">
        <v>4.1500000000000004</v>
      </c>
      <c r="H3263" s="17"/>
    </row>
    <row r="3264" spans="2:8" s="16" customFormat="1" ht="16.899999999999999" customHeight="1" x14ac:dyDescent="0.2">
      <c r="B3264" s="17"/>
      <c r="C3264" s="83"/>
      <c r="D3264" s="83" t="s">
        <v>5967</v>
      </c>
      <c r="E3264" s="2"/>
      <c r="F3264" s="200">
        <v>15.71</v>
      </c>
      <c r="H3264" s="17"/>
    </row>
    <row r="3265" spans="2:8" s="16" customFormat="1" ht="16.899999999999999" customHeight="1" x14ac:dyDescent="0.2">
      <c r="B3265" s="17"/>
      <c r="C3265" s="83"/>
      <c r="D3265" s="83" t="s">
        <v>5968</v>
      </c>
      <c r="E3265" s="2"/>
      <c r="F3265" s="200">
        <v>3.51</v>
      </c>
      <c r="H3265" s="17"/>
    </row>
    <row r="3266" spans="2:8" s="16" customFormat="1" ht="16.899999999999999" customHeight="1" x14ac:dyDescent="0.2">
      <c r="B3266" s="17"/>
      <c r="C3266" s="83"/>
      <c r="D3266" s="83" t="s">
        <v>5969</v>
      </c>
      <c r="E3266" s="2"/>
      <c r="F3266" s="200">
        <v>13.28</v>
      </c>
      <c r="H3266" s="17"/>
    </row>
    <row r="3267" spans="2:8" s="16" customFormat="1" ht="16.899999999999999" customHeight="1" x14ac:dyDescent="0.2">
      <c r="B3267" s="17"/>
      <c r="C3267" s="83"/>
      <c r="D3267" s="83" t="s">
        <v>5970</v>
      </c>
      <c r="E3267" s="2"/>
      <c r="F3267" s="200">
        <v>13.28</v>
      </c>
      <c r="H3267" s="17"/>
    </row>
    <row r="3268" spans="2:8" s="16" customFormat="1" ht="16.899999999999999" customHeight="1" x14ac:dyDescent="0.2">
      <c r="B3268" s="17"/>
      <c r="C3268" s="83"/>
      <c r="D3268" s="83" t="s">
        <v>5971</v>
      </c>
      <c r="E3268" s="2"/>
      <c r="F3268" s="200">
        <v>3.56</v>
      </c>
      <c r="H3268" s="17"/>
    </row>
    <row r="3269" spans="2:8" s="16" customFormat="1" ht="16.899999999999999" customHeight="1" x14ac:dyDescent="0.2">
      <c r="B3269" s="17"/>
      <c r="C3269" s="83"/>
      <c r="D3269" s="83" t="s">
        <v>5972</v>
      </c>
      <c r="E3269" s="2"/>
      <c r="F3269" s="200">
        <v>3.94</v>
      </c>
      <c r="H3269" s="17"/>
    </row>
    <row r="3270" spans="2:8" s="16" customFormat="1" ht="16.899999999999999" customHeight="1" x14ac:dyDescent="0.2">
      <c r="B3270" s="17"/>
      <c r="C3270" s="83"/>
      <c r="D3270" s="83" t="s">
        <v>5973</v>
      </c>
      <c r="E3270" s="2"/>
      <c r="F3270" s="200">
        <v>14.55</v>
      </c>
      <c r="H3270" s="17"/>
    </row>
    <row r="3271" spans="2:8" s="16" customFormat="1" ht="16.899999999999999" customHeight="1" x14ac:dyDescent="0.2">
      <c r="B3271" s="17"/>
      <c r="C3271" s="83"/>
      <c r="D3271" s="83" t="s">
        <v>5974</v>
      </c>
      <c r="E3271" s="2"/>
      <c r="F3271" s="200">
        <v>3.59</v>
      </c>
      <c r="H3271" s="17"/>
    </row>
    <row r="3272" spans="2:8" s="16" customFormat="1" ht="16.899999999999999" customHeight="1" x14ac:dyDescent="0.2">
      <c r="B3272" s="17"/>
      <c r="C3272" s="83"/>
      <c r="D3272" s="83" t="s">
        <v>5975</v>
      </c>
      <c r="E3272" s="2"/>
      <c r="F3272" s="200">
        <v>12.67</v>
      </c>
      <c r="H3272" s="17"/>
    </row>
    <row r="3273" spans="2:8" s="16" customFormat="1" ht="16.899999999999999" customHeight="1" x14ac:dyDescent="0.2">
      <c r="B3273" s="17"/>
      <c r="C3273" s="83"/>
      <c r="D3273" s="83" t="s">
        <v>5976</v>
      </c>
      <c r="E3273" s="2"/>
      <c r="F3273" s="200">
        <v>4.38</v>
      </c>
      <c r="H3273" s="17"/>
    </row>
    <row r="3274" spans="2:8" s="16" customFormat="1" ht="16.899999999999999" customHeight="1" x14ac:dyDescent="0.2">
      <c r="B3274" s="17"/>
      <c r="C3274" s="83"/>
      <c r="D3274" s="83" t="s">
        <v>5977</v>
      </c>
      <c r="E3274" s="2"/>
      <c r="F3274" s="200">
        <v>14.3</v>
      </c>
      <c r="H3274" s="17"/>
    </row>
    <row r="3275" spans="2:8" s="16" customFormat="1" ht="16.899999999999999" customHeight="1" x14ac:dyDescent="0.2">
      <c r="B3275" s="17"/>
      <c r="C3275" s="83"/>
      <c r="D3275" s="83" t="s">
        <v>5978</v>
      </c>
      <c r="E3275" s="2"/>
      <c r="F3275" s="200">
        <v>17.03</v>
      </c>
      <c r="H3275" s="17"/>
    </row>
    <row r="3276" spans="2:8" s="16" customFormat="1" ht="16.899999999999999" customHeight="1" x14ac:dyDescent="0.2">
      <c r="B3276" s="17"/>
      <c r="C3276" s="83"/>
      <c r="D3276" s="83" t="s">
        <v>5979</v>
      </c>
      <c r="E3276" s="2"/>
      <c r="F3276" s="200">
        <v>13.28</v>
      </c>
      <c r="H3276" s="17"/>
    </row>
    <row r="3277" spans="2:8" s="16" customFormat="1" ht="16.899999999999999" customHeight="1" x14ac:dyDescent="0.2">
      <c r="B3277" s="17"/>
      <c r="C3277" s="83"/>
      <c r="D3277" s="83" t="s">
        <v>5980</v>
      </c>
      <c r="E3277" s="2"/>
      <c r="F3277" s="200">
        <v>15.6</v>
      </c>
      <c r="H3277" s="17"/>
    </row>
    <row r="3278" spans="2:8" s="16" customFormat="1" ht="16.899999999999999" customHeight="1" x14ac:dyDescent="0.2">
      <c r="B3278" s="17"/>
      <c r="C3278" s="83" t="s">
        <v>5163</v>
      </c>
      <c r="D3278" s="83" t="s">
        <v>609</v>
      </c>
      <c r="E3278" s="2"/>
      <c r="F3278" s="200">
        <v>1697.96</v>
      </c>
      <c r="H3278" s="17"/>
    </row>
    <row r="3279" spans="2:8" s="16" customFormat="1" ht="16.899999999999999" customHeight="1" x14ac:dyDescent="0.2">
      <c r="B3279" s="17"/>
      <c r="C3279" s="201" t="s">
        <v>8859</v>
      </c>
      <c r="H3279" s="17"/>
    </row>
    <row r="3280" spans="2:8" s="16" customFormat="1" ht="16.899999999999999" customHeight="1" x14ac:dyDescent="0.2">
      <c r="B3280" s="17"/>
      <c r="C3280" s="83" t="s">
        <v>5851</v>
      </c>
      <c r="D3280" s="83" t="s">
        <v>5852</v>
      </c>
      <c r="E3280" s="2" t="s">
        <v>425</v>
      </c>
      <c r="F3280" s="200">
        <v>1947.42</v>
      </c>
      <c r="H3280" s="17"/>
    </row>
    <row r="3281" spans="2:8" s="16" customFormat="1" ht="16.899999999999999" customHeight="1" x14ac:dyDescent="0.2">
      <c r="B3281" s="17"/>
      <c r="C3281" s="83" t="s">
        <v>5736</v>
      </c>
      <c r="D3281" s="83" t="s">
        <v>5737</v>
      </c>
      <c r="E3281" s="2" t="s">
        <v>425</v>
      </c>
      <c r="F3281" s="200">
        <v>121.54</v>
      </c>
      <c r="H3281" s="17"/>
    </row>
    <row r="3282" spans="2:8" s="16" customFormat="1" ht="16.899999999999999" customHeight="1" x14ac:dyDescent="0.2">
      <c r="B3282" s="17"/>
      <c r="C3282" s="83" t="s">
        <v>5322</v>
      </c>
      <c r="D3282" s="83" t="s">
        <v>5323</v>
      </c>
      <c r="E3282" s="2" t="s">
        <v>342</v>
      </c>
      <c r="F3282" s="200">
        <v>110.06699999999999</v>
      </c>
      <c r="H3282" s="17"/>
    </row>
    <row r="3283" spans="2:8" s="16" customFormat="1" ht="16.899999999999999" customHeight="1" x14ac:dyDescent="0.2">
      <c r="B3283" s="17"/>
      <c r="C3283" s="83" t="s">
        <v>5330</v>
      </c>
      <c r="D3283" s="83" t="s">
        <v>5331</v>
      </c>
      <c r="E3283" s="2" t="s">
        <v>425</v>
      </c>
      <c r="F3283" s="200">
        <v>4158.29</v>
      </c>
      <c r="H3283" s="17"/>
    </row>
    <row r="3284" spans="2:8" s="16" customFormat="1" ht="16.899999999999999" customHeight="1" x14ac:dyDescent="0.2">
      <c r="B3284" s="17"/>
      <c r="C3284" s="83" t="s">
        <v>5440</v>
      </c>
      <c r="D3284" s="83" t="s">
        <v>5441</v>
      </c>
      <c r="E3284" s="2" t="s">
        <v>425</v>
      </c>
      <c r="F3284" s="200">
        <v>3313.86</v>
      </c>
      <c r="H3284" s="17"/>
    </row>
    <row r="3285" spans="2:8" s="16" customFormat="1" ht="16.899999999999999" customHeight="1" x14ac:dyDescent="0.2">
      <c r="B3285" s="17"/>
      <c r="C3285" s="196" t="s">
        <v>5178</v>
      </c>
      <c r="D3285" s="197"/>
      <c r="E3285" s="198"/>
      <c r="F3285" s="199">
        <v>178.69</v>
      </c>
      <c r="H3285" s="17"/>
    </row>
    <row r="3286" spans="2:8" s="16" customFormat="1" ht="16.899999999999999" customHeight="1" x14ac:dyDescent="0.2">
      <c r="B3286" s="17"/>
      <c r="C3286" s="83"/>
      <c r="D3286" s="83" t="s">
        <v>885</v>
      </c>
      <c r="E3286" s="2"/>
      <c r="F3286" s="200">
        <v>0</v>
      </c>
      <c r="H3286" s="17"/>
    </row>
    <row r="3287" spans="2:8" s="16" customFormat="1" ht="16.899999999999999" customHeight="1" x14ac:dyDescent="0.2">
      <c r="B3287" s="17"/>
      <c r="C3287" s="83"/>
      <c r="D3287" s="83" t="s">
        <v>5845</v>
      </c>
      <c r="E3287" s="2"/>
      <c r="F3287" s="200">
        <v>54.31</v>
      </c>
      <c r="H3287" s="17"/>
    </row>
    <row r="3288" spans="2:8" s="16" customFormat="1" ht="16.899999999999999" customHeight="1" x14ac:dyDescent="0.2">
      <c r="B3288" s="17"/>
      <c r="C3288" s="83"/>
      <c r="D3288" s="83" t="s">
        <v>5846</v>
      </c>
      <c r="E3288" s="2"/>
      <c r="F3288" s="200">
        <v>27.3</v>
      </c>
      <c r="H3288" s="17"/>
    </row>
    <row r="3289" spans="2:8" s="16" customFormat="1" ht="16.899999999999999" customHeight="1" x14ac:dyDescent="0.2">
      <c r="B3289" s="17"/>
      <c r="C3289" s="83"/>
      <c r="D3289" s="83" t="s">
        <v>5847</v>
      </c>
      <c r="E3289" s="2"/>
      <c r="F3289" s="200">
        <v>22.73</v>
      </c>
      <c r="H3289" s="17"/>
    </row>
    <row r="3290" spans="2:8" s="16" customFormat="1" ht="16.899999999999999" customHeight="1" x14ac:dyDescent="0.2">
      <c r="B3290" s="17"/>
      <c r="C3290" s="83"/>
      <c r="D3290" s="83" t="s">
        <v>5848</v>
      </c>
      <c r="E3290" s="2"/>
      <c r="F3290" s="200">
        <v>19.91</v>
      </c>
      <c r="H3290" s="17"/>
    </row>
    <row r="3291" spans="2:8" s="16" customFormat="1" ht="16.899999999999999" customHeight="1" x14ac:dyDescent="0.2">
      <c r="B3291" s="17"/>
      <c r="C3291" s="83"/>
      <c r="D3291" s="83" t="s">
        <v>5849</v>
      </c>
      <c r="E3291" s="2"/>
      <c r="F3291" s="200">
        <v>13.4</v>
      </c>
      <c r="H3291" s="17"/>
    </row>
    <row r="3292" spans="2:8" s="16" customFormat="1" ht="16.899999999999999" customHeight="1" x14ac:dyDescent="0.2">
      <c r="B3292" s="17"/>
      <c r="C3292" s="83"/>
      <c r="D3292" s="83" t="s">
        <v>5850</v>
      </c>
      <c r="E3292" s="2"/>
      <c r="F3292" s="200">
        <v>41.04</v>
      </c>
      <c r="H3292" s="17"/>
    </row>
    <row r="3293" spans="2:8" s="16" customFormat="1" ht="16.899999999999999" customHeight="1" x14ac:dyDescent="0.2">
      <c r="B3293" s="17"/>
      <c r="C3293" s="83" t="s">
        <v>5178</v>
      </c>
      <c r="D3293" s="83" t="s">
        <v>609</v>
      </c>
      <c r="E3293" s="2"/>
      <c r="F3293" s="200">
        <v>178.69</v>
      </c>
      <c r="H3293" s="17"/>
    </row>
    <row r="3294" spans="2:8" s="16" customFormat="1" ht="16.899999999999999" customHeight="1" x14ac:dyDescent="0.2">
      <c r="B3294" s="17"/>
      <c r="C3294" s="201" t="s">
        <v>8859</v>
      </c>
      <c r="H3294" s="17"/>
    </row>
    <row r="3295" spans="2:8" s="16" customFormat="1" ht="16.899999999999999" customHeight="1" x14ac:dyDescent="0.2">
      <c r="B3295" s="17"/>
      <c r="C3295" s="83" t="s">
        <v>5842</v>
      </c>
      <c r="D3295" s="83" t="s">
        <v>5843</v>
      </c>
      <c r="E3295" s="2" t="s">
        <v>425</v>
      </c>
      <c r="F3295" s="200">
        <v>178.69</v>
      </c>
      <c r="H3295" s="17"/>
    </row>
    <row r="3296" spans="2:8" s="16" customFormat="1" ht="16.899999999999999" customHeight="1" x14ac:dyDescent="0.2">
      <c r="B3296" s="17"/>
      <c r="C3296" s="83" t="s">
        <v>5736</v>
      </c>
      <c r="D3296" s="83" t="s">
        <v>5737</v>
      </c>
      <c r="E3296" s="2" t="s">
        <v>425</v>
      </c>
      <c r="F3296" s="200">
        <v>121.54</v>
      </c>
      <c r="H3296" s="17"/>
    </row>
    <row r="3297" spans="2:8" s="16" customFormat="1" ht="16.899999999999999" customHeight="1" x14ac:dyDescent="0.2">
      <c r="B3297" s="17"/>
      <c r="C3297" s="83" t="s">
        <v>5330</v>
      </c>
      <c r="D3297" s="83" t="s">
        <v>5331</v>
      </c>
      <c r="E3297" s="2" t="s">
        <v>425</v>
      </c>
      <c r="F3297" s="200">
        <v>4158.29</v>
      </c>
      <c r="H3297" s="17"/>
    </row>
    <row r="3298" spans="2:8" s="16" customFormat="1" ht="16.899999999999999" customHeight="1" x14ac:dyDescent="0.2">
      <c r="B3298" s="17"/>
      <c r="C3298" s="83" t="s">
        <v>5440</v>
      </c>
      <c r="D3298" s="83" t="s">
        <v>5441</v>
      </c>
      <c r="E3298" s="2" t="s">
        <v>425</v>
      </c>
      <c r="F3298" s="200">
        <v>3313.86</v>
      </c>
      <c r="H3298" s="17"/>
    </row>
    <row r="3299" spans="2:8" s="16" customFormat="1" ht="16.899999999999999" customHeight="1" x14ac:dyDescent="0.2">
      <c r="B3299" s="17"/>
      <c r="C3299" s="196" t="s">
        <v>5180</v>
      </c>
      <c r="D3299" s="197"/>
      <c r="E3299" s="198"/>
      <c r="F3299" s="199">
        <v>121.54</v>
      </c>
      <c r="H3299" s="17"/>
    </row>
    <row r="3300" spans="2:8" s="16" customFormat="1" ht="16.899999999999999" customHeight="1" x14ac:dyDescent="0.2">
      <c r="B3300" s="17"/>
      <c r="C3300" s="83"/>
      <c r="D3300" s="83"/>
      <c r="E3300" s="2"/>
      <c r="F3300" s="200">
        <v>0</v>
      </c>
      <c r="H3300" s="17"/>
    </row>
    <row r="3301" spans="2:8" s="16" customFormat="1" ht="16.899999999999999" customHeight="1" x14ac:dyDescent="0.2">
      <c r="B3301" s="17"/>
      <c r="C3301" s="83"/>
      <c r="D3301" s="83" t="s">
        <v>5981</v>
      </c>
      <c r="E3301" s="2"/>
      <c r="F3301" s="200">
        <v>0</v>
      </c>
      <c r="H3301" s="17"/>
    </row>
    <row r="3302" spans="2:8" s="16" customFormat="1" ht="16.899999999999999" customHeight="1" x14ac:dyDescent="0.2">
      <c r="B3302" s="17"/>
      <c r="C3302" s="83"/>
      <c r="D3302" s="83" t="s">
        <v>5982</v>
      </c>
      <c r="E3302" s="2"/>
      <c r="F3302" s="200">
        <v>3.84</v>
      </c>
      <c r="H3302" s="17"/>
    </row>
    <row r="3303" spans="2:8" s="16" customFormat="1" ht="16.899999999999999" customHeight="1" x14ac:dyDescent="0.2">
      <c r="B3303" s="17"/>
      <c r="C3303" s="83"/>
      <c r="D3303" s="83" t="s">
        <v>5983</v>
      </c>
      <c r="E3303" s="2"/>
      <c r="F3303" s="200">
        <v>5</v>
      </c>
      <c r="H3303" s="17"/>
    </row>
    <row r="3304" spans="2:8" s="16" customFormat="1" ht="16.899999999999999" customHeight="1" x14ac:dyDescent="0.2">
      <c r="B3304" s="17"/>
      <c r="C3304" s="83"/>
      <c r="D3304" s="83" t="s">
        <v>5984</v>
      </c>
      <c r="E3304" s="2"/>
      <c r="F3304" s="200">
        <v>3.84</v>
      </c>
      <c r="H3304" s="17"/>
    </row>
    <row r="3305" spans="2:8" s="16" customFormat="1" ht="16.899999999999999" customHeight="1" x14ac:dyDescent="0.2">
      <c r="B3305" s="17"/>
      <c r="C3305" s="83"/>
      <c r="D3305" s="83" t="s">
        <v>5985</v>
      </c>
      <c r="E3305" s="2"/>
      <c r="F3305" s="200">
        <v>14.48</v>
      </c>
      <c r="H3305" s="17"/>
    </row>
    <row r="3306" spans="2:8" s="16" customFormat="1" ht="16.899999999999999" customHeight="1" x14ac:dyDescent="0.2">
      <c r="B3306" s="17"/>
      <c r="C3306" s="83"/>
      <c r="D3306" s="83" t="s">
        <v>5986</v>
      </c>
      <c r="E3306" s="2"/>
      <c r="F3306" s="200">
        <v>86.7</v>
      </c>
      <c r="H3306" s="17"/>
    </row>
    <row r="3307" spans="2:8" s="16" customFormat="1" ht="16.899999999999999" customHeight="1" x14ac:dyDescent="0.2">
      <c r="B3307" s="17"/>
      <c r="C3307" s="83"/>
      <c r="D3307" s="83" t="s">
        <v>5987</v>
      </c>
      <c r="E3307" s="2"/>
      <c r="F3307" s="200">
        <v>3.84</v>
      </c>
      <c r="H3307" s="17"/>
    </row>
    <row r="3308" spans="2:8" s="16" customFormat="1" ht="16.899999999999999" customHeight="1" x14ac:dyDescent="0.2">
      <c r="B3308" s="17"/>
      <c r="C3308" s="83"/>
      <c r="D3308" s="83" t="s">
        <v>5988</v>
      </c>
      <c r="E3308" s="2"/>
      <c r="F3308" s="200">
        <v>3.84</v>
      </c>
      <c r="H3308" s="17"/>
    </row>
    <row r="3309" spans="2:8" s="16" customFormat="1" ht="16.899999999999999" customHeight="1" x14ac:dyDescent="0.2">
      <c r="B3309" s="17"/>
      <c r="C3309" s="83" t="s">
        <v>5180</v>
      </c>
      <c r="D3309" s="83" t="s">
        <v>609</v>
      </c>
      <c r="E3309" s="2"/>
      <c r="F3309" s="200">
        <v>121.54</v>
      </c>
      <c r="H3309" s="17"/>
    </row>
    <row r="3310" spans="2:8" s="16" customFormat="1" ht="16.899999999999999" customHeight="1" x14ac:dyDescent="0.2">
      <c r="B3310" s="17"/>
      <c r="C3310" s="201" t="s">
        <v>8859</v>
      </c>
      <c r="H3310" s="17"/>
    </row>
    <row r="3311" spans="2:8" s="16" customFormat="1" ht="16.899999999999999" customHeight="1" x14ac:dyDescent="0.2">
      <c r="B3311" s="17"/>
      <c r="C3311" s="83" t="s">
        <v>5851</v>
      </c>
      <c r="D3311" s="83" t="s">
        <v>5852</v>
      </c>
      <c r="E3311" s="2" t="s">
        <v>425</v>
      </c>
      <c r="F3311" s="200">
        <v>1947.42</v>
      </c>
      <c r="H3311" s="17"/>
    </row>
    <row r="3312" spans="2:8" s="16" customFormat="1" ht="16.899999999999999" customHeight="1" x14ac:dyDescent="0.2">
      <c r="B3312" s="17"/>
      <c r="C3312" s="83" t="s">
        <v>5736</v>
      </c>
      <c r="D3312" s="83" t="s">
        <v>5737</v>
      </c>
      <c r="E3312" s="2" t="s">
        <v>425</v>
      </c>
      <c r="F3312" s="200">
        <v>121.54</v>
      </c>
      <c r="H3312" s="17"/>
    </row>
    <row r="3313" spans="2:8" s="16" customFormat="1" ht="16.899999999999999" customHeight="1" x14ac:dyDescent="0.2">
      <c r="B3313" s="17"/>
      <c r="C3313" s="83" t="s">
        <v>5330</v>
      </c>
      <c r="D3313" s="83" t="s">
        <v>5331</v>
      </c>
      <c r="E3313" s="2" t="s">
        <v>425</v>
      </c>
      <c r="F3313" s="200">
        <v>4158.29</v>
      </c>
      <c r="H3313" s="17"/>
    </row>
    <row r="3314" spans="2:8" s="16" customFormat="1" ht="16.899999999999999" customHeight="1" x14ac:dyDescent="0.2">
      <c r="B3314" s="17"/>
      <c r="C3314" s="83" t="s">
        <v>5440</v>
      </c>
      <c r="D3314" s="83" t="s">
        <v>5441</v>
      </c>
      <c r="E3314" s="2" t="s">
        <v>425</v>
      </c>
      <c r="F3314" s="200">
        <v>3313.86</v>
      </c>
      <c r="H3314" s="17"/>
    </row>
    <row r="3315" spans="2:8" s="16" customFormat="1" ht="16.899999999999999" customHeight="1" x14ac:dyDescent="0.2">
      <c r="B3315" s="17"/>
      <c r="C3315" s="196" t="s">
        <v>5165</v>
      </c>
      <c r="D3315" s="197"/>
      <c r="E3315" s="198"/>
      <c r="F3315" s="199">
        <v>202.55</v>
      </c>
      <c r="H3315" s="17"/>
    </row>
    <row r="3316" spans="2:8" s="16" customFormat="1" ht="16.899999999999999" customHeight="1" x14ac:dyDescent="0.2">
      <c r="B3316" s="17"/>
      <c r="C3316" s="83"/>
      <c r="D3316" s="83" t="s">
        <v>5354</v>
      </c>
      <c r="E3316" s="2"/>
      <c r="F3316" s="200">
        <v>0</v>
      </c>
      <c r="H3316" s="17"/>
    </row>
    <row r="3317" spans="2:8" s="16" customFormat="1" ht="16.899999999999999" customHeight="1" x14ac:dyDescent="0.2">
      <c r="B3317" s="17"/>
      <c r="C3317" s="83"/>
      <c r="D3317" s="83" t="s">
        <v>5355</v>
      </c>
      <c r="E3317" s="2"/>
      <c r="F3317" s="200">
        <v>3.44</v>
      </c>
      <c r="H3317" s="17"/>
    </row>
    <row r="3318" spans="2:8" s="16" customFormat="1" ht="16.899999999999999" customHeight="1" x14ac:dyDescent="0.2">
      <c r="B3318" s="17"/>
      <c r="C3318" s="83"/>
      <c r="D3318" s="83" t="s">
        <v>5356</v>
      </c>
      <c r="E3318" s="2"/>
      <c r="F3318" s="200">
        <v>7.23</v>
      </c>
      <c r="H3318" s="17"/>
    </row>
    <row r="3319" spans="2:8" s="16" customFormat="1" ht="16.899999999999999" customHeight="1" x14ac:dyDescent="0.2">
      <c r="B3319" s="17"/>
      <c r="C3319" s="83"/>
      <c r="D3319" s="83" t="s">
        <v>5357</v>
      </c>
      <c r="E3319" s="2"/>
      <c r="F3319" s="200">
        <v>10.66</v>
      </c>
      <c r="H3319" s="17"/>
    </row>
    <row r="3320" spans="2:8" s="16" customFormat="1" ht="16.899999999999999" customHeight="1" x14ac:dyDescent="0.2">
      <c r="B3320" s="17"/>
      <c r="C3320" s="83"/>
      <c r="D3320" s="83" t="s">
        <v>5358</v>
      </c>
      <c r="E3320" s="2"/>
      <c r="F3320" s="200">
        <v>2.0299999999999998</v>
      </c>
      <c r="H3320" s="17"/>
    </row>
    <row r="3321" spans="2:8" s="16" customFormat="1" ht="16.899999999999999" customHeight="1" x14ac:dyDescent="0.2">
      <c r="B3321" s="17"/>
      <c r="C3321" s="83"/>
      <c r="D3321" s="83" t="s">
        <v>5359</v>
      </c>
      <c r="E3321" s="2"/>
      <c r="F3321" s="200">
        <v>1.26</v>
      </c>
      <c r="H3321" s="17"/>
    </row>
    <row r="3322" spans="2:8" s="16" customFormat="1" ht="16.899999999999999" customHeight="1" x14ac:dyDescent="0.2">
      <c r="B3322" s="17"/>
      <c r="C3322" s="83"/>
      <c r="D3322" s="83" t="s">
        <v>5360</v>
      </c>
      <c r="E3322" s="2"/>
      <c r="F3322" s="200">
        <v>1.26</v>
      </c>
      <c r="H3322" s="17"/>
    </row>
    <row r="3323" spans="2:8" s="16" customFormat="1" ht="16.899999999999999" customHeight="1" x14ac:dyDescent="0.2">
      <c r="B3323" s="17"/>
      <c r="C3323" s="83"/>
      <c r="D3323" s="83" t="s">
        <v>5361</v>
      </c>
      <c r="E3323" s="2"/>
      <c r="F3323" s="200">
        <v>3.65</v>
      </c>
      <c r="H3323" s="17"/>
    </row>
    <row r="3324" spans="2:8" s="16" customFormat="1" ht="16.899999999999999" customHeight="1" x14ac:dyDescent="0.2">
      <c r="B3324" s="17"/>
      <c r="C3324" s="83"/>
      <c r="D3324" s="83" t="s">
        <v>5362</v>
      </c>
      <c r="E3324" s="2"/>
      <c r="F3324" s="200">
        <v>6.79</v>
      </c>
      <c r="H3324" s="17"/>
    </row>
    <row r="3325" spans="2:8" s="16" customFormat="1" ht="16.899999999999999" customHeight="1" x14ac:dyDescent="0.2">
      <c r="B3325" s="17"/>
      <c r="C3325" s="83"/>
      <c r="D3325" s="83" t="s">
        <v>5363</v>
      </c>
      <c r="E3325" s="2"/>
      <c r="F3325" s="200">
        <v>9.06</v>
      </c>
      <c r="H3325" s="17"/>
    </row>
    <row r="3326" spans="2:8" s="16" customFormat="1" ht="16.899999999999999" customHeight="1" x14ac:dyDescent="0.2">
      <c r="B3326" s="17"/>
      <c r="C3326" s="83"/>
      <c r="D3326" s="83" t="s">
        <v>5364</v>
      </c>
      <c r="E3326" s="2"/>
      <c r="F3326" s="200">
        <v>0.81</v>
      </c>
      <c r="H3326" s="17"/>
    </row>
    <row r="3327" spans="2:8" s="16" customFormat="1" ht="16.899999999999999" customHeight="1" x14ac:dyDescent="0.2">
      <c r="B3327" s="17"/>
      <c r="C3327" s="83"/>
      <c r="D3327" s="83" t="s">
        <v>5365</v>
      </c>
      <c r="E3327" s="2"/>
      <c r="F3327" s="200">
        <v>1.24</v>
      </c>
      <c r="H3327" s="17"/>
    </row>
    <row r="3328" spans="2:8" s="16" customFormat="1" ht="16.899999999999999" customHeight="1" x14ac:dyDescent="0.2">
      <c r="B3328" s="17"/>
      <c r="C3328" s="83"/>
      <c r="D3328" s="83" t="s">
        <v>5366</v>
      </c>
      <c r="E3328" s="2"/>
      <c r="F3328" s="200">
        <v>2.17</v>
      </c>
      <c r="H3328" s="17"/>
    </row>
    <row r="3329" spans="2:8" s="16" customFormat="1" ht="16.899999999999999" customHeight="1" x14ac:dyDescent="0.2">
      <c r="B3329" s="17"/>
      <c r="C3329" s="83"/>
      <c r="D3329" s="83" t="s">
        <v>5367</v>
      </c>
      <c r="E3329" s="2"/>
      <c r="F3329" s="200">
        <v>1.73</v>
      </c>
      <c r="H3329" s="17"/>
    </row>
    <row r="3330" spans="2:8" s="16" customFormat="1" ht="16.899999999999999" customHeight="1" x14ac:dyDescent="0.2">
      <c r="B3330" s="17"/>
      <c r="C3330" s="83"/>
      <c r="D3330" s="83" t="s">
        <v>5368</v>
      </c>
      <c r="E3330" s="2"/>
      <c r="F3330" s="200">
        <v>8.51</v>
      </c>
      <c r="H3330" s="17"/>
    </row>
    <row r="3331" spans="2:8" s="16" customFormat="1" ht="16.899999999999999" customHeight="1" x14ac:dyDescent="0.2">
      <c r="B3331" s="17"/>
      <c r="C3331" s="83"/>
      <c r="D3331" s="83" t="s">
        <v>5369</v>
      </c>
      <c r="E3331" s="2"/>
      <c r="F3331" s="200">
        <v>2.23</v>
      </c>
      <c r="H3331" s="17"/>
    </row>
    <row r="3332" spans="2:8" s="16" customFormat="1" ht="16.899999999999999" customHeight="1" x14ac:dyDescent="0.2">
      <c r="B3332" s="17"/>
      <c r="C3332" s="83"/>
      <c r="D3332" s="83" t="s">
        <v>5370</v>
      </c>
      <c r="E3332" s="2"/>
      <c r="F3332" s="200">
        <v>1.31</v>
      </c>
      <c r="H3332" s="17"/>
    </row>
    <row r="3333" spans="2:8" s="16" customFormat="1" ht="16.899999999999999" customHeight="1" x14ac:dyDescent="0.2">
      <c r="B3333" s="17"/>
      <c r="C3333" s="83"/>
      <c r="D3333" s="83" t="s">
        <v>5371</v>
      </c>
      <c r="E3333" s="2"/>
      <c r="F3333" s="200">
        <v>1.26</v>
      </c>
      <c r="H3333" s="17"/>
    </row>
    <row r="3334" spans="2:8" s="16" customFormat="1" ht="16.899999999999999" customHeight="1" x14ac:dyDescent="0.2">
      <c r="B3334" s="17"/>
      <c r="C3334" s="83"/>
      <c r="D3334" s="83" t="s">
        <v>5372</v>
      </c>
      <c r="E3334" s="2"/>
      <c r="F3334" s="200">
        <v>1.26</v>
      </c>
      <c r="H3334" s="17"/>
    </row>
    <row r="3335" spans="2:8" s="16" customFormat="1" ht="16.899999999999999" customHeight="1" x14ac:dyDescent="0.2">
      <c r="B3335" s="17"/>
      <c r="C3335" s="83"/>
      <c r="D3335" s="83" t="s">
        <v>5373</v>
      </c>
      <c r="E3335" s="2"/>
      <c r="F3335" s="200">
        <v>0.99</v>
      </c>
      <c r="H3335" s="17"/>
    </row>
    <row r="3336" spans="2:8" s="16" customFormat="1" ht="16.899999999999999" customHeight="1" x14ac:dyDescent="0.2">
      <c r="B3336" s="17"/>
      <c r="C3336" s="83"/>
      <c r="D3336" s="83" t="s">
        <v>5374</v>
      </c>
      <c r="E3336" s="2"/>
      <c r="F3336" s="200">
        <v>2.0699999999999998</v>
      </c>
      <c r="H3336" s="17"/>
    </row>
    <row r="3337" spans="2:8" s="16" customFormat="1" ht="16.899999999999999" customHeight="1" x14ac:dyDescent="0.2">
      <c r="B3337" s="17"/>
      <c r="C3337" s="83"/>
      <c r="D3337" s="83" t="s">
        <v>5375</v>
      </c>
      <c r="E3337" s="2"/>
      <c r="F3337" s="200">
        <v>1.33</v>
      </c>
      <c r="H3337" s="17"/>
    </row>
    <row r="3338" spans="2:8" s="16" customFormat="1" ht="16.899999999999999" customHeight="1" x14ac:dyDescent="0.2">
      <c r="B3338" s="17"/>
      <c r="C3338" s="83"/>
      <c r="D3338" s="83" t="s">
        <v>5376</v>
      </c>
      <c r="E3338" s="2"/>
      <c r="F3338" s="200">
        <v>7.82</v>
      </c>
      <c r="H3338" s="17"/>
    </row>
    <row r="3339" spans="2:8" s="16" customFormat="1" ht="16.899999999999999" customHeight="1" x14ac:dyDescent="0.2">
      <c r="B3339" s="17"/>
      <c r="C3339" s="83"/>
      <c r="D3339" s="83" t="s">
        <v>5377</v>
      </c>
      <c r="E3339" s="2"/>
      <c r="F3339" s="200">
        <v>2.02</v>
      </c>
      <c r="H3339" s="17"/>
    </row>
    <row r="3340" spans="2:8" s="16" customFormat="1" ht="16.899999999999999" customHeight="1" x14ac:dyDescent="0.2">
      <c r="B3340" s="17"/>
      <c r="C3340" s="83"/>
      <c r="D3340" s="83" t="s">
        <v>5378</v>
      </c>
      <c r="E3340" s="2"/>
      <c r="F3340" s="200">
        <v>1.67</v>
      </c>
      <c r="H3340" s="17"/>
    </row>
    <row r="3341" spans="2:8" s="16" customFormat="1" ht="16.899999999999999" customHeight="1" x14ac:dyDescent="0.2">
      <c r="B3341" s="17"/>
      <c r="C3341" s="83"/>
      <c r="D3341" s="83" t="s">
        <v>5379</v>
      </c>
      <c r="E3341" s="2"/>
      <c r="F3341" s="200">
        <v>1.5</v>
      </c>
      <c r="H3341" s="17"/>
    </row>
    <row r="3342" spans="2:8" s="16" customFormat="1" ht="16.899999999999999" customHeight="1" x14ac:dyDescent="0.2">
      <c r="B3342" s="17"/>
      <c r="C3342" s="83"/>
      <c r="D3342" s="83" t="s">
        <v>5380</v>
      </c>
      <c r="E3342" s="2"/>
      <c r="F3342" s="200">
        <v>1.37</v>
      </c>
      <c r="H3342" s="17"/>
    </row>
    <row r="3343" spans="2:8" s="16" customFormat="1" ht="16.899999999999999" customHeight="1" x14ac:dyDescent="0.2">
      <c r="B3343" s="17"/>
      <c r="C3343" s="83"/>
      <c r="D3343" s="83" t="s">
        <v>5381</v>
      </c>
      <c r="E3343" s="2"/>
      <c r="F3343" s="200">
        <v>1.1299999999999999</v>
      </c>
      <c r="H3343" s="17"/>
    </row>
    <row r="3344" spans="2:8" s="16" customFormat="1" ht="16.899999999999999" customHeight="1" x14ac:dyDescent="0.2">
      <c r="B3344" s="17"/>
      <c r="C3344" s="83"/>
      <c r="D3344" s="83" t="s">
        <v>5382</v>
      </c>
      <c r="E3344" s="2"/>
      <c r="F3344" s="200">
        <v>1.25</v>
      </c>
      <c r="H3344" s="17"/>
    </row>
    <row r="3345" spans="2:8" s="16" customFormat="1" ht="16.899999999999999" customHeight="1" x14ac:dyDescent="0.2">
      <c r="B3345" s="17"/>
      <c r="C3345" s="83"/>
      <c r="D3345" s="83" t="s">
        <v>5383</v>
      </c>
      <c r="E3345" s="2"/>
      <c r="F3345" s="200">
        <v>8.51</v>
      </c>
      <c r="H3345" s="17"/>
    </row>
    <row r="3346" spans="2:8" s="16" customFormat="1" ht="16.899999999999999" customHeight="1" x14ac:dyDescent="0.2">
      <c r="B3346" s="17"/>
      <c r="C3346" s="83"/>
      <c r="D3346" s="83" t="s">
        <v>5384</v>
      </c>
      <c r="E3346" s="2"/>
      <c r="F3346" s="200">
        <v>0.99</v>
      </c>
      <c r="H3346" s="17"/>
    </row>
    <row r="3347" spans="2:8" s="16" customFormat="1" ht="16.899999999999999" customHeight="1" x14ac:dyDescent="0.2">
      <c r="B3347" s="17"/>
      <c r="C3347" s="83"/>
      <c r="D3347" s="83" t="s">
        <v>5385</v>
      </c>
      <c r="E3347" s="2"/>
      <c r="F3347" s="200">
        <v>2.23</v>
      </c>
      <c r="H3347" s="17"/>
    </row>
    <row r="3348" spans="2:8" s="16" customFormat="1" ht="16.899999999999999" customHeight="1" x14ac:dyDescent="0.2">
      <c r="B3348" s="17"/>
      <c r="C3348" s="83"/>
      <c r="D3348" s="83" t="s">
        <v>5386</v>
      </c>
      <c r="E3348" s="2"/>
      <c r="F3348" s="200">
        <v>1.31</v>
      </c>
      <c r="H3348" s="17"/>
    </row>
    <row r="3349" spans="2:8" s="16" customFormat="1" ht="16.899999999999999" customHeight="1" x14ac:dyDescent="0.2">
      <c r="B3349" s="17"/>
      <c r="C3349" s="83"/>
      <c r="D3349" s="83" t="s">
        <v>5387</v>
      </c>
      <c r="E3349" s="2"/>
      <c r="F3349" s="200">
        <v>1.26</v>
      </c>
      <c r="H3349" s="17"/>
    </row>
    <row r="3350" spans="2:8" s="16" customFormat="1" ht="16.899999999999999" customHeight="1" x14ac:dyDescent="0.2">
      <c r="B3350" s="17"/>
      <c r="C3350" s="83"/>
      <c r="D3350" s="83" t="s">
        <v>5388</v>
      </c>
      <c r="E3350" s="2"/>
      <c r="F3350" s="200">
        <v>1.26</v>
      </c>
      <c r="H3350" s="17"/>
    </row>
    <row r="3351" spans="2:8" s="16" customFormat="1" ht="16.899999999999999" customHeight="1" x14ac:dyDescent="0.2">
      <c r="B3351" s="17"/>
      <c r="C3351" s="83"/>
      <c r="D3351" s="83" t="s">
        <v>5389</v>
      </c>
      <c r="E3351" s="2"/>
      <c r="F3351" s="200">
        <v>5</v>
      </c>
      <c r="H3351" s="17"/>
    </row>
    <row r="3352" spans="2:8" s="16" customFormat="1" ht="16.899999999999999" customHeight="1" x14ac:dyDescent="0.2">
      <c r="B3352" s="17"/>
      <c r="C3352" s="83"/>
      <c r="D3352" s="83" t="s">
        <v>5390</v>
      </c>
      <c r="E3352" s="2"/>
      <c r="F3352" s="200">
        <v>2.0699999999999998</v>
      </c>
      <c r="H3352" s="17"/>
    </row>
    <row r="3353" spans="2:8" s="16" customFormat="1" ht="16.899999999999999" customHeight="1" x14ac:dyDescent="0.2">
      <c r="B3353" s="17"/>
      <c r="C3353" s="83"/>
      <c r="D3353" s="83" t="s">
        <v>5391</v>
      </c>
      <c r="E3353" s="2"/>
      <c r="F3353" s="200">
        <v>1.33</v>
      </c>
      <c r="H3353" s="17"/>
    </row>
    <row r="3354" spans="2:8" s="16" customFormat="1" ht="16.899999999999999" customHeight="1" x14ac:dyDescent="0.2">
      <c r="B3354" s="17"/>
      <c r="C3354" s="83"/>
      <c r="D3354" s="83" t="s">
        <v>5392</v>
      </c>
      <c r="E3354" s="2"/>
      <c r="F3354" s="200">
        <v>2.14</v>
      </c>
      <c r="H3354" s="17"/>
    </row>
    <row r="3355" spans="2:8" s="16" customFormat="1" ht="16.899999999999999" customHeight="1" x14ac:dyDescent="0.2">
      <c r="B3355" s="17"/>
      <c r="C3355" s="83"/>
      <c r="D3355" s="83" t="s">
        <v>5393</v>
      </c>
      <c r="E3355" s="2"/>
      <c r="F3355" s="200">
        <v>1.62</v>
      </c>
      <c r="H3355" s="17"/>
    </row>
    <row r="3356" spans="2:8" s="16" customFormat="1" ht="16.899999999999999" customHeight="1" x14ac:dyDescent="0.2">
      <c r="B3356" s="17"/>
      <c r="C3356" s="83"/>
      <c r="D3356" s="83" t="s">
        <v>5394</v>
      </c>
      <c r="E3356" s="2"/>
      <c r="F3356" s="200">
        <v>7.82</v>
      </c>
      <c r="H3356" s="17"/>
    </row>
    <row r="3357" spans="2:8" s="16" customFormat="1" ht="16.899999999999999" customHeight="1" x14ac:dyDescent="0.2">
      <c r="B3357" s="17"/>
      <c r="C3357" s="83"/>
      <c r="D3357" s="83" t="s">
        <v>5395</v>
      </c>
      <c r="E3357" s="2"/>
      <c r="F3357" s="200">
        <v>1.96</v>
      </c>
      <c r="H3357" s="17"/>
    </row>
    <row r="3358" spans="2:8" s="16" customFormat="1" ht="16.899999999999999" customHeight="1" x14ac:dyDescent="0.2">
      <c r="B3358" s="17"/>
      <c r="C3358" s="83"/>
      <c r="D3358" s="83" t="s">
        <v>5396</v>
      </c>
      <c r="E3358" s="2"/>
      <c r="F3358" s="200">
        <v>1.85</v>
      </c>
      <c r="H3358" s="17"/>
    </row>
    <row r="3359" spans="2:8" s="16" customFormat="1" ht="16.899999999999999" customHeight="1" x14ac:dyDescent="0.2">
      <c r="B3359" s="17"/>
      <c r="C3359" s="83"/>
      <c r="D3359" s="83" t="s">
        <v>5397</v>
      </c>
      <c r="E3359" s="2"/>
      <c r="F3359" s="200">
        <v>3.14</v>
      </c>
      <c r="H3359" s="17"/>
    </row>
    <row r="3360" spans="2:8" s="16" customFormat="1" ht="16.899999999999999" customHeight="1" x14ac:dyDescent="0.2">
      <c r="B3360" s="17"/>
      <c r="C3360" s="83"/>
      <c r="D3360" s="83" t="s">
        <v>5398</v>
      </c>
      <c r="E3360" s="2"/>
      <c r="F3360" s="200">
        <v>1.4</v>
      </c>
      <c r="H3360" s="17"/>
    </row>
    <row r="3361" spans="2:8" s="16" customFormat="1" ht="16.899999999999999" customHeight="1" x14ac:dyDescent="0.2">
      <c r="B3361" s="17"/>
      <c r="C3361" s="83"/>
      <c r="D3361" s="83" t="s">
        <v>5399</v>
      </c>
      <c r="E3361" s="2"/>
      <c r="F3361" s="200">
        <v>8.51</v>
      </c>
      <c r="H3361" s="17"/>
    </row>
    <row r="3362" spans="2:8" s="16" customFormat="1" ht="16.899999999999999" customHeight="1" x14ac:dyDescent="0.2">
      <c r="B3362" s="17"/>
      <c r="C3362" s="83"/>
      <c r="D3362" s="83" t="s">
        <v>5400</v>
      </c>
      <c r="E3362" s="2"/>
      <c r="F3362" s="200">
        <v>2.23</v>
      </c>
      <c r="H3362" s="17"/>
    </row>
    <row r="3363" spans="2:8" s="16" customFormat="1" ht="16.899999999999999" customHeight="1" x14ac:dyDescent="0.2">
      <c r="B3363" s="17"/>
      <c r="C3363" s="83"/>
      <c r="D3363" s="83" t="s">
        <v>5401</v>
      </c>
      <c r="E3363" s="2"/>
      <c r="F3363" s="200">
        <v>1.31</v>
      </c>
      <c r="H3363" s="17"/>
    </row>
    <row r="3364" spans="2:8" s="16" customFormat="1" ht="16.899999999999999" customHeight="1" x14ac:dyDescent="0.2">
      <c r="B3364" s="17"/>
      <c r="C3364" s="83"/>
      <c r="D3364" s="83" t="s">
        <v>5402</v>
      </c>
      <c r="E3364" s="2"/>
      <c r="F3364" s="200">
        <v>1.26</v>
      </c>
      <c r="H3364" s="17"/>
    </row>
    <row r="3365" spans="2:8" s="16" customFormat="1" ht="16.899999999999999" customHeight="1" x14ac:dyDescent="0.2">
      <c r="B3365" s="17"/>
      <c r="C3365" s="83"/>
      <c r="D3365" s="83" t="s">
        <v>5403</v>
      </c>
      <c r="E3365" s="2"/>
      <c r="F3365" s="200">
        <v>1.26</v>
      </c>
      <c r="H3365" s="17"/>
    </row>
    <row r="3366" spans="2:8" s="16" customFormat="1" ht="16.899999999999999" customHeight="1" x14ac:dyDescent="0.2">
      <c r="B3366" s="17"/>
      <c r="C3366" s="83"/>
      <c r="D3366" s="83" t="s">
        <v>5404</v>
      </c>
      <c r="E3366" s="2"/>
      <c r="F3366" s="200">
        <v>5</v>
      </c>
      <c r="H3366" s="17"/>
    </row>
    <row r="3367" spans="2:8" s="16" customFormat="1" ht="16.899999999999999" customHeight="1" x14ac:dyDescent="0.2">
      <c r="B3367" s="17"/>
      <c r="C3367" s="83"/>
      <c r="D3367" s="83" t="s">
        <v>5405</v>
      </c>
      <c r="E3367" s="2"/>
      <c r="F3367" s="200">
        <v>0.99</v>
      </c>
      <c r="H3367" s="17"/>
    </row>
    <row r="3368" spans="2:8" s="16" customFormat="1" ht="16.899999999999999" customHeight="1" x14ac:dyDescent="0.2">
      <c r="B3368" s="17"/>
      <c r="C3368" s="83"/>
      <c r="D3368" s="83" t="s">
        <v>5406</v>
      </c>
      <c r="E3368" s="2"/>
      <c r="F3368" s="200">
        <v>2.0699999999999998</v>
      </c>
      <c r="H3368" s="17"/>
    </row>
    <row r="3369" spans="2:8" s="16" customFormat="1" ht="16.899999999999999" customHeight="1" x14ac:dyDescent="0.2">
      <c r="B3369" s="17"/>
      <c r="C3369" s="83"/>
      <c r="D3369" s="83" t="s">
        <v>5407</v>
      </c>
      <c r="E3369" s="2"/>
      <c r="F3369" s="200">
        <v>1.33</v>
      </c>
      <c r="H3369" s="17"/>
    </row>
    <row r="3370" spans="2:8" s="16" customFormat="1" ht="16.899999999999999" customHeight="1" x14ac:dyDescent="0.2">
      <c r="B3370" s="17"/>
      <c r="C3370" s="83"/>
      <c r="D3370" s="83" t="s">
        <v>5408</v>
      </c>
      <c r="E3370" s="2"/>
      <c r="F3370" s="200">
        <v>2.14</v>
      </c>
      <c r="H3370" s="17"/>
    </row>
    <row r="3371" spans="2:8" s="16" customFormat="1" ht="16.899999999999999" customHeight="1" x14ac:dyDescent="0.2">
      <c r="B3371" s="17"/>
      <c r="C3371" s="83"/>
      <c r="D3371" s="83" t="s">
        <v>5409</v>
      </c>
      <c r="E3371" s="2"/>
      <c r="F3371" s="200">
        <v>1.62</v>
      </c>
      <c r="H3371" s="17"/>
    </row>
    <row r="3372" spans="2:8" s="16" customFormat="1" ht="16.899999999999999" customHeight="1" x14ac:dyDescent="0.2">
      <c r="B3372" s="17"/>
      <c r="C3372" s="83"/>
      <c r="D3372" s="83" t="s">
        <v>5410</v>
      </c>
      <c r="E3372" s="2"/>
      <c r="F3372" s="200">
        <v>7.82</v>
      </c>
      <c r="H3372" s="17"/>
    </row>
    <row r="3373" spans="2:8" s="16" customFormat="1" ht="16.899999999999999" customHeight="1" x14ac:dyDescent="0.2">
      <c r="B3373" s="17"/>
      <c r="C3373" s="83"/>
      <c r="D3373" s="83" t="s">
        <v>5411</v>
      </c>
      <c r="E3373" s="2"/>
      <c r="F3373" s="200">
        <v>1.96</v>
      </c>
      <c r="H3373" s="17"/>
    </row>
    <row r="3374" spans="2:8" s="16" customFormat="1" ht="16.899999999999999" customHeight="1" x14ac:dyDescent="0.2">
      <c r="B3374" s="17"/>
      <c r="C3374" s="83"/>
      <c r="D3374" s="83" t="s">
        <v>5412</v>
      </c>
      <c r="E3374" s="2"/>
      <c r="F3374" s="200">
        <v>1.85</v>
      </c>
      <c r="H3374" s="17"/>
    </row>
    <row r="3375" spans="2:8" s="16" customFormat="1" ht="16.899999999999999" customHeight="1" x14ac:dyDescent="0.2">
      <c r="B3375" s="17"/>
      <c r="C3375" s="83"/>
      <c r="D3375" s="83" t="s">
        <v>5413</v>
      </c>
      <c r="E3375" s="2"/>
      <c r="F3375" s="200">
        <v>3.14</v>
      </c>
      <c r="H3375" s="17"/>
    </row>
    <row r="3376" spans="2:8" s="16" customFormat="1" ht="16.899999999999999" customHeight="1" x14ac:dyDescent="0.2">
      <c r="B3376" s="17"/>
      <c r="C3376" s="83"/>
      <c r="D3376" s="83" t="s">
        <v>5414</v>
      </c>
      <c r="E3376" s="2"/>
      <c r="F3376" s="200">
        <v>1.4</v>
      </c>
      <c r="H3376" s="17"/>
    </row>
    <row r="3377" spans="2:8" s="16" customFormat="1" ht="16.899999999999999" customHeight="1" x14ac:dyDescent="0.2">
      <c r="B3377" s="17"/>
      <c r="C3377" s="83"/>
      <c r="D3377" s="83" t="s">
        <v>5415</v>
      </c>
      <c r="E3377" s="2"/>
      <c r="F3377" s="200">
        <v>8.51</v>
      </c>
      <c r="H3377" s="17"/>
    </row>
    <row r="3378" spans="2:8" s="16" customFormat="1" ht="16.899999999999999" customHeight="1" x14ac:dyDescent="0.2">
      <c r="B3378" s="17"/>
      <c r="C3378" s="83"/>
      <c r="D3378" s="83" t="s">
        <v>5416</v>
      </c>
      <c r="E3378" s="2"/>
      <c r="F3378" s="200">
        <v>2.23</v>
      </c>
      <c r="H3378" s="17"/>
    </row>
    <row r="3379" spans="2:8" s="16" customFormat="1" ht="16.899999999999999" customHeight="1" x14ac:dyDescent="0.2">
      <c r="B3379" s="17"/>
      <c r="C3379" s="83"/>
      <c r="D3379" s="83" t="s">
        <v>5417</v>
      </c>
      <c r="E3379" s="2"/>
      <c r="F3379" s="200">
        <v>1.31</v>
      </c>
      <c r="H3379" s="17"/>
    </row>
    <row r="3380" spans="2:8" s="16" customFormat="1" ht="16.899999999999999" customHeight="1" x14ac:dyDescent="0.2">
      <c r="B3380" s="17"/>
      <c r="C3380" s="83"/>
      <c r="D3380" s="83" t="s">
        <v>5418</v>
      </c>
      <c r="E3380" s="2"/>
      <c r="F3380" s="200">
        <v>1.26</v>
      </c>
      <c r="H3380" s="17"/>
    </row>
    <row r="3381" spans="2:8" s="16" customFormat="1" ht="16.899999999999999" customHeight="1" x14ac:dyDescent="0.2">
      <c r="B3381" s="17"/>
      <c r="C3381" s="83"/>
      <c r="D3381" s="83" t="s">
        <v>5419</v>
      </c>
      <c r="E3381" s="2"/>
      <c r="F3381" s="200">
        <v>1.26</v>
      </c>
      <c r="H3381" s="17"/>
    </row>
    <row r="3382" spans="2:8" s="16" customFormat="1" ht="16.899999999999999" customHeight="1" x14ac:dyDescent="0.2">
      <c r="B3382" s="17"/>
      <c r="C3382" s="83"/>
      <c r="D3382" s="83" t="s">
        <v>5420</v>
      </c>
      <c r="E3382" s="2"/>
      <c r="F3382" s="200">
        <v>5</v>
      </c>
      <c r="H3382" s="17"/>
    </row>
    <row r="3383" spans="2:8" s="16" customFormat="1" ht="16.899999999999999" customHeight="1" x14ac:dyDescent="0.2">
      <c r="B3383" s="17"/>
      <c r="C3383" s="83"/>
      <c r="D3383" s="83" t="s">
        <v>5421</v>
      </c>
      <c r="E3383" s="2"/>
      <c r="F3383" s="200">
        <v>0.99</v>
      </c>
      <c r="H3383" s="17"/>
    </row>
    <row r="3384" spans="2:8" s="16" customFormat="1" ht="16.899999999999999" customHeight="1" x14ac:dyDescent="0.2">
      <c r="B3384" s="17"/>
      <c r="C3384" s="83"/>
      <c r="D3384" s="83" t="s">
        <v>5422</v>
      </c>
      <c r="E3384" s="2"/>
      <c r="F3384" s="200">
        <v>2.0699999999999998</v>
      </c>
      <c r="H3384" s="17"/>
    </row>
    <row r="3385" spans="2:8" s="16" customFormat="1" ht="16.899999999999999" customHeight="1" x14ac:dyDescent="0.2">
      <c r="B3385" s="17"/>
      <c r="C3385" s="83"/>
      <c r="D3385" s="83" t="s">
        <v>5423</v>
      </c>
      <c r="E3385" s="2"/>
      <c r="F3385" s="200">
        <v>1.33</v>
      </c>
      <c r="H3385" s="17"/>
    </row>
    <row r="3386" spans="2:8" s="16" customFormat="1" ht="16.899999999999999" customHeight="1" x14ac:dyDescent="0.2">
      <c r="B3386" s="17"/>
      <c r="C3386" s="83"/>
      <c r="D3386" s="83" t="s">
        <v>5424</v>
      </c>
      <c r="E3386" s="2"/>
      <c r="F3386" s="200">
        <v>2.14</v>
      </c>
      <c r="H3386" s="17"/>
    </row>
    <row r="3387" spans="2:8" s="16" customFormat="1" ht="16.899999999999999" customHeight="1" x14ac:dyDescent="0.2">
      <c r="B3387" s="17"/>
      <c r="C3387" s="83"/>
      <c r="D3387" s="83" t="s">
        <v>5425</v>
      </c>
      <c r="E3387" s="2"/>
      <c r="F3387" s="200">
        <v>1.62</v>
      </c>
      <c r="H3387" s="17"/>
    </row>
    <row r="3388" spans="2:8" s="16" customFormat="1" ht="16.899999999999999" customHeight="1" x14ac:dyDescent="0.2">
      <c r="B3388" s="17"/>
      <c r="C3388" s="83" t="s">
        <v>5165</v>
      </c>
      <c r="D3388" s="83" t="s">
        <v>609</v>
      </c>
      <c r="E3388" s="2"/>
      <c r="F3388" s="200">
        <v>202.55</v>
      </c>
      <c r="H3388" s="17"/>
    </row>
    <row r="3389" spans="2:8" s="16" customFormat="1" ht="16.899999999999999" customHeight="1" x14ac:dyDescent="0.2">
      <c r="B3389" s="17"/>
      <c r="C3389" s="201" t="s">
        <v>8859</v>
      </c>
      <c r="H3389" s="17"/>
    </row>
    <row r="3390" spans="2:8" s="16" customFormat="1" ht="16.899999999999999" customHeight="1" x14ac:dyDescent="0.2">
      <c r="B3390" s="17"/>
      <c r="C3390" s="83" t="s">
        <v>5351</v>
      </c>
      <c r="D3390" s="83" t="s">
        <v>5352</v>
      </c>
      <c r="E3390" s="2" t="s">
        <v>425</v>
      </c>
      <c r="F3390" s="200">
        <v>327.74</v>
      </c>
      <c r="H3390" s="17"/>
    </row>
    <row r="3391" spans="2:8" s="16" customFormat="1" ht="16.899999999999999" customHeight="1" x14ac:dyDescent="0.2">
      <c r="B3391" s="17"/>
      <c r="C3391" s="83" t="s">
        <v>5322</v>
      </c>
      <c r="D3391" s="83" t="s">
        <v>5323</v>
      </c>
      <c r="E3391" s="2" t="s">
        <v>342</v>
      </c>
      <c r="F3391" s="200">
        <v>110.06699999999999</v>
      </c>
      <c r="H3391" s="17"/>
    </row>
    <row r="3392" spans="2:8" s="16" customFormat="1" ht="16.899999999999999" customHeight="1" x14ac:dyDescent="0.2">
      <c r="B3392" s="17"/>
      <c r="C3392" s="83" t="s">
        <v>5330</v>
      </c>
      <c r="D3392" s="83" t="s">
        <v>5331</v>
      </c>
      <c r="E3392" s="2" t="s">
        <v>425</v>
      </c>
      <c r="F3392" s="200">
        <v>4158.29</v>
      </c>
      <c r="H3392" s="17"/>
    </row>
    <row r="3393" spans="2:8" s="16" customFormat="1" ht="16.899999999999999" customHeight="1" x14ac:dyDescent="0.2">
      <c r="B3393" s="17"/>
      <c r="C3393" s="83" t="s">
        <v>5440</v>
      </c>
      <c r="D3393" s="83" t="s">
        <v>5441</v>
      </c>
      <c r="E3393" s="2" t="s">
        <v>425</v>
      </c>
      <c r="F3393" s="200">
        <v>3313.86</v>
      </c>
      <c r="H3393" s="17"/>
    </row>
    <row r="3394" spans="2:8" s="16" customFormat="1" ht="16.899999999999999" customHeight="1" x14ac:dyDescent="0.2">
      <c r="B3394" s="17"/>
      <c r="C3394" s="196" t="s">
        <v>5182</v>
      </c>
      <c r="D3394" s="197"/>
      <c r="E3394" s="198"/>
      <c r="F3394" s="199">
        <v>125.19</v>
      </c>
      <c r="H3394" s="17"/>
    </row>
    <row r="3395" spans="2:8" s="16" customFormat="1" ht="16.899999999999999" customHeight="1" x14ac:dyDescent="0.2">
      <c r="B3395" s="17"/>
      <c r="C3395" s="83"/>
      <c r="D3395" s="83"/>
      <c r="E3395" s="2"/>
      <c r="F3395" s="200">
        <v>0</v>
      </c>
      <c r="H3395" s="17"/>
    </row>
    <row r="3396" spans="2:8" s="16" customFormat="1" ht="16.899999999999999" customHeight="1" x14ac:dyDescent="0.2">
      <c r="B3396" s="17"/>
      <c r="C3396" s="83"/>
      <c r="D3396" s="83" t="s">
        <v>5426</v>
      </c>
      <c r="E3396" s="2"/>
      <c r="F3396" s="200">
        <v>0</v>
      </c>
      <c r="H3396" s="17"/>
    </row>
    <row r="3397" spans="2:8" s="16" customFormat="1" ht="16.899999999999999" customHeight="1" x14ac:dyDescent="0.2">
      <c r="B3397" s="17"/>
      <c r="C3397" s="83"/>
      <c r="D3397" s="83" t="s">
        <v>5427</v>
      </c>
      <c r="E3397" s="2"/>
      <c r="F3397" s="200">
        <v>125.19</v>
      </c>
      <c r="H3397" s="17"/>
    </row>
    <row r="3398" spans="2:8" s="16" customFormat="1" ht="16.899999999999999" customHeight="1" x14ac:dyDescent="0.2">
      <c r="B3398" s="17"/>
      <c r="C3398" s="83" t="s">
        <v>5182</v>
      </c>
      <c r="D3398" s="83" t="s">
        <v>609</v>
      </c>
      <c r="E3398" s="2"/>
      <c r="F3398" s="200">
        <v>125.19</v>
      </c>
      <c r="H3398" s="17"/>
    </row>
    <row r="3399" spans="2:8" s="16" customFormat="1" ht="16.899999999999999" customHeight="1" x14ac:dyDescent="0.2">
      <c r="B3399" s="17"/>
      <c r="C3399" s="201" t="s">
        <v>8859</v>
      </c>
      <c r="H3399" s="17"/>
    </row>
    <row r="3400" spans="2:8" s="16" customFormat="1" ht="16.899999999999999" customHeight="1" x14ac:dyDescent="0.2">
      <c r="B3400" s="17"/>
      <c r="C3400" s="83" t="s">
        <v>5351</v>
      </c>
      <c r="D3400" s="83" t="s">
        <v>5352</v>
      </c>
      <c r="E3400" s="2" t="s">
        <v>425</v>
      </c>
      <c r="F3400" s="200">
        <v>327.74</v>
      </c>
      <c r="H3400" s="17"/>
    </row>
    <row r="3401" spans="2:8" s="16" customFormat="1" ht="16.899999999999999" customHeight="1" x14ac:dyDescent="0.2">
      <c r="B3401" s="17"/>
      <c r="C3401" s="83" t="s">
        <v>5440</v>
      </c>
      <c r="D3401" s="83" t="s">
        <v>5441</v>
      </c>
      <c r="E3401" s="2" t="s">
        <v>425</v>
      </c>
      <c r="F3401" s="200">
        <v>3313.86</v>
      </c>
      <c r="H3401" s="17"/>
    </row>
    <row r="3402" spans="2:8" s="16" customFormat="1" ht="16.899999999999999" customHeight="1" x14ac:dyDescent="0.2">
      <c r="B3402" s="17"/>
      <c r="C3402" s="196" t="s">
        <v>5167</v>
      </c>
      <c r="D3402" s="197"/>
      <c r="E3402" s="198"/>
      <c r="F3402" s="199">
        <v>9.14</v>
      </c>
      <c r="H3402" s="17"/>
    </row>
    <row r="3403" spans="2:8" s="16" customFormat="1" ht="16.899999999999999" customHeight="1" x14ac:dyDescent="0.2">
      <c r="B3403" s="17"/>
      <c r="C3403" s="83"/>
      <c r="D3403" s="83" t="s">
        <v>5431</v>
      </c>
      <c r="E3403" s="2"/>
      <c r="F3403" s="200">
        <v>0</v>
      </c>
      <c r="H3403" s="17"/>
    </row>
    <row r="3404" spans="2:8" s="16" customFormat="1" ht="16.899999999999999" customHeight="1" x14ac:dyDescent="0.2">
      <c r="B3404" s="17"/>
      <c r="C3404" s="83"/>
      <c r="D3404" s="83" t="s">
        <v>5432</v>
      </c>
      <c r="E3404" s="2"/>
      <c r="F3404" s="200">
        <v>9.14</v>
      </c>
      <c r="H3404" s="17"/>
    </row>
    <row r="3405" spans="2:8" s="16" customFormat="1" ht="16.899999999999999" customHeight="1" x14ac:dyDescent="0.2">
      <c r="B3405" s="17"/>
      <c r="C3405" s="83" t="s">
        <v>5167</v>
      </c>
      <c r="D3405" s="83" t="s">
        <v>609</v>
      </c>
      <c r="E3405" s="2"/>
      <c r="F3405" s="200">
        <v>9.14</v>
      </c>
      <c r="H3405" s="17"/>
    </row>
    <row r="3406" spans="2:8" s="16" customFormat="1" ht="16.899999999999999" customHeight="1" x14ac:dyDescent="0.2">
      <c r="B3406" s="17"/>
      <c r="C3406" s="201" t="s">
        <v>8859</v>
      </c>
      <c r="H3406" s="17"/>
    </row>
    <row r="3407" spans="2:8" s="16" customFormat="1" ht="16.899999999999999" customHeight="1" x14ac:dyDescent="0.2">
      <c r="B3407" s="17"/>
      <c r="C3407" s="83" t="s">
        <v>5428</v>
      </c>
      <c r="D3407" s="83" t="s">
        <v>5429</v>
      </c>
      <c r="E3407" s="2" t="s">
        <v>425</v>
      </c>
      <c r="F3407" s="200">
        <v>9.14</v>
      </c>
      <c r="H3407" s="17"/>
    </row>
    <row r="3408" spans="2:8" s="16" customFormat="1" ht="16.899999999999999" customHeight="1" x14ac:dyDescent="0.2">
      <c r="B3408" s="17"/>
      <c r="C3408" s="83" t="s">
        <v>5711</v>
      </c>
      <c r="D3408" s="83" t="s">
        <v>5712</v>
      </c>
      <c r="E3408" s="2" t="s">
        <v>425</v>
      </c>
      <c r="F3408" s="200">
        <v>662.39</v>
      </c>
      <c r="H3408" s="17"/>
    </row>
    <row r="3409" spans="2:8" s="16" customFormat="1" ht="16.899999999999999" customHeight="1" x14ac:dyDescent="0.2">
      <c r="B3409" s="17"/>
      <c r="C3409" s="83" t="s">
        <v>5322</v>
      </c>
      <c r="D3409" s="83" t="s">
        <v>5323</v>
      </c>
      <c r="E3409" s="2" t="s">
        <v>342</v>
      </c>
      <c r="F3409" s="200">
        <v>110.06699999999999</v>
      </c>
      <c r="H3409" s="17"/>
    </row>
    <row r="3410" spans="2:8" s="16" customFormat="1" ht="16.899999999999999" customHeight="1" x14ac:dyDescent="0.2">
      <c r="B3410" s="17"/>
      <c r="C3410" s="83" t="s">
        <v>5440</v>
      </c>
      <c r="D3410" s="83" t="s">
        <v>5441</v>
      </c>
      <c r="E3410" s="2" t="s">
        <v>425</v>
      </c>
      <c r="F3410" s="200">
        <v>3313.86</v>
      </c>
      <c r="H3410" s="17"/>
    </row>
    <row r="3411" spans="2:8" s="16" customFormat="1" ht="16.899999999999999" customHeight="1" x14ac:dyDescent="0.2">
      <c r="B3411" s="17"/>
      <c r="C3411" s="196" t="s">
        <v>5169</v>
      </c>
      <c r="D3411" s="197"/>
      <c r="E3411" s="198"/>
      <c r="F3411" s="199">
        <v>653.25</v>
      </c>
      <c r="H3411" s="17"/>
    </row>
    <row r="3412" spans="2:8" s="16" customFormat="1" ht="16.899999999999999" customHeight="1" x14ac:dyDescent="0.2">
      <c r="B3412" s="17"/>
      <c r="C3412" s="83"/>
      <c r="D3412" s="83" t="s">
        <v>886</v>
      </c>
      <c r="E3412" s="2"/>
      <c r="F3412" s="200">
        <v>0</v>
      </c>
      <c r="H3412" s="17"/>
    </row>
    <row r="3413" spans="2:8" s="16" customFormat="1" ht="16.899999999999999" customHeight="1" x14ac:dyDescent="0.2">
      <c r="B3413" s="17"/>
      <c r="C3413" s="83"/>
      <c r="D3413" s="83" t="s">
        <v>5333</v>
      </c>
      <c r="E3413" s="2"/>
      <c r="F3413" s="200">
        <v>21.19</v>
      </c>
      <c r="H3413" s="17"/>
    </row>
    <row r="3414" spans="2:8" s="16" customFormat="1" ht="16.899999999999999" customHeight="1" x14ac:dyDescent="0.2">
      <c r="B3414" s="17"/>
      <c r="C3414" s="83"/>
      <c r="D3414" s="83" t="s">
        <v>5334</v>
      </c>
      <c r="E3414" s="2"/>
      <c r="F3414" s="200">
        <v>60.12</v>
      </c>
      <c r="H3414" s="17"/>
    </row>
    <row r="3415" spans="2:8" s="16" customFormat="1" ht="16.899999999999999" customHeight="1" x14ac:dyDescent="0.2">
      <c r="B3415" s="17"/>
      <c r="C3415" s="83"/>
      <c r="D3415" s="83" t="s">
        <v>5335</v>
      </c>
      <c r="E3415" s="2"/>
      <c r="F3415" s="200">
        <v>30.56</v>
      </c>
      <c r="H3415" s="17"/>
    </row>
    <row r="3416" spans="2:8" s="16" customFormat="1" ht="16.899999999999999" customHeight="1" x14ac:dyDescent="0.2">
      <c r="B3416" s="17"/>
      <c r="C3416" s="83"/>
      <c r="D3416" s="83" t="s">
        <v>5336</v>
      </c>
      <c r="E3416" s="2"/>
      <c r="F3416" s="200">
        <v>32.35</v>
      </c>
      <c r="H3416" s="17"/>
    </row>
    <row r="3417" spans="2:8" s="16" customFormat="1" ht="16.899999999999999" customHeight="1" x14ac:dyDescent="0.2">
      <c r="B3417" s="17"/>
      <c r="C3417" s="83"/>
      <c r="D3417" s="83" t="s">
        <v>5337</v>
      </c>
      <c r="E3417" s="2"/>
      <c r="F3417" s="200">
        <v>53.61</v>
      </c>
      <c r="H3417" s="17"/>
    </row>
    <row r="3418" spans="2:8" s="16" customFormat="1" ht="16.899999999999999" customHeight="1" x14ac:dyDescent="0.2">
      <c r="B3418" s="17"/>
      <c r="C3418" s="83"/>
      <c r="D3418" s="83" t="s">
        <v>5338</v>
      </c>
      <c r="E3418" s="2"/>
      <c r="F3418" s="200">
        <v>30.69</v>
      </c>
      <c r="H3418" s="17"/>
    </row>
    <row r="3419" spans="2:8" s="16" customFormat="1" ht="16.899999999999999" customHeight="1" x14ac:dyDescent="0.2">
      <c r="B3419" s="17"/>
      <c r="C3419" s="83"/>
      <c r="D3419" s="83" t="s">
        <v>5339</v>
      </c>
      <c r="E3419" s="2"/>
      <c r="F3419" s="200">
        <v>37.299999999999997</v>
      </c>
      <c r="H3419" s="17"/>
    </row>
    <row r="3420" spans="2:8" s="16" customFormat="1" ht="16.899999999999999" customHeight="1" x14ac:dyDescent="0.2">
      <c r="B3420" s="17"/>
      <c r="C3420" s="83"/>
      <c r="D3420" s="83" t="s">
        <v>5340</v>
      </c>
      <c r="E3420" s="2"/>
      <c r="F3420" s="200">
        <v>18.07</v>
      </c>
      <c r="H3420" s="17"/>
    </row>
    <row r="3421" spans="2:8" s="16" customFormat="1" ht="16.899999999999999" customHeight="1" x14ac:dyDescent="0.2">
      <c r="B3421" s="17"/>
      <c r="C3421" s="83"/>
      <c r="D3421" s="83" t="s">
        <v>5341</v>
      </c>
      <c r="E3421" s="2"/>
      <c r="F3421" s="200">
        <v>15.28</v>
      </c>
      <c r="H3421" s="17"/>
    </row>
    <row r="3422" spans="2:8" s="16" customFormat="1" ht="16.899999999999999" customHeight="1" x14ac:dyDescent="0.2">
      <c r="B3422" s="17"/>
      <c r="C3422" s="83"/>
      <c r="D3422" s="83" t="s">
        <v>5342</v>
      </c>
      <c r="E3422" s="2"/>
      <c r="F3422" s="200">
        <v>18.2</v>
      </c>
      <c r="H3422" s="17"/>
    </row>
    <row r="3423" spans="2:8" s="16" customFormat="1" ht="16.899999999999999" customHeight="1" x14ac:dyDescent="0.2">
      <c r="B3423" s="17"/>
      <c r="C3423" s="83"/>
      <c r="D3423" s="83" t="s">
        <v>5343</v>
      </c>
      <c r="E3423" s="2"/>
      <c r="F3423" s="200">
        <v>16.38</v>
      </c>
      <c r="H3423" s="17"/>
    </row>
    <row r="3424" spans="2:8" s="16" customFormat="1" ht="16.899999999999999" customHeight="1" x14ac:dyDescent="0.2">
      <c r="B3424" s="17"/>
      <c r="C3424" s="83"/>
      <c r="D3424" s="83" t="s">
        <v>5344</v>
      </c>
      <c r="E3424" s="2"/>
      <c r="F3424" s="200">
        <v>80.239999999999995</v>
      </c>
      <c r="H3424" s="17"/>
    </row>
    <row r="3425" spans="2:8" s="16" customFormat="1" ht="16.899999999999999" customHeight="1" x14ac:dyDescent="0.2">
      <c r="B3425" s="17"/>
      <c r="C3425" s="83"/>
      <c r="D3425" s="83" t="s">
        <v>5345</v>
      </c>
      <c r="E3425" s="2"/>
      <c r="F3425" s="200">
        <v>59.85</v>
      </c>
      <c r="H3425" s="17"/>
    </row>
    <row r="3426" spans="2:8" s="16" customFormat="1" ht="16.899999999999999" customHeight="1" x14ac:dyDescent="0.2">
      <c r="B3426" s="17"/>
      <c r="C3426" s="83"/>
      <c r="D3426" s="83" t="s">
        <v>5346</v>
      </c>
      <c r="E3426" s="2"/>
      <c r="F3426" s="200">
        <v>21.83</v>
      </c>
      <c r="H3426" s="17"/>
    </row>
    <row r="3427" spans="2:8" s="16" customFormat="1" ht="16.899999999999999" customHeight="1" x14ac:dyDescent="0.2">
      <c r="B3427" s="17"/>
      <c r="C3427" s="83"/>
      <c r="D3427" s="83" t="s">
        <v>5347</v>
      </c>
      <c r="E3427" s="2"/>
      <c r="F3427" s="200">
        <v>30.41</v>
      </c>
      <c r="H3427" s="17"/>
    </row>
    <row r="3428" spans="2:8" s="16" customFormat="1" ht="16.899999999999999" customHeight="1" x14ac:dyDescent="0.2">
      <c r="B3428" s="17"/>
      <c r="C3428" s="83"/>
      <c r="D3428" s="83" t="s">
        <v>5348</v>
      </c>
      <c r="E3428" s="2"/>
      <c r="F3428" s="200">
        <v>20.14</v>
      </c>
      <c r="H3428" s="17"/>
    </row>
    <row r="3429" spans="2:8" s="16" customFormat="1" ht="16.899999999999999" customHeight="1" x14ac:dyDescent="0.2">
      <c r="B3429" s="17"/>
      <c r="C3429" s="83"/>
      <c r="D3429" s="83" t="s">
        <v>5349</v>
      </c>
      <c r="E3429" s="2"/>
      <c r="F3429" s="200">
        <v>20.329999999999998</v>
      </c>
      <c r="H3429" s="17"/>
    </row>
    <row r="3430" spans="2:8" s="16" customFormat="1" ht="16.899999999999999" customHeight="1" x14ac:dyDescent="0.2">
      <c r="B3430" s="17"/>
      <c r="C3430" s="83"/>
      <c r="D3430" s="83" t="s">
        <v>5350</v>
      </c>
      <c r="E3430" s="2"/>
      <c r="F3430" s="200">
        <v>86.7</v>
      </c>
      <c r="H3430" s="17"/>
    </row>
    <row r="3431" spans="2:8" s="16" customFormat="1" ht="16.899999999999999" customHeight="1" x14ac:dyDescent="0.2">
      <c r="B3431" s="17"/>
      <c r="C3431" s="83" t="s">
        <v>5169</v>
      </c>
      <c r="D3431" s="83" t="s">
        <v>609</v>
      </c>
      <c r="E3431" s="2"/>
      <c r="F3431" s="200">
        <v>653.25</v>
      </c>
      <c r="H3431" s="17"/>
    </row>
    <row r="3432" spans="2:8" s="16" customFormat="1" ht="16.899999999999999" customHeight="1" x14ac:dyDescent="0.2">
      <c r="B3432" s="17"/>
      <c r="C3432" s="201" t="s">
        <v>8859</v>
      </c>
      <c r="H3432" s="17"/>
    </row>
    <row r="3433" spans="2:8" s="16" customFormat="1" ht="16.899999999999999" customHeight="1" x14ac:dyDescent="0.2">
      <c r="B3433" s="17"/>
      <c r="C3433" s="83" t="s">
        <v>5330</v>
      </c>
      <c r="D3433" s="83" t="s">
        <v>5331</v>
      </c>
      <c r="E3433" s="2" t="s">
        <v>425</v>
      </c>
      <c r="F3433" s="200">
        <v>4158.29</v>
      </c>
      <c r="H3433" s="17"/>
    </row>
    <row r="3434" spans="2:8" s="16" customFormat="1" ht="16.899999999999999" customHeight="1" x14ac:dyDescent="0.2">
      <c r="B3434" s="17"/>
      <c r="C3434" s="83" t="s">
        <v>5711</v>
      </c>
      <c r="D3434" s="83" t="s">
        <v>5712</v>
      </c>
      <c r="E3434" s="2" t="s">
        <v>425</v>
      </c>
      <c r="F3434" s="200">
        <v>662.39</v>
      </c>
      <c r="H3434" s="17"/>
    </row>
    <row r="3435" spans="2:8" s="16" customFormat="1" ht="16.899999999999999" customHeight="1" x14ac:dyDescent="0.2">
      <c r="B3435" s="17"/>
      <c r="C3435" s="83" t="s">
        <v>5322</v>
      </c>
      <c r="D3435" s="83" t="s">
        <v>5323</v>
      </c>
      <c r="E3435" s="2" t="s">
        <v>342</v>
      </c>
      <c r="F3435" s="200">
        <v>110.06699999999999</v>
      </c>
      <c r="H3435" s="17"/>
    </row>
    <row r="3436" spans="2:8" s="16" customFormat="1" ht="16.899999999999999" customHeight="1" x14ac:dyDescent="0.2">
      <c r="B3436" s="17"/>
      <c r="C3436" s="196" t="s">
        <v>5172</v>
      </c>
      <c r="D3436" s="197"/>
      <c r="E3436" s="198"/>
      <c r="F3436" s="199">
        <v>127.92</v>
      </c>
      <c r="H3436" s="17"/>
    </row>
    <row r="3437" spans="2:8" s="16" customFormat="1" ht="16.899999999999999" customHeight="1" x14ac:dyDescent="0.2">
      <c r="B3437" s="17"/>
      <c r="C3437" s="83"/>
      <c r="D3437" s="83"/>
      <c r="E3437" s="2"/>
      <c r="F3437" s="200">
        <v>0</v>
      </c>
      <c r="H3437" s="17"/>
    </row>
    <row r="3438" spans="2:8" s="16" customFormat="1" ht="16.899999999999999" customHeight="1" x14ac:dyDescent="0.2">
      <c r="B3438" s="17"/>
      <c r="C3438" s="83"/>
      <c r="D3438" s="83" t="s">
        <v>5989</v>
      </c>
      <c r="E3438" s="2"/>
      <c r="F3438" s="200">
        <v>0</v>
      </c>
      <c r="H3438" s="17"/>
    </row>
    <row r="3439" spans="2:8" s="16" customFormat="1" ht="16.899999999999999" customHeight="1" x14ac:dyDescent="0.2">
      <c r="B3439" s="17"/>
      <c r="C3439" s="83"/>
      <c r="D3439" s="83" t="s">
        <v>5990</v>
      </c>
      <c r="E3439" s="2"/>
      <c r="F3439" s="200">
        <v>22.73</v>
      </c>
      <c r="H3439" s="17"/>
    </row>
    <row r="3440" spans="2:8" s="16" customFormat="1" ht="16.899999999999999" customHeight="1" x14ac:dyDescent="0.2">
      <c r="B3440" s="17"/>
      <c r="C3440" s="83"/>
      <c r="D3440" s="83" t="s">
        <v>5991</v>
      </c>
      <c r="E3440" s="2"/>
      <c r="F3440" s="200">
        <v>19.91</v>
      </c>
      <c r="H3440" s="17"/>
    </row>
    <row r="3441" spans="2:8" s="16" customFormat="1" ht="16.899999999999999" customHeight="1" x14ac:dyDescent="0.2">
      <c r="B3441" s="17"/>
      <c r="C3441" s="83"/>
      <c r="D3441" s="83" t="s">
        <v>5992</v>
      </c>
      <c r="E3441" s="2"/>
      <c r="F3441" s="200">
        <v>22.73</v>
      </c>
      <c r="H3441" s="17"/>
    </row>
    <row r="3442" spans="2:8" s="16" customFormat="1" ht="16.899999999999999" customHeight="1" x14ac:dyDescent="0.2">
      <c r="B3442" s="17"/>
      <c r="C3442" s="83"/>
      <c r="D3442" s="83" t="s">
        <v>5993</v>
      </c>
      <c r="E3442" s="2"/>
      <c r="F3442" s="200">
        <v>19.91</v>
      </c>
      <c r="H3442" s="17"/>
    </row>
    <row r="3443" spans="2:8" s="16" customFormat="1" ht="16.899999999999999" customHeight="1" x14ac:dyDescent="0.2">
      <c r="B3443" s="17"/>
      <c r="C3443" s="83"/>
      <c r="D3443" s="83" t="s">
        <v>5994</v>
      </c>
      <c r="E3443" s="2"/>
      <c r="F3443" s="200">
        <v>22.73</v>
      </c>
      <c r="H3443" s="17"/>
    </row>
    <row r="3444" spans="2:8" s="16" customFormat="1" ht="16.899999999999999" customHeight="1" x14ac:dyDescent="0.2">
      <c r="B3444" s="17"/>
      <c r="C3444" s="83"/>
      <c r="D3444" s="83" t="s">
        <v>5995</v>
      </c>
      <c r="E3444" s="2"/>
      <c r="F3444" s="200">
        <v>19.91</v>
      </c>
      <c r="H3444" s="17"/>
    </row>
    <row r="3445" spans="2:8" s="16" customFormat="1" ht="16.899999999999999" customHeight="1" x14ac:dyDescent="0.2">
      <c r="B3445" s="17"/>
      <c r="C3445" s="83" t="s">
        <v>5172</v>
      </c>
      <c r="D3445" s="83" t="s">
        <v>609</v>
      </c>
      <c r="E3445" s="2"/>
      <c r="F3445" s="200">
        <v>127.92</v>
      </c>
      <c r="H3445" s="17"/>
    </row>
    <row r="3446" spans="2:8" s="16" customFormat="1" ht="16.899999999999999" customHeight="1" x14ac:dyDescent="0.2">
      <c r="B3446" s="17"/>
      <c r="C3446" s="201" t="s">
        <v>8859</v>
      </c>
      <c r="H3446" s="17"/>
    </row>
    <row r="3447" spans="2:8" s="16" customFormat="1" ht="16.899999999999999" customHeight="1" x14ac:dyDescent="0.2">
      <c r="B3447" s="17"/>
      <c r="C3447" s="83" t="s">
        <v>5851</v>
      </c>
      <c r="D3447" s="83" t="s">
        <v>5852</v>
      </c>
      <c r="E3447" s="2" t="s">
        <v>425</v>
      </c>
      <c r="F3447" s="200">
        <v>1947.42</v>
      </c>
      <c r="H3447" s="17"/>
    </row>
    <row r="3448" spans="2:8" s="16" customFormat="1" ht="16.899999999999999" customHeight="1" x14ac:dyDescent="0.2">
      <c r="B3448" s="17"/>
      <c r="C3448" s="83" t="s">
        <v>5322</v>
      </c>
      <c r="D3448" s="83" t="s">
        <v>5323</v>
      </c>
      <c r="E3448" s="2" t="s">
        <v>342</v>
      </c>
      <c r="F3448" s="200">
        <v>110.06699999999999</v>
      </c>
      <c r="H3448" s="17"/>
    </row>
    <row r="3449" spans="2:8" s="16" customFormat="1" ht="16.899999999999999" customHeight="1" x14ac:dyDescent="0.2">
      <c r="B3449" s="17"/>
      <c r="C3449" s="196" t="s">
        <v>5174</v>
      </c>
      <c r="D3449" s="197"/>
      <c r="E3449" s="198"/>
      <c r="F3449" s="199">
        <v>342.25</v>
      </c>
      <c r="H3449" s="17"/>
    </row>
    <row r="3450" spans="2:8" s="16" customFormat="1" ht="16.899999999999999" customHeight="1" x14ac:dyDescent="0.2">
      <c r="B3450" s="17"/>
      <c r="C3450" s="83"/>
      <c r="D3450" s="83" t="s">
        <v>5717</v>
      </c>
      <c r="E3450" s="2"/>
      <c r="F3450" s="200">
        <v>0</v>
      </c>
      <c r="H3450" s="17"/>
    </row>
    <row r="3451" spans="2:8" s="16" customFormat="1" ht="16.899999999999999" customHeight="1" x14ac:dyDescent="0.2">
      <c r="B3451" s="17"/>
      <c r="C3451" s="83"/>
      <c r="D3451" s="83" t="s">
        <v>5718</v>
      </c>
      <c r="E3451" s="2"/>
      <c r="F3451" s="200">
        <v>342.25</v>
      </c>
      <c r="H3451" s="17"/>
    </row>
    <row r="3452" spans="2:8" s="16" customFormat="1" ht="16.899999999999999" customHeight="1" x14ac:dyDescent="0.2">
      <c r="B3452" s="17"/>
      <c r="C3452" s="83" t="s">
        <v>5174</v>
      </c>
      <c r="D3452" s="83" t="s">
        <v>609</v>
      </c>
      <c r="E3452" s="2"/>
      <c r="F3452" s="200">
        <v>342.25</v>
      </c>
      <c r="H3452" s="17"/>
    </row>
    <row r="3453" spans="2:8" s="16" customFormat="1" ht="16.899999999999999" customHeight="1" x14ac:dyDescent="0.2">
      <c r="B3453" s="17"/>
      <c r="C3453" s="201" t="s">
        <v>8859</v>
      </c>
      <c r="H3453" s="17"/>
    </row>
    <row r="3454" spans="2:8" s="16" customFormat="1" ht="16.899999999999999" customHeight="1" x14ac:dyDescent="0.2">
      <c r="B3454" s="17"/>
      <c r="C3454" s="83" t="s">
        <v>5714</v>
      </c>
      <c r="D3454" s="83" t="s">
        <v>5715</v>
      </c>
      <c r="E3454" s="2" t="s">
        <v>425</v>
      </c>
      <c r="F3454" s="200">
        <v>651.04999999999995</v>
      </c>
      <c r="H3454" s="17"/>
    </row>
    <row r="3455" spans="2:8" s="16" customFormat="1" ht="16.899999999999999" customHeight="1" x14ac:dyDescent="0.2">
      <c r="B3455" s="17"/>
      <c r="C3455" s="83" t="s">
        <v>5721</v>
      </c>
      <c r="D3455" s="83" t="s">
        <v>5722</v>
      </c>
      <c r="E3455" s="2" t="s">
        <v>425</v>
      </c>
      <c r="F3455" s="200">
        <v>342.25</v>
      </c>
      <c r="H3455" s="17"/>
    </row>
    <row r="3456" spans="2:8" s="16" customFormat="1" ht="16.899999999999999" customHeight="1" x14ac:dyDescent="0.2">
      <c r="B3456" s="17"/>
      <c r="C3456" s="83" t="s">
        <v>5725</v>
      </c>
      <c r="D3456" s="83" t="s">
        <v>5726</v>
      </c>
      <c r="E3456" s="2" t="s">
        <v>425</v>
      </c>
      <c r="F3456" s="200">
        <v>651.04999999999995</v>
      </c>
      <c r="H3456" s="17"/>
    </row>
    <row r="3457" spans="2:8" s="16" customFormat="1" ht="16.899999999999999" customHeight="1" x14ac:dyDescent="0.2">
      <c r="B3457" s="17"/>
      <c r="C3457" s="83" t="s">
        <v>5728</v>
      </c>
      <c r="D3457" s="83" t="s">
        <v>5729</v>
      </c>
      <c r="E3457" s="2" t="s">
        <v>425</v>
      </c>
      <c r="F3457" s="200">
        <v>651.04999999999995</v>
      </c>
      <c r="H3457" s="17"/>
    </row>
    <row r="3458" spans="2:8" s="16" customFormat="1" ht="16.899999999999999" customHeight="1" x14ac:dyDescent="0.2">
      <c r="B3458" s="17"/>
      <c r="C3458" s="83" t="s">
        <v>5731</v>
      </c>
      <c r="D3458" s="83" t="s">
        <v>5732</v>
      </c>
      <c r="E3458" s="2" t="s">
        <v>425</v>
      </c>
      <c r="F3458" s="200">
        <v>1953.15</v>
      </c>
      <c r="H3458" s="17"/>
    </row>
    <row r="3459" spans="2:8" s="16" customFormat="1" ht="16.899999999999999" customHeight="1" x14ac:dyDescent="0.2">
      <c r="B3459" s="17"/>
      <c r="C3459" s="83" t="s">
        <v>5739</v>
      </c>
      <c r="D3459" s="83" t="s">
        <v>5740</v>
      </c>
      <c r="E3459" s="2" t="s">
        <v>425</v>
      </c>
      <c r="F3459" s="200">
        <v>651.04999999999995</v>
      </c>
      <c r="H3459" s="17"/>
    </row>
    <row r="3460" spans="2:8" s="16" customFormat="1" ht="16.899999999999999" customHeight="1" x14ac:dyDescent="0.2">
      <c r="B3460" s="17"/>
      <c r="C3460" s="83" t="s">
        <v>5330</v>
      </c>
      <c r="D3460" s="83" t="s">
        <v>5331</v>
      </c>
      <c r="E3460" s="2" t="s">
        <v>425</v>
      </c>
      <c r="F3460" s="200">
        <v>4158.29</v>
      </c>
      <c r="H3460" s="17"/>
    </row>
    <row r="3461" spans="2:8" s="16" customFormat="1" ht="16.899999999999999" customHeight="1" x14ac:dyDescent="0.2">
      <c r="B3461" s="17"/>
      <c r="C3461" s="83" t="s">
        <v>5440</v>
      </c>
      <c r="D3461" s="83" t="s">
        <v>5441</v>
      </c>
      <c r="E3461" s="2" t="s">
        <v>425</v>
      </c>
      <c r="F3461" s="200">
        <v>3313.86</v>
      </c>
      <c r="H3461" s="17"/>
    </row>
    <row r="3462" spans="2:8" s="16" customFormat="1" ht="16.899999999999999" customHeight="1" x14ac:dyDescent="0.2">
      <c r="B3462" s="17"/>
      <c r="C3462" s="196" t="s">
        <v>5176</v>
      </c>
      <c r="D3462" s="197"/>
      <c r="E3462" s="198"/>
      <c r="F3462" s="199">
        <v>308.8</v>
      </c>
      <c r="H3462" s="17"/>
    </row>
    <row r="3463" spans="2:8" s="16" customFormat="1" ht="16.899999999999999" customHeight="1" x14ac:dyDescent="0.2">
      <c r="B3463" s="17"/>
      <c r="C3463" s="83"/>
      <c r="D3463" s="83"/>
      <c r="E3463" s="2"/>
      <c r="F3463" s="200">
        <v>0</v>
      </c>
      <c r="H3463" s="17"/>
    </row>
    <row r="3464" spans="2:8" s="16" customFormat="1" ht="16.899999999999999" customHeight="1" x14ac:dyDescent="0.2">
      <c r="B3464" s="17"/>
      <c r="C3464" s="83"/>
      <c r="D3464" s="83" t="s">
        <v>5719</v>
      </c>
      <c r="E3464" s="2"/>
      <c r="F3464" s="200">
        <v>0</v>
      </c>
      <c r="H3464" s="17"/>
    </row>
    <row r="3465" spans="2:8" s="16" customFormat="1" ht="16.899999999999999" customHeight="1" x14ac:dyDescent="0.2">
      <c r="B3465" s="17"/>
      <c r="C3465" s="83"/>
      <c r="D3465" s="83" t="s">
        <v>5720</v>
      </c>
      <c r="E3465" s="2"/>
      <c r="F3465" s="200">
        <v>308.8</v>
      </c>
      <c r="H3465" s="17"/>
    </row>
    <row r="3466" spans="2:8" s="16" customFormat="1" ht="16.899999999999999" customHeight="1" x14ac:dyDescent="0.2">
      <c r="B3466" s="17"/>
      <c r="C3466" s="83" t="s">
        <v>5176</v>
      </c>
      <c r="D3466" s="83" t="s">
        <v>609</v>
      </c>
      <c r="E3466" s="2"/>
      <c r="F3466" s="200">
        <v>308.8</v>
      </c>
      <c r="H3466" s="17"/>
    </row>
    <row r="3467" spans="2:8" s="16" customFormat="1" ht="16.899999999999999" customHeight="1" x14ac:dyDescent="0.2">
      <c r="B3467" s="17"/>
      <c r="C3467" s="201" t="s">
        <v>8859</v>
      </c>
      <c r="H3467" s="17"/>
    </row>
    <row r="3468" spans="2:8" s="16" customFormat="1" ht="16.899999999999999" customHeight="1" x14ac:dyDescent="0.2">
      <c r="B3468" s="17"/>
      <c r="C3468" s="83" t="s">
        <v>5714</v>
      </c>
      <c r="D3468" s="83" t="s">
        <v>5715</v>
      </c>
      <c r="E3468" s="2" t="s">
        <v>425</v>
      </c>
      <c r="F3468" s="200">
        <v>651.04999999999995</v>
      </c>
      <c r="H3468" s="17"/>
    </row>
    <row r="3469" spans="2:8" s="16" customFormat="1" ht="16.899999999999999" customHeight="1" x14ac:dyDescent="0.2">
      <c r="B3469" s="17"/>
      <c r="C3469" s="83" t="s">
        <v>5725</v>
      </c>
      <c r="D3469" s="83" t="s">
        <v>5726</v>
      </c>
      <c r="E3469" s="2" t="s">
        <v>425</v>
      </c>
      <c r="F3469" s="200">
        <v>651.04999999999995</v>
      </c>
      <c r="H3469" s="17"/>
    </row>
    <row r="3470" spans="2:8" s="16" customFormat="1" ht="16.899999999999999" customHeight="1" x14ac:dyDescent="0.2">
      <c r="B3470" s="17"/>
      <c r="C3470" s="83" t="s">
        <v>5728</v>
      </c>
      <c r="D3470" s="83" t="s">
        <v>5729</v>
      </c>
      <c r="E3470" s="2" t="s">
        <v>425</v>
      </c>
      <c r="F3470" s="200">
        <v>651.04999999999995</v>
      </c>
      <c r="H3470" s="17"/>
    </row>
    <row r="3471" spans="2:8" s="16" customFormat="1" ht="16.899999999999999" customHeight="1" x14ac:dyDescent="0.2">
      <c r="B3471" s="17"/>
      <c r="C3471" s="83" t="s">
        <v>5731</v>
      </c>
      <c r="D3471" s="83" t="s">
        <v>5732</v>
      </c>
      <c r="E3471" s="2" t="s">
        <v>425</v>
      </c>
      <c r="F3471" s="200">
        <v>1953.15</v>
      </c>
      <c r="H3471" s="17"/>
    </row>
    <row r="3472" spans="2:8" s="16" customFormat="1" ht="16.899999999999999" customHeight="1" x14ac:dyDescent="0.2">
      <c r="B3472" s="17"/>
      <c r="C3472" s="83" t="s">
        <v>5739</v>
      </c>
      <c r="D3472" s="83" t="s">
        <v>5740</v>
      </c>
      <c r="E3472" s="2" t="s">
        <v>425</v>
      </c>
      <c r="F3472" s="200">
        <v>651.04999999999995</v>
      </c>
      <c r="H3472" s="17"/>
    </row>
    <row r="3473" spans="2:8" s="16" customFormat="1" ht="16.899999999999999" customHeight="1" x14ac:dyDescent="0.2">
      <c r="B3473" s="17"/>
      <c r="C3473" s="83" t="s">
        <v>5330</v>
      </c>
      <c r="D3473" s="83" t="s">
        <v>5331</v>
      </c>
      <c r="E3473" s="2" t="s">
        <v>425</v>
      </c>
      <c r="F3473" s="200">
        <v>4158.29</v>
      </c>
      <c r="H3473" s="17"/>
    </row>
    <row r="3474" spans="2:8" s="16" customFormat="1" ht="16.899999999999999" customHeight="1" x14ac:dyDescent="0.2">
      <c r="B3474" s="17"/>
      <c r="C3474" s="83" t="s">
        <v>5440</v>
      </c>
      <c r="D3474" s="83" t="s">
        <v>5441</v>
      </c>
      <c r="E3474" s="2" t="s">
        <v>425</v>
      </c>
      <c r="F3474" s="200">
        <v>3313.86</v>
      </c>
      <c r="H3474" s="17"/>
    </row>
    <row r="3475" spans="2:8" s="16" customFormat="1" ht="16.899999999999999" customHeight="1" x14ac:dyDescent="0.2">
      <c r="B3475" s="17"/>
      <c r="C3475" s="196" t="s">
        <v>5159</v>
      </c>
      <c r="D3475" s="197"/>
      <c r="E3475" s="198"/>
      <c r="F3475" s="199">
        <v>389.33499999999998</v>
      </c>
      <c r="H3475" s="17"/>
    </row>
    <row r="3476" spans="2:8" s="16" customFormat="1" ht="16.899999999999999" customHeight="1" x14ac:dyDescent="0.2">
      <c r="B3476" s="17"/>
      <c r="C3476" s="83"/>
      <c r="D3476" s="83" t="s">
        <v>5689</v>
      </c>
      <c r="E3476" s="2"/>
      <c r="F3476" s="200">
        <v>0</v>
      </c>
      <c r="H3476" s="17"/>
    </row>
    <row r="3477" spans="2:8" s="16" customFormat="1" ht="16.899999999999999" customHeight="1" x14ac:dyDescent="0.2">
      <c r="B3477" s="17"/>
      <c r="C3477" s="83"/>
      <c r="D3477" s="83" t="s">
        <v>5690</v>
      </c>
      <c r="E3477" s="2"/>
      <c r="F3477" s="200">
        <v>389.33499999999998</v>
      </c>
      <c r="H3477" s="17"/>
    </row>
    <row r="3478" spans="2:8" s="16" customFormat="1" ht="16.899999999999999" customHeight="1" x14ac:dyDescent="0.2">
      <c r="B3478" s="17"/>
      <c r="C3478" s="83" t="s">
        <v>5159</v>
      </c>
      <c r="D3478" s="83" t="s">
        <v>609</v>
      </c>
      <c r="E3478" s="2"/>
      <c r="F3478" s="200">
        <v>389.33499999999998</v>
      </c>
      <c r="H3478" s="17"/>
    </row>
    <row r="3479" spans="2:8" s="16" customFormat="1" ht="16.899999999999999" customHeight="1" x14ac:dyDescent="0.2">
      <c r="B3479" s="17"/>
      <c r="C3479" s="201" t="s">
        <v>8859</v>
      </c>
      <c r="H3479" s="17"/>
    </row>
    <row r="3480" spans="2:8" s="16" customFormat="1" ht="16.899999999999999" customHeight="1" x14ac:dyDescent="0.2">
      <c r="B3480" s="17"/>
      <c r="C3480" s="83" t="s">
        <v>5686</v>
      </c>
      <c r="D3480" s="83" t="s">
        <v>5687</v>
      </c>
      <c r="E3480" s="2" t="s">
        <v>990</v>
      </c>
      <c r="F3480" s="200">
        <v>389.33499999999998</v>
      </c>
      <c r="H3480" s="17"/>
    </row>
    <row r="3481" spans="2:8" s="16" customFormat="1" ht="16.899999999999999" customHeight="1" x14ac:dyDescent="0.2">
      <c r="B3481" s="17"/>
      <c r="C3481" s="83" t="s">
        <v>5671</v>
      </c>
      <c r="D3481" s="83" t="s">
        <v>5672</v>
      </c>
      <c r="E3481" s="2" t="s">
        <v>990</v>
      </c>
      <c r="F3481" s="200">
        <v>434.07299999999998</v>
      </c>
      <c r="H3481" s="17"/>
    </row>
    <row r="3482" spans="2:8" s="16" customFormat="1" ht="16.899999999999999" customHeight="1" x14ac:dyDescent="0.2">
      <c r="B3482" s="17"/>
      <c r="C3482" s="196" t="s">
        <v>5676</v>
      </c>
      <c r="D3482" s="197"/>
      <c r="E3482" s="198"/>
      <c r="F3482" s="199">
        <v>1938.136</v>
      </c>
      <c r="H3482" s="17"/>
    </row>
    <row r="3483" spans="2:8" s="16" customFormat="1" ht="16.899999999999999" customHeight="1" x14ac:dyDescent="0.2">
      <c r="B3483" s="17"/>
      <c r="C3483" s="83"/>
      <c r="D3483" s="83" t="s">
        <v>5674</v>
      </c>
      <c r="E3483" s="2"/>
      <c r="F3483" s="200">
        <v>0</v>
      </c>
      <c r="H3483" s="17"/>
    </row>
    <row r="3484" spans="2:8" s="16" customFormat="1" ht="16.899999999999999" customHeight="1" x14ac:dyDescent="0.2">
      <c r="B3484" s="17"/>
      <c r="C3484" s="83"/>
      <c r="D3484" s="83" t="s">
        <v>5675</v>
      </c>
      <c r="E3484" s="2"/>
      <c r="F3484" s="200">
        <v>1938.136</v>
      </c>
      <c r="H3484" s="17"/>
    </row>
    <row r="3485" spans="2:8" s="16" customFormat="1" ht="16.899999999999999" customHeight="1" x14ac:dyDescent="0.2">
      <c r="B3485" s="17"/>
      <c r="C3485" s="83" t="s">
        <v>5676</v>
      </c>
      <c r="D3485" s="83" t="s">
        <v>609</v>
      </c>
      <c r="E3485" s="2"/>
      <c r="F3485" s="200">
        <v>1938.136</v>
      </c>
      <c r="H3485" s="17"/>
    </row>
    <row r="3486" spans="2:8" s="16" customFormat="1" ht="16.899999999999999" customHeight="1" x14ac:dyDescent="0.2">
      <c r="B3486" s="17"/>
      <c r="C3486" s="196" t="s">
        <v>5161</v>
      </c>
      <c r="D3486" s="197"/>
      <c r="E3486" s="198"/>
      <c r="F3486" s="199">
        <v>103.717</v>
      </c>
      <c r="H3486" s="17"/>
    </row>
    <row r="3487" spans="2:8" s="16" customFormat="1" ht="16.899999999999999" customHeight="1" x14ac:dyDescent="0.2">
      <c r="B3487" s="17"/>
      <c r="C3487" s="83"/>
      <c r="D3487" s="83" t="s">
        <v>5663</v>
      </c>
      <c r="E3487" s="2"/>
      <c r="F3487" s="200">
        <v>0</v>
      </c>
      <c r="H3487" s="17"/>
    </row>
    <row r="3488" spans="2:8" s="16" customFormat="1" ht="16.899999999999999" customHeight="1" x14ac:dyDescent="0.2">
      <c r="B3488" s="17"/>
      <c r="C3488" s="83"/>
      <c r="D3488" s="83" t="s">
        <v>5664</v>
      </c>
      <c r="E3488" s="2"/>
      <c r="F3488" s="200">
        <v>85.5</v>
      </c>
      <c r="H3488" s="17"/>
    </row>
    <row r="3489" spans="2:8" s="16" customFormat="1" ht="16.899999999999999" customHeight="1" x14ac:dyDescent="0.2">
      <c r="B3489" s="17"/>
      <c r="C3489" s="83"/>
      <c r="D3489" s="83" t="s">
        <v>5665</v>
      </c>
      <c r="E3489" s="2"/>
      <c r="F3489" s="200">
        <v>0</v>
      </c>
      <c r="H3489" s="17"/>
    </row>
    <row r="3490" spans="2:8" s="16" customFormat="1" ht="16.899999999999999" customHeight="1" x14ac:dyDescent="0.2">
      <c r="B3490" s="17"/>
      <c r="C3490" s="83"/>
      <c r="D3490" s="83" t="s">
        <v>5666</v>
      </c>
      <c r="E3490" s="2"/>
      <c r="F3490" s="200">
        <v>1.6060000000000001</v>
      </c>
      <c r="H3490" s="17"/>
    </row>
    <row r="3491" spans="2:8" s="16" customFormat="1" ht="16.899999999999999" customHeight="1" x14ac:dyDescent="0.2">
      <c r="B3491" s="17"/>
      <c r="C3491" s="83"/>
      <c r="D3491" s="83" t="s">
        <v>5667</v>
      </c>
      <c r="E3491" s="2"/>
      <c r="F3491" s="200">
        <v>2.3359999999999999</v>
      </c>
      <c r="H3491" s="17"/>
    </row>
    <row r="3492" spans="2:8" s="16" customFormat="1" ht="16.899999999999999" customHeight="1" x14ac:dyDescent="0.2">
      <c r="B3492" s="17"/>
      <c r="C3492" s="83"/>
      <c r="D3492" s="83" t="s">
        <v>5668</v>
      </c>
      <c r="E3492" s="2"/>
      <c r="F3492" s="200">
        <v>5.16</v>
      </c>
      <c r="H3492" s="17"/>
    </row>
    <row r="3493" spans="2:8" s="16" customFormat="1" ht="16.899999999999999" customHeight="1" x14ac:dyDescent="0.2">
      <c r="B3493" s="17"/>
      <c r="C3493" s="83"/>
      <c r="D3493" s="83" t="s">
        <v>5669</v>
      </c>
      <c r="E3493" s="2"/>
      <c r="F3493" s="200">
        <v>7.74</v>
      </c>
      <c r="H3493" s="17"/>
    </row>
    <row r="3494" spans="2:8" s="16" customFormat="1" ht="16.899999999999999" customHeight="1" x14ac:dyDescent="0.2">
      <c r="B3494" s="17"/>
      <c r="C3494" s="83"/>
      <c r="D3494" s="83" t="s">
        <v>5670</v>
      </c>
      <c r="E3494" s="2"/>
      <c r="F3494" s="200">
        <v>1.375</v>
      </c>
      <c r="H3494" s="17"/>
    </row>
    <row r="3495" spans="2:8" s="16" customFormat="1" ht="16.899999999999999" customHeight="1" x14ac:dyDescent="0.2">
      <c r="B3495" s="17"/>
      <c r="C3495" s="83" t="s">
        <v>5161</v>
      </c>
      <c r="D3495" s="83" t="s">
        <v>609</v>
      </c>
      <c r="E3495" s="2"/>
      <c r="F3495" s="200">
        <v>103.717</v>
      </c>
      <c r="H3495" s="17"/>
    </row>
    <row r="3496" spans="2:8" s="16" customFormat="1" ht="16.899999999999999" customHeight="1" x14ac:dyDescent="0.2">
      <c r="B3496" s="17"/>
      <c r="C3496" s="201" t="s">
        <v>8859</v>
      </c>
      <c r="H3496" s="17"/>
    </row>
    <row r="3497" spans="2:8" s="16" customFormat="1" ht="16.899999999999999" customHeight="1" x14ac:dyDescent="0.2">
      <c r="B3497" s="17"/>
      <c r="C3497" s="83" t="s">
        <v>5660</v>
      </c>
      <c r="D3497" s="83" t="s">
        <v>5661</v>
      </c>
      <c r="E3497" s="2" t="s">
        <v>990</v>
      </c>
      <c r="F3497" s="200">
        <v>103.717</v>
      </c>
      <c r="H3497" s="17"/>
    </row>
    <row r="3498" spans="2:8" s="16" customFormat="1" ht="16.899999999999999" customHeight="1" x14ac:dyDescent="0.2">
      <c r="B3498" s="17"/>
      <c r="C3498" s="83" t="s">
        <v>5671</v>
      </c>
      <c r="D3498" s="83" t="s">
        <v>5672</v>
      </c>
      <c r="E3498" s="2" t="s">
        <v>990</v>
      </c>
      <c r="F3498" s="200">
        <v>434.07299999999998</v>
      </c>
      <c r="H3498" s="17"/>
    </row>
    <row r="3499" spans="2:8" s="16" customFormat="1" ht="26.45" customHeight="1" x14ac:dyDescent="0.2">
      <c r="B3499" s="17"/>
      <c r="C3499" s="195" t="s">
        <v>8867</v>
      </c>
      <c r="D3499" s="195" t="s">
        <v>137</v>
      </c>
      <c r="H3499" s="17"/>
    </row>
    <row r="3500" spans="2:8" s="16" customFormat="1" ht="16.899999999999999" customHeight="1" x14ac:dyDescent="0.2">
      <c r="B3500" s="17"/>
      <c r="C3500" s="196" t="s">
        <v>6330</v>
      </c>
      <c r="D3500" s="197"/>
      <c r="E3500" s="198"/>
      <c r="F3500" s="199">
        <v>68.88</v>
      </c>
      <c r="H3500" s="17"/>
    </row>
    <row r="3501" spans="2:8" s="16" customFormat="1" ht="16.899999999999999" customHeight="1" x14ac:dyDescent="0.2">
      <c r="B3501" s="17"/>
      <c r="C3501" s="83"/>
      <c r="D3501" s="83" t="s">
        <v>6350</v>
      </c>
      <c r="E3501" s="2"/>
      <c r="F3501" s="200">
        <v>0</v>
      </c>
      <c r="H3501" s="17"/>
    </row>
    <row r="3502" spans="2:8" s="16" customFormat="1" ht="16.899999999999999" customHeight="1" x14ac:dyDescent="0.2">
      <c r="B3502" s="17"/>
      <c r="C3502" s="83"/>
      <c r="D3502" s="83" t="s">
        <v>6331</v>
      </c>
      <c r="E3502" s="2"/>
      <c r="F3502" s="200">
        <v>68.88</v>
      </c>
      <c r="H3502" s="17"/>
    </row>
    <row r="3503" spans="2:8" s="16" customFormat="1" ht="16.899999999999999" customHeight="1" x14ac:dyDescent="0.2">
      <c r="B3503" s="17"/>
      <c r="C3503" s="83" t="s">
        <v>6330</v>
      </c>
      <c r="D3503" s="83" t="s">
        <v>351</v>
      </c>
      <c r="E3503" s="2"/>
      <c r="F3503" s="200">
        <v>68.88</v>
      </c>
      <c r="H3503" s="17"/>
    </row>
    <row r="3504" spans="2:8" s="16" customFormat="1" ht="16.899999999999999" customHeight="1" x14ac:dyDescent="0.2">
      <c r="B3504" s="17"/>
      <c r="C3504" s="201" t="s">
        <v>8859</v>
      </c>
      <c r="H3504" s="17"/>
    </row>
    <row r="3505" spans="2:8" s="16" customFormat="1" ht="16.899999999999999" customHeight="1" x14ac:dyDescent="0.2">
      <c r="B3505" s="17"/>
      <c r="C3505" s="83" t="s">
        <v>6347</v>
      </c>
      <c r="D3505" s="83" t="s">
        <v>6348</v>
      </c>
      <c r="E3505" s="2" t="s">
        <v>342</v>
      </c>
      <c r="F3505" s="200">
        <v>68.88</v>
      </c>
      <c r="H3505" s="17"/>
    </row>
    <row r="3506" spans="2:8" s="16" customFormat="1" ht="16.899999999999999" customHeight="1" x14ac:dyDescent="0.2">
      <c r="B3506" s="17"/>
      <c r="C3506" s="83" t="s">
        <v>3168</v>
      </c>
      <c r="D3506" s="83" t="s">
        <v>3169</v>
      </c>
      <c r="E3506" s="2" t="s">
        <v>342</v>
      </c>
      <c r="F3506" s="200">
        <v>38.94</v>
      </c>
      <c r="H3506" s="17"/>
    </row>
    <row r="3507" spans="2:8" s="16" customFormat="1" ht="16.899999999999999" customHeight="1" x14ac:dyDescent="0.2">
      <c r="B3507" s="17"/>
      <c r="C3507" s="196" t="s">
        <v>6328</v>
      </c>
      <c r="D3507" s="197"/>
      <c r="E3507" s="198"/>
      <c r="F3507" s="199">
        <v>14.2</v>
      </c>
      <c r="H3507" s="17"/>
    </row>
    <row r="3508" spans="2:8" s="16" customFormat="1" ht="16.899999999999999" customHeight="1" x14ac:dyDescent="0.2">
      <c r="B3508" s="17"/>
      <c r="C3508" s="83"/>
      <c r="D3508" s="83" t="s">
        <v>6342</v>
      </c>
      <c r="E3508" s="2"/>
      <c r="F3508" s="200">
        <v>0</v>
      </c>
      <c r="H3508" s="17"/>
    </row>
    <row r="3509" spans="2:8" s="16" customFormat="1" ht="16.899999999999999" customHeight="1" x14ac:dyDescent="0.2">
      <c r="B3509" s="17"/>
      <c r="C3509" s="83"/>
      <c r="D3509" s="83" t="s">
        <v>6343</v>
      </c>
      <c r="E3509" s="2"/>
      <c r="F3509" s="200">
        <v>0</v>
      </c>
      <c r="H3509" s="17"/>
    </row>
    <row r="3510" spans="2:8" s="16" customFormat="1" ht="16.899999999999999" customHeight="1" x14ac:dyDescent="0.2">
      <c r="B3510" s="17"/>
      <c r="C3510" s="83"/>
      <c r="D3510" s="83" t="s">
        <v>6344</v>
      </c>
      <c r="E3510" s="2"/>
      <c r="F3510" s="200">
        <v>5.7</v>
      </c>
      <c r="H3510" s="17"/>
    </row>
    <row r="3511" spans="2:8" s="16" customFormat="1" ht="16.899999999999999" customHeight="1" x14ac:dyDescent="0.2">
      <c r="B3511" s="17"/>
      <c r="C3511" s="83"/>
      <c r="D3511" s="83" t="s">
        <v>6345</v>
      </c>
      <c r="E3511" s="2"/>
      <c r="F3511" s="200">
        <v>0</v>
      </c>
      <c r="H3511" s="17"/>
    </row>
    <row r="3512" spans="2:8" s="16" customFormat="1" ht="16.899999999999999" customHeight="1" x14ac:dyDescent="0.2">
      <c r="B3512" s="17"/>
      <c r="C3512" s="83"/>
      <c r="D3512" s="83" t="s">
        <v>6346</v>
      </c>
      <c r="E3512" s="2"/>
      <c r="F3512" s="200">
        <v>8.5</v>
      </c>
      <c r="H3512" s="17"/>
    </row>
    <row r="3513" spans="2:8" s="16" customFormat="1" ht="16.899999999999999" customHeight="1" x14ac:dyDescent="0.2">
      <c r="B3513" s="17"/>
      <c r="C3513" s="83" t="s">
        <v>6328</v>
      </c>
      <c r="D3513" s="83" t="s">
        <v>351</v>
      </c>
      <c r="E3513" s="2"/>
      <c r="F3513" s="200">
        <v>14.2</v>
      </c>
      <c r="H3513" s="17"/>
    </row>
    <row r="3514" spans="2:8" s="16" customFormat="1" ht="16.899999999999999" customHeight="1" x14ac:dyDescent="0.2">
      <c r="B3514" s="17"/>
      <c r="C3514" s="201" t="s">
        <v>8859</v>
      </c>
      <c r="H3514" s="17"/>
    </row>
    <row r="3515" spans="2:8" s="16" customFormat="1" ht="16.899999999999999" customHeight="1" x14ac:dyDescent="0.2">
      <c r="B3515" s="17"/>
      <c r="C3515" s="83" t="s">
        <v>6339</v>
      </c>
      <c r="D3515" s="83" t="s">
        <v>6340</v>
      </c>
      <c r="E3515" s="2" t="s">
        <v>342</v>
      </c>
      <c r="F3515" s="200">
        <v>14.2</v>
      </c>
      <c r="H3515" s="17"/>
    </row>
    <row r="3516" spans="2:8" s="16" customFormat="1" ht="16.899999999999999" customHeight="1" x14ac:dyDescent="0.2">
      <c r="B3516" s="17"/>
      <c r="C3516" s="83" t="s">
        <v>3168</v>
      </c>
      <c r="D3516" s="83" t="s">
        <v>3169</v>
      </c>
      <c r="E3516" s="2" t="s">
        <v>342</v>
      </c>
      <c r="F3516" s="200">
        <v>38.94</v>
      </c>
      <c r="H3516" s="17"/>
    </row>
    <row r="3517" spans="2:8" s="16" customFormat="1" ht="16.899999999999999" customHeight="1" x14ac:dyDescent="0.2">
      <c r="B3517" s="17"/>
      <c r="C3517" s="196" t="s">
        <v>3014</v>
      </c>
      <c r="D3517" s="197"/>
      <c r="E3517" s="198"/>
      <c r="F3517" s="199">
        <v>38.94</v>
      </c>
      <c r="H3517" s="17"/>
    </row>
    <row r="3518" spans="2:8" s="16" customFormat="1" ht="16.899999999999999" customHeight="1" x14ac:dyDescent="0.2">
      <c r="B3518" s="17"/>
      <c r="C3518" s="83"/>
      <c r="D3518" s="83" t="s">
        <v>3171</v>
      </c>
      <c r="E3518" s="2"/>
      <c r="F3518" s="200">
        <v>0</v>
      </c>
      <c r="H3518" s="17"/>
    </row>
    <row r="3519" spans="2:8" s="16" customFormat="1" ht="16.899999999999999" customHeight="1" x14ac:dyDescent="0.2">
      <c r="B3519" s="17"/>
      <c r="C3519" s="83"/>
      <c r="D3519" s="83" t="s">
        <v>3172</v>
      </c>
      <c r="E3519" s="2"/>
      <c r="F3519" s="200">
        <v>0</v>
      </c>
      <c r="H3519" s="17"/>
    </row>
    <row r="3520" spans="2:8" s="16" customFormat="1" ht="16.899999999999999" customHeight="1" x14ac:dyDescent="0.2">
      <c r="B3520" s="17"/>
      <c r="C3520" s="83"/>
      <c r="D3520" s="83" t="s">
        <v>6328</v>
      </c>
      <c r="E3520" s="2"/>
      <c r="F3520" s="200">
        <v>14.2</v>
      </c>
      <c r="H3520" s="17"/>
    </row>
    <row r="3521" spans="2:8" s="16" customFormat="1" ht="16.899999999999999" customHeight="1" x14ac:dyDescent="0.2">
      <c r="B3521" s="17"/>
      <c r="C3521" s="83"/>
      <c r="D3521" s="83" t="s">
        <v>6330</v>
      </c>
      <c r="E3521" s="2"/>
      <c r="F3521" s="200">
        <v>68.88</v>
      </c>
      <c r="H3521" s="17"/>
    </row>
    <row r="3522" spans="2:8" s="16" customFormat="1" ht="16.899999999999999" customHeight="1" x14ac:dyDescent="0.2">
      <c r="B3522" s="17"/>
      <c r="C3522" s="83"/>
      <c r="D3522" s="83" t="s">
        <v>6332</v>
      </c>
      <c r="E3522" s="2"/>
      <c r="F3522" s="200">
        <v>27.7</v>
      </c>
      <c r="H3522" s="17"/>
    </row>
    <row r="3523" spans="2:8" s="16" customFormat="1" ht="16.899999999999999" customHeight="1" x14ac:dyDescent="0.2">
      <c r="B3523" s="17"/>
      <c r="C3523" s="83"/>
      <c r="D3523" s="83" t="s">
        <v>3173</v>
      </c>
      <c r="E3523" s="2"/>
      <c r="F3523" s="200">
        <v>0</v>
      </c>
      <c r="H3523" s="17"/>
    </row>
    <row r="3524" spans="2:8" s="16" customFormat="1" ht="16.899999999999999" customHeight="1" x14ac:dyDescent="0.2">
      <c r="B3524" s="17"/>
      <c r="C3524" s="83"/>
      <c r="D3524" s="83" t="s">
        <v>3174</v>
      </c>
      <c r="E3524" s="2"/>
      <c r="F3524" s="200">
        <v>-71.84</v>
      </c>
      <c r="H3524" s="17"/>
    </row>
    <row r="3525" spans="2:8" s="16" customFormat="1" ht="16.899999999999999" customHeight="1" x14ac:dyDescent="0.2">
      <c r="B3525" s="17"/>
      <c r="C3525" s="83" t="s">
        <v>3014</v>
      </c>
      <c r="D3525" s="83" t="s">
        <v>351</v>
      </c>
      <c r="E3525" s="2"/>
      <c r="F3525" s="200">
        <v>38.94</v>
      </c>
      <c r="H3525" s="17"/>
    </row>
    <row r="3526" spans="2:8" s="16" customFormat="1" ht="16.899999999999999" customHeight="1" x14ac:dyDescent="0.2">
      <c r="B3526" s="17"/>
      <c r="C3526" s="201" t="s">
        <v>8859</v>
      </c>
      <c r="H3526" s="17"/>
    </row>
    <row r="3527" spans="2:8" s="16" customFormat="1" ht="16.899999999999999" customHeight="1" x14ac:dyDescent="0.2">
      <c r="B3527" s="17"/>
      <c r="C3527" s="83" t="s">
        <v>3168</v>
      </c>
      <c r="D3527" s="83" t="s">
        <v>3169</v>
      </c>
      <c r="E3527" s="2" t="s">
        <v>342</v>
      </c>
      <c r="F3527" s="200">
        <v>38.94</v>
      </c>
      <c r="H3527" s="17"/>
    </row>
    <row r="3528" spans="2:8" s="16" customFormat="1" ht="16.899999999999999" customHeight="1" x14ac:dyDescent="0.2">
      <c r="B3528" s="17"/>
      <c r="C3528" s="83" t="s">
        <v>3175</v>
      </c>
      <c r="D3528" s="83" t="s">
        <v>3176</v>
      </c>
      <c r="E3528" s="2" t="s">
        <v>342</v>
      </c>
      <c r="F3528" s="200">
        <v>194.7</v>
      </c>
      <c r="H3528" s="17"/>
    </row>
    <row r="3529" spans="2:8" s="16" customFormat="1" ht="16.899999999999999" customHeight="1" x14ac:dyDescent="0.2">
      <c r="B3529" s="17"/>
      <c r="C3529" s="83" t="s">
        <v>3186</v>
      </c>
      <c r="D3529" s="83" t="s">
        <v>3187</v>
      </c>
      <c r="E3529" s="2" t="s">
        <v>990</v>
      </c>
      <c r="F3529" s="200">
        <v>70.091999999999999</v>
      </c>
      <c r="H3529" s="17"/>
    </row>
    <row r="3530" spans="2:8" s="16" customFormat="1" ht="16.899999999999999" customHeight="1" x14ac:dyDescent="0.2">
      <c r="B3530" s="17"/>
      <c r="C3530" s="83" t="s">
        <v>3190</v>
      </c>
      <c r="D3530" s="83" t="s">
        <v>3191</v>
      </c>
      <c r="E3530" s="2" t="s">
        <v>342</v>
      </c>
      <c r="F3530" s="200">
        <v>38.94</v>
      </c>
      <c r="H3530" s="17"/>
    </row>
    <row r="3531" spans="2:8" s="16" customFormat="1" ht="16.899999999999999" customHeight="1" x14ac:dyDescent="0.2">
      <c r="B3531" s="17"/>
      <c r="C3531" s="196" t="s">
        <v>6332</v>
      </c>
      <c r="D3531" s="197"/>
      <c r="E3531" s="198"/>
      <c r="F3531" s="199">
        <v>27.7</v>
      </c>
      <c r="H3531" s="17"/>
    </row>
    <row r="3532" spans="2:8" s="16" customFormat="1" ht="16.899999999999999" customHeight="1" x14ac:dyDescent="0.2">
      <c r="B3532" s="17"/>
      <c r="C3532" s="83"/>
      <c r="D3532" s="83" t="s">
        <v>6354</v>
      </c>
      <c r="E3532" s="2"/>
      <c r="F3532" s="200">
        <v>0</v>
      </c>
      <c r="H3532" s="17"/>
    </row>
    <row r="3533" spans="2:8" s="16" customFormat="1" ht="16.899999999999999" customHeight="1" x14ac:dyDescent="0.2">
      <c r="B3533" s="17"/>
      <c r="C3533" s="83"/>
      <c r="D3533" s="83" t="s">
        <v>6355</v>
      </c>
      <c r="E3533" s="2"/>
      <c r="F3533" s="200">
        <v>27.7</v>
      </c>
      <c r="H3533" s="17"/>
    </row>
    <row r="3534" spans="2:8" s="16" customFormat="1" ht="16.899999999999999" customHeight="1" x14ac:dyDescent="0.2">
      <c r="B3534" s="17"/>
      <c r="C3534" s="83" t="s">
        <v>6332</v>
      </c>
      <c r="D3534" s="83" t="s">
        <v>351</v>
      </c>
      <c r="E3534" s="2"/>
      <c r="F3534" s="200">
        <v>27.7</v>
      </c>
      <c r="H3534" s="17"/>
    </row>
    <row r="3535" spans="2:8" s="16" customFormat="1" ht="16.899999999999999" customHeight="1" x14ac:dyDescent="0.2">
      <c r="B3535" s="17"/>
      <c r="C3535" s="201" t="s">
        <v>8859</v>
      </c>
      <c r="H3535" s="17"/>
    </row>
    <row r="3536" spans="2:8" s="16" customFormat="1" ht="16.899999999999999" customHeight="1" x14ac:dyDescent="0.2">
      <c r="B3536" s="17"/>
      <c r="C3536" s="83" t="s">
        <v>6351</v>
      </c>
      <c r="D3536" s="83" t="s">
        <v>6352</v>
      </c>
      <c r="E3536" s="2" t="s">
        <v>342</v>
      </c>
      <c r="F3536" s="200">
        <v>27.7</v>
      </c>
      <c r="H3536" s="17"/>
    </row>
    <row r="3537" spans="2:8" s="16" customFormat="1" ht="16.899999999999999" customHeight="1" x14ac:dyDescent="0.2">
      <c r="B3537" s="17"/>
      <c r="C3537" s="83" t="s">
        <v>3168</v>
      </c>
      <c r="D3537" s="83" t="s">
        <v>3169</v>
      </c>
      <c r="E3537" s="2" t="s">
        <v>342</v>
      </c>
      <c r="F3537" s="200">
        <v>38.94</v>
      </c>
      <c r="H3537" s="17"/>
    </row>
    <row r="3538" spans="2:8" s="16" customFormat="1" ht="16.899999999999999" customHeight="1" x14ac:dyDescent="0.2">
      <c r="B3538" s="17"/>
      <c r="C3538" s="196" t="s">
        <v>3031</v>
      </c>
      <c r="D3538" s="197"/>
      <c r="E3538" s="198"/>
      <c r="F3538" s="199">
        <v>71.84</v>
      </c>
      <c r="H3538" s="17"/>
    </row>
    <row r="3539" spans="2:8" s="16" customFormat="1" ht="16.899999999999999" customHeight="1" x14ac:dyDescent="0.2">
      <c r="B3539" s="17"/>
      <c r="C3539" s="83"/>
      <c r="D3539" s="83" t="s">
        <v>6384</v>
      </c>
      <c r="E3539" s="2"/>
      <c r="F3539" s="200">
        <v>0</v>
      </c>
      <c r="H3539" s="17"/>
    </row>
    <row r="3540" spans="2:8" s="16" customFormat="1" ht="16.899999999999999" customHeight="1" x14ac:dyDescent="0.2">
      <c r="B3540" s="17"/>
      <c r="C3540" s="83"/>
      <c r="D3540" s="83" t="s">
        <v>6385</v>
      </c>
      <c r="E3540" s="2"/>
      <c r="F3540" s="200">
        <v>13.65</v>
      </c>
      <c r="H3540" s="17"/>
    </row>
    <row r="3541" spans="2:8" s="16" customFormat="1" ht="16.899999999999999" customHeight="1" x14ac:dyDescent="0.2">
      <c r="B3541" s="17"/>
      <c r="C3541" s="83"/>
      <c r="D3541" s="83" t="s">
        <v>6386</v>
      </c>
      <c r="E3541" s="2"/>
      <c r="F3541" s="200">
        <v>0</v>
      </c>
      <c r="H3541" s="17"/>
    </row>
    <row r="3542" spans="2:8" s="16" customFormat="1" ht="16.899999999999999" customHeight="1" x14ac:dyDescent="0.2">
      <c r="B3542" s="17"/>
      <c r="C3542" s="83"/>
      <c r="D3542" s="83" t="s">
        <v>6387</v>
      </c>
      <c r="E3542" s="2"/>
      <c r="F3542" s="200">
        <v>4.7</v>
      </c>
      <c r="H3542" s="17"/>
    </row>
    <row r="3543" spans="2:8" s="16" customFormat="1" ht="16.899999999999999" customHeight="1" x14ac:dyDescent="0.2">
      <c r="B3543" s="17"/>
      <c r="C3543" s="83"/>
      <c r="D3543" s="83" t="s">
        <v>6388</v>
      </c>
      <c r="E3543" s="2"/>
      <c r="F3543" s="200">
        <v>0</v>
      </c>
      <c r="H3543" s="17"/>
    </row>
    <row r="3544" spans="2:8" s="16" customFormat="1" ht="16.899999999999999" customHeight="1" x14ac:dyDescent="0.2">
      <c r="B3544" s="17"/>
      <c r="C3544" s="83"/>
      <c r="D3544" s="83" t="s">
        <v>6389</v>
      </c>
      <c r="E3544" s="2"/>
      <c r="F3544" s="200">
        <v>7.54</v>
      </c>
      <c r="H3544" s="17"/>
    </row>
    <row r="3545" spans="2:8" s="16" customFormat="1" ht="16.899999999999999" customHeight="1" x14ac:dyDescent="0.2">
      <c r="B3545" s="17"/>
      <c r="C3545" s="83"/>
      <c r="D3545" s="83" t="s">
        <v>6390</v>
      </c>
      <c r="E3545" s="2"/>
      <c r="F3545" s="200">
        <v>0</v>
      </c>
      <c r="H3545" s="17"/>
    </row>
    <row r="3546" spans="2:8" s="16" customFormat="1" ht="16.899999999999999" customHeight="1" x14ac:dyDescent="0.2">
      <c r="B3546" s="17"/>
      <c r="C3546" s="83"/>
      <c r="D3546" s="83" t="s">
        <v>6391</v>
      </c>
      <c r="E3546" s="2"/>
      <c r="F3546" s="200">
        <v>45.95</v>
      </c>
      <c r="H3546" s="17"/>
    </row>
    <row r="3547" spans="2:8" s="16" customFormat="1" ht="16.899999999999999" customHeight="1" x14ac:dyDescent="0.2">
      <c r="B3547" s="17"/>
      <c r="C3547" s="83" t="s">
        <v>3031</v>
      </c>
      <c r="D3547" s="83" t="s">
        <v>351</v>
      </c>
      <c r="E3547" s="2"/>
      <c r="F3547" s="200">
        <v>71.84</v>
      </c>
      <c r="H3547" s="17"/>
    </row>
    <row r="3548" spans="2:8" s="16" customFormat="1" ht="16.899999999999999" customHeight="1" x14ac:dyDescent="0.2">
      <c r="B3548" s="17"/>
      <c r="C3548" s="201" t="s">
        <v>8859</v>
      </c>
      <c r="H3548" s="17"/>
    </row>
    <row r="3549" spans="2:8" s="16" customFormat="1" ht="16.899999999999999" customHeight="1" x14ac:dyDescent="0.2">
      <c r="B3549" s="17"/>
      <c r="C3549" s="83" t="s">
        <v>3195</v>
      </c>
      <c r="D3549" s="83" t="s">
        <v>3196</v>
      </c>
      <c r="E3549" s="2" t="s">
        <v>342</v>
      </c>
      <c r="F3549" s="200">
        <v>71.84</v>
      </c>
      <c r="H3549" s="17"/>
    </row>
    <row r="3550" spans="2:8" s="16" customFormat="1" ht="16.899999999999999" customHeight="1" x14ac:dyDescent="0.2">
      <c r="B3550" s="17"/>
      <c r="C3550" s="83" t="s">
        <v>3168</v>
      </c>
      <c r="D3550" s="83" t="s">
        <v>3169</v>
      </c>
      <c r="E3550" s="2" t="s">
        <v>342</v>
      </c>
      <c r="F3550" s="200">
        <v>38.94</v>
      </c>
      <c r="H3550" s="17"/>
    </row>
    <row r="3551" spans="2:8" s="16" customFormat="1" ht="7.35" customHeight="1" x14ac:dyDescent="0.2">
      <c r="B3551" s="30"/>
      <c r="C3551" s="19"/>
      <c r="D3551" s="19"/>
      <c r="E3551" s="19"/>
      <c r="F3551" s="19"/>
      <c r="G3551" s="19"/>
      <c r="H3551" s="17"/>
    </row>
    <row r="3552" spans="2:8" s="16" customFormat="1" x14ac:dyDescent="0.2"/>
  </sheetData>
  <sheetProtection algorithmName="SHA-512" hashValue="xNOWlzx/IC0mLK5HMAXONDPphfOwET3VpiXqBhOpAwIrDQmkSOyLcbf1yMHINkccV+H72x3fOmLLDUqbVxo21Q==" saltValue="cVanowofIUjboDEBMjeIUg==" spinCount="100000" sheet="1" objects="1" scenarios="1" formatCells="0" formatColumns="0" formatRows="0" autoFilter="0"/>
  <mergeCells count="2">
    <mergeCell ref="D5:F5"/>
    <mergeCell ref="D6:F6"/>
  </mergeCells>
  <pageMargins left="0.70000000000000007" right="0.70000000000000007" top="0.78740157500000008" bottom="0.78740157500000008" header="0.30000000000000004" footer="0.30000000000000004"/>
  <pageSetup paperSize="9" scale="75" fitToWidth="0" fitToHeight="0" orientation="landscape" r:id="rId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8"/>
  <dimension ref="A1:K320"/>
  <sheetViews>
    <sheetView workbookViewId="0"/>
  </sheetViews>
  <sheetFormatPr defaultColWidth="8.5" defaultRowHeight="12" x14ac:dyDescent="0.2"/>
  <cols>
    <col min="1" max="1" width="8.5" style="208" customWidth="1"/>
    <col min="2" max="2" width="16.83203125" style="208" customWidth="1"/>
    <col min="3" max="3" width="49.6640625" style="208" customWidth="1"/>
    <col min="4" max="4" width="14.33203125" style="232" customWidth="1"/>
    <col min="5" max="5" width="18.1640625" style="208" customWidth="1"/>
    <col min="6" max="6" width="30.1640625" style="233" customWidth="1"/>
    <col min="7" max="7" width="18.1640625" style="208" customWidth="1"/>
    <col min="8" max="9" width="7.5" style="234" customWidth="1"/>
    <col min="10" max="10" width="5.6640625" style="235" customWidth="1"/>
    <col min="11" max="11" width="11" style="233" customWidth="1"/>
    <col min="12" max="12" width="8.5" style="208" customWidth="1"/>
    <col min="13" max="16384" width="8.5" style="208"/>
  </cols>
  <sheetData>
    <row r="1" spans="1:11" ht="42.6" customHeight="1" x14ac:dyDescent="0.2">
      <c r="A1" s="202" t="s">
        <v>8868</v>
      </c>
      <c r="B1" s="203"/>
      <c r="C1" s="203"/>
      <c r="D1" s="203"/>
      <c r="E1" s="203"/>
      <c r="F1" s="203"/>
      <c r="G1" s="203"/>
      <c r="H1" s="204"/>
      <c r="I1" s="205"/>
      <c r="J1" s="206"/>
      <c r="K1" s="207"/>
    </row>
    <row r="2" spans="1:11" s="209" customFormat="1" ht="13.5" x14ac:dyDescent="0.2">
      <c r="D2" s="210"/>
      <c r="F2" s="211"/>
      <c r="H2" s="212"/>
      <c r="I2" s="212"/>
      <c r="J2" s="213"/>
      <c r="K2" s="211"/>
    </row>
    <row r="3" spans="1:11" s="209" customFormat="1" ht="13.5" x14ac:dyDescent="0.2">
      <c r="D3" s="210"/>
      <c r="F3" s="211"/>
      <c r="H3" s="212"/>
      <c r="I3" s="212"/>
      <c r="J3" s="213"/>
      <c r="K3" s="211"/>
    </row>
    <row r="4" spans="1:11" s="209" customFormat="1" ht="13.5" x14ac:dyDescent="0.2">
      <c r="C4" s="214" t="s">
        <v>8869</v>
      </c>
      <c r="D4" s="215"/>
      <c r="F4" s="216" t="s">
        <v>8870</v>
      </c>
      <c r="G4" s="217"/>
      <c r="H4" s="212"/>
      <c r="I4" s="212"/>
      <c r="J4" s="213"/>
      <c r="K4" s="211"/>
    </row>
    <row r="5" spans="1:11" s="209" customFormat="1" ht="15" x14ac:dyDescent="0.25">
      <c r="C5" s="218" t="s">
        <v>8871</v>
      </c>
      <c r="D5" s="219">
        <f t="shared" ref="D5:D13" si="0">SUMIFS($D$18:$D$318,$C$18:$C$318,C5)</f>
        <v>170.52775000000003</v>
      </c>
      <c r="F5" s="220" t="s">
        <v>8872</v>
      </c>
      <c r="G5" s="219">
        <f>SUMIFS($F$18:$F$318,$E$18:$E$318,F5)</f>
        <v>40.53</v>
      </c>
      <c r="H5" s="212"/>
      <c r="I5" s="212"/>
      <c r="J5" s="213"/>
      <c r="K5" s="211"/>
    </row>
    <row r="6" spans="1:11" s="209" customFormat="1" ht="13.5" x14ac:dyDescent="0.2">
      <c r="C6" s="217" t="s">
        <v>8873</v>
      </c>
      <c r="D6" s="219">
        <f t="shared" si="0"/>
        <v>119.26440000000001</v>
      </c>
      <c r="F6" s="220" t="s">
        <v>237</v>
      </c>
      <c r="G6" s="219">
        <f>SUMIFS($F$18:$F$318,$E$18:$E$318,F6)</f>
        <v>912.83529999999996</v>
      </c>
      <c r="H6" s="212"/>
      <c r="I6" s="212"/>
      <c r="J6" s="213"/>
      <c r="K6" s="211"/>
    </row>
    <row r="7" spans="1:11" s="209" customFormat="1" ht="13.5" x14ac:dyDescent="0.2">
      <c r="C7" s="217" t="s">
        <v>8874</v>
      </c>
      <c r="D7" s="219">
        <f t="shared" si="0"/>
        <v>540.80229999999995</v>
      </c>
      <c r="F7" s="220" t="s">
        <v>239</v>
      </c>
      <c r="G7" s="219">
        <f>SUMIFS($F$18:$F$318,$E$18:$E$318,F7)</f>
        <v>210.50699999999998</v>
      </c>
      <c r="H7" s="212"/>
      <c r="I7" s="212"/>
      <c r="J7" s="213"/>
      <c r="K7" s="211"/>
    </row>
    <row r="8" spans="1:11" s="209" customFormat="1" ht="13.5" x14ac:dyDescent="0.2">
      <c r="C8" s="217" t="s">
        <v>8875</v>
      </c>
      <c r="D8" s="219">
        <f t="shared" si="0"/>
        <v>7058.0571699999964</v>
      </c>
      <c r="F8" s="220" t="s">
        <v>241</v>
      </c>
      <c r="G8" s="219">
        <f>SUMIFS($F$18:$F$318,$E$18:$E$318,F8)</f>
        <v>17.873000000000001</v>
      </c>
      <c r="H8" s="212"/>
      <c r="I8" s="212"/>
      <c r="J8" s="213"/>
      <c r="K8" s="211"/>
    </row>
    <row r="9" spans="1:11" s="209" customFormat="1" ht="13.5" x14ac:dyDescent="0.2">
      <c r="C9" s="217" t="s">
        <v>8876</v>
      </c>
      <c r="D9" s="219">
        <f t="shared" si="0"/>
        <v>4.4769999999999985</v>
      </c>
      <c r="F9" s="219"/>
      <c r="G9" s="221"/>
      <c r="H9" s="212"/>
      <c r="I9" s="212"/>
      <c r="J9" s="213"/>
      <c r="K9" s="211"/>
    </row>
    <row r="10" spans="1:11" s="209" customFormat="1" ht="13.5" x14ac:dyDescent="0.2">
      <c r="C10" s="217" t="s">
        <v>8877</v>
      </c>
      <c r="D10" s="219">
        <f t="shared" si="0"/>
        <v>228.59</v>
      </c>
      <c r="F10" s="222" t="s">
        <v>351</v>
      </c>
      <c r="G10" s="221">
        <f>SUBTOTAL(9,G5:G9)</f>
        <v>1181.7453</v>
      </c>
      <c r="H10" s="212"/>
      <c r="I10" s="212"/>
      <c r="J10" s="213"/>
      <c r="K10" s="211"/>
    </row>
    <row r="11" spans="1:11" s="209" customFormat="1" ht="13.5" x14ac:dyDescent="0.2">
      <c r="C11" s="217" t="s">
        <v>8878</v>
      </c>
      <c r="D11" s="219">
        <f t="shared" si="0"/>
        <v>157.19271000000001</v>
      </c>
      <c r="F11" s="211"/>
      <c r="H11" s="212"/>
      <c r="I11" s="212"/>
      <c r="J11" s="213"/>
      <c r="K11" s="211"/>
    </row>
    <row r="12" spans="1:11" s="209" customFormat="1" ht="13.5" x14ac:dyDescent="0.2">
      <c r="C12" s="217" t="s">
        <v>8879</v>
      </c>
      <c r="D12" s="219">
        <f t="shared" si="0"/>
        <v>42.410999999999987</v>
      </c>
      <c r="F12" s="211"/>
      <c r="H12" s="212"/>
      <c r="I12" s="212"/>
      <c r="J12" s="213"/>
      <c r="K12" s="211"/>
    </row>
    <row r="13" spans="1:11" s="209" customFormat="1" ht="13.5" x14ac:dyDescent="0.2">
      <c r="C13" s="217" t="s">
        <v>8880</v>
      </c>
      <c r="D13" s="219">
        <f t="shared" si="0"/>
        <v>1132.4532999999997</v>
      </c>
      <c r="F13" s="211"/>
      <c r="H13" s="212"/>
      <c r="I13" s="212"/>
      <c r="J13" s="213"/>
      <c r="K13" s="211"/>
    </row>
    <row r="14" spans="1:11" s="209" customFormat="1" ht="13.5" x14ac:dyDescent="0.2">
      <c r="C14" s="217"/>
      <c r="D14" s="219"/>
      <c r="F14" s="211"/>
      <c r="H14" s="212"/>
      <c r="I14" s="212"/>
      <c r="J14" s="213"/>
      <c r="K14" s="211"/>
    </row>
    <row r="15" spans="1:11" s="209" customFormat="1" ht="13.5" x14ac:dyDescent="0.2">
      <c r="C15" s="217" t="s">
        <v>351</v>
      </c>
      <c r="D15" s="219">
        <f>SUBTOTAL(9,D5:D14)</f>
        <v>9453.7756299999965</v>
      </c>
      <c r="F15" s="211"/>
      <c r="H15" s="212"/>
      <c r="I15" s="212"/>
      <c r="J15" s="213"/>
      <c r="K15" s="211"/>
    </row>
    <row r="16" spans="1:11" s="209" customFormat="1" ht="13.5" x14ac:dyDescent="0.2">
      <c r="D16" s="210"/>
      <c r="F16" s="211"/>
      <c r="H16" s="212"/>
      <c r="I16" s="212"/>
      <c r="J16" s="213"/>
      <c r="K16" s="211"/>
    </row>
    <row r="17" spans="1:11" ht="54" x14ac:dyDescent="0.2">
      <c r="A17" s="223" t="s">
        <v>8881</v>
      </c>
      <c r="B17" s="223" t="s">
        <v>8882</v>
      </c>
      <c r="C17" s="223" t="s">
        <v>8883</v>
      </c>
      <c r="D17" s="223" t="s">
        <v>8884</v>
      </c>
      <c r="E17" s="223" t="s">
        <v>8885</v>
      </c>
      <c r="F17" s="224" t="s">
        <v>8886</v>
      </c>
      <c r="G17" s="223" t="s">
        <v>8887</v>
      </c>
      <c r="H17" s="225" t="s">
        <v>8888</v>
      </c>
      <c r="I17" s="225" t="s">
        <v>8889</v>
      </c>
      <c r="J17" s="224" t="s">
        <v>8890</v>
      </c>
      <c r="K17" s="224" t="s">
        <v>8891</v>
      </c>
    </row>
    <row r="18" spans="1:11" ht="21.2" customHeight="1" x14ac:dyDescent="0.2">
      <c r="A18" s="226" t="s">
        <v>2024</v>
      </c>
      <c r="B18" s="226" t="s">
        <v>8892</v>
      </c>
      <c r="C18" s="226" t="s">
        <v>8880</v>
      </c>
      <c r="D18" s="227">
        <f t="shared" ref="D18:D27" si="1">I18*J18+K18-F18</f>
        <v>60.902500000000003</v>
      </c>
      <c r="E18" s="223"/>
      <c r="F18" s="228"/>
      <c r="G18" s="226" t="s">
        <v>8871</v>
      </c>
      <c r="H18" s="229">
        <v>37850</v>
      </c>
      <c r="I18" s="228">
        <f t="shared" ref="I18:I81" si="2">H18/1000</f>
        <v>37.85</v>
      </c>
      <c r="J18" s="224">
        <v>1.65</v>
      </c>
      <c r="K18" s="228">
        <f>-1*1.55</f>
        <v>-1.55</v>
      </c>
    </row>
    <row r="19" spans="1:11" ht="21.2" customHeight="1" x14ac:dyDescent="0.2">
      <c r="A19" s="226" t="s">
        <v>2016</v>
      </c>
      <c r="B19" s="226" t="s">
        <v>8892</v>
      </c>
      <c r="C19" s="226" t="s">
        <v>8880</v>
      </c>
      <c r="D19" s="227">
        <f t="shared" si="1"/>
        <v>19.791499999999996</v>
      </c>
      <c r="E19" s="223"/>
      <c r="F19" s="228"/>
      <c r="G19" s="226" t="s">
        <v>8871</v>
      </c>
      <c r="H19" s="229">
        <v>12950</v>
      </c>
      <c r="I19" s="228">
        <f t="shared" si="2"/>
        <v>12.95</v>
      </c>
      <c r="J19" s="224">
        <v>1.65</v>
      </c>
      <c r="K19" s="228">
        <f>-0.8*1.97</f>
        <v>-1.5760000000000001</v>
      </c>
    </row>
    <row r="20" spans="1:11" ht="21.2" customHeight="1" x14ac:dyDescent="0.2">
      <c r="A20" s="226" t="s">
        <v>2018</v>
      </c>
      <c r="B20" s="226" t="s">
        <v>8893</v>
      </c>
      <c r="C20" s="226" t="s">
        <v>8880</v>
      </c>
      <c r="D20" s="227">
        <f t="shared" si="1"/>
        <v>33.017499999999998</v>
      </c>
      <c r="E20" s="223"/>
      <c r="F20" s="228"/>
      <c r="G20" s="226" t="s">
        <v>8871</v>
      </c>
      <c r="H20" s="229">
        <v>20950</v>
      </c>
      <c r="I20" s="228">
        <f t="shared" si="2"/>
        <v>20.95</v>
      </c>
      <c r="J20" s="224">
        <v>1.65</v>
      </c>
      <c r="K20" s="228">
        <f>-1*1.55</f>
        <v>-1.55</v>
      </c>
    </row>
    <row r="21" spans="1:11" ht="21.2" customHeight="1" x14ac:dyDescent="0.2">
      <c r="A21" s="226" t="s">
        <v>5069</v>
      </c>
      <c r="B21" s="226" t="s">
        <v>8894</v>
      </c>
      <c r="C21" s="226" t="s">
        <v>8880</v>
      </c>
      <c r="D21" s="227">
        <f t="shared" si="1"/>
        <v>71.0745</v>
      </c>
      <c r="E21" s="223"/>
      <c r="F21" s="228"/>
      <c r="G21" s="226" t="s">
        <v>8871</v>
      </c>
      <c r="H21" s="229">
        <v>25750</v>
      </c>
      <c r="I21" s="228">
        <f t="shared" si="2"/>
        <v>25.75</v>
      </c>
      <c r="J21" s="224">
        <v>2.85</v>
      </c>
      <c r="K21" s="228">
        <f>-(0.9*1.97+0.9*0.6)</f>
        <v>-2.3129999999999997</v>
      </c>
    </row>
    <row r="22" spans="1:11" ht="21.2" customHeight="1" x14ac:dyDescent="0.2">
      <c r="A22" s="226" t="s">
        <v>1118</v>
      </c>
      <c r="B22" s="226" t="s">
        <v>8895</v>
      </c>
      <c r="C22" s="226" t="s">
        <v>8880</v>
      </c>
      <c r="D22" s="227">
        <f t="shared" si="1"/>
        <v>84.837000000000003</v>
      </c>
      <c r="E22" s="223"/>
      <c r="F22" s="228"/>
      <c r="G22" s="226" t="s">
        <v>8896</v>
      </c>
      <c r="H22" s="229">
        <v>34600</v>
      </c>
      <c r="I22" s="228">
        <f t="shared" si="2"/>
        <v>34.6</v>
      </c>
      <c r="J22" s="224">
        <v>2.5499999999999998</v>
      </c>
      <c r="K22" s="228">
        <f>-(0.9*1.97+0.9*0.6*3)</f>
        <v>-3.3929999999999998</v>
      </c>
    </row>
    <row r="23" spans="1:11" ht="21.2" customHeight="1" x14ac:dyDescent="0.2">
      <c r="A23" s="226" t="s">
        <v>5598</v>
      </c>
      <c r="B23" s="226" t="s">
        <v>8894</v>
      </c>
      <c r="C23" s="226" t="s">
        <v>8880</v>
      </c>
      <c r="D23" s="227">
        <f t="shared" si="1"/>
        <v>41.54699999999999</v>
      </c>
      <c r="E23" s="223"/>
      <c r="F23" s="228"/>
      <c r="G23" s="226" t="s">
        <v>8871</v>
      </c>
      <c r="H23" s="229">
        <v>17200</v>
      </c>
      <c r="I23" s="228">
        <f t="shared" si="2"/>
        <v>17.2</v>
      </c>
      <c r="J23" s="224">
        <v>2.5499999999999998</v>
      </c>
      <c r="K23" s="228">
        <f>-(0.9*1.97+0.9*0.6)</f>
        <v>-2.3129999999999997</v>
      </c>
    </row>
    <row r="24" spans="1:11" ht="21.2" customHeight="1" x14ac:dyDescent="0.2">
      <c r="A24" s="226" t="s">
        <v>8897</v>
      </c>
      <c r="B24" s="226" t="s">
        <v>8894</v>
      </c>
      <c r="C24" s="226" t="s">
        <v>8880</v>
      </c>
      <c r="D24" s="227">
        <f t="shared" si="1"/>
        <v>47.92199999999999</v>
      </c>
      <c r="E24" s="223"/>
      <c r="F24" s="228"/>
      <c r="G24" s="226" t="s">
        <v>8871</v>
      </c>
      <c r="H24" s="229">
        <v>19700</v>
      </c>
      <c r="I24" s="228">
        <f t="shared" si="2"/>
        <v>19.7</v>
      </c>
      <c r="J24" s="224">
        <v>2.5499999999999998</v>
      </c>
      <c r="K24" s="228">
        <f>-(0.9*1.97+0.9*0.6)</f>
        <v>-2.3129999999999997</v>
      </c>
    </row>
    <row r="25" spans="1:11" ht="21.2" customHeight="1" x14ac:dyDescent="0.2">
      <c r="A25" s="226" t="s">
        <v>5070</v>
      </c>
      <c r="B25" s="226" t="s">
        <v>8898</v>
      </c>
      <c r="C25" s="226" t="s">
        <v>8880</v>
      </c>
      <c r="D25" s="227">
        <f t="shared" si="1"/>
        <v>50.325000000000003</v>
      </c>
      <c r="E25" s="223"/>
      <c r="F25" s="228"/>
      <c r="G25" s="226" t="s">
        <v>8899</v>
      </c>
      <c r="H25" s="229">
        <v>23800</v>
      </c>
      <c r="I25" s="228">
        <f t="shared" si="2"/>
        <v>23.8</v>
      </c>
      <c r="J25" s="224">
        <v>2.5499999999999998</v>
      </c>
      <c r="K25" s="228">
        <f>-(0.9*1.97*3+0.9*2.1+1.2*2.18+0.9*0.6)</f>
        <v>-10.364999999999998</v>
      </c>
    </row>
    <row r="26" spans="1:11" ht="48.4" customHeight="1" x14ac:dyDescent="0.2">
      <c r="A26" s="226" t="s">
        <v>2020</v>
      </c>
      <c r="B26" s="226" t="s">
        <v>8898</v>
      </c>
      <c r="C26" s="226" t="s">
        <v>8877</v>
      </c>
      <c r="D26" s="227">
        <f t="shared" si="1"/>
        <v>45.264000000000003</v>
      </c>
      <c r="E26" s="223"/>
      <c r="F26" s="228"/>
      <c r="G26" s="226" t="s">
        <v>8871</v>
      </c>
      <c r="H26" s="229">
        <v>20300</v>
      </c>
      <c r="I26" s="228">
        <f t="shared" si="2"/>
        <v>20.3</v>
      </c>
      <c r="J26" s="224">
        <v>2.5499999999999998</v>
      </c>
      <c r="K26" s="228">
        <f>-(0.8*1.97*3+0.9*1.97)</f>
        <v>-6.5009999999999994</v>
      </c>
    </row>
    <row r="27" spans="1:11" ht="60.4" customHeight="1" x14ac:dyDescent="0.2">
      <c r="A27" s="226" t="s">
        <v>5109</v>
      </c>
      <c r="B27" s="226" t="s">
        <v>8900</v>
      </c>
      <c r="C27" s="226" t="s">
        <v>8880</v>
      </c>
      <c r="D27" s="227">
        <f t="shared" si="1"/>
        <v>16.459499999999998</v>
      </c>
      <c r="E27" s="223"/>
      <c r="F27" s="228"/>
      <c r="G27" s="226" t="s">
        <v>8899</v>
      </c>
      <c r="H27" s="229">
        <v>7150</v>
      </c>
      <c r="I27" s="228">
        <f t="shared" si="2"/>
        <v>7.15</v>
      </c>
      <c r="J27" s="224">
        <v>2.5499999999999998</v>
      </c>
      <c r="K27" s="228">
        <f>-0.9*1.97</f>
        <v>-1.7729999999999999</v>
      </c>
    </row>
    <row r="28" spans="1:11" ht="21.2" customHeight="1" x14ac:dyDescent="0.2">
      <c r="A28" s="226" t="s">
        <v>1103</v>
      </c>
      <c r="B28" s="226" t="s">
        <v>8901</v>
      </c>
      <c r="C28" s="226" t="s">
        <v>8880</v>
      </c>
      <c r="D28" s="227">
        <f>I28*J28+K28</f>
        <v>57.744499999999988</v>
      </c>
      <c r="E28" s="223" t="s">
        <v>8872</v>
      </c>
      <c r="F28" s="228">
        <f>(2.7+1.9)*2.55</f>
        <v>11.729999999999999</v>
      </c>
      <c r="G28" s="226" t="s">
        <v>8902</v>
      </c>
      <c r="H28" s="229">
        <v>24150</v>
      </c>
      <c r="I28" s="228">
        <f t="shared" si="2"/>
        <v>24.15</v>
      </c>
      <c r="J28" s="224">
        <v>2.5499999999999998</v>
      </c>
      <c r="K28" s="228">
        <f>-(1.4*1.97+0.9*0.6*2)</f>
        <v>-3.8380000000000001</v>
      </c>
    </row>
    <row r="29" spans="1:11" ht="21.2" customHeight="1" x14ac:dyDescent="0.2">
      <c r="A29" s="226" t="s">
        <v>1105</v>
      </c>
      <c r="B29" s="226" t="s">
        <v>8903</v>
      </c>
      <c r="C29" s="226" t="s">
        <v>8880</v>
      </c>
      <c r="D29" s="227">
        <f>I29*J29+K29</f>
        <v>94.65949999999998</v>
      </c>
      <c r="E29" s="223" t="s">
        <v>8872</v>
      </c>
      <c r="F29" s="228">
        <f>(1.2*2+2.7*2)*2.55</f>
        <v>19.89</v>
      </c>
      <c r="G29" s="226" t="s">
        <v>8904</v>
      </c>
      <c r="H29" s="229">
        <v>39050</v>
      </c>
      <c r="I29" s="228">
        <f t="shared" si="2"/>
        <v>39.049999999999997</v>
      </c>
      <c r="J29" s="224">
        <v>2.5499999999999998</v>
      </c>
      <c r="K29" s="228">
        <f>-(1.4*1.97+0.9*0.6*4)</f>
        <v>-4.9180000000000001</v>
      </c>
    </row>
    <row r="30" spans="1:11" ht="21.2" customHeight="1" x14ac:dyDescent="0.2">
      <c r="A30" s="226" t="s">
        <v>2022</v>
      </c>
      <c r="B30" s="226" t="s">
        <v>8894</v>
      </c>
      <c r="C30" s="226" t="s">
        <v>8877</v>
      </c>
      <c r="D30" s="227">
        <f t="shared" ref="D30:D61" si="3">I30*J30+K30-F30</f>
        <v>20.667000000000002</v>
      </c>
      <c r="E30" s="223"/>
      <c r="F30" s="228"/>
      <c r="G30" s="226" t="s">
        <v>8871</v>
      </c>
      <c r="H30" s="229">
        <v>8800</v>
      </c>
      <c r="I30" s="228">
        <f t="shared" si="2"/>
        <v>8.8000000000000007</v>
      </c>
      <c r="J30" s="224">
        <v>2.5499999999999998</v>
      </c>
      <c r="K30" s="228">
        <f>-0.9*1.97</f>
        <v>-1.7729999999999999</v>
      </c>
    </row>
    <row r="31" spans="1:11" ht="21.2" customHeight="1" x14ac:dyDescent="0.2">
      <c r="A31" s="226" t="s">
        <v>8905</v>
      </c>
      <c r="B31" s="226" t="s">
        <v>8906</v>
      </c>
      <c r="C31" s="226" t="s">
        <v>8879</v>
      </c>
      <c r="D31" s="227">
        <f t="shared" si="3"/>
        <v>4.3449999999999989</v>
      </c>
      <c r="E31" s="223" t="s">
        <v>239</v>
      </c>
      <c r="F31" s="228">
        <f>7.9*2-0.9*1.97</f>
        <v>14.027000000000001</v>
      </c>
      <c r="G31" s="226" t="s">
        <v>8899</v>
      </c>
      <c r="H31" s="229">
        <v>7900</v>
      </c>
      <c r="I31" s="228">
        <f t="shared" si="2"/>
        <v>7.9</v>
      </c>
      <c r="J31" s="224">
        <v>2.5499999999999998</v>
      </c>
      <c r="K31" s="228">
        <f>-0.9*1.97</f>
        <v>-1.7729999999999999</v>
      </c>
    </row>
    <row r="32" spans="1:11" ht="21.2" customHeight="1" x14ac:dyDescent="0.2">
      <c r="A32" s="226" t="s">
        <v>1190</v>
      </c>
      <c r="B32" s="226" t="s">
        <v>8907</v>
      </c>
      <c r="C32" s="226" t="s">
        <v>8880</v>
      </c>
      <c r="D32" s="227">
        <f t="shared" si="3"/>
        <v>44.1205</v>
      </c>
      <c r="E32" s="223"/>
      <c r="F32" s="228"/>
      <c r="G32" s="226" t="s">
        <v>8899</v>
      </c>
      <c r="H32" s="229">
        <v>18750</v>
      </c>
      <c r="I32" s="228">
        <f t="shared" si="2"/>
        <v>18.75</v>
      </c>
      <c r="J32" s="224">
        <v>2.5499999999999998</v>
      </c>
      <c r="K32" s="228">
        <f>-(0.7*1.97+0.9*1.97+0.9*0.6)</f>
        <v>-3.6920000000000002</v>
      </c>
    </row>
    <row r="33" spans="1:11" ht="21.2" customHeight="1" x14ac:dyDescent="0.2">
      <c r="A33" s="226" t="s">
        <v>8908</v>
      </c>
      <c r="B33" s="226" t="s">
        <v>8909</v>
      </c>
      <c r="C33" s="226" t="s">
        <v>8879</v>
      </c>
      <c r="D33" s="227">
        <f t="shared" si="3"/>
        <v>5.8979999999999997</v>
      </c>
      <c r="E33" s="223" t="s">
        <v>239</v>
      </c>
      <c r="F33" s="228">
        <f>(1.45+0.8)*2</f>
        <v>4.5</v>
      </c>
      <c r="G33" s="226" t="s">
        <v>8910</v>
      </c>
      <c r="H33" s="229">
        <v>5700</v>
      </c>
      <c r="I33" s="228">
        <f t="shared" si="2"/>
        <v>5.7</v>
      </c>
      <c r="J33" s="224">
        <v>2.5499999999999998</v>
      </c>
      <c r="K33" s="228">
        <f>-0.7*1.97*3</f>
        <v>-4.1370000000000005</v>
      </c>
    </row>
    <row r="34" spans="1:11" ht="21.2" customHeight="1" x14ac:dyDescent="0.2">
      <c r="A34" s="226" t="s">
        <v>8911</v>
      </c>
      <c r="B34" s="226" t="s">
        <v>8912</v>
      </c>
      <c r="C34" s="226" t="s">
        <v>8879</v>
      </c>
      <c r="D34" s="227">
        <f t="shared" si="3"/>
        <v>2.5299999999999994</v>
      </c>
      <c r="E34" s="223" t="s">
        <v>239</v>
      </c>
      <c r="F34" s="228">
        <f>4.6*2-0.7*1.97</f>
        <v>7.8209999999999997</v>
      </c>
      <c r="G34" s="226" t="s">
        <v>8910</v>
      </c>
      <c r="H34" s="229">
        <v>4600</v>
      </c>
      <c r="I34" s="228">
        <f t="shared" si="2"/>
        <v>4.5999999999999996</v>
      </c>
      <c r="J34" s="224">
        <v>2.5499999999999998</v>
      </c>
      <c r="K34" s="228">
        <f>-0.7*1.97</f>
        <v>-1.379</v>
      </c>
    </row>
    <row r="35" spans="1:11" ht="21.2" customHeight="1" x14ac:dyDescent="0.2">
      <c r="A35" s="226" t="s">
        <v>2074</v>
      </c>
      <c r="B35" s="226" t="s">
        <v>8913</v>
      </c>
      <c r="C35" s="226" t="s">
        <v>8879</v>
      </c>
      <c r="D35" s="227">
        <f t="shared" si="3"/>
        <v>2.5299999999999994</v>
      </c>
      <c r="E35" s="223" t="s">
        <v>239</v>
      </c>
      <c r="F35" s="228">
        <f>4.6*2-0.7*1.97</f>
        <v>7.8209999999999997</v>
      </c>
      <c r="G35" s="226" t="s">
        <v>8910</v>
      </c>
      <c r="H35" s="229">
        <v>4600</v>
      </c>
      <c r="I35" s="228">
        <f t="shared" si="2"/>
        <v>4.5999999999999996</v>
      </c>
      <c r="J35" s="224">
        <v>2.5499999999999998</v>
      </c>
      <c r="K35" s="228">
        <f>-0.7*1.97</f>
        <v>-1.379</v>
      </c>
    </row>
    <row r="36" spans="1:11" ht="21.2" customHeight="1" x14ac:dyDescent="0.2">
      <c r="A36" s="226" t="s">
        <v>8914</v>
      </c>
      <c r="B36" s="226" t="s">
        <v>8898</v>
      </c>
      <c r="C36" s="226" t="s">
        <v>8880</v>
      </c>
      <c r="D36" s="227">
        <f t="shared" si="3"/>
        <v>235.99399999999997</v>
      </c>
      <c r="E36" s="223"/>
      <c r="F36" s="228"/>
      <c r="G36" s="226" t="s">
        <v>8915</v>
      </c>
      <c r="H36" s="229">
        <v>101740</v>
      </c>
      <c r="I36" s="228">
        <f t="shared" si="2"/>
        <v>101.74</v>
      </c>
      <c r="J36" s="224">
        <v>2.5499999999999998</v>
      </c>
      <c r="K36" s="228">
        <f>-(0.9*1.97*9+0.8*1.97+1.6*1.97+1.4*1.97)</f>
        <v>-23.442999999999998</v>
      </c>
    </row>
    <row r="37" spans="1:11" ht="21.2" customHeight="1" x14ac:dyDescent="0.2">
      <c r="A37" s="226" t="s">
        <v>8916</v>
      </c>
      <c r="B37" s="226" t="s">
        <v>8917</v>
      </c>
      <c r="C37" s="226" t="s">
        <v>8879</v>
      </c>
      <c r="D37" s="227">
        <f t="shared" si="3"/>
        <v>3.9874999999999972</v>
      </c>
      <c r="E37" s="223" t="s">
        <v>237</v>
      </c>
      <c r="F37" s="228">
        <f>7.25*2-0.9*1.97</f>
        <v>12.727</v>
      </c>
      <c r="G37" s="226" t="s">
        <v>8910</v>
      </c>
      <c r="H37" s="229">
        <v>7250</v>
      </c>
      <c r="I37" s="228">
        <f t="shared" si="2"/>
        <v>7.25</v>
      </c>
      <c r="J37" s="224">
        <v>2.5499999999999998</v>
      </c>
      <c r="K37" s="228">
        <f>-0.9*1.97</f>
        <v>-1.7729999999999999</v>
      </c>
    </row>
    <row r="38" spans="1:11" ht="21.2" customHeight="1" x14ac:dyDescent="0.2">
      <c r="A38" s="226" t="s">
        <v>8918</v>
      </c>
      <c r="B38" s="226" t="s">
        <v>8919</v>
      </c>
      <c r="C38" s="226" t="s">
        <v>8880</v>
      </c>
      <c r="D38" s="227">
        <f t="shared" si="3"/>
        <v>15.709</v>
      </c>
      <c r="E38" s="223" t="s">
        <v>239</v>
      </c>
      <c r="F38" s="228">
        <f>(3.5+2.25)*2</f>
        <v>11.5</v>
      </c>
      <c r="G38" s="226" t="s">
        <v>8899</v>
      </c>
      <c r="H38" s="229">
        <v>11500</v>
      </c>
      <c r="I38" s="228">
        <f t="shared" si="2"/>
        <v>11.5</v>
      </c>
      <c r="J38" s="224">
        <v>2.5499999999999998</v>
      </c>
      <c r="K38" s="228">
        <f>-(0.8*1.97+0.9*0.6)</f>
        <v>-2.1160000000000001</v>
      </c>
    </row>
    <row r="39" spans="1:11" ht="21.2" customHeight="1" x14ac:dyDescent="0.2">
      <c r="A39" s="226" t="s">
        <v>5110</v>
      </c>
      <c r="B39" s="226" t="s">
        <v>8892</v>
      </c>
      <c r="C39" s="226" t="s">
        <v>8880</v>
      </c>
      <c r="D39" s="227">
        <f t="shared" si="3"/>
        <v>20.411999999999995</v>
      </c>
      <c r="E39" s="223"/>
      <c r="F39" s="228"/>
      <c r="G39" s="226" t="s">
        <v>8871</v>
      </c>
      <c r="H39" s="229">
        <v>8700</v>
      </c>
      <c r="I39" s="228">
        <f t="shared" si="2"/>
        <v>8.6999999999999993</v>
      </c>
      <c r="J39" s="224">
        <v>2.5499999999999998</v>
      </c>
      <c r="K39" s="228">
        <f>-0.9*1.97</f>
        <v>-1.7729999999999999</v>
      </c>
    </row>
    <row r="40" spans="1:11" ht="21.2" customHeight="1" x14ac:dyDescent="0.2">
      <c r="A40" s="226" t="s">
        <v>1186</v>
      </c>
      <c r="B40" s="226" t="s">
        <v>8920</v>
      </c>
      <c r="C40" s="226" t="s">
        <v>8879</v>
      </c>
      <c r="D40" s="227">
        <f t="shared" si="3"/>
        <v>23.120499999999993</v>
      </c>
      <c r="E40" s="223" t="s">
        <v>239</v>
      </c>
      <c r="F40" s="228">
        <f>(2.4+4.8)*2</f>
        <v>14.399999999999999</v>
      </c>
      <c r="G40" s="226" t="s">
        <v>8899</v>
      </c>
      <c r="H40" s="229">
        <v>15950</v>
      </c>
      <c r="I40" s="228">
        <f t="shared" si="2"/>
        <v>15.95</v>
      </c>
      <c r="J40" s="224">
        <v>2.5499999999999998</v>
      </c>
      <c r="K40" s="228">
        <f>-0.8*1.97*2</f>
        <v>-3.1520000000000001</v>
      </c>
    </row>
    <row r="41" spans="1:11" ht="21.2" customHeight="1" x14ac:dyDescent="0.2">
      <c r="A41" s="226" t="s">
        <v>2024</v>
      </c>
      <c r="B41" s="226" t="s">
        <v>8892</v>
      </c>
      <c r="C41" s="226" t="s">
        <v>8880</v>
      </c>
      <c r="D41" s="227">
        <f t="shared" si="3"/>
        <v>89.808499999999995</v>
      </c>
      <c r="E41" s="223"/>
      <c r="F41" s="228"/>
      <c r="G41" s="226" t="s">
        <v>8871</v>
      </c>
      <c r="H41" s="229">
        <v>37850</v>
      </c>
      <c r="I41" s="228">
        <f t="shared" si="2"/>
        <v>37.85</v>
      </c>
      <c r="J41" s="224">
        <v>2.5499999999999998</v>
      </c>
      <c r="K41" s="228">
        <f>-(0.9*1.97+1.7*1.07+0.9*1.97+1.2*1.12)</f>
        <v>-6.7089999999999996</v>
      </c>
    </row>
    <row r="42" spans="1:11" ht="21.2" customHeight="1" x14ac:dyDescent="0.2">
      <c r="A42" s="226" t="s">
        <v>1509</v>
      </c>
      <c r="B42" s="226" t="s">
        <v>514</v>
      </c>
      <c r="C42" s="226" t="s">
        <v>8880</v>
      </c>
      <c r="D42" s="227">
        <f t="shared" si="3"/>
        <v>67.48299999999999</v>
      </c>
      <c r="E42" s="223"/>
      <c r="F42" s="228"/>
      <c r="G42" s="226" t="s">
        <v>8899</v>
      </c>
      <c r="H42" s="229">
        <v>27700</v>
      </c>
      <c r="I42" s="228">
        <f t="shared" si="2"/>
        <v>27.7</v>
      </c>
      <c r="J42" s="224">
        <v>2.5499999999999998</v>
      </c>
      <c r="K42" s="228">
        <f>-1.6*1.97</f>
        <v>-3.1520000000000001</v>
      </c>
    </row>
    <row r="43" spans="1:11" ht="21.2" customHeight="1" x14ac:dyDescent="0.2">
      <c r="A43" s="226" t="s">
        <v>2026</v>
      </c>
      <c r="B43" s="226" t="s">
        <v>8921</v>
      </c>
      <c r="C43" s="226" t="s">
        <v>8877</v>
      </c>
      <c r="D43" s="227">
        <f t="shared" si="3"/>
        <v>59.725000000000001</v>
      </c>
      <c r="E43" s="223"/>
      <c r="F43" s="228"/>
      <c r="G43" s="226" t="s">
        <v>8871</v>
      </c>
      <c r="H43" s="229">
        <v>27500</v>
      </c>
      <c r="I43" s="228">
        <f t="shared" si="2"/>
        <v>27.5</v>
      </c>
      <c r="J43" s="224">
        <v>2.5499999999999998</v>
      </c>
      <c r="K43" s="228">
        <f>-(0.7*1.97+0.9*1.97+2.4*1.07+2.4*1.95)</f>
        <v>-10.4</v>
      </c>
    </row>
    <row r="44" spans="1:11" ht="21.2" customHeight="1" x14ac:dyDescent="0.2">
      <c r="A44" s="226" t="s">
        <v>651</v>
      </c>
      <c r="B44" s="226" t="s">
        <v>8922</v>
      </c>
      <c r="C44" s="226" t="s">
        <v>8876</v>
      </c>
      <c r="D44" s="227">
        <f t="shared" si="3"/>
        <v>4.4769999999999985</v>
      </c>
      <c r="E44" s="223" t="s">
        <v>239</v>
      </c>
      <c r="F44" s="228">
        <f>8.14*2-0.7*1.97</f>
        <v>14.901000000000002</v>
      </c>
      <c r="G44" s="226" t="s">
        <v>8910</v>
      </c>
      <c r="H44" s="229">
        <v>8140</v>
      </c>
      <c r="I44" s="228">
        <f t="shared" si="2"/>
        <v>8.14</v>
      </c>
      <c r="J44" s="224">
        <v>2.5499999999999998</v>
      </c>
      <c r="K44" s="228">
        <f>-0.7*1.97</f>
        <v>-1.379</v>
      </c>
    </row>
    <row r="45" spans="1:11" ht="13.5" x14ac:dyDescent="0.2">
      <c r="A45" s="226" t="s">
        <v>2028</v>
      </c>
      <c r="B45" s="226" t="s">
        <v>8894</v>
      </c>
      <c r="C45" s="226" t="s">
        <v>8877</v>
      </c>
      <c r="D45" s="227">
        <f t="shared" si="3"/>
        <v>47.406500000000001</v>
      </c>
      <c r="E45" s="223"/>
      <c r="F45" s="228"/>
      <c r="G45" s="226" t="s">
        <v>8871</v>
      </c>
      <c r="H45" s="229">
        <v>19670</v>
      </c>
      <c r="I45" s="228">
        <f t="shared" si="2"/>
        <v>19.670000000000002</v>
      </c>
      <c r="J45" s="224">
        <v>2.5499999999999998</v>
      </c>
      <c r="K45" s="228">
        <f>-(0.8*1.97+1.96*0.6)</f>
        <v>-2.7519999999999998</v>
      </c>
    </row>
    <row r="46" spans="1:11" ht="13.5" x14ac:dyDescent="0.2">
      <c r="A46" s="226" t="s">
        <v>2030</v>
      </c>
      <c r="B46" s="226" t="s">
        <v>8894</v>
      </c>
      <c r="C46" s="226" t="s">
        <v>8877</v>
      </c>
      <c r="D46" s="227">
        <f t="shared" si="3"/>
        <v>55.527499999999996</v>
      </c>
      <c r="E46" s="223"/>
      <c r="F46" s="228"/>
      <c r="G46" s="226" t="s">
        <v>8871</v>
      </c>
      <c r="H46" s="229">
        <v>23550</v>
      </c>
      <c r="I46" s="228">
        <f t="shared" si="2"/>
        <v>23.55</v>
      </c>
      <c r="J46" s="224">
        <v>2.5499999999999998</v>
      </c>
      <c r="K46" s="228">
        <f>-(0.8*1.97+0.9*1.97+1.96*0.6)</f>
        <v>-4.5250000000000004</v>
      </c>
    </row>
    <row r="47" spans="1:11" ht="21.2" customHeight="1" x14ac:dyDescent="0.2">
      <c r="A47" s="226" t="s">
        <v>8923</v>
      </c>
      <c r="B47" s="226" t="s">
        <v>8924</v>
      </c>
      <c r="C47" s="226" t="s">
        <v>8871</v>
      </c>
      <c r="D47" s="227">
        <f t="shared" si="3"/>
        <v>30.437350000000002</v>
      </c>
      <c r="E47" s="223"/>
      <c r="F47" s="228"/>
      <c r="G47" s="226" t="s">
        <v>8871</v>
      </c>
      <c r="H47" s="229">
        <v>8339</v>
      </c>
      <c r="I47" s="228">
        <f t="shared" si="2"/>
        <v>8.3390000000000004</v>
      </c>
      <c r="J47" s="224">
        <v>3.65</v>
      </c>
      <c r="K47" s="230"/>
    </row>
    <row r="48" spans="1:11" ht="21.2" customHeight="1" x14ac:dyDescent="0.2">
      <c r="A48" s="226" t="s">
        <v>2032</v>
      </c>
      <c r="B48" s="226" t="s">
        <v>8925</v>
      </c>
      <c r="C48" s="226" t="s">
        <v>8880</v>
      </c>
      <c r="D48" s="227">
        <f t="shared" si="3"/>
        <v>38.779249999999998</v>
      </c>
      <c r="E48" s="223"/>
      <c r="F48" s="228"/>
      <c r="G48" s="226" t="s">
        <v>8871</v>
      </c>
      <c r="H48" s="229">
        <v>17555</v>
      </c>
      <c r="I48" s="228">
        <f t="shared" si="2"/>
        <v>17.555</v>
      </c>
      <c r="J48" s="224">
        <v>2.5499999999999998</v>
      </c>
      <c r="K48" s="228">
        <f>-(2.3*1.97+0.97*0.75*2)</f>
        <v>-5.9859999999999998</v>
      </c>
    </row>
    <row r="49" spans="1:11" ht="21.2" customHeight="1" x14ac:dyDescent="0.2">
      <c r="A49" s="226" t="s">
        <v>2034</v>
      </c>
      <c r="B49" s="226" t="s">
        <v>8894</v>
      </c>
      <c r="C49" s="226" t="s">
        <v>8880</v>
      </c>
      <c r="D49" s="227">
        <f t="shared" si="3"/>
        <v>41.866549999999989</v>
      </c>
      <c r="E49" s="223"/>
      <c r="F49" s="228"/>
      <c r="G49" s="226" t="s">
        <v>8871</v>
      </c>
      <c r="H49" s="229">
        <v>19051</v>
      </c>
      <c r="I49" s="228">
        <f t="shared" si="2"/>
        <v>19.050999999999998</v>
      </c>
      <c r="J49" s="224">
        <v>2.5499999999999998</v>
      </c>
      <c r="K49" s="228">
        <f>-(2.3*1.97+0.97*0.75*3)</f>
        <v>-6.7134999999999998</v>
      </c>
    </row>
    <row r="50" spans="1:11" ht="21.2" customHeight="1" x14ac:dyDescent="0.2">
      <c r="A50" s="226" t="s">
        <v>8926</v>
      </c>
      <c r="B50" s="226" t="s">
        <v>8927</v>
      </c>
      <c r="C50" s="226" t="s">
        <v>8875</v>
      </c>
      <c r="D50" s="227">
        <f t="shared" si="3"/>
        <v>49.412499999999994</v>
      </c>
      <c r="E50" s="223" t="s">
        <v>241</v>
      </c>
      <c r="F50" s="228">
        <f>4.05*1.22</f>
        <v>4.9409999999999998</v>
      </c>
      <c r="G50" s="226" t="s">
        <v>8899</v>
      </c>
      <c r="H50" s="229">
        <v>28650</v>
      </c>
      <c r="I50" s="228">
        <f t="shared" si="2"/>
        <v>28.65</v>
      </c>
      <c r="J50" s="224">
        <v>2.99</v>
      </c>
      <c r="K50" s="228">
        <f xml:space="preserve"> -(0.9*2.1+4.5*2.64+2*1.4*2.1+4.4*2.65)</f>
        <v>-31.310000000000002</v>
      </c>
    </row>
    <row r="51" spans="1:11" ht="21.2" customHeight="1" x14ac:dyDescent="0.2">
      <c r="A51" s="226" t="s">
        <v>5073</v>
      </c>
      <c r="B51" s="226" t="s">
        <v>8898</v>
      </c>
      <c r="C51" s="226" t="s">
        <v>8875</v>
      </c>
      <c r="D51" s="227">
        <f t="shared" si="3"/>
        <v>35.725000000000001</v>
      </c>
      <c r="E51" s="223"/>
      <c r="F51" s="228"/>
      <c r="G51" s="226" t="s">
        <v>8899</v>
      </c>
      <c r="H51" s="229">
        <v>16200</v>
      </c>
      <c r="I51" s="228">
        <f t="shared" si="2"/>
        <v>16.2</v>
      </c>
      <c r="J51" s="224">
        <v>2.99</v>
      </c>
      <c r="K51" s="228">
        <f>-(0.8*1.97*2+1.25*2.1+1.2*1.8+1.2*1.8+1.2*2.18)</f>
        <v>-12.713000000000001</v>
      </c>
    </row>
    <row r="52" spans="1:11" ht="21.2" customHeight="1" x14ac:dyDescent="0.2">
      <c r="A52" s="226" t="s">
        <v>5072</v>
      </c>
      <c r="B52" s="226" t="s">
        <v>8898</v>
      </c>
      <c r="C52" s="226" t="s">
        <v>8875</v>
      </c>
      <c r="D52" s="227">
        <f t="shared" si="3"/>
        <v>157.35100000000003</v>
      </c>
      <c r="E52" s="223"/>
      <c r="F52" s="228"/>
      <c r="G52" s="226" t="s">
        <v>8899</v>
      </c>
      <c r="H52" s="229">
        <v>72900</v>
      </c>
      <c r="I52" s="228">
        <f t="shared" si="2"/>
        <v>72.900000000000006</v>
      </c>
      <c r="J52" s="224">
        <v>2.99</v>
      </c>
      <c r="K52" s="228">
        <f>-(0.9*2.1*2+0.8*1.97*5+5.4*1.8*3+5.5*1.8*2)</f>
        <v>-60.620000000000005</v>
      </c>
    </row>
    <row r="53" spans="1:11" ht="21.2" customHeight="1" x14ac:dyDescent="0.2">
      <c r="A53" s="226" t="s">
        <v>8928</v>
      </c>
      <c r="B53" s="226" t="s">
        <v>8917</v>
      </c>
      <c r="C53" s="226" t="s">
        <v>8874</v>
      </c>
      <c r="D53" s="227">
        <f t="shared" si="3"/>
        <v>6.6330000000000009</v>
      </c>
      <c r="E53" s="223" t="s">
        <v>237</v>
      </c>
      <c r="F53" s="228">
        <f>6.7*2-0.8*1.97</f>
        <v>11.824</v>
      </c>
      <c r="G53" s="226" t="s">
        <v>8899</v>
      </c>
      <c r="H53" s="229">
        <v>6700</v>
      </c>
      <c r="I53" s="228">
        <f t="shared" si="2"/>
        <v>6.7</v>
      </c>
      <c r="J53" s="224">
        <v>2.99</v>
      </c>
      <c r="K53" s="228">
        <f>-0.8*1.97</f>
        <v>-1.5760000000000001</v>
      </c>
    </row>
    <row r="54" spans="1:11" ht="21.2" customHeight="1" x14ac:dyDescent="0.2">
      <c r="A54" s="226" t="s">
        <v>5074</v>
      </c>
      <c r="B54" s="226" t="s">
        <v>8929</v>
      </c>
      <c r="C54" s="226" t="s">
        <v>8875</v>
      </c>
      <c r="D54" s="227">
        <f t="shared" si="3"/>
        <v>44.436500000000002</v>
      </c>
      <c r="E54" s="223" t="s">
        <v>239</v>
      </c>
      <c r="F54" s="228">
        <f>(4.35+1.45+0.7)*1.4</f>
        <v>9.1</v>
      </c>
      <c r="G54" s="226" t="s">
        <v>8930</v>
      </c>
      <c r="H54" s="229">
        <v>20150</v>
      </c>
      <c r="I54" s="228">
        <f t="shared" si="2"/>
        <v>20.149999999999999</v>
      </c>
      <c r="J54" s="224">
        <v>2.99</v>
      </c>
      <c r="K54" s="228">
        <f>-(0.8*1.97+2.675*1.92)</f>
        <v>-6.7119999999999997</v>
      </c>
    </row>
    <row r="55" spans="1:11" ht="21.2" customHeight="1" x14ac:dyDescent="0.2">
      <c r="A55" s="226" t="s">
        <v>5075</v>
      </c>
      <c r="B55" s="226" t="s">
        <v>8931</v>
      </c>
      <c r="C55" s="226" t="s">
        <v>8875</v>
      </c>
      <c r="D55" s="227">
        <f t="shared" si="3"/>
        <v>68.104500000000002</v>
      </c>
      <c r="E55" s="223" t="s">
        <v>241</v>
      </c>
      <c r="F55" s="228">
        <f>4.4*1.22</f>
        <v>5.3680000000000003</v>
      </c>
      <c r="G55" s="226" t="s">
        <v>8896</v>
      </c>
      <c r="H55" s="229">
        <v>28250</v>
      </c>
      <c r="I55" s="228">
        <f t="shared" si="2"/>
        <v>28.25</v>
      </c>
      <c r="J55" s="224">
        <v>2.99</v>
      </c>
      <c r="K55" s="228">
        <f>-(1.4*2.1+1.8*1.8+2.675*1.8)</f>
        <v>-10.994999999999999</v>
      </c>
    </row>
    <row r="56" spans="1:11" ht="21.2" customHeight="1" x14ac:dyDescent="0.2">
      <c r="A56" s="226" t="s">
        <v>1511</v>
      </c>
      <c r="B56" s="226" t="s">
        <v>514</v>
      </c>
      <c r="C56" s="226" t="s">
        <v>8875</v>
      </c>
      <c r="D56" s="227">
        <f t="shared" si="3"/>
        <v>28.098999999999997</v>
      </c>
      <c r="E56" s="223"/>
      <c r="F56" s="228"/>
      <c r="G56" s="226" t="s">
        <v>8899</v>
      </c>
      <c r="H56" s="229">
        <v>20500</v>
      </c>
      <c r="I56" s="228">
        <f t="shared" si="2"/>
        <v>20.5</v>
      </c>
      <c r="J56" s="224">
        <v>2.99</v>
      </c>
      <c r="K56" s="228">
        <f>-(4.5*2.46+3.6*2.99+3.8*2.99)</f>
        <v>-33.196000000000005</v>
      </c>
    </row>
    <row r="57" spans="1:11" ht="21.2" customHeight="1" x14ac:dyDescent="0.2">
      <c r="A57" s="226" t="s">
        <v>8932</v>
      </c>
      <c r="B57" s="226" t="s">
        <v>8898</v>
      </c>
      <c r="C57" s="226" t="s">
        <v>8875</v>
      </c>
      <c r="D57" s="227">
        <f t="shared" si="3"/>
        <v>82.131399999999999</v>
      </c>
      <c r="E57" s="223"/>
      <c r="F57" s="228"/>
      <c r="G57" s="226" t="s">
        <v>8899</v>
      </c>
      <c r="H57" s="229">
        <v>32210</v>
      </c>
      <c r="I57" s="228">
        <f t="shared" si="2"/>
        <v>32.21</v>
      </c>
      <c r="J57" s="224">
        <v>2.99</v>
      </c>
      <c r="K57" s="228">
        <f>-(1.4*2.1+1.35*2.99+4*1.8)</f>
        <v>-14.176500000000001</v>
      </c>
    </row>
    <row r="58" spans="1:11" ht="21.2" customHeight="1" x14ac:dyDescent="0.2">
      <c r="A58" s="226" t="s">
        <v>8933</v>
      </c>
      <c r="B58" s="226" t="s">
        <v>8934</v>
      </c>
      <c r="C58" s="226" t="s">
        <v>8875</v>
      </c>
      <c r="D58" s="227">
        <f t="shared" si="3"/>
        <v>51.687000000000005</v>
      </c>
      <c r="E58" s="223"/>
      <c r="F58" s="228"/>
      <c r="G58" s="226" t="s">
        <v>8896</v>
      </c>
      <c r="H58" s="229">
        <v>19800</v>
      </c>
      <c r="I58" s="228">
        <f t="shared" si="2"/>
        <v>19.8</v>
      </c>
      <c r="J58" s="224">
        <v>3</v>
      </c>
      <c r="K58" s="228">
        <f>-(0.9*1.97+1.35*1.8+1.95*1.8)</f>
        <v>-7.7130000000000001</v>
      </c>
    </row>
    <row r="59" spans="1:11" ht="21.2" customHeight="1" x14ac:dyDescent="0.2">
      <c r="A59" s="226" t="s">
        <v>8935</v>
      </c>
      <c r="B59" s="226" t="s">
        <v>8912</v>
      </c>
      <c r="C59" s="226" t="s">
        <v>8874</v>
      </c>
      <c r="D59" s="227">
        <f t="shared" si="3"/>
        <v>11.338400000000004</v>
      </c>
      <c r="E59" s="223" t="s">
        <v>239</v>
      </c>
      <c r="F59" s="228">
        <f>10.06*2-0.7*1.97*3</f>
        <v>15.983000000000001</v>
      </c>
      <c r="G59" s="226" t="s">
        <v>8910</v>
      </c>
      <c r="H59" s="229">
        <v>10060</v>
      </c>
      <c r="I59" s="228">
        <f t="shared" si="2"/>
        <v>10.06</v>
      </c>
      <c r="J59" s="224">
        <v>2.99</v>
      </c>
      <c r="K59" s="228">
        <f>-0.7*1.97*2</f>
        <v>-2.758</v>
      </c>
    </row>
    <row r="60" spans="1:11" ht="21.2" customHeight="1" x14ac:dyDescent="0.2">
      <c r="A60" s="226" t="s">
        <v>1513</v>
      </c>
      <c r="B60" s="226" t="s">
        <v>514</v>
      </c>
      <c r="C60" s="226" t="s">
        <v>8875</v>
      </c>
      <c r="D60" s="227">
        <f t="shared" si="3"/>
        <v>37.679999999999993</v>
      </c>
      <c r="E60" s="223"/>
      <c r="F60" s="228"/>
      <c r="G60" s="226" t="s">
        <v>8899</v>
      </c>
      <c r="H60" s="229">
        <v>19610</v>
      </c>
      <c r="I60" s="228">
        <f t="shared" si="2"/>
        <v>19.61</v>
      </c>
      <c r="J60" s="224">
        <v>3</v>
      </c>
      <c r="K60" s="228">
        <f>-(1.4*2.1+6.07*3)</f>
        <v>-21.150000000000002</v>
      </c>
    </row>
    <row r="61" spans="1:11" ht="21.2" customHeight="1" x14ac:dyDescent="0.2">
      <c r="A61" s="226" t="s">
        <v>5076</v>
      </c>
      <c r="B61" s="226" t="s">
        <v>8892</v>
      </c>
      <c r="C61" s="226" t="s">
        <v>8873</v>
      </c>
      <c r="D61" s="227">
        <f t="shared" si="3"/>
        <v>38.324000000000005</v>
      </c>
      <c r="E61" s="223" t="s">
        <v>8936</v>
      </c>
      <c r="F61" s="228"/>
      <c r="G61" s="226"/>
      <c r="H61" s="229">
        <v>13300</v>
      </c>
      <c r="I61" s="228">
        <f t="shared" si="2"/>
        <v>13.3</v>
      </c>
      <c r="J61" s="224">
        <v>3</v>
      </c>
      <c r="K61" s="228">
        <f>-0.8*1.97</f>
        <v>-1.5760000000000001</v>
      </c>
    </row>
    <row r="62" spans="1:11" ht="21.2" customHeight="1" x14ac:dyDescent="0.2">
      <c r="A62" s="226" t="s">
        <v>5077</v>
      </c>
      <c r="B62" s="226" t="s">
        <v>8937</v>
      </c>
      <c r="C62" s="226" t="s">
        <v>8875</v>
      </c>
      <c r="D62" s="227">
        <f t="shared" ref="D62:D93" si="4">I62*J62+K62-F62</f>
        <v>72.747</v>
      </c>
      <c r="E62" s="223"/>
      <c r="F62" s="228"/>
      <c r="G62" s="226" t="s">
        <v>8896</v>
      </c>
      <c r="H62" s="229">
        <v>29520</v>
      </c>
      <c r="I62" s="228">
        <f t="shared" si="2"/>
        <v>29.52</v>
      </c>
      <c r="J62" s="224">
        <v>3</v>
      </c>
      <c r="K62" s="228">
        <f>-(0.9*1.97+3.9*1.8*2)</f>
        <v>-15.812999999999999</v>
      </c>
    </row>
    <row r="63" spans="1:11" ht="21.2" customHeight="1" x14ac:dyDescent="0.2">
      <c r="A63" s="226" t="s">
        <v>5111</v>
      </c>
      <c r="B63" s="226" t="s">
        <v>8924</v>
      </c>
      <c r="C63" s="226" t="s">
        <v>8871</v>
      </c>
      <c r="D63" s="227">
        <f t="shared" si="4"/>
        <v>22.320600000000002</v>
      </c>
      <c r="E63" s="223"/>
      <c r="F63" s="228"/>
      <c r="G63" s="226"/>
      <c r="H63" s="229">
        <v>8340</v>
      </c>
      <c r="I63" s="228">
        <f t="shared" si="2"/>
        <v>8.34</v>
      </c>
      <c r="J63" s="224">
        <v>2.99</v>
      </c>
      <c r="K63" s="228">
        <f>-1.2*2.18</f>
        <v>-2.6160000000000001</v>
      </c>
    </row>
    <row r="64" spans="1:11" ht="21.2" customHeight="1" x14ac:dyDescent="0.2">
      <c r="A64" s="226" t="s">
        <v>1525</v>
      </c>
      <c r="B64" s="226" t="s">
        <v>8938</v>
      </c>
      <c r="C64" s="226" t="s">
        <v>8875</v>
      </c>
      <c r="D64" s="227">
        <f t="shared" si="4"/>
        <v>80.924650000000014</v>
      </c>
      <c r="E64" s="223" t="s">
        <v>241</v>
      </c>
      <c r="F64" s="228">
        <f>6.2*1.22</f>
        <v>7.5640000000000001</v>
      </c>
      <c r="G64" s="226" t="s">
        <v>8899</v>
      </c>
      <c r="H64" s="229">
        <v>49981</v>
      </c>
      <c r="I64" s="228">
        <f t="shared" si="2"/>
        <v>49.981000000000002</v>
      </c>
      <c r="J64" s="224">
        <v>3.45</v>
      </c>
      <c r="K64" s="228">
        <f>-(4.4*3.45+4.2*3.07+4.49*3.95+2.19*2.99+6.78*2.99+3.28*3.45)</f>
        <v>-83.945800000000006</v>
      </c>
    </row>
    <row r="65" spans="1:11" ht="21.2" customHeight="1" x14ac:dyDescent="0.2">
      <c r="A65" s="226" t="s">
        <v>8939</v>
      </c>
      <c r="B65" s="226" t="s">
        <v>8940</v>
      </c>
      <c r="C65" s="231" t="s">
        <v>8878</v>
      </c>
      <c r="D65" s="227">
        <f t="shared" si="4"/>
        <v>64.072710000000001</v>
      </c>
      <c r="E65" s="223"/>
      <c r="F65" s="228"/>
      <c r="G65" s="226" t="s">
        <v>8899</v>
      </c>
      <c r="H65" s="229">
        <v>21429</v>
      </c>
      <c r="I65" s="228">
        <f t="shared" si="2"/>
        <v>21.428999999999998</v>
      </c>
      <c r="J65" s="224">
        <v>2.99</v>
      </c>
      <c r="K65" s="230"/>
    </row>
    <row r="66" spans="1:11" ht="21.2" customHeight="1" x14ac:dyDescent="0.2">
      <c r="A66" s="226" t="s">
        <v>8941</v>
      </c>
      <c r="B66" s="226" t="s">
        <v>8942</v>
      </c>
      <c r="C66" s="226" t="s">
        <v>8875</v>
      </c>
      <c r="D66" s="227">
        <f t="shared" si="4"/>
        <v>19.125000000000004</v>
      </c>
      <c r="E66" s="223"/>
      <c r="F66" s="228"/>
      <c r="G66" s="226" t="s">
        <v>8896</v>
      </c>
      <c r="H66" s="229">
        <v>8900</v>
      </c>
      <c r="I66" s="228">
        <f t="shared" si="2"/>
        <v>8.9</v>
      </c>
      <c r="J66" s="224">
        <v>2.99</v>
      </c>
      <c r="K66" s="228">
        <f>-(0.7*1.97*2+0.8*1.97*3)</f>
        <v>-7.4859999999999998</v>
      </c>
    </row>
    <row r="67" spans="1:11" ht="21.2" customHeight="1" x14ac:dyDescent="0.2">
      <c r="A67" s="226" t="s">
        <v>8943</v>
      </c>
      <c r="B67" s="226" t="s">
        <v>8944</v>
      </c>
      <c r="C67" s="226" t="s">
        <v>8875</v>
      </c>
      <c r="D67" s="227">
        <f t="shared" si="4"/>
        <v>39.474499999999999</v>
      </c>
      <c r="E67" s="223"/>
      <c r="F67" s="228"/>
      <c r="G67" s="226" t="s">
        <v>8896</v>
      </c>
      <c r="H67" s="229">
        <v>15200</v>
      </c>
      <c r="I67" s="228">
        <f t="shared" si="2"/>
        <v>15.2</v>
      </c>
      <c r="J67" s="224">
        <v>2.99</v>
      </c>
      <c r="K67" s="228">
        <f>-(0.8*1.97+0.9*2.55+1.45*1.45)</f>
        <v>-5.9734999999999996</v>
      </c>
    </row>
    <row r="68" spans="1:11" ht="21.2" customHeight="1" x14ac:dyDescent="0.2">
      <c r="A68" s="226" t="s">
        <v>8945</v>
      </c>
      <c r="B68" s="226" t="s">
        <v>8944</v>
      </c>
      <c r="C68" s="226" t="s">
        <v>8875</v>
      </c>
      <c r="D68" s="227">
        <f t="shared" si="4"/>
        <v>39.474499999999999</v>
      </c>
      <c r="E68" s="223"/>
      <c r="F68" s="228"/>
      <c r="G68" s="226" t="s">
        <v>8896</v>
      </c>
      <c r="H68" s="229">
        <v>15200</v>
      </c>
      <c r="I68" s="228">
        <f t="shared" si="2"/>
        <v>15.2</v>
      </c>
      <c r="J68" s="224">
        <v>2.99</v>
      </c>
      <c r="K68" s="228">
        <f>-(0.8*1.97+0.9*2.55+1.45*1.45)</f>
        <v>-5.9734999999999996</v>
      </c>
    </row>
    <row r="69" spans="1:11" ht="21.2" customHeight="1" x14ac:dyDescent="0.2">
      <c r="A69" s="226" t="s">
        <v>8946</v>
      </c>
      <c r="B69" s="226" t="s">
        <v>8922</v>
      </c>
      <c r="C69" s="226" t="s">
        <v>8874</v>
      </c>
      <c r="D69" s="227">
        <f t="shared" si="4"/>
        <v>6.1974</v>
      </c>
      <c r="E69" s="223" t="s">
        <v>237</v>
      </c>
      <c r="F69" s="228">
        <f>6.26*2-0.7*1.97</f>
        <v>11.141</v>
      </c>
      <c r="G69" s="226" t="s">
        <v>8910</v>
      </c>
      <c r="H69" s="229">
        <v>6260</v>
      </c>
      <c r="I69" s="228">
        <f t="shared" si="2"/>
        <v>6.26</v>
      </c>
      <c r="J69" s="224">
        <v>2.99</v>
      </c>
      <c r="K69" s="228">
        <f>-0.7*1.97</f>
        <v>-1.379</v>
      </c>
    </row>
    <row r="70" spans="1:11" ht="21.2" customHeight="1" x14ac:dyDescent="0.2">
      <c r="A70" s="226" t="s">
        <v>8947</v>
      </c>
      <c r="B70" s="226" t="s">
        <v>8912</v>
      </c>
      <c r="C70" s="226" t="s">
        <v>8874</v>
      </c>
      <c r="D70" s="227">
        <f t="shared" si="4"/>
        <v>4.2966000000000015</v>
      </c>
      <c r="E70" s="223" t="s">
        <v>237</v>
      </c>
      <c r="F70" s="228">
        <f>4.34*2-0.7*1.97</f>
        <v>7.3010000000000002</v>
      </c>
      <c r="G70" s="226" t="s">
        <v>8910</v>
      </c>
      <c r="H70" s="229">
        <v>4340</v>
      </c>
      <c r="I70" s="228">
        <f t="shared" si="2"/>
        <v>4.34</v>
      </c>
      <c r="J70" s="224">
        <v>2.99</v>
      </c>
      <c r="K70" s="228">
        <f>-0.7*1.97</f>
        <v>-1.379</v>
      </c>
    </row>
    <row r="71" spans="1:11" ht="21.2" customHeight="1" x14ac:dyDescent="0.2">
      <c r="A71" s="226" t="s">
        <v>8948</v>
      </c>
      <c r="B71" s="226" t="s">
        <v>8942</v>
      </c>
      <c r="C71" s="226" t="s">
        <v>8875</v>
      </c>
      <c r="D71" s="227">
        <f t="shared" si="4"/>
        <v>18.407400000000003</v>
      </c>
      <c r="E71" s="223"/>
      <c r="F71" s="228"/>
      <c r="G71" s="226" t="s">
        <v>8896</v>
      </c>
      <c r="H71" s="229">
        <v>8660</v>
      </c>
      <c r="I71" s="228">
        <f t="shared" si="2"/>
        <v>8.66</v>
      </c>
      <c r="J71" s="224">
        <v>2.99</v>
      </c>
      <c r="K71" s="228">
        <f>-(0.7*1.97*2+0.8*1.97*3)</f>
        <v>-7.4859999999999998</v>
      </c>
    </row>
    <row r="72" spans="1:11" ht="21.2" customHeight="1" x14ac:dyDescent="0.2">
      <c r="A72" s="226" t="s">
        <v>8949</v>
      </c>
      <c r="B72" s="226" t="s">
        <v>8944</v>
      </c>
      <c r="C72" s="226" t="s">
        <v>8875</v>
      </c>
      <c r="D72" s="227">
        <f t="shared" si="4"/>
        <v>39.474499999999999</v>
      </c>
      <c r="E72" s="223"/>
      <c r="F72" s="228"/>
      <c r="G72" s="226" t="s">
        <v>8896</v>
      </c>
      <c r="H72" s="229">
        <v>15200</v>
      </c>
      <c r="I72" s="228">
        <f t="shared" si="2"/>
        <v>15.2</v>
      </c>
      <c r="J72" s="224">
        <v>2.99</v>
      </c>
      <c r="K72" s="228">
        <f>-(0.8*1.97+0.9*2.55+1.45*1.45)</f>
        <v>-5.9734999999999996</v>
      </c>
    </row>
    <row r="73" spans="1:11" ht="21.2" customHeight="1" x14ac:dyDescent="0.2">
      <c r="A73" s="226" t="s">
        <v>8950</v>
      </c>
      <c r="B73" s="226" t="s">
        <v>8944</v>
      </c>
      <c r="C73" s="226" t="s">
        <v>8875</v>
      </c>
      <c r="D73" s="227">
        <f t="shared" si="4"/>
        <v>39.474499999999999</v>
      </c>
      <c r="E73" s="223"/>
      <c r="F73" s="228"/>
      <c r="G73" s="226" t="s">
        <v>8896</v>
      </c>
      <c r="H73" s="229">
        <v>15200</v>
      </c>
      <c r="I73" s="228">
        <f t="shared" si="2"/>
        <v>15.2</v>
      </c>
      <c r="J73" s="224">
        <v>2.99</v>
      </c>
      <c r="K73" s="228">
        <f>-(0.8*1.97+0.9*2.55+1.45*1.45)</f>
        <v>-5.9734999999999996</v>
      </c>
    </row>
    <row r="74" spans="1:11" ht="21.2" customHeight="1" x14ac:dyDescent="0.2">
      <c r="A74" s="226" t="s">
        <v>8951</v>
      </c>
      <c r="B74" s="226" t="s">
        <v>8922</v>
      </c>
      <c r="C74" s="226" t="s">
        <v>8874</v>
      </c>
      <c r="D74" s="227">
        <f t="shared" si="4"/>
        <v>6.1974</v>
      </c>
      <c r="E74" s="223" t="s">
        <v>237</v>
      </c>
      <c r="F74" s="228">
        <f>6.26*2-0.7*1.97</f>
        <v>11.141</v>
      </c>
      <c r="G74" s="226" t="s">
        <v>8910</v>
      </c>
      <c r="H74" s="229">
        <v>6260</v>
      </c>
      <c r="I74" s="228">
        <f t="shared" si="2"/>
        <v>6.26</v>
      </c>
      <c r="J74" s="224">
        <v>2.99</v>
      </c>
      <c r="K74" s="228">
        <f>-0.7*1.97</f>
        <v>-1.379</v>
      </c>
    </row>
    <row r="75" spans="1:11" ht="21.2" customHeight="1" x14ac:dyDescent="0.2">
      <c r="A75" s="226" t="s">
        <v>8952</v>
      </c>
      <c r="B75" s="226" t="s">
        <v>8912</v>
      </c>
      <c r="C75" s="226" t="s">
        <v>8874</v>
      </c>
      <c r="D75" s="227">
        <f t="shared" si="4"/>
        <v>4.2966000000000015</v>
      </c>
      <c r="E75" s="223" t="s">
        <v>237</v>
      </c>
      <c r="F75" s="228">
        <f>4.34*2-0.7*1.97</f>
        <v>7.3010000000000002</v>
      </c>
      <c r="G75" s="226" t="s">
        <v>8910</v>
      </c>
      <c r="H75" s="229">
        <v>4340</v>
      </c>
      <c r="I75" s="228">
        <f t="shared" si="2"/>
        <v>4.34</v>
      </c>
      <c r="J75" s="224">
        <v>2.99</v>
      </c>
      <c r="K75" s="228">
        <f>-0.7*1.97</f>
        <v>-1.379</v>
      </c>
    </row>
    <row r="76" spans="1:11" ht="21.2" customHeight="1" x14ac:dyDescent="0.2">
      <c r="A76" s="226" t="s">
        <v>8953</v>
      </c>
      <c r="B76" s="226" t="s">
        <v>8942</v>
      </c>
      <c r="C76" s="226" t="s">
        <v>8875</v>
      </c>
      <c r="D76" s="227">
        <f t="shared" si="4"/>
        <v>35.967399999999998</v>
      </c>
      <c r="E76" s="223"/>
      <c r="F76" s="228"/>
      <c r="G76" s="226" t="s">
        <v>8896</v>
      </c>
      <c r="H76" s="229">
        <v>15060</v>
      </c>
      <c r="I76" s="228">
        <f t="shared" si="2"/>
        <v>15.06</v>
      </c>
      <c r="J76" s="224">
        <v>2.99</v>
      </c>
      <c r="K76" s="228">
        <f>-(0.7*1.97*2+0.8*1.97*4)</f>
        <v>-9.0620000000000012</v>
      </c>
    </row>
    <row r="77" spans="1:11" ht="21.2" customHeight="1" x14ac:dyDescent="0.2">
      <c r="A77" s="226" t="s">
        <v>8954</v>
      </c>
      <c r="B77" s="226" t="s">
        <v>8944</v>
      </c>
      <c r="C77" s="226" t="s">
        <v>8875</v>
      </c>
      <c r="D77" s="227">
        <f t="shared" si="4"/>
        <v>39.474499999999999</v>
      </c>
      <c r="E77" s="223"/>
      <c r="F77" s="228"/>
      <c r="G77" s="226" t="s">
        <v>8896</v>
      </c>
      <c r="H77" s="229">
        <v>15200</v>
      </c>
      <c r="I77" s="228">
        <f t="shared" si="2"/>
        <v>15.2</v>
      </c>
      <c r="J77" s="224">
        <v>2.99</v>
      </c>
      <c r="K77" s="228">
        <f>-(0.8*1.97+0.9*2.55+1.45*1.45)</f>
        <v>-5.9734999999999996</v>
      </c>
    </row>
    <row r="78" spans="1:11" ht="21.2" customHeight="1" x14ac:dyDescent="0.2">
      <c r="A78" s="226" t="s">
        <v>8955</v>
      </c>
      <c r="B78" s="226" t="s">
        <v>8944</v>
      </c>
      <c r="C78" s="226" t="s">
        <v>8875</v>
      </c>
      <c r="D78" s="227">
        <f t="shared" si="4"/>
        <v>39.474499999999999</v>
      </c>
      <c r="E78" s="223"/>
      <c r="F78" s="228"/>
      <c r="G78" s="226" t="s">
        <v>8896</v>
      </c>
      <c r="H78" s="229">
        <v>15200</v>
      </c>
      <c r="I78" s="228">
        <f t="shared" si="2"/>
        <v>15.2</v>
      </c>
      <c r="J78" s="224">
        <v>2.99</v>
      </c>
      <c r="K78" s="228">
        <f>-(0.8*1.97+0.9*2.55+1.45*1.45)</f>
        <v>-5.9734999999999996</v>
      </c>
    </row>
    <row r="79" spans="1:11" ht="21.2" customHeight="1" x14ac:dyDescent="0.2">
      <c r="A79" s="226" t="s">
        <v>8956</v>
      </c>
      <c r="B79" s="226" t="s">
        <v>8944</v>
      </c>
      <c r="C79" s="226" t="s">
        <v>8875</v>
      </c>
      <c r="D79" s="227">
        <f t="shared" si="4"/>
        <v>39.474499999999999</v>
      </c>
      <c r="E79" s="223"/>
      <c r="F79" s="228"/>
      <c r="G79" s="226" t="s">
        <v>8896</v>
      </c>
      <c r="H79" s="229">
        <v>15200</v>
      </c>
      <c r="I79" s="228">
        <f t="shared" si="2"/>
        <v>15.2</v>
      </c>
      <c r="J79" s="224">
        <v>2.99</v>
      </c>
      <c r="K79" s="228">
        <f>-(0.8*1.97+0.9*2.55+1.45*1.45)</f>
        <v>-5.9734999999999996</v>
      </c>
    </row>
    <row r="80" spans="1:11" ht="21.2" customHeight="1" x14ac:dyDescent="0.2">
      <c r="A80" s="226" t="s">
        <v>8957</v>
      </c>
      <c r="B80" s="226" t="s">
        <v>8912</v>
      </c>
      <c r="C80" s="226" t="s">
        <v>8874</v>
      </c>
      <c r="D80" s="227">
        <f t="shared" si="4"/>
        <v>4.2966000000000015</v>
      </c>
      <c r="E80" s="223" t="s">
        <v>237</v>
      </c>
      <c r="F80" s="228">
        <f>4.34*2-0.7*1.97</f>
        <v>7.3010000000000002</v>
      </c>
      <c r="G80" s="226" t="s">
        <v>8910</v>
      </c>
      <c r="H80" s="229">
        <v>4340</v>
      </c>
      <c r="I80" s="228">
        <f t="shared" si="2"/>
        <v>4.34</v>
      </c>
      <c r="J80" s="224">
        <v>2.99</v>
      </c>
      <c r="K80" s="228">
        <f>-0.7*1.97</f>
        <v>-1.379</v>
      </c>
    </row>
    <row r="81" spans="1:11" ht="21.2" customHeight="1" x14ac:dyDescent="0.2">
      <c r="A81" s="226" t="s">
        <v>8958</v>
      </c>
      <c r="B81" s="226" t="s">
        <v>8922</v>
      </c>
      <c r="C81" s="226" t="s">
        <v>8874</v>
      </c>
      <c r="D81" s="227">
        <f t="shared" si="4"/>
        <v>5.8310999999999993</v>
      </c>
      <c r="E81" s="223" t="s">
        <v>237</v>
      </c>
      <c r="F81" s="228">
        <f>5.89*2-0.7*1.97</f>
        <v>10.401</v>
      </c>
      <c r="G81" s="226" t="s">
        <v>8910</v>
      </c>
      <c r="H81" s="229">
        <v>5890</v>
      </c>
      <c r="I81" s="228">
        <f t="shared" si="2"/>
        <v>5.89</v>
      </c>
      <c r="J81" s="224">
        <v>2.99</v>
      </c>
      <c r="K81" s="228">
        <f>-0.7*1.97</f>
        <v>-1.379</v>
      </c>
    </row>
    <row r="82" spans="1:11" ht="21.2" customHeight="1" x14ac:dyDescent="0.2">
      <c r="A82" s="226" t="s">
        <v>8959</v>
      </c>
      <c r="B82" s="226" t="s">
        <v>8942</v>
      </c>
      <c r="C82" s="226" t="s">
        <v>8875</v>
      </c>
      <c r="D82" s="227">
        <f t="shared" si="4"/>
        <v>23.801900000000003</v>
      </c>
      <c r="E82" s="223"/>
      <c r="F82" s="228"/>
      <c r="G82" s="226" t="s">
        <v>8896</v>
      </c>
      <c r="H82" s="229">
        <v>9410</v>
      </c>
      <c r="I82" s="228">
        <f t="shared" ref="I82:I145" si="5">H82/1000</f>
        <v>9.41</v>
      </c>
      <c r="J82" s="224">
        <v>2.99</v>
      </c>
      <c r="K82" s="228">
        <f>-(0.7*1.97*2+0.8*1.97)</f>
        <v>-4.3339999999999996</v>
      </c>
    </row>
    <row r="83" spans="1:11" ht="21.2" customHeight="1" x14ac:dyDescent="0.2">
      <c r="A83" s="226" t="s">
        <v>1194</v>
      </c>
      <c r="B83" s="226" t="s">
        <v>8944</v>
      </c>
      <c r="C83" s="226" t="s">
        <v>8875</v>
      </c>
      <c r="D83" s="227">
        <f t="shared" si="4"/>
        <v>43.0625</v>
      </c>
      <c r="E83" s="223"/>
      <c r="F83" s="228"/>
      <c r="G83" s="226" t="s">
        <v>8896</v>
      </c>
      <c r="H83" s="229">
        <v>16400</v>
      </c>
      <c r="I83" s="228">
        <f t="shared" si="5"/>
        <v>16.399999999999999</v>
      </c>
      <c r="J83" s="224">
        <v>2.99</v>
      </c>
      <c r="K83" s="228">
        <f>-(0.8*1.97+0.9*2.55+1.45*1.45)</f>
        <v>-5.9734999999999996</v>
      </c>
    </row>
    <row r="84" spans="1:11" ht="21.2" customHeight="1" x14ac:dyDescent="0.2">
      <c r="A84" s="226" t="s">
        <v>8960</v>
      </c>
      <c r="B84" s="226" t="s">
        <v>8944</v>
      </c>
      <c r="C84" s="226" t="s">
        <v>8875</v>
      </c>
      <c r="D84" s="227">
        <f t="shared" si="4"/>
        <v>39.474499999999999</v>
      </c>
      <c r="E84" s="223"/>
      <c r="F84" s="228"/>
      <c r="G84" s="226" t="s">
        <v>8896</v>
      </c>
      <c r="H84" s="229">
        <v>15200</v>
      </c>
      <c r="I84" s="228">
        <f t="shared" si="5"/>
        <v>15.2</v>
      </c>
      <c r="J84" s="224">
        <v>2.99</v>
      </c>
      <c r="K84" s="228">
        <f>-(0.8*1.97+0.9*2.55+1.45*1.45)</f>
        <v>-5.9734999999999996</v>
      </c>
    </row>
    <row r="85" spans="1:11" ht="21.2" customHeight="1" x14ac:dyDescent="0.2">
      <c r="A85" s="226" t="s">
        <v>8961</v>
      </c>
      <c r="B85" s="226" t="s">
        <v>8922</v>
      </c>
      <c r="C85" s="226" t="s">
        <v>8874</v>
      </c>
      <c r="D85" s="227">
        <f t="shared" si="4"/>
        <v>6.1974</v>
      </c>
      <c r="E85" s="223" t="s">
        <v>237</v>
      </c>
      <c r="F85" s="228">
        <f>6.26*2-0.7*1.97</f>
        <v>11.141</v>
      </c>
      <c r="G85" s="226" t="s">
        <v>8910</v>
      </c>
      <c r="H85" s="229">
        <v>6260</v>
      </c>
      <c r="I85" s="228">
        <f t="shared" si="5"/>
        <v>6.26</v>
      </c>
      <c r="J85" s="224">
        <v>2.99</v>
      </c>
      <c r="K85" s="228">
        <f>-0.7*1.97</f>
        <v>-1.379</v>
      </c>
    </row>
    <row r="86" spans="1:11" ht="21.2" customHeight="1" x14ac:dyDescent="0.2">
      <c r="A86" s="226" t="s">
        <v>8962</v>
      </c>
      <c r="B86" s="226" t="s">
        <v>8912</v>
      </c>
      <c r="C86" s="226" t="s">
        <v>8874</v>
      </c>
      <c r="D86" s="227">
        <f t="shared" si="4"/>
        <v>4.2966000000000015</v>
      </c>
      <c r="E86" s="223" t="s">
        <v>237</v>
      </c>
      <c r="F86" s="228">
        <f>4.34*2-0.7*1.97</f>
        <v>7.3010000000000002</v>
      </c>
      <c r="G86" s="226" t="s">
        <v>8910</v>
      </c>
      <c r="H86" s="229">
        <v>4340</v>
      </c>
      <c r="I86" s="228">
        <f t="shared" si="5"/>
        <v>4.34</v>
      </c>
      <c r="J86" s="224">
        <v>2.99</v>
      </c>
      <c r="K86" s="228">
        <f>-0.7*1.97</f>
        <v>-1.379</v>
      </c>
    </row>
    <row r="87" spans="1:11" ht="21.2" customHeight="1" x14ac:dyDescent="0.2">
      <c r="A87" s="226" t="s">
        <v>8963</v>
      </c>
      <c r="B87" s="226" t="s">
        <v>8942</v>
      </c>
      <c r="C87" s="226" t="s">
        <v>8875</v>
      </c>
      <c r="D87" s="227">
        <f t="shared" si="4"/>
        <v>24.816100000000002</v>
      </c>
      <c r="E87" s="223"/>
      <c r="F87" s="228"/>
      <c r="G87" s="226" t="s">
        <v>8896</v>
      </c>
      <c r="H87" s="229">
        <v>9750</v>
      </c>
      <c r="I87" s="228">
        <f t="shared" si="5"/>
        <v>9.75</v>
      </c>
      <c r="J87" s="224">
        <v>2.99</v>
      </c>
      <c r="K87" s="228">
        <f>-(0.7*1.97*2+0.8*1.973)</f>
        <v>-4.3364000000000003</v>
      </c>
    </row>
    <row r="88" spans="1:11" ht="21.2" customHeight="1" x14ac:dyDescent="0.2">
      <c r="A88" s="226" t="s">
        <v>8964</v>
      </c>
      <c r="B88" s="226" t="s">
        <v>8944</v>
      </c>
      <c r="C88" s="226" t="s">
        <v>8875</v>
      </c>
      <c r="D88" s="227">
        <f t="shared" si="4"/>
        <v>39.474499999999999</v>
      </c>
      <c r="E88" s="223"/>
      <c r="F88" s="228"/>
      <c r="G88" s="226" t="s">
        <v>8896</v>
      </c>
      <c r="H88" s="229">
        <v>15200</v>
      </c>
      <c r="I88" s="228">
        <f t="shared" si="5"/>
        <v>15.2</v>
      </c>
      <c r="J88" s="224">
        <v>2.99</v>
      </c>
      <c r="K88" s="228">
        <f>-(0.8*1.97+0.9*2.55+1.45*1.45)</f>
        <v>-5.9734999999999996</v>
      </c>
    </row>
    <row r="89" spans="1:11" ht="21.2" customHeight="1" x14ac:dyDescent="0.2">
      <c r="A89" s="226" t="s">
        <v>8965</v>
      </c>
      <c r="B89" s="226" t="s">
        <v>8944</v>
      </c>
      <c r="C89" s="226" t="s">
        <v>8875</v>
      </c>
      <c r="D89" s="227">
        <f t="shared" si="4"/>
        <v>37.619500000000009</v>
      </c>
      <c r="E89" s="223"/>
      <c r="F89" s="228"/>
      <c r="G89" s="226" t="s">
        <v>8896</v>
      </c>
      <c r="H89" s="229">
        <v>14650</v>
      </c>
      <c r="I89" s="228">
        <f t="shared" si="5"/>
        <v>14.65</v>
      </c>
      <c r="J89" s="224">
        <v>2.99</v>
      </c>
      <c r="K89" s="228">
        <f>-(0.8*1.97+2.4*1.92)</f>
        <v>-6.1839999999999993</v>
      </c>
    </row>
    <row r="90" spans="1:11" ht="21.2" customHeight="1" x14ac:dyDescent="0.2">
      <c r="A90" s="226" t="s">
        <v>8966</v>
      </c>
      <c r="B90" s="226" t="s">
        <v>8922</v>
      </c>
      <c r="C90" s="226" t="s">
        <v>8874</v>
      </c>
      <c r="D90" s="227">
        <f t="shared" si="4"/>
        <v>6.1974</v>
      </c>
      <c r="E90" s="223" t="s">
        <v>237</v>
      </c>
      <c r="F90" s="228">
        <f>6.26*2-0.7*1.97</f>
        <v>11.141</v>
      </c>
      <c r="G90" s="226" t="s">
        <v>8910</v>
      </c>
      <c r="H90" s="229">
        <v>6260</v>
      </c>
      <c r="I90" s="228">
        <f t="shared" si="5"/>
        <v>6.26</v>
      </c>
      <c r="J90" s="224">
        <v>2.99</v>
      </c>
      <c r="K90" s="228">
        <f>-0.7*1.97</f>
        <v>-1.379</v>
      </c>
    </row>
    <row r="91" spans="1:11" ht="21.2" customHeight="1" x14ac:dyDescent="0.2">
      <c r="A91" s="226" t="s">
        <v>8967</v>
      </c>
      <c r="B91" s="226" t="s">
        <v>8912</v>
      </c>
      <c r="C91" s="226" t="s">
        <v>8874</v>
      </c>
      <c r="D91" s="227">
        <f t="shared" si="4"/>
        <v>4.6629000000000005</v>
      </c>
      <c r="E91" s="223" t="s">
        <v>237</v>
      </c>
      <c r="F91" s="228">
        <f>4.71*2-0.7*1.97</f>
        <v>8.0410000000000004</v>
      </c>
      <c r="G91" s="226" t="s">
        <v>8910</v>
      </c>
      <c r="H91" s="229">
        <v>4710</v>
      </c>
      <c r="I91" s="228">
        <f t="shared" si="5"/>
        <v>4.71</v>
      </c>
      <c r="J91" s="224">
        <v>2.99</v>
      </c>
      <c r="K91" s="228">
        <f>-0.7*1.97</f>
        <v>-1.379</v>
      </c>
    </row>
    <row r="92" spans="1:11" ht="21.2" customHeight="1" x14ac:dyDescent="0.2">
      <c r="A92" s="226" t="s">
        <v>8968</v>
      </c>
      <c r="B92" s="226" t="s">
        <v>8942</v>
      </c>
      <c r="C92" s="226" t="s">
        <v>8875</v>
      </c>
      <c r="D92" s="227">
        <f t="shared" si="4"/>
        <v>48.047000000000011</v>
      </c>
      <c r="E92" s="223"/>
      <c r="F92" s="228"/>
      <c r="G92" s="226" t="s">
        <v>8896</v>
      </c>
      <c r="H92" s="229">
        <v>19100</v>
      </c>
      <c r="I92" s="228">
        <f t="shared" si="5"/>
        <v>19.100000000000001</v>
      </c>
      <c r="J92" s="224">
        <v>2.99</v>
      </c>
      <c r="K92" s="228">
        <f>-(0.7*1.97*2+0.8*1.97*4)</f>
        <v>-9.0620000000000012</v>
      </c>
    </row>
    <row r="93" spans="1:11" ht="21.2" customHeight="1" x14ac:dyDescent="0.2">
      <c r="A93" s="226" t="s">
        <v>8969</v>
      </c>
      <c r="B93" s="226" t="s">
        <v>8944</v>
      </c>
      <c r="C93" s="226" t="s">
        <v>8875</v>
      </c>
      <c r="D93" s="227">
        <f t="shared" si="4"/>
        <v>41.045000000000002</v>
      </c>
      <c r="E93" s="223"/>
      <c r="F93" s="228"/>
      <c r="G93" s="226" t="s">
        <v>8896</v>
      </c>
      <c r="H93" s="229">
        <v>15900</v>
      </c>
      <c r="I93" s="228">
        <f t="shared" si="5"/>
        <v>15.9</v>
      </c>
      <c r="J93" s="224">
        <v>2.99</v>
      </c>
      <c r="K93" s="228">
        <f>-(0.8*1.97+2.4*2.05)</f>
        <v>-6.4959999999999987</v>
      </c>
    </row>
    <row r="94" spans="1:11" ht="21.2" customHeight="1" x14ac:dyDescent="0.2">
      <c r="A94" s="226" t="s">
        <v>8970</v>
      </c>
      <c r="B94" s="226" t="s">
        <v>8944</v>
      </c>
      <c r="C94" s="226" t="s">
        <v>8875</v>
      </c>
      <c r="D94" s="227">
        <f t="shared" ref="D94:D104" si="6">I94*J94+K94-F94</f>
        <v>40.182000000000002</v>
      </c>
      <c r="E94" s="223"/>
      <c r="F94" s="228"/>
      <c r="G94" s="226" t="s">
        <v>8896</v>
      </c>
      <c r="H94" s="229">
        <v>15200</v>
      </c>
      <c r="I94" s="228">
        <f t="shared" si="5"/>
        <v>15.2</v>
      </c>
      <c r="J94" s="224">
        <v>2.99</v>
      </c>
      <c r="K94" s="228">
        <f>-(0.8*1.97+1.8*2.05)</f>
        <v>-5.266</v>
      </c>
    </row>
    <row r="95" spans="1:11" ht="21.2" customHeight="1" x14ac:dyDescent="0.2">
      <c r="A95" s="226" t="s">
        <v>8971</v>
      </c>
      <c r="B95" s="226" t="s">
        <v>8944</v>
      </c>
      <c r="C95" s="226" t="s">
        <v>8875</v>
      </c>
      <c r="D95" s="227">
        <f t="shared" si="6"/>
        <v>41.976000000000006</v>
      </c>
      <c r="E95" s="223"/>
      <c r="F95" s="228"/>
      <c r="G95" s="226" t="s">
        <v>8896</v>
      </c>
      <c r="H95" s="229">
        <v>15800</v>
      </c>
      <c r="I95" s="228">
        <f t="shared" si="5"/>
        <v>15.8</v>
      </c>
      <c r="J95" s="224">
        <v>2.99</v>
      </c>
      <c r="K95" s="228">
        <f>-(0.8*1.97+1.8*2.05)</f>
        <v>-5.266</v>
      </c>
    </row>
    <row r="96" spans="1:11" ht="21.2" customHeight="1" x14ac:dyDescent="0.2">
      <c r="A96" s="226" t="s">
        <v>8972</v>
      </c>
      <c r="B96" s="226" t="s">
        <v>8912</v>
      </c>
      <c r="C96" s="226" t="s">
        <v>8874</v>
      </c>
      <c r="D96" s="227">
        <f t="shared" si="6"/>
        <v>5.3460000000000001</v>
      </c>
      <c r="E96" s="223" t="s">
        <v>237</v>
      </c>
      <c r="F96" s="228">
        <f>5.4*2-0.7*1.97</f>
        <v>9.4210000000000012</v>
      </c>
      <c r="G96" s="226" t="s">
        <v>8910</v>
      </c>
      <c r="H96" s="229">
        <v>5400</v>
      </c>
      <c r="I96" s="228">
        <f t="shared" si="5"/>
        <v>5.4</v>
      </c>
      <c r="J96" s="224">
        <v>2.99</v>
      </c>
      <c r="K96" s="228">
        <f>-0.7*1.97</f>
        <v>-1.379</v>
      </c>
    </row>
    <row r="97" spans="1:11" ht="21.2" customHeight="1" x14ac:dyDescent="0.2">
      <c r="A97" s="226" t="s">
        <v>8973</v>
      </c>
      <c r="B97" s="226" t="s">
        <v>8922</v>
      </c>
      <c r="C97" s="226" t="s">
        <v>8874</v>
      </c>
      <c r="D97" s="227">
        <f t="shared" si="6"/>
        <v>0</v>
      </c>
      <c r="E97" s="223" t="s">
        <v>237</v>
      </c>
      <c r="F97" s="228">
        <f>6.45*2.99-0.7*1.97</f>
        <v>17.906500000000001</v>
      </c>
      <c r="G97" s="226" t="s">
        <v>8910</v>
      </c>
      <c r="H97" s="229">
        <v>6450</v>
      </c>
      <c r="I97" s="228">
        <f t="shared" si="5"/>
        <v>6.45</v>
      </c>
      <c r="J97" s="224">
        <v>2.99</v>
      </c>
      <c r="K97" s="228">
        <f>-0.7*1.97</f>
        <v>-1.379</v>
      </c>
    </row>
    <row r="98" spans="1:11" ht="21.2" customHeight="1" x14ac:dyDescent="0.2">
      <c r="A98" s="226" t="s">
        <v>1515</v>
      </c>
      <c r="B98" s="226" t="s">
        <v>514</v>
      </c>
      <c r="C98" s="226" t="s">
        <v>8875</v>
      </c>
      <c r="D98" s="227">
        <f t="shared" si="6"/>
        <v>47.516950000000016</v>
      </c>
      <c r="E98" s="223"/>
      <c r="F98" s="228"/>
      <c r="G98" s="226" t="s">
        <v>8899</v>
      </c>
      <c r="H98" s="229">
        <v>25975</v>
      </c>
      <c r="I98" s="228">
        <f t="shared" si="5"/>
        <v>25.975000000000001</v>
      </c>
      <c r="J98" s="224">
        <v>2.99</v>
      </c>
      <c r="K98" s="228">
        <f>-(0.8*1.97+0.9*1.97*2+3.6*2.99+4.77*2.99)</f>
        <v>-30.148299999999999</v>
      </c>
    </row>
    <row r="99" spans="1:11" ht="21.2" customHeight="1" x14ac:dyDescent="0.2">
      <c r="A99" s="226" t="s">
        <v>5081</v>
      </c>
      <c r="B99" s="226" t="s">
        <v>8898</v>
      </c>
      <c r="C99" s="226" t="s">
        <v>8875</v>
      </c>
      <c r="D99" s="227">
        <f t="shared" si="6"/>
        <v>34.338000000000008</v>
      </c>
      <c r="E99" s="223"/>
      <c r="F99" s="228"/>
      <c r="G99" s="226" t="s">
        <v>8899</v>
      </c>
      <c r="H99" s="229">
        <v>15400</v>
      </c>
      <c r="I99" s="228">
        <f t="shared" si="5"/>
        <v>15.4</v>
      </c>
      <c r="J99" s="224">
        <v>2.99</v>
      </c>
      <c r="K99" s="228">
        <f>-(0.8*1.97*2+0.9*2.1*2+1.2*1.8+1.2*2.18)</f>
        <v>-11.708</v>
      </c>
    </row>
    <row r="100" spans="1:11" ht="21.2" customHeight="1" x14ac:dyDescent="0.2">
      <c r="A100" s="226" t="s">
        <v>5080</v>
      </c>
      <c r="B100" s="226" t="s">
        <v>8898</v>
      </c>
      <c r="C100" s="226" t="s">
        <v>8875</v>
      </c>
      <c r="D100" s="227">
        <f t="shared" si="6"/>
        <v>154.22319000000002</v>
      </c>
      <c r="E100" s="223"/>
      <c r="F100" s="228"/>
      <c r="G100" s="226" t="s">
        <v>8899</v>
      </c>
      <c r="H100" s="229">
        <v>72381</v>
      </c>
      <c r="I100" s="228">
        <f t="shared" si="5"/>
        <v>72.381</v>
      </c>
      <c r="J100" s="224">
        <v>2.99</v>
      </c>
      <c r="K100" s="228">
        <f>-(0.9*2.1*2+0.8*1.97*6+5.4*1.8*3+5.5*1.8*2)</f>
        <v>-62.195999999999998</v>
      </c>
    </row>
    <row r="101" spans="1:11" ht="21.2" customHeight="1" x14ac:dyDescent="0.2">
      <c r="A101" s="226" t="s">
        <v>8974</v>
      </c>
      <c r="B101" s="226" t="s">
        <v>8975</v>
      </c>
      <c r="C101" s="226" t="s">
        <v>8875</v>
      </c>
      <c r="D101" s="227">
        <f t="shared" si="6"/>
        <v>19.652999999999999</v>
      </c>
      <c r="E101" s="223"/>
      <c r="F101" s="228"/>
      <c r="G101" s="226" t="s">
        <v>8899</v>
      </c>
      <c r="H101" s="229">
        <v>7100</v>
      </c>
      <c r="I101" s="228">
        <f t="shared" si="5"/>
        <v>7.1</v>
      </c>
      <c r="J101" s="224">
        <v>2.99</v>
      </c>
      <c r="K101" s="228">
        <f>-0.8*1.97</f>
        <v>-1.5760000000000001</v>
      </c>
    </row>
    <row r="102" spans="1:11" ht="21.2" customHeight="1" x14ac:dyDescent="0.2">
      <c r="A102" s="226" t="s">
        <v>5083</v>
      </c>
      <c r="B102" s="226" t="s">
        <v>8929</v>
      </c>
      <c r="C102" s="226" t="s">
        <v>8875</v>
      </c>
      <c r="D102" s="227">
        <f t="shared" si="6"/>
        <v>44.436500000000002</v>
      </c>
      <c r="E102" s="223" t="s">
        <v>239</v>
      </c>
      <c r="F102" s="228">
        <f>(4.35+1.45+0.7)*1.4</f>
        <v>9.1</v>
      </c>
      <c r="G102" s="226" t="s">
        <v>8976</v>
      </c>
      <c r="H102" s="229">
        <v>20150</v>
      </c>
      <c r="I102" s="228">
        <f t="shared" si="5"/>
        <v>20.149999999999999</v>
      </c>
      <c r="J102" s="224">
        <v>2.99</v>
      </c>
      <c r="K102" s="228">
        <f>-(0.8*1.97+2.675*1.92)</f>
        <v>-6.7119999999999997</v>
      </c>
    </row>
    <row r="103" spans="1:11" ht="21.2" customHeight="1" x14ac:dyDescent="0.2">
      <c r="A103" s="226" t="s">
        <v>5082</v>
      </c>
      <c r="B103" s="226" t="s">
        <v>8917</v>
      </c>
      <c r="C103" s="226" t="s">
        <v>8873</v>
      </c>
      <c r="D103" s="227">
        <f t="shared" si="6"/>
        <v>42.4724</v>
      </c>
      <c r="E103" s="223" t="s">
        <v>8936</v>
      </c>
      <c r="F103" s="228"/>
      <c r="G103" s="226"/>
      <c r="H103" s="229">
        <v>13348</v>
      </c>
      <c r="I103" s="228">
        <f t="shared" si="5"/>
        <v>13.348000000000001</v>
      </c>
      <c r="J103" s="224">
        <v>3.3</v>
      </c>
      <c r="K103" s="228">
        <f>-0.8*1.97</f>
        <v>-1.5760000000000001</v>
      </c>
    </row>
    <row r="104" spans="1:11" ht="21.2" customHeight="1" x14ac:dyDescent="0.2">
      <c r="A104" s="226" t="s">
        <v>8977</v>
      </c>
      <c r="B104" s="226" t="s">
        <v>8898</v>
      </c>
      <c r="C104" s="226" t="s">
        <v>8875</v>
      </c>
      <c r="D104" s="227">
        <f t="shared" si="6"/>
        <v>41.44</v>
      </c>
      <c r="E104" s="223"/>
      <c r="F104" s="228"/>
      <c r="G104" s="226" t="s">
        <v>8899</v>
      </c>
      <c r="H104" s="229">
        <v>15660</v>
      </c>
      <c r="I104" s="228">
        <f t="shared" si="5"/>
        <v>15.66</v>
      </c>
      <c r="J104" s="224">
        <v>3.3</v>
      </c>
      <c r="K104" s="228">
        <f>-(0.7*1.97*2+1.4*2.1*2+0.8*2)</f>
        <v>-10.238</v>
      </c>
    </row>
    <row r="105" spans="1:11" ht="21.2" customHeight="1" x14ac:dyDescent="0.2">
      <c r="A105" s="226" t="s">
        <v>1133</v>
      </c>
      <c r="B105" s="226" t="s">
        <v>8978</v>
      </c>
      <c r="C105" s="226" t="s">
        <v>8875</v>
      </c>
      <c r="D105" s="227">
        <f>I105*J105+K105</f>
        <v>117.00049999999999</v>
      </c>
      <c r="E105" s="223" t="s">
        <v>8872</v>
      </c>
      <c r="F105" s="228">
        <f>2.7*3.3</f>
        <v>8.91</v>
      </c>
      <c r="G105" s="226" t="s">
        <v>8896</v>
      </c>
      <c r="H105" s="229">
        <v>42550</v>
      </c>
      <c r="I105" s="228">
        <f t="shared" si="5"/>
        <v>42.55</v>
      </c>
      <c r="J105" s="224">
        <v>3.3</v>
      </c>
      <c r="K105" s="228">
        <f>-(1.4*2.1+0.8*1.97+3.9*0.9+2.55*0.9+1.95*2.03+4.5*2.03)</f>
        <v>-23.414499999999997</v>
      </c>
    </row>
    <row r="106" spans="1:11" ht="21.2" customHeight="1" x14ac:dyDescent="0.2">
      <c r="A106" s="226" t="s">
        <v>8979</v>
      </c>
      <c r="B106" s="226" t="s">
        <v>8909</v>
      </c>
      <c r="C106" s="226" t="s">
        <v>8874</v>
      </c>
      <c r="D106" s="227">
        <f t="shared" ref="D106:D169" si="7">I106*J106+K106-F106</f>
        <v>0</v>
      </c>
      <c r="E106" s="223" t="s">
        <v>239</v>
      </c>
      <c r="F106" s="228">
        <f>5.3*3.3-0.7*1.97*2</f>
        <v>14.731999999999999</v>
      </c>
      <c r="G106" s="226" t="s">
        <v>8910</v>
      </c>
      <c r="H106" s="229">
        <v>5300</v>
      </c>
      <c r="I106" s="228">
        <f t="shared" si="5"/>
        <v>5.3</v>
      </c>
      <c r="J106" s="224">
        <v>3.3</v>
      </c>
      <c r="K106" s="228">
        <f>-0.7*1.97*2</f>
        <v>-2.758</v>
      </c>
    </row>
    <row r="107" spans="1:11" ht="21.2" customHeight="1" x14ac:dyDescent="0.2">
      <c r="A107" s="226" t="s">
        <v>8980</v>
      </c>
      <c r="B107" s="226" t="s">
        <v>8912</v>
      </c>
      <c r="C107" s="226" t="s">
        <v>8874</v>
      </c>
      <c r="D107" s="227">
        <f t="shared" si="7"/>
        <v>0</v>
      </c>
      <c r="E107" s="223" t="s">
        <v>239</v>
      </c>
      <c r="F107" s="228">
        <f>5.06*3.3-0.7*1.97</f>
        <v>15.318999999999997</v>
      </c>
      <c r="G107" s="226" t="s">
        <v>8910</v>
      </c>
      <c r="H107" s="229">
        <v>5060</v>
      </c>
      <c r="I107" s="228">
        <f t="shared" si="5"/>
        <v>5.0599999999999996</v>
      </c>
      <c r="J107" s="224">
        <v>3.3</v>
      </c>
      <c r="K107" s="228">
        <f>-0.7*1.97</f>
        <v>-1.379</v>
      </c>
    </row>
    <row r="108" spans="1:11" ht="21.2" customHeight="1" x14ac:dyDescent="0.2">
      <c r="A108" s="226" t="s">
        <v>8981</v>
      </c>
      <c r="B108" s="226" t="s">
        <v>8917</v>
      </c>
      <c r="C108" s="226" t="s">
        <v>8874</v>
      </c>
      <c r="D108" s="227">
        <f t="shared" si="7"/>
        <v>0</v>
      </c>
      <c r="E108" s="223" t="s">
        <v>237</v>
      </c>
      <c r="F108" s="228">
        <f>4.9*3.3-0.7*1.97</f>
        <v>14.791000000000002</v>
      </c>
      <c r="G108" s="226" t="s">
        <v>8910</v>
      </c>
      <c r="H108" s="229">
        <v>4900</v>
      </c>
      <c r="I108" s="228">
        <f t="shared" si="5"/>
        <v>4.9000000000000004</v>
      </c>
      <c r="J108" s="224">
        <v>3.3</v>
      </c>
      <c r="K108" s="228">
        <f>-0.7*1.97</f>
        <v>-1.379</v>
      </c>
    </row>
    <row r="109" spans="1:11" ht="21.2" customHeight="1" x14ac:dyDescent="0.2">
      <c r="A109" s="226" t="s">
        <v>8982</v>
      </c>
      <c r="B109" s="226" t="s">
        <v>8909</v>
      </c>
      <c r="C109" s="226" t="s">
        <v>8874</v>
      </c>
      <c r="D109" s="227">
        <f t="shared" si="7"/>
        <v>0</v>
      </c>
      <c r="E109" s="223" t="s">
        <v>239</v>
      </c>
      <c r="F109" s="228">
        <f>4.8*3.3-0.7*1.97*2</f>
        <v>13.081999999999997</v>
      </c>
      <c r="G109" s="226" t="s">
        <v>8910</v>
      </c>
      <c r="H109" s="229">
        <v>4800</v>
      </c>
      <c r="I109" s="228">
        <f t="shared" si="5"/>
        <v>4.8</v>
      </c>
      <c r="J109" s="224">
        <v>3.3</v>
      </c>
      <c r="K109" s="228">
        <f>-0.7*1.97*2</f>
        <v>-2.758</v>
      </c>
    </row>
    <row r="110" spans="1:11" ht="21.2" customHeight="1" x14ac:dyDescent="0.2">
      <c r="A110" s="226" t="s">
        <v>8983</v>
      </c>
      <c r="B110" s="226" t="s">
        <v>8984</v>
      </c>
      <c r="C110" s="226" t="s">
        <v>8874</v>
      </c>
      <c r="D110" s="227">
        <f t="shared" si="7"/>
        <v>0</v>
      </c>
      <c r="E110" s="223" t="s">
        <v>239</v>
      </c>
      <c r="F110" s="228">
        <f>4.4*3.3-0.7*1.97*2</f>
        <v>11.762</v>
      </c>
      <c r="G110" s="226" t="s">
        <v>8910</v>
      </c>
      <c r="H110" s="229">
        <v>4400</v>
      </c>
      <c r="I110" s="228">
        <f t="shared" si="5"/>
        <v>4.4000000000000004</v>
      </c>
      <c r="J110" s="224">
        <v>3.3</v>
      </c>
      <c r="K110" s="228">
        <f>-0.7*1.97*2</f>
        <v>-2.758</v>
      </c>
    </row>
    <row r="111" spans="1:11" ht="21.2" customHeight="1" x14ac:dyDescent="0.2">
      <c r="A111" s="226" t="s">
        <v>8985</v>
      </c>
      <c r="B111" s="226" t="s">
        <v>8912</v>
      </c>
      <c r="C111" s="226" t="s">
        <v>8874</v>
      </c>
      <c r="D111" s="227">
        <f t="shared" si="7"/>
        <v>0</v>
      </c>
      <c r="E111" s="223" t="s">
        <v>239</v>
      </c>
      <c r="F111" s="228">
        <f>4.06*3.3-0.7*1.97</f>
        <v>12.018999999999998</v>
      </c>
      <c r="G111" s="226" t="s">
        <v>8910</v>
      </c>
      <c r="H111" s="229">
        <v>4060</v>
      </c>
      <c r="I111" s="228">
        <f t="shared" si="5"/>
        <v>4.0599999999999996</v>
      </c>
      <c r="J111" s="224">
        <v>3.3</v>
      </c>
      <c r="K111" s="228">
        <f>-0.7*1.97</f>
        <v>-1.379</v>
      </c>
    </row>
    <row r="112" spans="1:11" ht="21.2" customHeight="1" x14ac:dyDescent="0.2">
      <c r="A112" s="226" t="s">
        <v>8986</v>
      </c>
      <c r="B112" s="226" t="s">
        <v>8894</v>
      </c>
      <c r="C112" s="226" t="s">
        <v>8875</v>
      </c>
      <c r="D112" s="227">
        <f t="shared" si="7"/>
        <v>42.030499999999996</v>
      </c>
      <c r="E112" s="223"/>
      <c r="F112" s="228"/>
      <c r="G112" s="226" t="s">
        <v>8896</v>
      </c>
      <c r="H112" s="229">
        <v>15150</v>
      </c>
      <c r="I112" s="228">
        <f t="shared" si="5"/>
        <v>15.15</v>
      </c>
      <c r="J112" s="224">
        <v>3.3</v>
      </c>
      <c r="K112" s="228">
        <f>-(0.8*1.97+1.35*1.8+1.95*2.03)</f>
        <v>-7.9644999999999992</v>
      </c>
    </row>
    <row r="113" spans="1:11" ht="21.2" customHeight="1" x14ac:dyDescent="0.2">
      <c r="A113" s="226" t="s">
        <v>1516</v>
      </c>
      <c r="B113" s="226" t="s">
        <v>514</v>
      </c>
      <c r="C113" s="226" t="s">
        <v>8875</v>
      </c>
      <c r="D113" s="227">
        <f t="shared" si="7"/>
        <v>41.725499999999997</v>
      </c>
      <c r="E113" s="223"/>
      <c r="F113" s="228"/>
      <c r="G113" s="226" t="s">
        <v>8899</v>
      </c>
      <c r="H113" s="229">
        <v>19410</v>
      </c>
      <c r="I113" s="228">
        <f t="shared" si="5"/>
        <v>19.41</v>
      </c>
      <c r="J113" s="224">
        <v>3.3</v>
      </c>
      <c r="K113" s="228">
        <f>-(1.4*2.1+5.875*3.3)</f>
        <v>-22.327500000000001</v>
      </c>
    </row>
    <row r="114" spans="1:11" ht="21.2" customHeight="1" x14ac:dyDescent="0.2">
      <c r="A114" s="226" t="s">
        <v>8987</v>
      </c>
      <c r="B114" s="226" t="s">
        <v>8924</v>
      </c>
      <c r="C114" s="226" t="s">
        <v>8871</v>
      </c>
      <c r="D114" s="227">
        <f t="shared" si="7"/>
        <v>24.936600000000002</v>
      </c>
      <c r="E114" s="223"/>
      <c r="F114" s="228"/>
      <c r="G114" s="226"/>
      <c r="H114" s="229">
        <v>8340</v>
      </c>
      <c r="I114" s="228">
        <f t="shared" si="5"/>
        <v>8.34</v>
      </c>
      <c r="J114" s="224">
        <v>2.99</v>
      </c>
      <c r="K114" s="230"/>
    </row>
    <row r="115" spans="1:11" ht="21.2" customHeight="1" x14ac:dyDescent="0.2">
      <c r="A115" s="226" t="s">
        <v>8988</v>
      </c>
      <c r="B115" s="226" t="s">
        <v>8942</v>
      </c>
      <c r="C115" s="226" t="s">
        <v>8875</v>
      </c>
      <c r="D115" s="227">
        <f t="shared" si="7"/>
        <v>30.928500000000003</v>
      </c>
      <c r="E115" s="223"/>
      <c r="F115" s="228"/>
      <c r="G115" s="226" t="s">
        <v>8896</v>
      </c>
      <c r="H115" s="229">
        <v>12650</v>
      </c>
      <c r="I115" s="228">
        <f t="shared" si="5"/>
        <v>12.65</v>
      </c>
      <c r="J115" s="224">
        <v>2.99</v>
      </c>
      <c r="K115" s="228">
        <f>-(0.8*1.97+0.9*1.97*3)</f>
        <v>-6.8949999999999996</v>
      </c>
    </row>
    <row r="116" spans="1:11" ht="21.2" customHeight="1" x14ac:dyDescent="0.2">
      <c r="A116" s="226" t="s">
        <v>8989</v>
      </c>
      <c r="B116" s="226" t="s">
        <v>8990</v>
      </c>
      <c r="C116" s="226" t="s">
        <v>8875</v>
      </c>
      <c r="D116" s="227">
        <f t="shared" si="7"/>
        <v>49.323900000000002</v>
      </c>
      <c r="E116" s="223"/>
      <c r="F116" s="228"/>
      <c r="G116" s="226" t="s">
        <v>8896</v>
      </c>
      <c r="H116" s="229">
        <v>18560</v>
      </c>
      <c r="I116" s="228">
        <f t="shared" si="5"/>
        <v>18.559999999999999</v>
      </c>
      <c r="J116" s="224">
        <v>2.99</v>
      </c>
      <c r="K116" s="228">
        <f>-(0.9*1.97+0.9*2.55+1.45*1.45)</f>
        <v>-6.1704999999999997</v>
      </c>
    </row>
    <row r="117" spans="1:11" ht="21.2" customHeight="1" x14ac:dyDescent="0.2">
      <c r="A117" s="226" t="s">
        <v>8991</v>
      </c>
      <c r="B117" s="226" t="s">
        <v>8944</v>
      </c>
      <c r="C117" s="226" t="s">
        <v>8875</v>
      </c>
      <c r="D117" s="227">
        <f t="shared" si="7"/>
        <v>38.8765</v>
      </c>
      <c r="E117" s="223"/>
      <c r="F117" s="228"/>
      <c r="G117" s="226" t="s">
        <v>8896</v>
      </c>
      <c r="H117" s="229">
        <v>15000</v>
      </c>
      <c r="I117" s="228">
        <f t="shared" si="5"/>
        <v>15</v>
      </c>
      <c r="J117" s="224">
        <v>2.99</v>
      </c>
      <c r="K117" s="228">
        <f>-(0.8*1.97+0.9*2.55+1.45*1.45)</f>
        <v>-5.9734999999999996</v>
      </c>
    </row>
    <row r="118" spans="1:11" ht="21.2" customHeight="1" x14ac:dyDescent="0.2">
      <c r="A118" s="226" t="s">
        <v>8992</v>
      </c>
      <c r="B118" s="226" t="s">
        <v>8993</v>
      </c>
      <c r="C118" s="226" t="s">
        <v>8874</v>
      </c>
      <c r="D118" s="227">
        <f t="shared" si="7"/>
        <v>10.889300000000002</v>
      </c>
      <c r="E118" s="223" t="s">
        <v>237</v>
      </c>
      <c r="F118" s="228">
        <f>10.86*2-0.97*1.97</f>
        <v>19.809100000000001</v>
      </c>
      <c r="G118" s="226" t="s">
        <v>8994</v>
      </c>
      <c r="H118" s="229">
        <v>10860</v>
      </c>
      <c r="I118" s="228">
        <f t="shared" si="5"/>
        <v>10.86</v>
      </c>
      <c r="J118" s="224">
        <v>2.99</v>
      </c>
      <c r="K118" s="228">
        <f>-0.9*1.97</f>
        <v>-1.7729999999999999</v>
      </c>
    </row>
    <row r="119" spans="1:11" ht="21.2" customHeight="1" x14ac:dyDescent="0.2">
      <c r="A119" s="226" t="s">
        <v>8995</v>
      </c>
      <c r="B119" s="226" t="s">
        <v>8942</v>
      </c>
      <c r="C119" s="226" t="s">
        <v>8875</v>
      </c>
      <c r="D119" s="227">
        <f t="shared" si="7"/>
        <v>20.2014</v>
      </c>
      <c r="E119" s="223"/>
      <c r="F119" s="228"/>
      <c r="G119" s="226" t="s">
        <v>8896</v>
      </c>
      <c r="H119" s="229">
        <v>9260</v>
      </c>
      <c r="I119" s="228">
        <f t="shared" si="5"/>
        <v>9.26</v>
      </c>
      <c r="J119" s="224">
        <v>2.99</v>
      </c>
      <c r="K119" s="228">
        <f>-(0.7*1.97*2+0.8*1.97*3)</f>
        <v>-7.4859999999999998</v>
      </c>
    </row>
    <row r="120" spans="1:11" ht="21.2" customHeight="1" x14ac:dyDescent="0.2">
      <c r="A120" s="226" t="s">
        <v>8996</v>
      </c>
      <c r="B120" s="226" t="s">
        <v>8944</v>
      </c>
      <c r="C120" s="226" t="s">
        <v>8875</v>
      </c>
      <c r="D120" s="227">
        <f t="shared" si="7"/>
        <v>39.474499999999999</v>
      </c>
      <c r="E120" s="223"/>
      <c r="F120" s="228"/>
      <c r="G120" s="226" t="s">
        <v>8896</v>
      </c>
      <c r="H120" s="229">
        <v>15200</v>
      </c>
      <c r="I120" s="228">
        <f t="shared" si="5"/>
        <v>15.2</v>
      </c>
      <c r="J120" s="224">
        <v>2.99</v>
      </c>
      <c r="K120" s="228">
        <f>-(0.8*1.97+0.9*2.55+1.45*1.45)</f>
        <v>-5.9734999999999996</v>
      </c>
    </row>
    <row r="121" spans="1:11" ht="21.2" customHeight="1" x14ac:dyDescent="0.2">
      <c r="A121" s="226" t="s">
        <v>8997</v>
      </c>
      <c r="B121" s="226" t="s">
        <v>8944</v>
      </c>
      <c r="C121" s="226" t="s">
        <v>8875</v>
      </c>
      <c r="D121" s="227">
        <f t="shared" si="7"/>
        <v>39.474499999999999</v>
      </c>
      <c r="E121" s="223"/>
      <c r="F121" s="228"/>
      <c r="G121" s="226" t="s">
        <v>8896</v>
      </c>
      <c r="H121" s="229">
        <v>15200</v>
      </c>
      <c r="I121" s="228">
        <f t="shared" si="5"/>
        <v>15.2</v>
      </c>
      <c r="J121" s="224">
        <v>2.99</v>
      </c>
      <c r="K121" s="228">
        <f>-(0.8*1.97+0.9*2.55+1.45*1.45)</f>
        <v>-5.9734999999999996</v>
      </c>
    </row>
    <row r="122" spans="1:11" ht="21.2" customHeight="1" x14ac:dyDescent="0.2">
      <c r="A122" s="226" t="s">
        <v>8998</v>
      </c>
      <c r="B122" s="226" t="s">
        <v>8922</v>
      </c>
      <c r="C122" s="226" t="s">
        <v>8874</v>
      </c>
      <c r="D122" s="227">
        <f t="shared" si="7"/>
        <v>6.1974</v>
      </c>
      <c r="E122" s="223" t="s">
        <v>237</v>
      </c>
      <c r="F122" s="228">
        <f>6.26*2-0.7*1.97</f>
        <v>11.141</v>
      </c>
      <c r="G122" s="226" t="s">
        <v>8994</v>
      </c>
      <c r="H122" s="229">
        <v>6260</v>
      </c>
      <c r="I122" s="228">
        <f t="shared" si="5"/>
        <v>6.26</v>
      </c>
      <c r="J122" s="224">
        <v>2.99</v>
      </c>
      <c r="K122" s="228">
        <f>-0.7*1.97</f>
        <v>-1.379</v>
      </c>
    </row>
    <row r="123" spans="1:11" ht="21.2" customHeight="1" x14ac:dyDescent="0.2">
      <c r="A123" s="226" t="s">
        <v>8999</v>
      </c>
      <c r="B123" s="226" t="s">
        <v>8912</v>
      </c>
      <c r="C123" s="226" t="s">
        <v>8874</v>
      </c>
      <c r="D123" s="227">
        <f t="shared" si="7"/>
        <v>4.2966000000000015</v>
      </c>
      <c r="E123" s="223" t="s">
        <v>237</v>
      </c>
      <c r="F123" s="228">
        <f>4.34*2-0.7*1.97</f>
        <v>7.3010000000000002</v>
      </c>
      <c r="G123" s="226" t="s">
        <v>8994</v>
      </c>
      <c r="H123" s="229">
        <v>4340</v>
      </c>
      <c r="I123" s="228">
        <f t="shared" si="5"/>
        <v>4.34</v>
      </c>
      <c r="J123" s="224">
        <v>2.99</v>
      </c>
      <c r="K123" s="228">
        <f>-0.7*1.97</f>
        <v>-1.379</v>
      </c>
    </row>
    <row r="124" spans="1:11" ht="21.2" customHeight="1" x14ac:dyDescent="0.2">
      <c r="A124" s="226" t="s">
        <v>9000</v>
      </c>
      <c r="B124" s="226" t="s">
        <v>8942</v>
      </c>
      <c r="C124" s="226" t="s">
        <v>8875</v>
      </c>
      <c r="D124" s="227">
        <f t="shared" si="7"/>
        <v>18.407400000000003</v>
      </c>
      <c r="E124" s="223"/>
      <c r="F124" s="228"/>
      <c r="G124" s="226" t="s">
        <v>8896</v>
      </c>
      <c r="H124" s="229">
        <v>8660</v>
      </c>
      <c r="I124" s="228">
        <f t="shared" si="5"/>
        <v>8.66</v>
      </c>
      <c r="J124" s="224">
        <v>2.99</v>
      </c>
      <c r="K124" s="228">
        <f>-(0.7*1.97*2+0.8*1.97*3)</f>
        <v>-7.4859999999999998</v>
      </c>
    </row>
    <row r="125" spans="1:11" ht="21.2" customHeight="1" x14ac:dyDescent="0.2">
      <c r="A125" s="226" t="s">
        <v>9001</v>
      </c>
      <c r="B125" s="226" t="s">
        <v>8944</v>
      </c>
      <c r="C125" s="226" t="s">
        <v>8875</v>
      </c>
      <c r="D125" s="227">
        <f t="shared" si="7"/>
        <v>39.474499999999999</v>
      </c>
      <c r="E125" s="223"/>
      <c r="F125" s="228"/>
      <c r="G125" s="226" t="s">
        <v>8896</v>
      </c>
      <c r="H125" s="229">
        <v>15200</v>
      </c>
      <c r="I125" s="228">
        <f t="shared" si="5"/>
        <v>15.2</v>
      </c>
      <c r="J125" s="224">
        <v>2.99</v>
      </c>
      <c r="K125" s="228">
        <f>-(0.8*1.97+0.9*2.55+1.45*1.45)</f>
        <v>-5.9734999999999996</v>
      </c>
    </row>
    <row r="126" spans="1:11" ht="21.2" customHeight="1" x14ac:dyDescent="0.2">
      <c r="A126" s="226" t="s">
        <v>9002</v>
      </c>
      <c r="B126" s="226" t="s">
        <v>8944</v>
      </c>
      <c r="C126" s="226" t="s">
        <v>8875</v>
      </c>
      <c r="D126" s="227">
        <f t="shared" si="7"/>
        <v>39.474499999999999</v>
      </c>
      <c r="E126" s="223"/>
      <c r="F126" s="228"/>
      <c r="G126" s="226" t="s">
        <v>8896</v>
      </c>
      <c r="H126" s="229">
        <v>15200</v>
      </c>
      <c r="I126" s="228">
        <f t="shared" si="5"/>
        <v>15.2</v>
      </c>
      <c r="J126" s="224">
        <v>2.99</v>
      </c>
      <c r="K126" s="228">
        <f>-(0.8*1.97+0.9*2.55+1.45*1.45)</f>
        <v>-5.9734999999999996</v>
      </c>
    </row>
    <row r="127" spans="1:11" ht="21.2" customHeight="1" x14ac:dyDescent="0.2">
      <c r="A127" s="226" t="s">
        <v>9003</v>
      </c>
      <c r="B127" s="226" t="s">
        <v>8922</v>
      </c>
      <c r="C127" s="226" t="s">
        <v>8874</v>
      </c>
      <c r="D127" s="227">
        <f t="shared" si="7"/>
        <v>6.1974</v>
      </c>
      <c r="E127" s="223" t="s">
        <v>237</v>
      </c>
      <c r="F127" s="228">
        <f>6.26*2-0.7*1.97</f>
        <v>11.141</v>
      </c>
      <c r="G127" s="226" t="s">
        <v>8994</v>
      </c>
      <c r="H127" s="229">
        <v>6260</v>
      </c>
      <c r="I127" s="228">
        <f t="shared" si="5"/>
        <v>6.26</v>
      </c>
      <c r="J127" s="224">
        <v>2.99</v>
      </c>
      <c r="K127" s="228">
        <f>-0.7*1.97</f>
        <v>-1.379</v>
      </c>
    </row>
    <row r="128" spans="1:11" ht="21.2" customHeight="1" x14ac:dyDescent="0.2">
      <c r="A128" s="226" t="s">
        <v>9004</v>
      </c>
      <c r="B128" s="226" t="s">
        <v>8912</v>
      </c>
      <c r="C128" s="226" t="s">
        <v>8874</v>
      </c>
      <c r="D128" s="227">
        <f t="shared" si="7"/>
        <v>4.2966000000000015</v>
      </c>
      <c r="E128" s="223" t="s">
        <v>237</v>
      </c>
      <c r="F128" s="228">
        <f>4.34*2-0.7*1.97</f>
        <v>7.3010000000000002</v>
      </c>
      <c r="G128" s="226" t="s">
        <v>8994</v>
      </c>
      <c r="H128" s="229">
        <v>4340</v>
      </c>
      <c r="I128" s="228">
        <f t="shared" si="5"/>
        <v>4.34</v>
      </c>
      <c r="J128" s="224">
        <v>2.99</v>
      </c>
      <c r="K128" s="228">
        <f>-0.7*1.97</f>
        <v>-1.379</v>
      </c>
    </row>
    <row r="129" spans="1:11" ht="21.2" customHeight="1" x14ac:dyDescent="0.2">
      <c r="A129" s="226" t="s">
        <v>9005</v>
      </c>
      <c r="B129" s="226" t="s">
        <v>8942</v>
      </c>
      <c r="C129" s="226" t="s">
        <v>8875</v>
      </c>
      <c r="D129" s="227">
        <f t="shared" si="7"/>
        <v>18.407400000000003</v>
      </c>
      <c r="E129" s="223"/>
      <c r="F129" s="228"/>
      <c r="G129" s="226" t="s">
        <v>8896</v>
      </c>
      <c r="H129" s="229">
        <v>8660</v>
      </c>
      <c r="I129" s="228">
        <f t="shared" si="5"/>
        <v>8.66</v>
      </c>
      <c r="J129" s="224">
        <v>2.99</v>
      </c>
      <c r="K129" s="228">
        <f>-(0.7*1.97*2+0.8*1.97*3)</f>
        <v>-7.4859999999999998</v>
      </c>
    </row>
    <row r="130" spans="1:11" ht="21.2" customHeight="1" x14ac:dyDescent="0.2">
      <c r="A130" s="226" t="s">
        <v>9006</v>
      </c>
      <c r="B130" s="226" t="s">
        <v>8944</v>
      </c>
      <c r="C130" s="226" t="s">
        <v>8875</v>
      </c>
      <c r="D130" s="227">
        <f t="shared" si="7"/>
        <v>39.474499999999999</v>
      </c>
      <c r="E130" s="223"/>
      <c r="F130" s="228"/>
      <c r="G130" s="226" t="s">
        <v>8896</v>
      </c>
      <c r="H130" s="229">
        <v>15200</v>
      </c>
      <c r="I130" s="228">
        <f t="shared" si="5"/>
        <v>15.2</v>
      </c>
      <c r="J130" s="224">
        <v>2.99</v>
      </c>
      <c r="K130" s="228">
        <f>-(0.8*1.97+0.9*2.55+1.45*1.45)</f>
        <v>-5.9734999999999996</v>
      </c>
    </row>
    <row r="131" spans="1:11" ht="21.2" customHeight="1" x14ac:dyDescent="0.2">
      <c r="A131" s="226" t="s">
        <v>9007</v>
      </c>
      <c r="B131" s="226" t="s">
        <v>8944</v>
      </c>
      <c r="C131" s="226" t="s">
        <v>8875</v>
      </c>
      <c r="D131" s="227">
        <f t="shared" si="7"/>
        <v>39.474499999999999</v>
      </c>
      <c r="E131" s="223"/>
      <c r="F131" s="228"/>
      <c r="G131" s="226" t="s">
        <v>8896</v>
      </c>
      <c r="H131" s="229">
        <v>15200</v>
      </c>
      <c r="I131" s="228">
        <f t="shared" si="5"/>
        <v>15.2</v>
      </c>
      <c r="J131" s="224">
        <v>2.99</v>
      </c>
      <c r="K131" s="228">
        <f>-(0.8*1.97+0.9*2.55+1.45*1.45)</f>
        <v>-5.9734999999999996</v>
      </c>
    </row>
    <row r="132" spans="1:11" ht="21.2" customHeight="1" x14ac:dyDescent="0.2">
      <c r="A132" s="226" t="s">
        <v>9008</v>
      </c>
      <c r="B132" s="226" t="s">
        <v>8922</v>
      </c>
      <c r="C132" s="226" t="s">
        <v>8874</v>
      </c>
      <c r="D132" s="227">
        <f t="shared" si="7"/>
        <v>6.1974</v>
      </c>
      <c r="E132" s="223" t="s">
        <v>237</v>
      </c>
      <c r="F132" s="228">
        <f>6.26*2-0.7*1.97</f>
        <v>11.141</v>
      </c>
      <c r="G132" s="226" t="s">
        <v>8994</v>
      </c>
      <c r="H132" s="229">
        <v>6260</v>
      </c>
      <c r="I132" s="228">
        <f t="shared" si="5"/>
        <v>6.26</v>
      </c>
      <c r="J132" s="224">
        <v>2.99</v>
      </c>
      <c r="K132" s="228">
        <f>-0.7*1.97</f>
        <v>-1.379</v>
      </c>
    </row>
    <row r="133" spans="1:11" ht="21.2" customHeight="1" x14ac:dyDescent="0.2">
      <c r="A133" s="226" t="s">
        <v>9009</v>
      </c>
      <c r="B133" s="226" t="s">
        <v>8912</v>
      </c>
      <c r="C133" s="226" t="s">
        <v>8874</v>
      </c>
      <c r="D133" s="227">
        <f t="shared" si="7"/>
        <v>4.2966000000000015</v>
      </c>
      <c r="E133" s="223" t="s">
        <v>237</v>
      </c>
      <c r="F133" s="228">
        <f>4.34*2-0.7*1.97</f>
        <v>7.3010000000000002</v>
      </c>
      <c r="G133" s="226" t="s">
        <v>8994</v>
      </c>
      <c r="H133" s="229">
        <v>4340</v>
      </c>
      <c r="I133" s="228">
        <f t="shared" si="5"/>
        <v>4.34</v>
      </c>
      <c r="J133" s="224">
        <v>2.99</v>
      </c>
      <c r="K133" s="228">
        <f>-0.7*1.97</f>
        <v>-1.379</v>
      </c>
    </row>
    <row r="134" spans="1:11" ht="21.2" customHeight="1" x14ac:dyDescent="0.2">
      <c r="A134" s="226" t="s">
        <v>9010</v>
      </c>
      <c r="B134" s="226" t="s">
        <v>8942</v>
      </c>
      <c r="C134" s="226" t="s">
        <v>8875</v>
      </c>
      <c r="D134" s="227">
        <f t="shared" si="7"/>
        <v>35.489000000000004</v>
      </c>
      <c r="E134" s="223"/>
      <c r="F134" s="228"/>
      <c r="G134" s="226" t="s">
        <v>8896</v>
      </c>
      <c r="H134" s="229">
        <v>14900</v>
      </c>
      <c r="I134" s="228">
        <f t="shared" si="5"/>
        <v>14.9</v>
      </c>
      <c r="J134" s="224">
        <v>2.99</v>
      </c>
      <c r="K134" s="228">
        <f>-(0.7*1.97*2+0.8*1.97*4)</f>
        <v>-9.0620000000000012</v>
      </c>
    </row>
    <row r="135" spans="1:11" ht="21.2" customHeight="1" x14ac:dyDescent="0.2">
      <c r="A135" s="226" t="s">
        <v>9011</v>
      </c>
      <c r="B135" s="226" t="s">
        <v>8944</v>
      </c>
      <c r="C135" s="226" t="s">
        <v>8875</v>
      </c>
      <c r="D135" s="227">
        <f t="shared" si="7"/>
        <v>39.474499999999999</v>
      </c>
      <c r="E135" s="223"/>
      <c r="F135" s="228"/>
      <c r="G135" s="226" t="s">
        <v>8896</v>
      </c>
      <c r="H135" s="229">
        <v>15200</v>
      </c>
      <c r="I135" s="228">
        <f t="shared" si="5"/>
        <v>15.2</v>
      </c>
      <c r="J135" s="224">
        <v>2.99</v>
      </c>
      <c r="K135" s="228">
        <f>-(0.8*1.97+0.9*2.55+1.45*1.45)</f>
        <v>-5.9734999999999996</v>
      </c>
    </row>
    <row r="136" spans="1:11" ht="21.2" customHeight="1" x14ac:dyDescent="0.2">
      <c r="A136" s="226" t="s">
        <v>9012</v>
      </c>
      <c r="B136" s="226" t="s">
        <v>8944</v>
      </c>
      <c r="C136" s="226" t="s">
        <v>8875</v>
      </c>
      <c r="D136" s="227">
        <f t="shared" si="7"/>
        <v>39.474499999999999</v>
      </c>
      <c r="E136" s="223"/>
      <c r="F136" s="228"/>
      <c r="G136" s="226" t="s">
        <v>8896</v>
      </c>
      <c r="H136" s="229">
        <v>15200</v>
      </c>
      <c r="I136" s="228">
        <f t="shared" si="5"/>
        <v>15.2</v>
      </c>
      <c r="J136" s="224">
        <v>2.99</v>
      </c>
      <c r="K136" s="228">
        <f>-(0.8*1.97+0.9*2.55+1.45*1.45)</f>
        <v>-5.9734999999999996</v>
      </c>
    </row>
    <row r="137" spans="1:11" ht="21.2" customHeight="1" x14ac:dyDescent="0.2">
      <c r="A137" s="226" t="s">
        <v>9013</v>
      </c>
      <c r="B137" s="226" t="s">
        <v>8944</v>
      </c>
      <c r="C137" s="226" t="s">
        <v>8875</v>
      </c>
      <c r="D137" s="227">
        <f t="shared" si="7"/>
        <v>39.474499999999999</v>
      </c>
      <c r="E137" s="223"/>
      <c r="F137" s="228"/>
      <c r="G137" s="226" t="s">
        <v>8896</v>
      </c>
      <c r="H137" s="229">
        <v>15200</v>
      </c>
      <c r="I137" s="228">
        <f t="shared" si="5"/>
        <v>15.2</v>
      </c>
      <c r="J137" s="224">
        <v>2.99</v>
      </c>
      <c r="K137" s="228">
        <f>-(0.8*1.97+0.9*2.55+1.45*1.45)</f>
        <v>-5.9734999999999996</v>
      </c>
    </row>
    <row r="138" spans="1:11" ht="21.2" customHeight="1" x14ac:dyDescent="0.2">
      <c r="A138" s="226" t="s">
        <v>9014</v>
      </c>
      <c r="B138" s="226" t="s">
        <v>8912</v>
      </c>
      <c r="C138" s="226" t="s">
        <v>8874</v>
      </c>
      <c r="D138" s="227">
        <f t="shared" si="7"/>
        <v>4.2966000000000015</v>
      </c>
      <c r="E138" s="223" t="s">
        <v>237</v>
      </c>
      <c r="F138" s="228">
        <f>4.34*2-0.7*1.97</f>
        <v>7.3010000000000002</v>
      </c>
      <c r="G138" s="226" t="s">
        <v>8994</v>
      </c>
      <c r="H138" s="229">
        <v>4340</v>
      </c>
      <c r="I138" s="228">
        <f t="shared" si="5"/>
        <v>4.34</v>
      </c>
      <c r="J138" s="224">
        <v>2.99</v>
      </c>
      <c r="K138" s="228">
        <f>-0.7*1.97</f>
        <v>-1.379</v>
      </c>
    </row>
    <row r="139" spans="1:11" ht="21.2" customHeight="1" x14ac:dyDescent="0.2">
      <c r="A139" s="226" t="s">
        <v>9015</v>
      </c>
      <c r="B139" s="226" t="s">
        <v>8922</v>
      </c>
      <c r="C139" s="226" t="s">
        <v>8874</v>
      </c>
      <c r="D139" s="227">
        <f t="shared" si="7"/>
        <v>5.8310999999999993</v>
      </c>
      <c r="E139" s="223" t="s">
        <v>237</v>
      </c>
      <c r="F139" s="228">
        <f>5.89*2-0.7*1.97</f>
        <v>10.401</v>
      </c>
      <c r="G139" s="226" t="s">
        <v>9016</v>
      </c>
      <c r="H139" s="229">
        <v>5890</v>
      </c>
      <c r="I139" s="228">
        <f t="shared" si="5"/>
        <v>5.89</v>
      </c>
      <c r="J139" s="224">
        <v>2.99</v>
      </c>
      <c r="K139" s="228">
        <f>-0.7*1.97</f>
        <v>-1.379</v>
      </c>
    </row>
    <row r="140" spans="1:11" ht="21.2" customHeight="1" x14ac:dyDescent="0.2">
      <c r="A140" s="226" t="s">
        <v>9017</v>
      </c>
      <c r="B140" s="226" t="s">
        <v>8942</v>
      </c>
      <c r="C140" s="226" t="s">
        <v>8875</v>
      </c>
      <c r="D140" s="227">
        <f t="shared" si="7"/>
        <v>20.649900000000002</v>
      </c>
      <c r="E140" s="223"/>
      <c r="F140" s="228"/>
      <c r="G140" s="226" t="s">
        <v>8896</v>
      </c>
      <c r="H140" s="229">
        <v>9410</v>
      </c>
      <c r="I140" s="228">
        <f t="shared" si="5"/>
        <v>9.41</v>
      </c>
      <c r="J140" s="224">
        <v>2.99</v>
      </c>
      <c r="K140" s="228">
        <f>-(0.7*1.97*2+0.8*1.97*3)</f>
        <v>-7.4859999999999998</v>
      </c>
    </row>
    <row r="141" spans="1:11" ht="21.2" customHeight="1" x14ac:dyDescent="0.2">
      <c r="A141" s="226" t="s">
        <v>9018</v>
      </c>
      <c r="B141" s="226" t="s">
        <v>8944</v>
      </c>
      <c r="C141" s="226" t="s">
        <v>8875</v>
      </c>
      <c r="D141" s="227">
        <f t="shared" si="7"/>
        <v>43.0625</v>
      </c>
      <c r="E141" s="223"/>
      <c r="F141" s="228"/>
      <c r="G141" s="226" t="s">
        <v>8896</v>
      </c>
      <c r="H141" s="229">
        <v>16400</v>
      </c>
      <c r="I141" s="228">
        <f t="shared" si="5"/>
        <v>16.399999999999999</v>
      </c>
      <c r="J141" s="224">
        <v>2.99</v>
      </c>
      <c r="K141" s="228">
        <f>-(0.8*1.97+0.9*2.55+1.45*1.45)</f>
        <v>-5.9734999999999996</v>
      </c>
    </row>
    <row r="142" spans="1:11" ht="21.2" customHeight="1" x14ac:dyDescent="0.2">
      <c r="A142" s="226" t="s">
        <v>9019</v>
      </c>
      <c r="B142" s="226" t="s">
        <v>8944</v>
      </c>
      <c r="C142" s="226" t="s">
        <v>8875</v>
      </c>
      <c r="D142" s="227">
        <f t="shared" si="7"/>
        <v>39.474499999999999</v>
      </c>
      <c r="E142" s="223"/>
      <c r="F142" s="228"/>
      <c r="G142" s="226" t="s">
        <v>8896</v>
      </c>
      <c r="H142" s="229">
        <v>15200</v>
      </c>
      <c r="I142" s="228">
        <f t="shared" si="5"/>
        <v>15.2</v>
      </c>
      <c r="J142" s="224">
        <v>2.99</v>
      </c>
      <c r="K142" s="228">
        <f>-(0.8*1.97+0.9*2.55+1.45*1.45)</f>
        <v>-5.9734999999999996</v>
      </c>
    </row>
    <row r="143" spans="1:11" ht="21.2" customHeight="1" x14ac:dyDescent="0.2">
      <c r="A143" s="226" t="s">
        <v>9020</v>
      </c>
      <c r="B143" s="226" t="s">
        <v>8922</v>
      </c>
      <c r="C143" s="226" t="s">
        <v>8874</v>
      </c>
      <c r="D143" s="227">
        <f t="shared" si="7"/>
        <v>6.1974</v>
      </c>
      <c r="E143" s="223" t="s">
        <v>237</v>
      </c>
      <c r="F143" s="228">
        <f>6.26*2-0.7*1.97</f>
        <v>11.141</v>
      </c>
      <c r="G143" s="226" t="s">
        <v>9016</v>
      </c>
      <c r="H143" s="229">
        <v>6260</v>
      </c>
      <c r="I143" s="228">
        <f t="shared" si="5"/>
        <v>6.26</v>
      </c>
      <c r="J143" s="224">
        <v>2.99</v>
      </c>
      <c r="K143" s="228">
        <f>-0.7*1.97</f>
        <v>-1.379</v>
      </c>
    </row>
    <row r="144" spans="1:11" ht="21.2" customHeight="1" x14ac:dyDescent="0.2">
      <c r="A144" s="226" t="s">
        <v>9021</v>
      </c>
      <c r="B144" s="226" t="s">
        <v>8912</v>
      </c>
      <c r="C144" s="226" t="s">
        <v>8874</v>
      </c>
      <c r="D144" s="227">
        <f t="shared" si="7"/>
        <v>4.2966000000000015</v>
      </c>
      <c r="E144" s="223" t="s">
        <v>237</v>
      </c>
      <c r="F144" s="228">
        <f>4.34*2-0.7*1.97</f>
        <v>7.3010000000000002</v>
      </c>
      <c r="G144" s="226" t="s">
        <v>9016</v>
      </c>
      <c r="H144" s="229">
        <v>4340</v>
      </c>
      <c r="I144" s="228">
        <f t="shared" si="5"/>
        <v>4.34</v>
      </c>
      <c r="J144" s="224">
        <v>2.99</v>
      </c>
      <c r="K144" s="228">
        <f>-0.7*1.97</f>
        <v>-1.379</v>
      </c>
    </row>
    <row r="145" spans="1:11" ht="21.2" customHeight="1" x14ac:dyDescent="0.2">
      <c r="A145" s="226" t="s">
        <v>9022</v>
      </c>
      <c r="B145" s="226" t="s">
        <v>8942</v>
      </c>
      <c r="C145" s="226" t="s">
        <v>8875</v>
      </c>
      <c r="D145" s="227">
        <f t="shared" si="7"/>
        <v>21.666500000000003</v>
      </c>
      <c r="E145" s="223"/>
      <c r="F145" s="228"/>
      <c r="G145" s="226" t="s">
        <v>8896</v>
      </c>
      <c r="H145" s="229">
        <v>9750</v>
      </c>
      <c r="I145" s="228">
        <f t="shared" si="5"/>
        <v>9.75</v>
      </c>
      <c r="J145" s="224">
        <v>2.99</v>
      </c>
      <c r="K145" s="228">
        <f>-(0.7*1.97*2+0.8*1.97*3)</f>
        <v>-7.4859999999999998</v>
      </c>
    </row>
    <row r="146" spans="1:11" ht="21.2" customHeight="1" x14ac:dyDescent="0.2">
      <c r="A146" s="226" t="s">
        <v>9023</v>
      </c>
      <c r="B146" s="226" t="s">
        <v>8944</v>
      </c>
      <c r="C146" s="226" t="s">
        <v>8875</v>
      </c>
      <c r="D146" s="227">
        <f t="shared" si="7"/>
        <v>39.474499999999999</v>
      </c>
      <c r="E146" s="223"/>
      <c r="F146" s="228"/>
      <c r="G146" s="226" t="s">
        <v>8896</v>
      </c>
      <c r="H146" s="229">
        <v>15200</v>
      </c>
      <c r="I146" s="228">
        <f t="shared" ref="I146:I209" si="8">H146/1000</f>
        <v>15.2</v>
      </c>
      <c r="J146" s="224">
        <v>2.99</v>
      </c>
      <c r="K146" s="228">
        <f>-(0.8*1.97+0.9*2.55+1.45*1.45)</f>
        <v>-5.9734999999999996</v>
      </c>
    </row>
    <row r="147" spans="1:11" ht="21.2" customHeight="1" x14ac:dyDescent="0.2">
      <c r="A147" s="226" t="s">
        <v>9024</v>
      </c>
      <c r="B147" s="226" t="s">
        <v>8944</v>
      </c>
      <c r="C147" s="226" t="s">
        <v>8875</v>
      </c>
      <c r="D147" s="227">
        <f t="shared" si="7"/>
        <v>37.830000000000005</v>
      </c>
      <c r="E147" s="223"/>
      <c r="F147" s="228"/>
      <c r="G147" s="226" t="s">
        <v>8896</v>
      </c>
      <c r="H147" s="229">
        <v>14650</v>
      </c>
      <c r="I147" s="228">
        <f t="shared" si="8"/>
        <v>14.65</v>
      </c>
      <c r="J147" s="224">
        <v>2.99</v>
      </c>
      <c r="K147" s="228">
        <f>-(0.8*1.97+0.9*2.55+1.45*1.45)</f>
        <v>-5.9734999999999996</v>
      </c>
    </row>
    <row r="148" spans="1:11" ht="21.2" customHeight="1" x14ac:dyDescent="0.2">
      <c r="A148" s="226" t="s">
        <v>9025</v>
      </c>
      <c r="B148" s="226" t="s">
        <v>8922</v>
      </c>
      <c r="C148" s="226" t="s">
        <v>8874</v>
      </c>
      <c r="D148" s="227">
        <f t="shared" si="7"/>
        <v>6.1974</v>
      </c>
      <c r="E148" s="223" t="s">
        <v>237</v>
      </c>
      <c r="F148" s="228">
        <f>6.26*2-0.7*1.97</f>
        <v>11.141</v>
      </c>
      <c r="G148" s="226" t="s">
        <v>9016</v>
      </c>
      <c r="H148" s="229">
        <v>6260</v>
      </c>
      <c r="I148" s="228">
        <f t="shared" si="8"/>
        <v>6.26</v>
      </c>
      <c r="J148" s="224">
        <v>2.99</v>
      </c>
      <c r="K148" s="228">
        <f>-0.7*1.97</f>
        <v>-1.379</v>
      </c>
    </row>
    <row r="149" spans="1:11" ht="21.2" customHeight="1" x14ac:dyDescent="0.2">
      <c r="A149" s="226" t="s">
        <v>9026</v>
      </c>
      <c r="B149" s="226" t="s">
        <v>8912</v>
      </c>
      <c r="C149" s="226" t="s">
        <v>8874</v>
      </c>
      <c r="D149" s="227">
        <f t="shared" si="7"/>
        <v>4.6629000000000005</v>
      </c>
      <c r="E149" s="223" t="s">
        <v>237</v>
      </c>
      <c r="F149" s="228">
        <f>4.71*2-0.7*1.97</f>
        <v>8.0410000000000004</v>
      </c>
      <c r="G149" s="226" t="s">
        <v>9016</v>
      </c>
      <c r="H149" s="229">
        <v>4710</v>
      </c>
      <c r="I149" s="228">
        <f t="shared" si="8"/>
        <v>4.71</v>
      </c>
      <c r="J149" s="224">
        <v>2.99</v>
      </c>
      <c r="K149" s="228">
        <f>-0.7*1.97</f>
        <v>-1.379</v>
      </c>
    </row>
    <row r="150" spans="1:11" ht="21.2" customHeight="1" x14ac:dyDescent="0.2">
      <c r="A150" s="226" t="s">
        <v>9027</v>
      </c>
      <c r="B150" s="226" t="s">
        <v>8942</v>
      </c>
      <c r="C150" s="226" t="s">
        <v>8875</v>
      </c>
      <c r="D150" s="227">
        <f t="shared" si="7"/>
        <v>48.047000000000011</v>
      </c>
      <c r="E150" s="223"/>
      <c r="F150" s="228"/>
      <c r="G150" s="226" t="s">
        <v>8896</v>
      </c>
      <c r="H150" s="229">
        <v>19100</v>
      </c>
      <c r="I150" s="228">
        <f t="shared" si="8"/>
        <v>19.100000000000001</v>
      </c>
      <c r="J150" s="224">
        <v>2.99</v>
      </c>
      <c r="K150" s="228">
        <f>-(0.7*1.97*2+0.8*1.97*4)</f>
        <v>-9.0620000000000012</v>
      </c>
    </row>
    <row r="151" spans="1:11" ht="21.2" customHeight="1" x14ac:dyDescent="0.2">
      <c r="A151" s="226" t="s">
        <v>9028</v>
      </c>
      <c r="B151" s="226" t="s">
        <v>8944</v>
      </c>
      <c r="C151" s="226" t="s">
        <v>8875</v>
      </c>
      <c r="D151" s="227">
        <f t="shared" si="7"/>
        <v>41.045000000000002</v>
      </c>
      <c r="E151" s="223"/>
      <c r="F151" s="228"/>
      <c r="G151" s="226" t="s">
        <v>8896</v>
      </c>
      <c r="H151" s="229">
        <v>15900</v>
      </c>
      <c r="I151" s="228">
        <f t="shared" si="8"/>
        <v>15.9</v>
      </c>
      <c r="J151" s="224">
        <v>2.99</v>
      </c>
      <c r="K151" s="228">
        <f>-(0.8*1.97+2.4*2.05)</f>
        <v>-6.4959999999999987</v>
      </c>
    </row>
    <row r="152" spans="1:11" ht="21.2" customHeight="1" x14ac:dyDescent="0.2">
      <c r="A152" s="226" t="s">
        <v>9029</v>
      </c>
      <c r="B152" s="226" t="s">
        <v>8944</v>
      </c>
      <c r="C152" s="226" t="s">
        <v>8875</v>
      </c>
      <c r="D152" s="227">
        <f t="shared" si="7"/>
        <v>40.182000000000002</v>
      </c>
      <c r="E152" s="223"/>
      <c r="F152" s="228"/>
      <c r="G152" s="226" t="s">
        <v>8896</v>
      </c>
      <c r="H152" s="229">
        <v>15200</v>
      </c>
      <c r="I152" s="228">
        <f t="shared" si="8"/>
        <v>15.2</v>
      </c>
      <c r="J152" s="224">
        <v>2.99</v>
      </c>
      <c r="K152" s="228">
        <f>-(0.8*1.97+1.8*2.05)</f>
        <v>-5.266</v>
      </c>
    </row>
    <row r="153" spans="1:11" ht="21.2" customHeight="1" x14ac:dyDescent="0.2">
      <c r="A153" s="226" t="s">
        <v>9030</v>
      </c>
      <c r="B153" s="226" t="s">
        <v>8944</v>
      </c>
      <c r="C153" s="226" t="s">
        <v>8875</v>
      </c>
      <c r="D153" s="227">
        <f t="shared" si="7"/>
        <v>41.976000000000006</v>
      </c>
      <c r="E153" s="223"/>
      <c r="F153" s="228"/>
      <c r="G153" s="226" t="s">
        <v>8896</v>
      </c>
      <c r="H153" s="229">
        <v>15800</v>
      </c>
      <c r="I153" s="228">
        <f t="shared" si="8"/>
        <v>15.8</v>
      </c>
      <c r="J153" s="224">
        <v>2.99</v>
      </c>
      <c r="K153" s="228">
        <f>-(0.8*1.97+1.8*2.05)</f>
        <v>-5.266</v>
      </c>
    </row>
    <row r="154" spans="1:11" ht="21.2" customHeight="1" x14ac:dyDescent="0.2">
      <c r="A154" s="226" t="s">
        <v>9031</v>
      </c>
      <c r="B154" s="226" t="s">
        <v>8912</v>
      </c>
      <c r="C154" s="226" t="s">
        <v>8874</v>
      </c>
      <c r="D154" s="227">
        <f t="shared" si="7"/>
        <v>5.3460000000000001</v>
      </c>
      <c r="E154" s="223" t="s">
        <v>237</v>
      </c>
      <c r="F154" s="228">
        <f>5.4*2-0.7*1.97</f>
        <v>9.4210000000000012</v>
      </c>
      <c r="G154" s="226" t="s">
        <v>9016</v>
      </c>
      <c r="H154" s="229">
        <v>5400</v>
      </c>
      <c r="I154" s="228">
        <f t="shared" si="8"/>
        <v>5.4</v>
      </c>
      <c r="J154" s="224">
        <v>2.99</v>
      </c>
      <c r="K154" s="228">
        <f>-0.7*1.97</f>
        <v>-1.379</v>
      </c>
    </row>
    <row r="155" spans="1:11" ht="21.2" customHeight="1" x14ac:dyDescent="0.2">
      <c r="A155" s="226" t="s">
        <v>9032</v>
      </c>
      <c r="B155" s="226" t="s">
        <v>8922</v>
      </c>
      <c r="C155" s="226" t="s">
        <v>8874</v>
      </c>
      <c r="D155" s="227">
        <f t="shared" si="7"/>
        <v>0</v>
      </c>
      <c r="E155" s="223" t="s">
        <v>237</v>
      </c>
      <c r="F155" s="228">
        <f>6.45*2.99-0.7*1.97</f>
        <v>17.906500000000001</v>
      </c>
      <c r="G155" s="226" t="s">
        <v>9016</v>
      </c>
      <c r="H155" s="229">
        <v>6450</v>
      </c>
      <c r="I155" s="228">
        <f t="shared" si="8"/>
        <v>6.45</v>
      </c>
      <c r="J155" s="224">
        <v>2.99</v>
      </c>
      <c r="K155" s="228">
        <f>-0.7*1.97</f>
        <v>-1.379</v>
      </c>
    </row>
    <row r="156" spans="1:11" ht="21.2" customHeight="1" x14ac:dyDescent="0.2">
      <c r="A156" s="226" t="s">
        <v>1517</v>
      </c>
      <c r="B156" s="226" t="s">
        <v>514</v>
      </c>
      <c r="C156" s="226" t="s">
        <v>8875</v>
      </c>
      <c r="D156" s="227">
        <f t="shared" si="7"/>
        <v>47.516950000000016</v>
      </c>
      <c r="E156" s="223"/>
      <c r="F156" s="228"/>
      <c r="G156" s="226" t="s">
        <v>8899</v>
      </c>
      <c r="H156" s="229">
        <v>25975</v>
      </c>
      <c r="I156" s="228">
        <f t="shared" si="8"/>
        <v>25.975000000000001</v>
      </c>
      <c r="J156" s="224">
        <v>2.99</v>
      </c>
      <c r="K156" s="228">
        <f>-(0.8*1.97+0.9*1.97*2+3.6*2.99+4.77*2.99)</f>
        <v>-30.148299999999999</v>
      </c>
    </row>
    <row r="157" spans="1:11" ht="21.2" customHeight="1" x14ac:dyDescent="0.2">
      <c r="A157" s="226" t="s">
        <v>5086</v>
      </c>
      <c r="B157" s="226" t="s">
        <v>8898</v>
      </c>
      <c r="C157" s="226" t="s">
        <v>8875</v>
      </c>
      <c r="D157" s="227">
        <f t="shared" si="7"/>
        <v>34.338000000000008</v>
      </c>
      <c r="E157" s="223"/>
      <c r="F157" s="228"/>
      <c r="G157" s="226" t="s">
        <v>8899</v>
      </c>
      <c r="H157" s="229">
        <v>15400</v>
      </c>
      <c r="I157" s="228">
        <f t="shared" si="8"/>
        <v>15.4</v>
      </c>
      <c r="J157" s="224">
        <v>2.99</v>
      </c>
      <c r="K157" s="228">
        <f>-(0.8*1.97*2+0.9*2.1*2+1.2*1.8+1.2*2.18)</f>
        <v>-11.708</v>
      </c>
    </row>
    <row r="158" spans="1:11" ht="21.2" customHeight="1" x14ac:dyDescent="0.2">
      <c r="A158" s="226" t="s">
        <v>5085</v>
      </c>
      <c r="B158" s="226" t="s">
        <v>8898</v>
      </c>
      <c r="C158" s="226" t="s">
        <v>8875</v>
      </c>
      <c r="D158" s="227">
        <f t="shared" si="7"/>
        <v>154.22319000000002</v>
      </c>
      <c r="E158" s="223"/>
      <c r="F158" s="228"/>
      <c r="G158" s="226" t="s">
        <v>8899</v>
      </c>
      <c r="H158" s="229">
        <v>72381</v>
      </c>
      <c r="I158" s="228">
        <f t="shared" si="8"/>
        <v>72.381</v>
      </c>
      <c r="J158" s="224">
        <v>2.99</v>
      </c>
      <c r="K158" s="228">
        <f>-(0.9*2.1*2+0.8*1.97*6+5.4*1.8*3+5.5*1.8*2)</f>
        <v>-62.195999999999998</v>
      </c>
    </row>
    <row r="159" spans="1:11" ht="21.2" customHeight="1" x14ac:dyDescent="0.2">
      <c r="A159" s="226" t="s">
        <v>9033</v>
      </c>
      <c r="B159" s="226" t="s">
        <v>8917</v>
      </c>
      <c r="C159" s="226" t="s">
        <v>8874</v>
      </c>
      <c r="D159" s="227">
        <f t="shared" si="7"/>
        <v>0</v>
      </c>
      <c r="E159" s="223" t="s">
        <v>237</v>
      </c>
      <c r="F159" s="228">
        <f>6.7*2.99-0.8*1.97</f>
        <v>18.457000000000001</v>
      </c>
      <c r="G159" s="226" t="s">
        <v>8899</v>
      </c>
      <c r="H159" s="229">
        <v>6700</v>
      </c>
      <c r="I159" s="228">
        <f t="shared" si="8"/>
        <v>6.7</v>
      </c>
      <c r="J159" s="224">
        <v>2.99</v>
      </c>
      <c r="K159" s="228">
        <f>-0.8*1.97</f>
        <v>-1.5760000000000001</v>
      </c>
    </row>
    <row r="160" spans="1:11" ht="21.2" customHeight="1" x14ac:dyDescent="0.2">
      <c r="A160" s="226" t="s">
        <v>5087</v>
      </c>
      <c r="B160" s="226" t="s">
        <v>8929</v>
      </c>
      <c r="C160" s="226" t="s">
        <v>8874</v>
      </c>
      <c r="D160" s="227">
        <f t="shared" si="7"/>
        <v>44.436500000000002</v>
      </c>
      <c r="E160" s="223" t="s">
        <v>239</v>
      </c>
      <c r="F160" s="228">
        <f>(4.35+1.45+0.7)*1.4</f>
        <v>9.1</v>
      </c>
      <c r="G160" s="226" t="s">
        <v>8976</v>
      </c>
      <c r="H160" s="229">
        <v>20150</v>
      </c>
      <c r="I160" s="228">
        <f t="shared" si="8"/>
        <v>20.149999999999999</v>
      </c>
      <c r="J160" s="224">
        <v>2.99</v>
      </c>
      <c r="K160" s="228">
        <f>-(0.8*1.97+2.675*1.92)</f>
        <v>-6.7119999999999997</v>
      </c>
    </row>
    <row r="161" spans="1:11" ht="21.2" customHeight="1" x14ac:dyDescent="0.2">
      <c r="A161" s="226" t="s">
        <v>5112</v>
      </c>
      <c r="B161" s="226" t="s">
        <v>8892</v>
      </c>
      <c r="C161" s="226" t="s">
        <v>8873</v>
      </c>
      <c r="D161" s="227">
        <f t="shared" si="7"/>
        <v>38.468000000000004</v>
      </c>
      <c r="E161" s="223" t="s">
        <v>8936</v>
      </c>
      <c r="F161" s="228"/>
      <c r="G161" s="226"/>
      <c r="H161" s="229">
        <v>13348</v>
      </c>
      <c r="I161" s="228">
        <f t="shared" si="8"/>
        <v>13.348000000000001</v>
      </c>
      <c r="J161" s="224">
        <v>3</v>
      </c>
      <c r="K161" s="228">
        <f>-0.8*1.97</f>
        <v>-1.5760000000000001</v>
      </c>
    </row>
    <row r="162" spans="1:11" ht="21.2" customHeight="1" x14ac:dyDescent="0.2">
      <c r="A162" s="226" t="s">
        <v>1518</v>
      </c>
      <c r="B162" s="226" t="s">
        <v>514</v>
      </c>
      <c r="C162" s="226" t="s">
        <v>8875</v>
      </c>
      <c r="D162" s="227">
        <f t="shared" si="7"/>
        <v>46.033000000000015</v>
      </c>
      <c r="E162" s="223"/>
      <c r="F162" s="228"/>
      <c r="G162" s="226" t="s">
        <v>8899</v>
      </c>
      <c r="H162" s="229">
        <v>23850</v>
      </c>
      <c r="I162" s="228">
        <f t="shared" si="8"/>
        <v>23.85</v>
      </c>
      <c r="J162" s="224">
        <v>3</v>
      </c>
      <c r="K162" s="228">
        <f>-(0.8*1.97*2+1.4*2.1+0.9*2+5.875*3)</f>
        <v>-25.516999999999999</v>
      </c>
    </row>
    <row r="163" spans="1:11" ht="21.2" customHeight="1" x14ac:dyDescent="0.2">
      <c r="A163" s="226" t="s">
        <v>9034</v>
      </c>
      <c r="B163" s="226" t="s">
        <v>8917</v>
      </c>
      <c r="C163" s="226" t="s">
        <v>8874</v>
      </c>
      <c r="D163" s="227">
        <f t="shared" si="7"/>
        <v>0</v>
      </c>
      <c r="E163" s="223" t="s">
        <v>237</v>
      </c>
      <c r="F163" s="228">
        <f>6.06*3-0.8*1.97</f>
        <v>16.603999999999999</v>
      </c>
      <c r="G163" s="226" t="s">
        <v>8910</v>
      </c>
      <c r="H163" s="229">
        <v>6060</v>
      </c>
      <c r="I163" s="228">
        <f t="shared" si="8"/>
        <v>6.06</v>
      </c>
      <c r="J163" s="224">
        <v>3</v>
      </c>
      <c r="K163" s="228">
        <f>-0.8*1.97</f>
        <v>-1.5760000000000001</v>
      </c>
    </row>
    <row r="164" spans="1:11" ht="21.2" customHeight="1" x14ac:dyDescent="0.2">
      <c r="A164" s="226" t="s">
        <v>9035</v>
      </c>
      <c r="B164" s="226" t="s">
        <v>8924</v>
      </c>
      <c r="C164" s="226" t="s">
        <v>8871</v>
      </c>
      <c r="D164" s="227">
        <f t="shared" si="7"/>
        <v>24.936600000000002</v>
      </c>
      <c r="E164" s="223"/>
      <c r="F164" s="228"/>
      <c r="G164" s="226" t="s">
        <v>8871</v>
      </c>
      <c r="H164" s="229">
        <v>8340</v>
      </c>
      <c r="I164" s="228">
        <f t="shared" si="8"/>
        <v>8.34</v>
      </c>
      <c r="J164" s="224">
        <v>2.99</v>
      </c>
      <c r="K164" s="230"/>
    </row>
    <row r="165" spans="1:11" ht="21.2" customHeight="1" x14ac:dyDescent="0.2">
      <c r="A165" s="226" t="s">
        <v>9036</v>
      </c>
      <c r="B165" s="226" t="s">
        <v>8942</v>
      </c>
      <c r="C165" s="226" t="s">
        <v>8875</v>
      </c>
      <c r="D165" s="227">
        <f t="shared" si="7"/>
        <v>30.928500000000003</v>
      </c>
      <c r="E165" s="223"/>
      <c r="F165" s="228"/>
      <c r="G165" s="226" t="s">
        <v>8896</v>
      </c>
      <c r="H165" s="229">
        <v>12650</v>
      </c>
      <c r="I165" s="228">
        <f t="shared" si="8"/>
        <v>12.65</v>
      </c>
      <c r="J165" s="224">
        <v>2.99</v>
      </c>
      <c r="K165" s="228">
        <f>-(0.8*1.97+0.9*1.97*3)</f>
        <v>-6.8949999999999996</v>
      </c>
    </row>
    <row r="166" spans="1:11" ht="21.2" customHeight="1" x14ac:dyDescent="0.2">
      <c r="A166" s="226" t="s">
        <v>9037</v>
      </c>
      <c r="B166" s="226" t="s">
        <v>8990</v>
      </c>
      <c r="C166" s="226" t="s">
        <v>8875</v>
      </c>
      <c r="D166" s="227">
        <f t="shared" si="7"/>
        <v>49.323900000000002</v>
      </c>
      <c r="E166" s="223"/>
      <c r="F166" s="228"/>
      <c r="G166" s="226" t="s">
        <v>8896</v>
      </c>
      <c r="H166" s="229">
        <v>18560</v>
      </c>
      <c r="I166" s="228">
        <f t="shared" si="8"/>
        <v>18.559999999999999</v>
      </c>
      <c r="J166" s="224">
        <v>2.99</v>
      </c>
      <c r="K166" s="228">
        <f>-(0.9*1.97+0.9*2.55+1.45*1.45)</f>
        <v>-6.1704999999999997</v>
      </c>
    </row>
    <row r="167" spans="1:11" ht="21.2" customHeight="1" x14ac:dyDescent="0.2">
      <c r="A167" s="226" t="s">
        <v>9038</v>
      </c>
      <c r="B167" s="226" t="s">
        <v>8944</v>
      </c>
      <c r="C167" s="226" t="s">
        <v>8875</v>
      </c>
      <c r="D167" s="227">
        <f t="shared" si="7"/>
        <v>38.8765</v>
      </c>
      <c r="E167" s="223"/>
      <c r="F167" s="228"/>
      <c r="G167" s="226" t="s">
        <v>8896</v>
      </c>
      <c r="H167" s="229">
        <v>15000</v>
      </c>
      <c r="I167" s="228">
        <f t="shared" si="8"/>
        <v>15</v>
      </c>
      <c r="J167" s="224">
        <v>2.99</v>
      </c>
      <c r="K167" s="228">
        <f>-(0.8*1.97+0.9*2.55+1.45*1.45)</f>
        <v>-5.9734999999999996</v>
      </c>
    </row>
    <row r="168" spans="1:11" ht="21.2" customHeight="1" x14ac:dyDescent="0.2">
      <c r="A168" s="226" t="s">
        <v>9039</v>
      </c>
      <c r="B168" s="226" t="s">
        <v>8993</v>
      </c>
      <c r="C168" s="226" t="s">
        <v>8874</v>
      </c>
      <c r="D168" s="227">
        <f t="shared" si="7"/>
        <v>10.889300000000002</v>
      </c>
      <c r="E168" s="223" t="s">
        <v>237</v>
      </c>
      <c r="F168" s="228">
        <f>10.86*2-0.97*1.97</f>
        <v>19.809100000000001</v>
      </c>
      <c r="G168" s="226" t="s">
        <v>8994</v>
      </c>
      <c r="H168" s="229">
        <v>10860</v>
      </c>
      <c r="I168" s="228">
        <f t="shared" si="8"/>
        <v>10.86</v>
      </c>
      <c r="J168" s="224">
        <v>2.99</v>
      </c>
      <c r="K168" s="228">
        <f>-0.9*1.97</f>
        <v>-1.7729999999999999</v>
      </c>
    </row>
    <row r="169" spans="1:11" ht="21.2" customHeight="1" x14ac:dyDescent="0.2">
      <c r="A169" s="226" t="s">
        <v>9040</v>
      </c>
      <c r="B169" s="226" t="s">
        <v>8942</v>
      </c>
      <c r="C169" s="226" t="s">
        <v>8875</v>
      </c>
      <c r="D169" s="227">
        <f t="shared" si="7"/>
        <v>20.2014</v>
      </c>
      <c r="E169" s="223"/>
      <c r="F169" s="228"/>
      <c r="G169" s="226" t="s">
        <v>8896</v>
      </c>
      <c r="H169" s="229">
        <v>9260</v>
      </c>
      <c r="I169" s="228">
        <f t="shared" si="8"/>
        <v>9.26</v>
      </c>
      <c r="J169" s="224">
        <v>2.99</v>
      </c>
      <c r="K169" s="228">
        <f>-(0.7*1.97*2+0.8*1.97*3)</f>
        <v>-7.4859999999999998</v>
      </c>
    </row>
    <row r="170" spans="1:11" ht="21.2" customHeight="1" x14ac:dyDescent="0.2">
      <c r="A170" s="226" t="s">
        <v>9041</v>
      </c>
      <c r="B170" s="226" t="s">
        <v>8944</v>
      </c>
      <c r="C170" s="226" t="s">
        <v>8875</v>
      </c>
      <c r="D170" s="227">
        <f t="shared" ref="D170:D233" si="9">I170*J170+K170-F170</f>
        <v>39.474499999999999</v>
      </c>
      <c r="E170" s="223"/>
      <c r="F170" s="228"/>
      <c r="G170" s="226" t="s">
        <v>8896</v>
      </c>
      <c r="H170" s="229">
        <v>15200</v>
      </c>
      <c r="I170" s="228">
        <f t="shared" si="8"/>
        <v>15.2</v>
      </c>
      <c r="J170" s="224">
        <v>2.99</v>
      </c>
      <c r="K170" s="228">
        <f>-(0.8*1.97+0.9*2.55+1.45*1.45)</f>
        <v>-5.9734999999999996</v>
      </c>
    </row>
    <row r="171" spans="1:11" ht="21.2" customHeight="1" x14ac:dyDescent="0.2">
      <c r="A171" s="226" t="s">
        <v>9042</v>
      </c>
      <c r="B171" s="226" t="s">
        <v>8944</v>
      </c>
      <c r="C171" s="226" t="s">
        <v>8875</v>
      </c>
      <c r="D171" s="227">
        <f t="shared" si="9"/>
        <v>39.474499999999999</v>
      </c>
      <c r="E171" s="223"/>
      <c r="F171" s="228"/>
      <c r="G171" s="226" t="s">
        <v>8896</v>
      </c>
      <c r="H171" s="229">
        <v>15200</v>
      </c>
      <c r="I171" s="228">
        <f t="shared" si="8"/>
        <v>15.2</v>
      </c>
      <c r="J171" s="224">
        <v>2.99</v>
      </c>
      <c r="K171" s="228">
        <f>-(0.8*1.97+0.9*2.55+1.45*1.45)</f>
        <v>-5.9734999999999996</v>
      </c>
    </row>
    <row r="172" spans="1:11" ht="21.2" customHeight="1" x14ac:dyDescent="0.2">
      <c r="A172" s="226" t="s">
        <v>9043</v>
      </c>
      <c r="B172" s="226" t="s">
        <v>8922</v>
      </c>
      <c r="C172" s="226" t="s">
        <v>8874</v>
      </c>
      <c r="D172" s="227">
        <f t="shared" si="9"/>
        <v>6.1974</v>
      </c>
      <c r="E172" s="223" t="s">
        <v>237</v>
      </c>
      <c r="F172" s="228">
        <f>6.26*2-0.7*1.97</f>
        <v>11.141</v>
      </c>
      <c r="G172" s="226" t="s">
        <v>8994</v>
      </c>
      <c r="H172" s="229">
        <v>6260</v>
      </c>
      <c r="I172" s="228">
        <f t="shared" si="8"/>
        <v>6.26</v>
      </c>
      <c r="J172" s="224">
        <v>2.99</v>
      </c>
      <c r="K172" s="228">
        <f>-0.7*1.97</f>
        <v>-1.379</v>
      </c>
    </row>
    <row r="173" spans="1:11" ht="21.2" customHeight="1" x14ac:dyDescent="0.2">
      <c r="A173" s="226" t="s">
        <v>9044</v>
      </c>
      <c r="B173" s="226" t="s">
        <v>8912</v>
      </c>
      <c r="C173" s="226" t="s">
        <v>8874</v>
      </c>
      <c r="D173" s="227">
        <f t="shared" si="9"/>
        <v>4.2966000000000015</v>
      </c>
      <c r="E173" s="223" t="s">
        <v>237</v>
      </c>
      <c r="F173" s="228">
        <f>4.34*2-0.7*1.97</f>
        <v>7.3010000000000002</v>
      </c>
      <c r="G173" s="226" t="s">
        <v>8994</v>
      </c>
      <c r="H173" s="229">
        <v>4340</v>
      </c>
      <c r="I173" s="228">
        <f t="shared" si="8"/>
        <v>4.34</v>
      </c>
      <c r="J173" s="224">
        <v>2.99</v>
      </c>
      <c r="K173" s="228">
        <f>-0.7*1.97</f>
        <v>-1.379</v>
      </c>
    </row>
    <row r="174" spans="1:11" ht="21.2" customHeight="1" x14ac:dyDescent="0.2">
      <c r="A174" s="226" t="s">
        <v>9045</v>
      </c>
      <c r="B174" s="226" t="s">
        <v>8942</v>
      </c>
      <c r="C174" s="226" t="s">
        <v>8875</v>
      </c>
      <c r="D174" s="227">
        <f t="shared" si="9"/>
        <v>18.407400000000003</v>
      </c>
      <c r="E174" s="223"/>
      <c r="F174" s="228"/>
      <c r="G174" s="226" t="s">
        <v>8896</v>
      </c>
      <c r="H174" s="229">
        <v>8660</v>
      </c>
      <c r="I174" s="228">
        <f t="shared" si="8"/>
        <v>8.66</v>
      </c>
      <c r="J174" s="224">
        <v>2.99</v>
      </c>
      <c r="K174" s="228">
        <f>-(0.7*1.97*2+0.8*1.97*3)</f>
        <v>-7.4859999999999998</v>
      </c>
    </row>
    <row r="175" spans="1:11" ht="21.2" customHeight="1" x14ac:dyDescent="0.2">
      <c r="A175" s="226" t="s">
        <v>9046</v>
      </c>
      <c r="B175" s="226" t="s">
        <v>8944</v>
      </c>
      <c r="C175" s="226" t="s">
        <v>8875</v>
      </c>
      <c r="D175" s="227">
        <f t="shared" si="9"/>
        <v>39.474499999999999</v>
      </c>
      <c r="E175" s="223"/>
      <c r="F175" s="228"/>
      <c r="G175" s="226" t="s">
        <v>8896</v>
      </c>
      <c r="H175" s="229">
        <v>15200</v>
      </c>
      <c r="I175" s="228">
        <f t="shared" si="8"/>
        <v>15.2</v>
      </c>
      <c r="J175" s="224">
        <v>2.99</v>
      </c>
      <c r="K175" s="228">
        <f>-(0.8*1.97+0.9*2.55+1.45*1.45)</f>
        <v>-5.9734999999999996</v>
      </c>
    </row>
    <row r="176" spans="1:11" ht="21.2" customHeight="1" x14ac:dyDescent="0.2">
      <c r="A176" s="226" t="s">
        <v>9047</v>
      </c>
      <c r="B176" s="226" t="s">
        <v>8944</v>
      </c>
      <c r="C176" s="226" t="s">
        <v>8875</v>
      </c>
      <c r="D176" s="227">
        <f t="shared" si="9"/>
        <v>39.474499999999999</v>
      </c>
      <c r="E176" s="223"/>
      <c r="F176" s="228"/>
      <c r="G176" s="226" t="s">
        <v>8896</v>
      </c>
      <c r="H176" s="229">
        <v>15200</v>
      </c>
      <c r="I176" s="228">
        <f t="shared" si="8"/>
        <v>15.2</v>
      </c>
      <c r="J176" s="224">
        <v>2.99</v>
      </c>
      <c r="K176" s="228">
        <f>-(0.8*1.97+0.9*2.55+1.45*1.45)</f>
        <v>-5.9734999999999996</v>
      </c>
    </row>
    <row r="177" spans="1:11" ht="21.2" customHeight="1" x14ac:dyDescent="0.2">
      <c r="A177" s="226" t="s">
        <v>9048</v>
      </c>
      <c r="B177" s="226" t="s">
        <v>8922</v>
      </c>
      <c r="C177" s="226" t="s">
        <v>8874</v>
      </c>
      <c r="D177" s="227">
        <f t="shared" si="9"/>
        <v>6.1974</v>
      </c>
      <c r="E177" s="223" t="s">
        <v>237</v>
      </c>
      <c r="F177" s="228">
        <f>6.26*2-0.7*1.97</f>
        <v>11.141</v>
      </c>
      <c r="G177" s="226" t="s">
        <v>8994</v>
      </c>
      <c r="H177" s="229">
        <v>6260</v>
      </c>
      <c r="I177" s="228">
        <f t="shared" si="8"/>
        <v>6.26</v>
      </c>
      <c r="J177" s="224">
        <v>2.99</v>
      </c>
      <c r="K177" s="228">
        <f>-0.7*1.97</f>
        <v>-1.379</v>
      </c>
    </row>
    <row r="178" spans="1:11" ht="21.2" customHeight="1" x14ac:dyDescent="0.2">
      <c r="A178" s="226" t="s">
        <v>9049</v>
      </c>
      <c r="B178" s="226" t="s">
        <v>8912</v>
      </c>
      <c r="C178" s="226" t="s">
        <v>8874</v>
      </c>
      <c r="D178" s="227">
        <f t="shared" si="9"/>
        <v>4.2966000000000015</v>
      </c>
      <c r="E178" s="223" t="s">
        <v>237</v>
      </c>
      <c r="F178" s="228">
        <f>4.34*2-0.7*1.97</f>
        <v>7.3010000000000002</v>
      </c>
      <c r="G178" s="226" t="s">
        <v>8994</v>
      </c>
      <c r="H178" s="229">
        <v>4340</v>
      </c>
      <c r="I178" s="228">
        <f t="shared" si="8"/>
        <v>4.34</v>
      </c>
      <c r="J178" s="224">
        <v>2.99</v>
      </c>
      <c r="K178" s="228">
        <f>-0.7*1.97</f>
        <v>-1.379</v>
      </c>
    </row>
    <row r="179" spans="1:11" ht="21.2" customHeight="1" x14ac:dyDescent="0.2">
      <c r="A179" s="226" t="s">
        <v>9050</v>
      </c>
      <c r="B179" s="226" t="s">
        <v>8942</v>
      </c>
      <c r="C179" s="226" t="s">
        <v>8875</v>
      </c>
      <c r="D179" s="227">
        <f t="shared" si="9"/>
        <v>18.407400000000003</v>
      </c>
      <c r="E179" s="223"/>
      <c r="F179" s="228"/>
      <c r="G179" s="226" t="s">
        <v>8896</v>
      </c>
      <c r="H179" s="229">
        <v>8660</v>
      </c>
      <c r="I179" s="228">
        <f t="shared" si="8"/>
        <v>8.66</v>
      </c>
      <c r="J179" s="224">
        <v>2.99</v>
      </c>
      <c r="K179" s="228">
        <f>-(0.7*1.97*2+0.8*1.97*3)</f>
        <v>-7.4859999999999998</v>
      </c>
    </row>
    <row r="180" spans="1:11" ht="21.2" customHeight="1" x14ac:dyDescent="0.2">
      <c r="A180" s="226" t="s">
        <v>9051</v>
      </c>
      <c r="B180" s="226" t="s">
        <v>8944</v>
      </c>
      <c r="C180" s="226" t="s">
        <v>8875</v>
      </c>
      <c r="D180" s="227">
        <f t="shared" si="9"/>
        <v>39.474499999999999</v>
      </c>
      <c r="E180" s="223"/>
      <c r="F180" s="228"/>
      <c r="G180" s="226" t="s">
        <v>8896</v>
      </c>
      <c r="H180" s="229">
        <v>15200</v>
      </c>
      <c r="I180" s="228">
        <f t="shared" si="8"/>
        <v>15.2</v>
      </c>
      <c r="J180" s="224">
        <v>2.99</v>
      </c>
      <c r="K180" s="228">
        <f>-(0.8*1.97+0.9*2.55+1.45*1.45)</f>
        <v>-5.9734999999999996</v>
      </c>
    </row>
    <row r="181" spans="1:11" ht="21.2" customHeight="1" x14ac:dyDescent="0.2">
      <c r="A181" s="226" t="s">
        <v>9052</v>
      </c>
      <c r="B181" s="226" t="s">
        <v>8944</v>
      </c>
      <c r="C181" s="226" t="s">
        <v>8875</v>
      </c>
      <c r="D181" s="227">
        <f t="shared" si="9"/>
        <v>39.474499999999999</v>
      </c>
      <c r="E181" s="223"/>
      <c r="F181" s="228"/>
      <c r="G181" s="226" t="s">
        <v>8896</v>
      </c>
      <c r="H181" s="229">
        <v>15200</v>
      </c>
      <c r="I181" s="228">
        <f t="shared" si="8"/>
        <v>15.2</v>
      </c>
      <c r="J181" s="224">
        <v>2.99</v>
      </c>
      <c r="K181" s="228">
        <f>-(0.8*1.97+0.9*2.55+1.45*1.45)</f>
        <v>-5.9734999999999996</v>
      </c>
    </row>
    <row r="182" spans="1:11" ht="21.2" customHeight="1" x14ac:dyDescent="0.2">
      <c r="A182" s="226" t="s">
        <v>9053</v>
      </c>
      <c r="B182" s="226" t="s">
        <v>8922</v>
      </c>
      <c r="C182" s="226" t="s">
        <v>8874</v>
      </c>
      <c r="D182" s="227">
        <f t="shared" si="9"/>
        <v>6.1974</v>
      </c>
      <c r="E182" s="223" t="s">
        <v>237</v>
      </c>
      <c r="F182" s="228">
        <f>6.26*2-0.7*1.97</f>
        <v>11.141</v>
      </c>
      <c r="G182" s="226" t="s">
        <v>8994</v>
      </c>
      <c r="H182" s="229">
        <v>6260</v>
      </c>
      <c r="I182" s="228">
        <f t="shared" si="8"/>
        <v>6.26</v>
      </c>
      <c r="J182" s="224">
        <v>2.99</v>
      </c>
      <c r="K182" s="228">
        <f>-0.7*1.97</f>
        <v>-1.379</v>
      </c>
    </row>
    <row r="183" spans="1:11" ht="21.2" customHeight="1" x14ac:dyDescent="0.2">
      <c r="A183" s="226" t="s">
        <v>9054</v>
      </c>
      <c r="B183" s="226" t="s">
        <v>8912</v>
      </c>
      <c r="C183" s="226" t="s">
        <v>8874</v>
      </c>
      <c r="D183" s="227">
        <f t="shared" si="9"/>
        <v>4.2966000000000015</v>
      </c>
      <c r="E183" s="223" t="s">
        <v>237</v>
      </c>
      <c r="F183" s="228">
        <f>4.34*2-0.7*1.97</f>
        <v>7.3010000000000002</v>
      </c>
      <c r="G183" s="226" t="s">
        <v>8994</v>
      </c>
      <c r="H183" s="229">
        <v>4340</v>
      </c>
      <c r="I183" s="228">
        <f t="shared" si="8"/>
        <v>4.34</v>
      </c>
      <c r="J183" s="224">
        <v>2.99</v>
      </c>
      <c r="K183" s="228">
        <f>-0.7*1.97</f>
        <v>-1.379</v>
      </c>
    </row>
    <row r="184" spans="1:11" ht="21.2" customHeight="1" x14ac:dyDescent="0.2">
      <c r="A184" s="226" t="s">
        <v>9055</v>
      </c>
      <c r="B184" s="226" t="s">
        <v>8942</v>
      </c>
      <c r="C184" s="226" t="s">
        <v>8875</v>
      </c>
      <c r="D184" s="227">
        <f t="shared" si="9"/>
        <v>34.7714</v>
      </c>
      <c r="E184" s="223"/>
      <c r="F184" s="228"/>
      <c r="G184" s="226" t="s">
        <v>8896</v>
      </c>
      <c r="H184" s="229">
        <v>14660</v>
      </c>
      <c r="I184" s="228">
        <f t="shared" si="8"/>
        <v>14.66</v>
      </c>
      <c r="J184" s="224">
        <v>2.99</v>
      </c>
      <c r="K184" s="228">
        <f>-(0.7*1.97*2+0.8*1.97*4)</f>
        <v>-9.0620000000000012</v>
      </c>
    </row>
    <row r="185" spans="1:11" ht="21.2" customHeight="1" x14ac:dyDescent="0.2">
      <c r="A185" s="226" t="s">
        <v>9056</v>
      </c>
      <c r="B185" s="226" t="s">
        <v>8944</v>
      </c>
      <c r="C185" s="226" t="s">
        <v>8875</v>
      </c>
      <c r="D185" s="227">
        <f t="shared" si="9"/>
        <v>39.474499999999999</v>
      </c>
      <c r="E185" s="223"/>
      <c r="F185" s="228"/>
      <c r="G185" s="226" t="s">
        <v>8896</v>
      </c>
      <c r="H185" s="229">
        <v>15200</v>
      </c>
      <c r="I185" s="228">
        <f t="shared" si="8"/>
        <v>15.2</v>
      </c>
      <c r="J185" s="224">
        <v>2.99</v>
      </c>
      <c r="K185" s="228">
        <f>-(0.8*1.97+0.9*2.55+1.45*1.45)</f>
        <v>-5.9734999999999996</v>
      </c>
    </row>
    <row r="186" spans="1:11" ht="21.2" customHeight="1" x14ac:dyDescent="0.2">
      <c r="A186" s="226" t="s">
        <v>9057</v>
      </c>
      <c r="B186" s="226" t="s">
        <v>8944</v>
      </c>
      <c r="C186" s="226" t="s">
        <v>8875</v>
      </c>
      <c r="D186" s="227">
        <f t="shared" si="9"/>
        <v>39.474499999999999</v>
      </c>
      <c r="E186" s="223"/>
      <c r="F186" s="228"/>
      <c r="G186" s="226" t="s">
        <v>8896</v>
      </c>
      <c r="H186" s="229">
        <v>15200</v>
      </c>
      <c r="I186" s="228">
        <f t="shared" si="8"/>
        <v>15.2</v>
      </c>
      <c r="J186" s="224">
        <v>2.99</v>
      </c>
      <c r="K186" s="228">
        <f>-(0.8*1.97+0.9*2.55+1.45*1.45)</f>
        <v>-5.9734999999999996</v>
      </c>
    </row>
    <row r="187" spans="1:11" ht="21.2" customHeight="1" x14ac:dyDescent="0.2">
      <c r="A187" s="226" t="s">
        <v>9058</v>
      </c>
      <c r="B187" s="226" t="s">
        <v>8944</v>
      </c>
      <c r="C187" s="226" t="s">
        <v>8875</v>
      </c>
      <c r="D187" s="227">
        <f t="shared" si="9"/>
        <v>39.474499999999999</v>
      </c>
      <c r="E187" s="223"/>
      <c r="F187" s="228"/>
      <c r="G187" s="226" t="s">
        <v>8896</v>
      </c>
      <c r="H187" s="229">
        <v>15200</v>
      </c>
      <c r="I187" s="228">
        <f t="shared" si="8"/>
        <v>15.2</v>
      </c>
      <c r="J187" s="224">
        <v>2.99</v>
      </c>
      <c r="K187" s="228">
        <f>-(0.8*1.97+0.9*2.55+1.45*1.45)</f>
        <v>-5.9734999999999996</v>
      </c>
    </row>
    <row r="188" spans="1:11" ht="21.2" customHeight="1" x14ac:dyDescent="0.2">
      <c r="A188" s="226" t="s">
        <v>9059</v>
      </c>
      <c r="B188" s="226" t="s">
        <v>8912</v>
      </c>
      <c r="C188" s="226" t="s">
        <v>8874</v>
      </c>
      <c r="D188" s="227">
        <f t="shared" si="9"/>
        <v>4.2966000000000015</v>
      </c>
      <c r="E188" s="223" t="s">
        <v>237</v>
      </c>
      <c r="F188" s="228">
        <f>4.34*2-0.7*1.97</f>
        <v>7.3010000000000002</v>
      </c>
      <c r="G188" s="226" t="s">
        <v>8994</v>
      </c>
      <c r="H188" s="229">
        <v>4340</v>
      </c>
      <c r="I188" s="228">
        <f t="shared" si="8"/>
        <v>4.34</v>
      </c>
      <c r="J188" s="224">
        <v>2.99</v>
      </c>
      <c r="K188" s="228">
        <f>-0.7*1.97</f>
        <v>-1.379</v>
      </c>
    </row>
    <row r="189" spans="1:11" ht="21.2" customHeight="1" x14ac:dyDescent="0.2">
      <c r="A189" s="226" t="s">
        <v>9060</v>
      </c>
      <c r="B189" s="226" t="s">
        <v>8922</v>
      </c>
      <c r="C189" s="226" t="s">
        <v>8874</v>
      </c>
      <c r="D189" s="227">
        <f t="shared" si="9"/>
        <v>5.8310999999999993</v>
      </c>
      <c r="E189" s="223" t="s">
        <v>237</v>
      </c>
      <c r="F189" s="228">
        <f>5.89*2-0.7*1.97</f>
        <v>10.401</v>
      </c>
      <c r="G189" s="226" t="s">
        <v>9016</v>
      </c>
      <c r="H189" s="229">
        <v>5890</v>
      </c>
      <c r="I189" s="228">
        <f t="shared" si="8"/>
        <v>5.89</v>
      </c>
      <c r="J189" s="224">
        <v>2.99</v>
      </c>
      <c r="K189" s="228">
        <f>-0.7*1.97</f>
        <v>-1.379</v>
      </c>
    </row>
    <row r="190" spans="1:11" ht="21.2" customHeight="1" x14ac:dyDescent="0.2">
      <c r="A190" s="226" t="s">
        <v>9061</v>
      </c>
      <c r="B190" s="226" t="s">
        <v>8942</v>
      </c>
      <c r="C190" s="226" t="s">
        <v>8875</v>
      </c>
      <c r="D190" s="227">
        <f t="shared" si="9"/>
        <v>20.649900000000002</v>
      </c>
      <c r="E190" s="223"/>
      <c r="F190" s="228"/>
      <c r="G190" s="226" t="s">
        <v>8896</v>
      </c>
      <c r="H190" s="229">
        <v>9410</v>
      </c>
      <c r="I190" s="228">
        <f t="shared" si="8"/>
        <v>9.41</v>
      </c>
      <c r="J190" s="224">
        <v>2.99</v>
      </c>
      <c r="K190" s="228">
        <f>-(0.7*1.97*2+0.8*1.97*3)</f>
        <v>-7.4859999999999998</v>
      </c>
    </row>
    <row r="191" spans="1:11" ht="21.2" customHeight="1" x14ac:dyDescent="0.2">
      <c r="A191" s="226" t="s">
        <v>9062</v>
      </c>
      <c r="B191" s="226" t="s">
        <v>8944</v>
      </c>
      <c r="C191" s="226" t="s">
        <v>8875</v>
      </c>
      <c r="D191" s="227">
        <f t="shared" si="9"/>
        <v>43.0625</v>
      </c>
      <c r="E191" s="223"/>
      <c r="F191" s="228"/>
      <c r="G191" s="226" t="s">
        <v>8896</v>
      </c>
      <c r="H191" s="229">
        <v>16400</v>
      </c>
      <c r="I191" s="228">
        <f t="shared" si="8"/>
        <v>16.399999999999999</v>
      </c>
      <c r="J191" s="224">
        <v>2.99</v>
      </c>
      <c r="K191" s="228">
        <f>-(0.8*1.97+0.9*2.55+1.45*1.45)</f>
        <v>-5.9734999999999996</v>
      </c>
    </row>
    <row r="192" spans="1:11" ht="21.2" customHeight="1" x14ac:dyDescent="0.2">
      <c r="A192" s="226" t="s">
        <v>9063</v>
      </c>
      <c r="B192" s="226" t="s">
        <v>8944</v>
      </c>
      <c r="C192" s="226" t="s">
        <v>8875</v>
      </c>
      <c r="D192" s="227">
        <f t="shared" si="9"/>
        <v>39.474499999999999</v>
      </c>
      <c r="E192" s="223"/>
      <c r="F192" s="228"/>
      <c r="G192" s="226" t="s">
        <v>8896</v>
      </c>
      <c r="H192" s="229">
        <v>15200</v>
      </c>
      <c r="I192" s="228">
        <f t="shared" si="8"/>
        <v>15.2</v>
      </c>
      <c r="J192" s="224">
        <v>2.99</v>
      </c>
      <c r="K192" s="228">
        <f>-(0.8*1.97+0.9*2.55+1.45*1.45)</f>
        <v>-5.9734999999999996</v>
      </c>
    </row>
    <row r="193" spans="1:11" ht="21.2" customHeight="1" x14ac:dyDescent="0.2">
      <c r="A193" s="226" t="s">
        <v>9064</v>
      </c>
      <c r="B193" s="226" t="s">
        <v>8922</v>
      </c>
      <c r="C193" s="226" t="s">
        <v>8874</v>
      </c>
      <c r="D193" s="227">
        <f t="shared" si="9"/>
        <v>6.1974</v>
      </c>
      <c r="E193" s="223" t="s">
        <v>237</v>
      </c>
      <c r="F193" s="228">
        <f>6.26*2-0.7*1.97</f>
        <v>11.141</v>
      </c>
      <c r="G193" s="226" t="s">
        <v>9016</v>
      </c>
      <c r="H193" s="229">
        <v>6260</v>
      </c>
      <c r="I193" s="228">
        <f t="shared" si="8"/>
        <v>6.26</v>
      </c>
      <c r="J193" s="224">
        <v>2.99</v>
      </c>
      <c r="K193" s="228">
        <f>-0.7*1.97</f>
        <v>-1.379</v>
      </c>
    </row>
    <row r="194" spans="1:11" ht="21.2" customHeight="1" x14ac:dyDescent="0.2">
      <c r="A194" s="226" t="s">
        <v>9065</v>
      </c>
      <c r="B194" s="226" t="s">
        <v>8912</v>
      </c>
      <c r="C194" s="226" t="s">
        <v>8874</v>
      </c>
      <c r="D194" s="227">
        <f t="shared" si="9"/>
        <v>4.2966000000000015</v>
      </c>
      <c r="E194" s="223" t="s">
        <v>237</v>
      </c>
      <c r="F194" s="228">
        <f>4.34*2-0.7*1.97</f>
        <v>7.3010000000000002</v>
      </c>
      <c r="G194" s="226" t="s">
        <v>9016</v>
      </c>
      <c r="H194" s="229">
        <v>4340</v>
      </c>
      <c r="I194" s="228">
        <f t="shared" si="8"/>
        <v>4.34</v>
      </c>
      <c r="J194" s="224">
        <v>2.99</v>
      </c>
      <c r="K194" s="228">
        <f>-0.7*1.97</f>
        <v>-1.379</v>
      </c>
    </row>
    <row r="195" spans="1:11" ht="21.2" customHeight="1" x14ac:dyDescent="0.2">
      <c r="A195" s="226" t="s">
        <v>9066</v>
      </c>
      <c r="B195" s="226" t="s">
        <v>8942</v>
      </c>
      <c r="C195" s="226" t="s">
        <v>8875</v>
      </c>
      <c r="D195" s="227">
        <f t="shared" si="9"/>
        <v>21.666500000000003</v>
      </c>
      <c r="E195" s="223"/>
      <c r="F195" s="228"/>
      <c r="G195" s="226" t="s">
        <v>8896</v>
      </c>
      <c r="H195" s="229">
        <v>9750</v>
      </c>
      <c r="I195" s="228">
        <f t="shared" si="8"/>
        <v>9.75</v>
      </c>
      <c r="J195" s="224">
        <v>2.99</v>
      </c>
      <c r="K195" s="228">
        <f>-(0.7*1.97*2+0.8*1.97*3)</f>
        <v>-7.4859999999999998</v>
      </c>
    </row>
    <row r="196" spans="1:11" ht="21.2" customHeight="1" x14ac:dyDescent="0.2">
      <c r="A196" s="226" t="s">
        <v>9067</v>
      </c>
      <c r="B196" s="226" t="s">
        <v>8944</v>
      </c>
      <c r="C196" s="226" t="s">
        <v>8875</v>
      </c>
      <c r="D196" s="227">
        <f t="shared" si="9"/>
        <v>39.474499999999999</v>
      </c>
      <c r="E196" s="223"/>
      <c r="F196" s="228"/>
      <c r="G196" s="226" t="s">
        <v>8896</v>
      </c>
      <c r="H196" s="229">
        <v>15200</v>
      </c>
      <c r="I196" s="228">
        <f t="shared" si="8"/>
        <v>15.2</v>
      </c>
      <c r="J196" s="224">
        <v>2.99</v>
      </c>
      <c r="K196" s="228">
        <f>-(0.8*1.97+0.9*2.55+1.45*1.45)</f>
        <v>-5.9734999999999996</v>
      </c>
    </row>
    <row r="197" spans="1:11" ht="21.2" customHeight="1" x14ac:dyDescent="0.2">
      <c r="A197" s="226" t="s">
        <v>9068</v>
      </c>
      <c r="B197" s="226" t="s">
        <v>8944</v>
      </c>
      <c r="C197" s="226" t="s">
        <v>8875</v>
      </c>
      <c r="D197" s="227">
        <f t="shared" si="9"/>
        <v>37.830000000000005</v>
      </c>
      <c r="E197" s="223"/>
      <c r="F197" s="228"/>
      <c r="G197" s="226" t="s">
        <v>8896</v>
      </c>
      <c r="H197" s="229">
        <v>14650</v>
      </c>
      <c r="I197" s="228">
        <f t="shared" si="8"/>
        <v>14.65</v>
      </c>
      <c r="J197" s="224">
        <v>2.99</v>
      </c>
      <c r="K197" s="228">
        <f>-(0.8*1.97+0.9*2.55+1.45*1.45)</f>
        <v>-5.9734999999999996</v>
      </c>
    </row>
    <row r="198" spans="1:11" ht="21.2" customHeight="1" x14ac:dyDescent="0.2">
      <c r="A198" s="226" t="s">
        <v>9069</v>
      </c>
      <c r="B198" s="226" t="s">
        <v>8922</v>
      </c>
      <c r="C198" s="226" t="s">
        <v>8874</v>
      </c>
      <c r="D198" s="227">
        <f t="shared" si="9"/>
        <v>6.1974</v>
      </c>
      <c r="E198" s="223" t="s">
        <v>237</v>
      </c>
      <c r="F198" s="228">
        <f>6.26*2-0.7*1.97</f>
        <v>11.141</v>
      </c>
      <c r="G198" s="226" t="s">
        <v>9016</v>
      </c>
      <c r="H198" s="229">
        <v>6260</v>
      </c>
      <c r="I198" s="228">
        <f t="shared" si="8"/>
        <v>6.26</v>
      </c>
      <c r="J198" s="224">
        <v>2.99</v>
      </c>
      <c r="K198" s="228">
        <f>-0.7*1.97</f>
        <v>-1.379</v>
      </c>
    </row>
    <row r="199" spans="1:11" ht="21.2" customHeight="1" x14ac:dyDescent="0.2">
      <c r="A199" s="226" t="s">
        <v>9070</v>
      </c>
      <c r="B199" s="226" t="s">
        <v>8912</v>
      </c>
      <c r="C199" s="226" t="s">
        <v>8874</v>
      </c>
      <c r="D199" s="227">
        <f t="shared" si="9"/>
        <v>4.6629000000000005</v>
      </c>
      <c r="E199" s="223" t="s">
        <v>237</v>
      </c>
      <c r="F199" s="228">
        <f>4.71*2-0.7*1.97</f>
        <v>8.0410000000000004</v>
      </c>
      <c r="G199" s="226" t="s">
        <v>9016</v>
      </c>
      <c r="H199" s="229">
        <v>4710</v>
      </c>
      <c r="I199" s="228">
        <f t="shared" si="8"/>
        <v>4.71</v>
      </c>
      <c r="J199" s="224">
        <v>2.99</v>
      </c>
      <c r="K199" s="228">
        <f>-0.7*1.97</f>
        <v>-1.379</v>
      </c>
    </row>
    <row r="200" spans="1:11" ht="21.2" customHeight="1" x14ac:dyDescent="0.2">
      <c r="A200" s="226" t="s">
        <v>9071</v>
      </c>
      <c r="B200" s="226" t="s">
        <v>8942</v>
      </c>
      <c r="C200" s="226" t="s">
        <v>8875</v>
      </c>
      <c r="D200" s="227">
        <f t="shared" si="9"/>
        <v>48.047000000000011</v>
      </c>
      <c r="E200" s="223"/>
      <c r="F200" s="228"/>
      <c r="G200" s="226" t="s">
        <v>8896</v>
      </c>
      <c r="H200" s="229">
        <v>19100</v>
      </c>
      <c r="I200" s="228">
        <f t="shared" si="8"/>
        <v>19.100000000000001</v>
      </c>
      <c r="J200" s="224">
        <v>2.99</v>
      </c>
      <c r="K200" s="228">
        <f>-(0.7*1.97*2+0.8*1.97*4)</f>
        <v>-9.0620000000000012</v>
      </c>
    </row>
    <row r="201" spans="1:11" ht="21.2" customHeight="1" x14ac:dyDescent="0.2">
      <c r="A201" s="226" t="s">
        <v>9072</v>
      </c>
      <c r="B201" s="226" t="s">
        <v>8944</v>
      </c>
      <c r="C201" s="226" t="s">
        <v>8875</v>
      </c>
      <c r="D201" s="227">
        <f t="shared" si="9"/>
        <v>41.045000000000002</v>
      </c>
      <c r="E201" s="223"/>
      <c r="F201" s="228"/>
      <c r="G201" s="226" t="s">
        <v>8896</v>
      </c>
      <c r="H201" s="229">
        <v>15900</v>
      </c>
      <c r="I201" s="228">
        <f t="shared" si="8"/>
        <v>15.9</v>
      </c>
      <c r="J201" s="224">
        <v>2.99</v>
      </c>
      <c r="K201" s="228">
        <f>-(0.8*1.97+2.4*2.05)</f>
        <v>-6.4959999999999987</v>
      </c>
    </row>
    <row r="202" spans="1:11" ht="21.2" customHeight="1" x14ac:dyDescent="0.2">
      <c r="A202" s="226" t="s">
        <v>9073</v>
      </c>
      <c r="B202" s="226" t="s">
        <v>8944</v>
      </c>
      <c r="C202" s="226" t="s">
        <v>8875</v>
      </c>
      <c r="D202" s="227">
        <f t="shared" si="9"/>
        <v>40.182000000000002</v>
      </c>
      <c r="E202" s="223"/>
      <c r="F202" s="228"/>
      <c r="G202" s="226" t="s">
        <v>8896</v>
      </c>
      <c r="H202" s="229">
        <v>15200</v>
      </c>
      <c r="I202" s="228">
        <f t="shared" si="8"/>
        <v>15.2</v>
      </c>
      <c r="J202" s="224">
        <v>2.99</v>
      </c>
      <c r="K202" s="228">
        <f>-(0.8*1.97+1.8*2.05)</f>
        <v>-5.266</v>
      </c>
    </row>
    <row r="203" spans="1:11" ht="21.2" customHeight="1" x14ac:dyDescent="0.2">
      <c r="A203" s="226" t="s">
        <v>9074</v>
      </c>
      <c r="B203" s="226" t="s">
        <v>8944</v>
      </c>
      <c r="C203" s="226" t="s">
        <v>8875</v>
      </c>
      <c r="D203" s="227">
        <f t="shared" si="9"/>
        <v>41.976000000000006</v>
      </c>
      <c r="E203" s="223"/>
      <c r="F203" s="228"/>
      <c r="G203" s="226" t="s">
        <v>8896</v>
      </c>
      <c r="H203" s="229">
        <v>15800</v>
      </c>
      <c r="I203" s="228">
        <f t="shared" si="8"/>
        <v>15.8</v>
      </c>
      <c r="J203" s="224">
        <v>2.99</v>
      </c>
      <c r="K203" s="228">
        <f>-(0.8*1.97+1.8*2.05)</f>
        <v>-5.266</v>
      </c>
    </row>
    <row r="204" spans="1:11" ht="21.2" customHeight="1" x14ac:dyDescent="0.2">
      <c r="A204" s="226" t="s">
        <v>9075</v>
      </c>
      <c r="B204" s="226" t="s">
        <v>8912</v>
      </c>
      <c r="C204" s="226" t="s">
        <v>8874</v>
      </c>
      <c r="D204" s="227">
        <f t="shared" si="9"/>
        <v>5.3460000000000001</v>
      </c>
      <c r="E204" s="223" t="s">
        <v>237</v>
      </c>
      <c r="F204" s="228">
        <f>5.4*2-0.7*1.97</f>
        <v>9.4210000000000012</v>
      </c>
      <c r="G204" s="226" t="s">
        <v>9016</v>
      </c>
      <c r="H204" s="229">
        <v>5400</v>
      </c>
      <c r="I204" s="228">
        <f t="shared" si="8"/>
        <v>5.4</v>
      </c>
      <c r="J204" s="224">
        <v>2.99</v>
      </c>
      <c r="K204" s="228">
        <f>-0.7*1.97</f>
        <v>-1.379</v>
      </c>
    </row>
    <row r="205" spans="1:11" ht="21.2" customHeight="1" x14ac:dyDescent="0.2">
      <c r="A205" s="226" t="s">
        <v>9076</v>
      </c>
      <c r="B205" s="226" t="s">
        <v>8922</v>
      </c>
      <c r="C205" s="226" t="s">
        <v>8874</v>
      </c>
      <c r="D205" s="227">
        <f t="shared" si="9"/>
        <v>0</v>
      </c>
      <c r="E205" s="223" t="s">
        <v>237</v>
      </c>
      <c r="F205" s="228">
        <f>6.45*2.99-0.7*1.97</f>
        <v>17.906500000000001</v>
      </c>
      <c r="G205" s="226" t="s">
        <v>9016</v>
      </c>
      <c r="H205" s="229">
        <v>6450</v>
      </c>
      <c r="I205" s="228">
        <f t="shared" si="8"/>
        <v>6.45</v>
      </c>
      <c r="J205" s="224">
        <v>2.99</v>
      </c>
      <c r="K205" s="228">
        <f>-0.7*1.97</f>
        <v>-1.379</v>
      </c>
    </row>
    <row r="206" spans="1:11" ht="21.2" customHeight="1" x14ac:dyDescent="0.2">
      <c r="A206" s="226" t="s">
        <v>5088</v>
      </c>
      <c r="B206" s="226" t="s">
        <v>8942</v>
      </c>
      <c r="C206" s="226" t="s">
        <v>8875</v>
      </c>
      <c r="D206" s="227">
        <f t="shared" si="9"/>
        <v>72.986999999999995</v>
      </c>
      <c r="E206" s="223"/>
      <c r="F206" s="228"/>
      <c r="G206" s="226" t="s">
        <v>8896</v>
      </c>
      <c r="H206" s="229">
        <v>28860</v>
      </c>
      <c r="I206" s="228">
        <f t="shared" si="8"/>
        <v>28.86</v>
      </c>
      <c r="J206" s="224">
        <v>3</v>
      </c>
      <c r="K206" s="228">
        <f>-(3*0.7*1.97+6*0.8*1.97)</f>
        <v>-13.593</v>
      </c>
    </row>
    <row r="207" spans="1:11" ht="21.2" customHeight="1" x14ac:dyDescent="0.2">
      <c r="A207" s="226" t="s">
        <v>5089</v>
      </c>
      <c r="B207" s="226" t="s">
        <v>8944</v>
      </c>
      <c r="C207" s="226" t="s">
        <v>8875</v>
      </c>
      <c r="D207" s="227">
        <f t="shared" si="9"/>
        <v>39.999000000000009</v>
      </c>
      <c r="E207" s="223"/>
      <c r="F207" s="228"/>
      <c r="G207" s="226" t="s">
        <v>8896</v>
      </c>
      <c r="H207" s="229">
        <v>15550</v>
      </c>
      <c r="I207" s="228">
        <f t="shared" si="8"/>
        <v>15.55</v>
      </c>
      <c r="J207" s="224">
        <v>3</v>
      </c>
      <c r="K207" s="228">
        <f>-(0.8*1.97+2.5*2.03)</f>
        <v>-6.6509999999999998</v>
      </c>
    </row>
    <row r="208" spans="1:11" ht="21.2" customHeight="1" x14ac:dyDescent="0.2">
      <c r="A208" s="226" t="s">
        <v>9077</v>
      </c>
      <c r="B208" s="226" t="s">
        <v>8944</v>
      </c>
      <c r="C208" s="226" t="s">
        <v>8875</v>
      </c>
      <c r="D208" s="227">
        <f t="shared" si="9"/>
        <v>38.39</v>
      </c>
      <c r="E208" s="223"/>
      <c r="F208" s="228"/>
      <c r="G208" s="226" t="s">
        <v>8896</v>
      </c>
      <c r="H208" s="229">
        <v>15961</v>
      </c>
      <c r="I208" s="228">
        <f t="shared" si="8"/>
        <v>15.961</v>
      </c>
      <c r="J208" s="224">
        <v>3</v>
      </c>
      <c r="K208" s="228">
        <f>-(0.8*1.97+3.9*2.03)</f>
        <v>-9.4929999999999986</v>
      </c>
    </row>
    <row r="209" spans="1:11" ht="21.2" customHeight="1" x14ac:dyDescent="0.2">
      <c r="A209" s="226" t="s">
        <v>9078</v>
      </c>
      <c r="B209" s="226" t="s">
        <v>8944</v>
      </c>
      <c r="C209" s="226" t="s">
        <v>8875</v>
      </c>
      <c r="D209" s="227">
        <f t="shared" si="9"/>
        <v>39.539000000000001</v>
      </c>
      <c r="E209" s="223"/>
      <c r="F209" s="228"/>
      <c r="G209" s="226" t="s">
        <v>8896</v>
      </c>
      <c r="H209" s="229">
        <v>16750</v>
      </c>
      <c r="I209" s="228">
        <f t="shared" si="8"/>
        <v>16.75</v>
      </c>
      <c r="J209" s="224">
        <v>3</v>
      </c>
      <c r="K209" s="228">
        <f>-(0.8*1.97+4.5*2.03)</f>
        <v>-10.711</v>
      </c>
    </row>
    <row r="210" spans="1:11" ht="21.2" customHeight="1" x14ac:dyDescent="0.2">
      <c r="A210" s="226" t="s">
        <v>9079</v>
      </c>
      <c r="B210" s="226" t="s">
        <v>8944</v>
      </c>
      <c r="C210" s="226" t="s">
        <v>8875</v>
      </c>
      <c r="D210" s="227">
        <f t="shared" si="9"/>
        <v>44.023000000000003</v>
      </c>
      <c r="E210" s="223"/>
      <c r="F210" s="228"/>
      <c r="G210" s="226" t="s">
        <v>8896</v>
      </c>
      <c r="H210" s="229">
        <v>16350</v>
      </c>
      <c r="I210" s="228">
        <f t="shared" ref="I210:I273" si="10">H210/1000</f>
        <v>16.350000000000001</v>
      </c>
      <c r="J210" s="224">
        <v>3</v>
      </c>
      <c r="K210" s="228">
        <f>-(0.8*1.97+1.7*2.03)</f>
        <v>-5.0269999999999992</v>
      </c>
    </row>
    <row r="211" spans="1:11" ht="21.2" customHeight="1" x14ac:dyDescent="0.2">
      <c r="A211" s="226" t="s">
        <v>9080</v>
      </c>
      <c r="B211" s="226" t="s">
        <v>8944</v>
      </c>
      <c r="C211" s="226" t="s">
        <v>8875</v>
      </c>
      <c r="D211" s="227">
        <f t="shared" si="9"/>
        <v>47.94</v>
      </c>
      <c r="E211" s="223"/>
      <c r="F211" s="228"/>
      <c r="G211" s="226" t="s">
        <v>8896</v>
      </c>
      <c r="H211" s="229">
        <v>18400</v>
      </c>
      <c r="I211" s="228">
        <f t="shared" si="10"/>
        <v>18.399999999999999</v>
      </c>
      <c r="J211" s="224">
        <v>3</v>
      </c>
      <c r="K211" s="228">
        <f>-(0.8*1.97+2.8*2.03)</f>
        <v>-7.26</v>
      </c>
    </row>
    <row r="212" spans="1:11" ht="21.2" customHeight="1" x14ac:dyDescent="0.2">
      <c r="A212" s="226" t="s">
        <v>9081</v>
      </c>
      <c r="B212" s="226" t="s">
        <v>8922</v>
      </c>
      <c r="C212" s="226" t="s">
        <v>8874</v>
      </c>
      <c r="D212" s="227">
        <f t="shared" si="9"/>
        <v>0</v>
      </c>
      <c r="E212" s="223" t="s">
        <v>237</v>
      </c>
      <c r="F212" s="228">
        <f>11.9*3-0.7*1.97</f>
        <v>34.321000000000005</v>
      </c>
      <c r="G212" s="226" t="s">
        <v>8910</v>
      </c>
      <c r="H212" s="229">
        <v>11900</v>
      </c>
      <c r="I212" s="228">
        <f t="shared" si="10"/>
        <v>11.9</v>
      </c>
      <c r="J212" s="224">
        <v>3</v>
      </c>
      <c r="K212" s="228">
        <f>-0.7*1.97</f>
        <v>-1.379</v>
      </c>
    </row>
    <row r="213" spans="1:11" ht="21.2" customHeight="1" x14ac:dyDescent="0.2">
      <c r="A213" s="226" t="s">
        <v>9082</v>
      </c>
      <c r="B213" s="226" t="s">
        <v>8912</v>
      </c>
      <c r="C213" s="226" t="s">
        <v>8874</v>
      </c>
      <c r="D213" s="227">
        <f t="shared" si="9"/>
        <v>0</v>
      </c>
      <c r="E213" s="223" t="s">
        <v>237</v>
      </c>
      <c r="F213" s="228">
        <f>5.3*3-0.7*1.97</f>
        <v>14.520999999999999</v>
      </c>
      <c r="G213" s="226" t="s">
        <v>8910</v>
      </c>
      <c r="H213" s="229">
        <v>5300</v>
      </c>
      <c r="I213" s="228">
        <f t="shared" si="10"/>
        <v>5.3</v>
      </c>
      <c r="J213" s="224">
        <v>3</v>
      </c>
      <c r="K213" s="228">
        <f>-0.7*1.97</f>
        <v>-1.379</v>
      </c>
    </row>
    <row r="214" spans="1:11" ht="21.2" customHeight="1" x14ac:dyDescent="0.2">
      <c r="A214" s="226" t="s">
        <v>9083</v>
      </c>
      <c r="B214" s="226" t="s">
        <v>8912</v>
      </c>
      <c r="C214" s="226" t="s">
        <v>8874</v>
      </c>
      <c r="D214" s="227">
        <f t="shared" si="9"/>
        <v>0</v>
      </c>
      <c r="E214" s="223" t="s">
        <v>237</v>
      </c>
      <c r="F214" s="228">
        <f>5.3*3-0.7*1.97</f>
        <v>14.520999999999999</v>
      </c>
      <c r="G214" s="226" t="s">
        <v>8910</v>
      </c>
      <c r="H214" s="229">
        <v>5300</v>
      </c>
      <c r="I214" s="228">
        <f t="shared" si="10"/>
        <v>5.3</v>
      </c>
      <c r="J214" s="224">
        <v>3</v>
      </c>
      <c r="K214" s="228">
        <f>-0.7*1.97</f>
        <v>-1.379</v>
      </c>
    </row>
    <row r="215" spans="1:11" ht="21.2" customHeight="1" x14ac:dyDescent="0.2">
      <c r="A215" s="226" t="s">
        <v>5090</v>
      </c>
      <c r="B215" s="226" t="s">
        <v>8929</v>
      </c>
      <c r="C215" s="226" t="s">
        <v>8874</v>
      </c>
      <c r="D215" s="227">
        <f t="shared" si="9"/>
        <v>20.5655</v>
      </c>
      <c r="E215" s="223" t="s">
        <v>239</v>
      </c>
      <c r="F215" s="228">
        <f>2.25*1.4</f>
        <v>3.15</v>
      </c>
      <c r="G215" s="226" t="s">
        <v>8976</v>
      </c>
      <c r="H215" s="229">
        <v>9750</v>
      </c>
      <c r="I215" s="228">
        <f t="shared" si="10"/>
        <v>9.75</v>
      </c>
      <c r="J215" s="224">
        <v>3</v>
      </c>
      <c r="K215" s="228">
        <f>-(0.8*1.97+1.95*2.03)</f>
        <v>-5.5344999999999995</v>
      </c>
    </row>
    <row r="216" spans="1:11" ht="21.2" customHeight="1" x14ac:dyDescent="0.2">
      <c r="A216" s="226" t="s">
        <v>1519</v>
      </c>
      <c r="B216" s="226" t="s">
        <v>514</v>
      </c>
      <c r="C216" s="226" t="s">
        <v>8875</v>
      </c>
      <c r="D216" s="227">
        <f t="shared" si="9"/>
        <v>47.516950000000016</v>
      </c>
      <c r="E216" s="223"/>
      <c r="F216" s="228"/>
      <c r="G216" s="226" t="s">
        <v>8899</v>
      </c>
      <c r="H216" s="229">
        <v>25975</v>
      </c>
      <c r="I216" s="228">
        <f t="shared" si="10"/>
        <v>25.975000000000001</v>
      </c>
      <c r="J216" s="224">
        <v>2.99</v>
      </c>
      <c r="K216" s="228">
        <f>-(0.8*1.97+0.9*1.97*2+3.6*2.99+4.77*2.99)</f>
        <v>-30.148299999999999</v>
      </c>
    </row>
    <row r="217" spans="1:11" ht="21.2" customHeight="1" x14ac:dyDescent="0.2">
      <c r="A217" s="226" t="s">
        <v>5095</v>
      </c>
      <c r="B217" s="226" t="s">
        <v>8898</v>
      </c>
      <c r="C217" s="226" t="s">
        <v>8875</v>
      </c>
      <c r="D217" s="227">
        <f t="shared" si="9"/>
        <v>34.338000000000008</v>
      </c>
      <c r="E217" s="223"/>
      <c r="F217" s="228"/>
      <c r="G217" s="226" t="s">
        <v>8899</v>
      </c>
      <c r="H217" s="229">
        <v>15400</v>
      </c>
      <c r="I217" s="228">
        <f t="shared" si="10"/>
        <v>15.4</v>
      </c>
      <c r="J217" s="224">
        <v>2.99</v>
      </c>
      <c r="K217" s="228">
        <f>-(0.8*1.97*2+0.9*2.1*2+1.2*1.8+1.2*2.18)</f>
        <v>-11.708</v>
      </c>
    </row>
    <row r="218" spans="1:11" ht="30.2" customHeight="1" x14ac:dyDescent="0.2">
      <c r="A218" s="226" t="s">
        <v>5094</v>
      </c>
      <c r="B218" s="226" t="s">
        <v>8898</v>
      </c>
      <c r="C218" s="226" t="s">
        <v>8875</v>
      </c>
      <c r="D218" s="227">
        <f t="shared" si="9"/>
        <v>154.22319000000002</v>
      </c>
      <c r="E218" s="223"/>
      <c r="F218" s="228"/>
      <c r="G218" s="226" t="s">
        <v>8899</v>
      </c>
      <c r="H218" s="229">
        <v>72381</v>
      </c>
      <c r="I218" s="228">
        <f t="shared" si="10"/>
        <v>72.381</v>
      </c>
      <c r="J218" s="224">
        <v>2.99</v>
      </c>
      <c r="K218" s="228">
        <f>-(0.9*2.1*2+0.8*1.97*6+5.4*1.8*3+5.5*1.8*2)</f>
        <v>-62.195999999999998</v>
      </c>
    </row>
    <row r="219" spans="1:11" ht="21.2" customHeight="1" x14ac:dyDescent="0.2">
      <c r="A219" s="226" t="s">
        <v>9084</v>
      </c>
      <c r="B219" s="226" t="s">
        <v>8975</v>
      </c>
      <c r="C219" s="226" t="s">
        <v>8875</v>
      </c>
      <c r="D219" s="227">
        <f t="shared" si="9"/>
        <v>19.652999999999999</v>
      </c>
      <c r="E219" s="223"/>
      <c r="F219" s="228"/>
      <c r="G219" s="226" t="s">
        <v>8899</v>
      </c>
      <c r="H219" s="229">
        <v>7100</v>
      </c>
      <c r="I219" s="228">
        <f t="shared" si="10"/>
        <v>7.1</v>
      </c>
      <c r="J219" s="224">
        <v>2.99</v>
      </c>
      <c r="K219" s="228">
        <f>-0.8*1.97</f>
        <v>-1.5760000000000001</v>
      </c>
    </row>
    <row r="220" spans="1:11" ht="21.2" customHeight="1" x14ac:dyDescent="0.2">
      <c r="A220" s="226" t="s">
        <v>5098</v>
      </c>
      <c r="B220" s="226" t="s">
        <v>8929</v>
      </c>
      <c r="C220" s="226" t="s">
        <v>8874</v>
      </c>
      <c r="D220" s="227">
        <f t="shared" si="9"/>
        <v>42.636499999999998</v>
      </c>
      <c r="E220" s="223" t="s">
        <v>239</v>
      </c>
      <c r="F220" s="228">
        <f>(4.35+1.45+0.7)*1.4</f>
        <v>9.1</v>
      </c>
      <c r="G220" s="226" t="s">
        <v>8976</v>
      </c>
      <c r="H220" s="229">
        <v>20150</v>
      </c>
      <c r="I220" s="228">
        <f t="shared" si="10"/>
        <v>20.149999999999999</v>
      </c>
      <c r="J220" s="224">
        <v>2.99</v>
      </c>
      <c r="K220" s="228">
        <f>-(0.8*1.97+2.675*1.92+0.9*2)</f>
        <v>-8.5120000000000005</v>
      </c>
    </row>
    <row r="221" spans="1:11" ht="21.2" customHeight="1" x14ac:dyDescent="0.2">
      <c r="A221" s="226" t="s">
        <v>1520</v>
      </c>
      <c r="B221" s="226" t="s">
        <v>514</v>
      </c>
      <c r="C221" s="226" t="s">
        <v>8875</v>
      </c>
      <c r="D221" s="227">
        <f t="shared" si="9"/>
        <v>49.185000000000009</v>
      </c>
      <c r="E221" s="223"/>
      <c r="F221" s="228"/>
      <c r="G221" s="226" t="s">
        <v>8899</v>
      </c>
      <c r="H221" s="229">
        <v>23850</v>
      </c>
      <c r="I221" s="228">
        <f t="shared" si="10"/>
        <v>23.85</v>
      </c>
      <c r="J221" s="224">
        <v>3</v>
      </c>
      <c r="K221" s="228">
        <f>-(0.9*2+1.4*2.1+5.875*3)</f>
        <v>-22.365000000000002</v>
      </c>
    </row>
    <row r="222" spans="1:11" ht="21.2" customHeight="1" x14ac:dyDescent="0.2">
      <c r="A222" s="226" t="s">
        <v>9085</v>
      </c>
      <c r="B222" s="226" t="s">
        <v>8924</v>
      </c>
      <c r="C222" s="226" t="s">
        <v>8871</v>
      </c>
      <c r="D222" s="227">
        <f t="shared" si="9"/>
        <v>17.940000000000001</v>
      </c>
      <c r="E222" s="223"/>
      <c r="F222" s="228"/>
      <c r="G222" s="226" t="s">
        <v>8871</v>
      </c>
      <c r="H222" s="229">
        <v>6000</v>
      </c>
      <c r="I222" s="228">
        <f t="shared" si="10"/>
        <v>6</v>
      </c>
      <c r="J222" s="224">
        <v>2.99</v>
      </c>
      <c r="K222" s="230"/>
    </row>
    <row r="223" spans="1:11" ht="21.2" customHeight="1" x14ac:dyDescent="0.2">
      <c r="A223" s="226" t="s">
        <v>9085</v>
      </c>
      <c r="B223" s="226" t="s">
        <v>8924</v>
      </c>
      <c r="C223" s="226" t="s">
        <v>8871</v>
      </c>
      <c r="D223" s="227">
        <f t="shared" si="9"/>
        <v>24.936600000000002</v>
      </c>
      <c r="E223" s="223"/>
      <c r="F223" s="228"/>
      <c r="G223" s="226" t="s">
        <v>8871</v>
      </c>
      <c r="H223" s="229">
        <v>8340</v>
      </c>
      <c r="I223" s="228">
        <f t="shared" si="10"/>
        <v>8.34</v>
      </c>
      <c r="J223" s="224">
        <v>2.99</v>
      </c>
      <c r="K223" s="230"/>
    </row>
    <row r="224" spans="1:11" ht="21.2" customHeight="1" x14ac:dyDescent="0.2">
      <c r="A224" s="226" t="s">
        <v>9086</v>
      </c>
      <c r="B224" s="226" t="s">
        <v>8942</v>
      </c>
      <c r="C224" s="226" t="s">
        <v>8875</v>
      </c>
      <c r="D224" s="227">
        <f t="shared" si="9"/>
        <v>30.928500000000003</v>
      </c>
      <c r="E224" s="223"/>
      <c r="F224" s="228"/>
      <c r="G224" s="226" t="s">
        <v>8896</v>
      </c>
      <c r="H224" s="229">
        <v>12650</v>
      </c>
      <c r="I224" s="228">
        <f t="shared" si="10"/>
        <v>12.65</v>
      </c>
      <c r="J224" s="224">
        <v>2.99</v>
      </c>
      <c r="K224" s="228">
        <f>-(0.8*1.97+0.9*1.97*3)</f>
        <v>-6.8949999999999996</v>
      </c>
    </row>
    <row r="225" spans="1:11" ht="21.2" customHeight="1" x14ac:dyDescent="0.2">
      <c r="A225" s="226" t="s">
        <v>9087</v>
      </c>
      <c r="B225" s="226" t="s">
        <v>8990</v>
      </c>
      <c r="C225" s="226" t="s">
        <v>8875</v>
      </c>
      <c r="D225" s="227">
        <f t="shared" si="9"/>
        <v>49.323900000000002</v>
      </c>
      <c r="E225" s="223"/>
      <c r="F225" s="228"/>
      <c r="G225" s="226" t="s">
        <v>8896</v>
      </c>
      <c r="H225" s="229">
        <v>18560</v>
      </c>
      <c r="I225" s="228">
        <f t="shared" si="10"/>
        <v>18.559999999999999</v>
      </c>
      <c r="J225" s="224">
        <v>2.99</v>
      </c>
      <c r="K225" s="228">
        <f>-(0.9*1.97+0.9*2.55+1.45*1.45)</f>
        <v>-6.1704999999999997</v>
      </c>
    </row>
    <row r="226" spans="1:11" ht="21.2" customHeight="1" x14ac:dyDescent="0.2">
      <c r="A226" s="226" t="s">
        <v>9088</v>
      </c>
      <c r="B226" s="226" t="s">
        <v>8944</v>
      </c>
      <c r="C226" s="226" t="s">
        <v>8875</v>
      </c>
      <c r="D226" s="227">
        <f t="shared" si="9"/>
        <v>38.8765</v>
      </c>
      <c r="E226" s="223"/>
      <c r="F226" s="228"/>
      <c r="G226" s="226" t="s">
        <v>8896</v>
      </c>
      <c r="H226" s="229">
        <v>15000</v>
      </c>
      <c r="I226" s="228">
        <f t="shared" si="10"/>
        <v>15</v>
      </c>
      <c r="J226" s="224">
        <v>2.99</v>
      </c>
      <c r="K226" s="228">
        <f>-(0.8*1.97+0.9*2.55+1.45*1.45)</f>
        <v>-5.9734999999999996</v>
      </c>
    </row>
    <row r="227" spans="1:11" ht="21.2" customHeight="1" x14ac:dyDescent="0.2">
      <c r="A227" s="226" t="s">
        <v>9089</v>
      </c>
      <c r="B227" s="226" t="s">
        <v>8993</v>
      </c>
      <c r="C227" s="226" t="s">
        <v>8874</v>
      </c>
      <c r="D227" s="227">
        <f t="shared" si="9"/>
        <v>10.889300000000002</v>
      </c>
      <c r="E227" s="223" t="s">
        <v>237</v>
      </c>
      <c r="F227" s="228">
        <f>10.86*2-0.97*1.97</f>
        <v>19.809100000000001</v>
      </c>
      <c r="G227" s="226" t="s">
        <v>8994</v>
      </c>
      <c r="H227" s="229">
        <v>10860</v>
      </c>
      <c r="I227" s="228">
        <f t="shared" si="10"/>
        <v>10.86</v>
      </c>
      <c r="J227" s="224">
        <v>2.99</v>
      </c>
      <c r="K227" s="228">
        <f>-0.9*1.97</f>
        <v>-1.7729999999999999</v>
      </c>
    </row>
    <row r="228" spans="1:11" ht="21.2" customHeight="1" x14ac:dyDescent="0.2">
      <c r="A228" s="226" t="s">
        <v>9090</v>
      </c>
      <c r="B228" s="226" t="s">
        <v>8942</v>
      </c>
      <c r="C228" s="226" t="s">
        <v>8875</v>
      </c>
      <c r="D228" s="227">
        <f t="shared" si="9"/>
        <v>20.2014</v>
      </c>
      <c r="E228" s="223"/>
      <c r="F228" s="228"/>
      <c r="G228" s="226" t="s">
        <v>8896</v>
      </c>
      <c r="H228" s="229">
        <v>9260</v>
      </c>
      <c r="I228" s="228">
        <f t="shared" si="10"/>
        <v>9.26</v>
      </c>
      <c r="J228" s="224">
        <v>2.99</v>
      </c>
      <c r="K228" s="228">
        <f>-(0.7*1.97*2+0.8*1.97*3)</f>
        <v>-7.4859999999999998</v>
      </c>
    </row>
    <row r="229" spans="1:11" ht="21.2" customHeight="1" x14ac:dyDescent="0.2">
      <c r="A229" s="226" t="s">
        <v>9091</v>
      </c>
      <c r="B229" s="226" t="s">
        <v>8944</v>
      </c>
      <c r="C229" s="226" t="s">
        <v>8875</v>
      </c>
      <c r="D229" s="227">
        <f t="shared" si="9"/>
        <v>39.474499999999999</v>
      </c>
      <c r="E229" s="223"/>
      <c r="F229" s="228"/>
      <c r="G229" s="226" t="s">
        <v>8896</v>
      </c>
      <c r="H229" s="229">
        <v>15200</v>
      </c>
      <c r="I229" s="228">
        <f t="shared" si="10"/>
        <v>15.2</v>
      </c>
      <c r="J229" s="224">
        <v>2.99</v>
      </c>
      <c r="K229" s="228">
        <f>-(0.8*1.97+0.9*2.55+1.45*1.45)</f>
        <v>-5.9734999999999996</v>
      </c>
    </row>
    <row r="230" spans="1:11" ht="21.2" customHeight="1" x14ac:dyDescent="0.2">
      <c r="A230" s="226" t="s">
        <v>9092</v>
      </c>
      <c r="B230" s="226" t="s">
        <v>8944</v>
      </c>
      <c r="C230" s="226" t="s">
        <v>8875</v>
      </c>
      <c r="D230" s="227">
        <f t="shared" si="9"/>
        <v>39.474499999999999</v>
      </c>
      <c r="E230" s="223"/>
      <c r="F230" s="228"/>
      <c r="G230" s="226" t="s">
        <v>8896</v>
      </c>
      <c r="H230" s="229">
        <v>15200</v>
      </c>
      <c r="I230" s="228">
        <f t="shared" si="10"/>
        <v>15.2</v>
      </c>
      <c r="J230" s="224">
        <v>2.99</v>
      </c>
      <c r="K230" s="228">
        <f>-(0.8*1.97+0.9*2.55+1.45*1.45)</f>
        <v>-5.9734999999999996</v>
      </c>
    </row>
    <row r="231" spans="1:11" ht="21.2" customHeight="1" x14ac:dyDescent="0.2">
      <c r="A231" s="226" t="s">
        <v>9093</v>
      </c>
      <c r="B231" s="226" t="s">
        <v>8922</v>
      </c>
      <c r="C231" s="226" t="s">
        <v>8874</v>
      </c>
      <c r="D231" s="227">
        <f t="shared" si="9"/>
        <v>6.1974</v>
      </c>
      <c r="E231" s="223" t="s">
        <v>237</v>
      </c>
      <c r="F231" s="228">
        <f>6.26*2-0.7*1.97</f>
        <v>11.141</v>
      </c>
      <c r="G231" s="226" t="s">
        <v>8994</v>
      </c>
      <c r="H231" s="229">
        <v>6260</v>
      </c>
      <c r="I231" s="228">
        <f t="shared" si="10"/>
        <v>6.26</v>
      </c>
      <c r="J231" s="224">
        <v>2.99</v>
      </c>
      <c r="K231" s="228">
        <f>-0.7*1.97</f>
        <v>-1.379</v>
      </c>
    </row>
    <row r="232" spans="1:11" ht="21.2" customHeight="1" x14ac:dyDescent="0.2">
      <c r="A232" s="226" t="s">
        <v>9094</v>
      </c>
      <c r="B232" s="226" t="s">
        <v>8912</v>
      </c>
      <c r="C232" s="226" t="s">
        <v>8874</v>
      </c>
      <c r="D232" s="227">
        <f t="shared" si="9"/>
        <v>4.2966000000000015</v>
      </c>
      <c r="E232" s="223" t="s">
        <v>237</v>
      </c>
      <c r="F232" s="228">
        <f>4.34*2-0.7*1.97</f>
        <v>7.3010000000000002</v>
      </c>
      <c r="G232" s="226" t="s">
        <v>8994</v>
      </c>
      <c r="H232" s="229">
        <v>4340</v>
      </c>
      <c r="I232" s="228">
        <f t="shared" si="10"/>
        <v>4.34</v>
      </c>
      <c r="J232" s="224">
        <v>2.99</v>
      </c>
      <c r="K232" s="228">
        <f>-0.7*1.97</f>
        <v>-1.379</v>
      </c>
    </row>
    <row r="233" spans="1:11" ht="21.2" customHeight="1" x14ac:dyDescent="0.2">
      <c r="A233" s="226" t="s">
        <v>9095</v>
      </c>
      <c r="B233" s="226" t="s">
        <v>8942</v>
      </c>
      <c r="C233" s="226" t="s">
        <v>8875</v>
      </c>
      <c r="D233" s="227">
        <f t="shared" si="9"/>
        <v>18.407400000000003</v>
      </c>
      <c r="E233" s="223"/>
      <c r="F233" s="228"/>
      <c r="G233" s="226" t="s">
        <v>8896</v>
      </c>
      <c r="H233" s="229">
        <v>8660</v>
      </c>
      <c r="I233" s="228">
        <f t="shared" si="10"/>
        <v>8.66</v>
      </c>
      <c r="J233" s="224">
        <v>2.99</v>
      </c>
      <c r="K233" s="228">
        <f>-(0.7*1.97*2+0.8*1.97*3)</f>
        <v>-7.4859999999999998</v>
      </c>
    </row>
    <row r="234" spans="1:11" ht="21.2" customHeight="1" x14ac:dyDescent="0.2">
      <c r="A234" s="226" t="s">
        <v>9096</v>
      </c>
      <c r="B234" s="226" t="s">
        <v>8944</v>
      </c>
      <c r="C234" s="226" t="s">
        <v>8875</v>
      </c>
      <c r="D234" s="227">
        <f t="shared" ref="D234:D297" si="11">I234*J234+K234-F234</f>
        <v>39.474499999999999</v>
      </c>
      <c r="E234" s="223"/>
      <c r="F234" s="228"/>
      <c r="G234" s="226" t="s">
        <v>8896</v>
      </c>
      <c r="H234" s="229">
        <v>15200</v>
      </c>
      <c r="I234" s="228">
        <f t="shared" si="10"/>
        <v>15.2</v>
      </c>
      <c r="J234" s="224">
        <v>2.99</v>
      </c>
      <c r="K234" s="228">
        <f>-(0.8*1.97+0.9*2.55+1.45*1.45)</f>
        <v>-5.9734999999999996</v>
      </c>
    </row>
    <row r="235" spans="1:11" ht="21.2" customHeight="1" x14ac:dyDescent="0.2">
      <c r="A235" s="226" t="s">
        <v>9097</v>
      </c>
      <c r="B235" s="226" t="s">
        <v>8944</v>
      </c>
      <c r="C235" s="226" t="s">
        <v>8875</v>
      </c>
      <c r="D235" s="227">
        <f t="shared" si="11"/>
        <v>39.474499999999999</v>
      </c>
      <c r="E235" s="223"/>
      <c r="F235" s="228"/>
      <c r="G235" s="226" t="s">
        <v>8896</v>
      </c>
      <c r="H235" s="229">
        <v>15200</v>
      </c>
      <c r="I235" s="228">
        <f t="shared" si="10"/>
        <v>15.2</v>
      </c>
      <c r="J235" s="224">
        <v>2.99</v>
      </c>
      <c r="K235" s="228">
        <f>-(0.8*1.97+0.9*2.55+1.45*1.45)</f>
        <v>-5.9734999999999996</v>
      </c>
    </row>
    <row r="236" spans="1:11" ht="21.2" customHeight="1" x14ac:dyDescent="0.2">
      <c r="A236" s="226" t="s">
        <v>9098</v>
      </c>
      <c r="B236" s="226" t="s">
        <v>8922</v>
      </c>
      <c r="C236" s="226" t="s">
        <v>8874</v>
      </c>
      <c r="D236" s="227">
        <f t="shared" si="11"/>
        <v>6.1974</v>
      </c>
      <c r="E236" s="223" t="s">
        <v>237</v>
      </c>
      <c r="F236" s="228">
        <f>6.26*2-0.7*1.97</f>
        <v>11.141</v>
      </c>
      <c r="G236" s="226" t="s">
        <v>8994</v>
      </c>
      <c r="H236" s="229">
        <v>6260</v>
      </c>
      <c r="I236" s="228">
        <f t="shared" si="10"/>
        <v>6.26</v>
      </c>
      <c r="J236" s="224">
        <v>2.99</v>
      </c>
      <c r="K236" s="228">
        <f>-0.7*1.97</f>
        <v>-1.379</v>
      </c>
    </row>
    <row r="237" spans="1:11" ht="21.2" customHeight="1" x14ac:dyDescent="0.2">
      <c r="A237" s="226" t="s">
        <v>9099</v>
      </c>
      <c r="B237" s="226" t="s">
        <v>8912</v>
      </c>
      <c r="C237" s="226" t="s">
        <v>8874</v>
      </c>
      <c r="D237" s="227">
        <f t="shared" si="11"/>
        <v>4.2966000000000015</v>
      </c>
      <c r="E237" s="223" t="s">
        <v>237</v>
      </c>
      <c r="F237" s="228">
        <f>4.34*2-0.7*1.97</f>
        <v>7.3010000000000002</v>
      </c>
      <c r="G237" s="226" t="s">
        <v>8994</v>
      </c>
      <c r="H237" s="229">
        <v>4340</v>
      </c>
      <c r="I237" s="228">
        <f t="shared" si="10"/>
        <v>4.34</v>
      </c>
      <c r="J237" s="224">
        <v>2.99</v>
      </c>
      <c r="K237" s="228">
        <f>-0.7*1.97</f>
        <v>-1.379</v>
      </c>
    </row>
    <row r="238" spans="1:11" ht="21.2" customHeight="1" x14ac:dyDescent="0.2">
      <c r="A238" s="226" t="s">
        <v>9100</v>
      </c>
      <c r="B238" s="226" t="s">
        <v>8942</v>
      </c>
      <c r="C238" s="226" t="s">
        <v>8875</v>
      </c>
      <c r="D238" s="227">
        <f t="shared" si="11"/>
        <v>18.407400000000003</v>
      </c>
      <c r="E238" s="223"/>
      <c r="F238" s="228"/>
      <c r="G238" s="226" t="s">
        <v>8896</v>
      </c>
      <c r="H238" s="229">
        <v>8660</v>
      </c>
      <c r="I238" s="228">
        <f t="shared" si="10"/>
        <v>8.66</v>
      </c>
      <c r="J238" s="224">
        <v>2.99</v>
      </c>
      <c r="K238" s="228">
        <f>-(0.7*1.97*2+0.8*1.97*3)</f>
        <v>-7.4859999999999998</v>
      </c>
    </row>
    <row r="239" spans="1:11" ht="21.2" customHeight="1" x14ac:dyDescent="0.2">
      <c r="A239" s="226" t="s">
        <v>9101</v>
      </c>
      <c r="B239" s="226" t="s">
        <v>8944</v>
      </c>
      <c r="C239" s="226" t="s">
        <v>8875</v>
      </c>
      <c r="D239" s="227">
        <f t="shared" si="11"/>
        <v>39.474499999999999</v>
      </c>
      <c r="E239" s="223"/>
      <c r="F239" s="228"/>
      <c r="G239" s="226" t="s">
        <v>8896</v>
      </c>
      <c r="H239" s="229">
        <v>15200</v>
      </c>
      <c r="I239" s="228">
        <f t="shared" si="10"/>
        <v>15.2</v>
      </c>
      <c r="J239" s="224">
        <v>2.99</v>
      </c>
      <c r="K239" s="228">
        <f>-(0.8*1.97+0.9*2.55+1.45*1.45)</f>
        <v>-5.9734999999999996</v>
      </c>
    </row>
    <row r="240" spans="1:11" ht="21.2" customHeight="1" x14ac:dyDescent="0.2">
      <c r="A240" s="226" t="s">
        <v>9102</v>
      </c>
      <c r="B240" s="226" t="s">
        <v>8944</v>
      </c>
      <c r="C240" s="226" t="s">
        <v>8875</v>
      </c>
      <c r="D240" s="227">
        <f t="shared" si="11"/>
        <v>39.474499999999999</v>
      </c>
      <c r="E240" s="223"/>
      <c r="F240" s="228"/>
      <c r="G240" s="226" t="s">
        <v>8896</v>
      </c>
      <c r="H240" s="229">
        <v>15200</v>
      </c>
      <c r="I240" s="228">
        <f t="shared" si="10"/>
        <v>15.2</v>
      </c>
      <c r="J240" s="224">
        <v>2.99</v>
      </c>
      <c r="K240" s="228">
        <f>-(0.8*1.97+0.9*2.55+1.45*1.45)</f>
        <v>-5.9734999999999996</v>
      </c>
    </row>
    <row r="241" spans="1:11" ht="21.2" customHeight="1" x14ac:dyDescent="0.2">
      <c r="A241" s="226" t="s">
        <v>9103</v>
      </c>
      <c r="B241" s="226" t="s">
        <v>8922</v>
      </c>
      <c r="C241" s="226" t="s">
        <v>8874</v>
      </c>
      <c r="D241" s="227">
        <f t="shared" si="11"/>
        <v>6.1974</v>
      </c>
      <c r="E241" s="223" t="s">
        <v>237</v>
      </c>
      <c r="F241" s="228">
        <f>6.26*2-0.7*1.97</f>
        <v>11.141</v>
      </c>
      <c r="G241" s="226" t="s">
        <v>8994</v>
      </c>
      <c r="H241" s="229">
        <v>6260</v>
      </c>
      <c r="I241" s="228">
        <f t="shared" si="10"/>
        <v>6.26</v>
      </c>
      <c r="J241" s="224">
        <v>2.99</v>
      </c>
      <c r="K241" s="228">
        <f>-0.7*1.97</f>
        <v>-1.379</v>
      </c>
    </row>
    <row r="242" spans="1:11" ht="21.2" customHeight="1" x14ac:dyDescent="0.2">
      <c r="A242" s="226" t="s">
        <v>9104</v>
      </c>
      <c r="B242" s="226" t="s">
        <v>8912</v>
      </c>
      <c r="C242" s="226" t="s">
        <v>8874</v>
      </c>
      <c r="D242" s="227">
        <f t="shared" si="11"/>
        <v>4.2966000000000015</v>
      </c>
      <c r="E242" s="223" t="s">
        <v>237</v>
      </c>
      <c r="F242" s="228">
        <f>4.34*2-0.7*1.97</f>
        <v>7.3010000000000002</v>
      </c>
      <c r="G242" s="226" t="s">
        <v>8994</v>
      </c>
      <c r="H242" s="229">
        <v>4340</v>
      </c>
      <c r="I242" s="228">
        <f t="shared" si="10"/>
        <v>4.34</v>
      </c>
      <c r="J242" s="224">
        <v>2.99</v>
      </c>
      <c r="K242" s="228">
        <f>-0.7*1.97</f>
        <v>-1.379</v>
      </c>
    </row>
    <row r="243" spans="1:11" ht="21.2" customHeight="1" x14ac:dyDescent="0.2">
      <c r="A243" s="226" t="s">
        <v>9105</v>
      </c>
      <c r="B243" s="226" t="s">
        <v>8942</v>
      </c>
      <c r="C243" s="226" t="s">
        <v>8875</v>
      </c>
      <c r="D243" s="227">
        <f t="shared" si="11"/>
        <v>35.489000000000004</v>
      </c>
      <c r="E243" s="223"/>
      <c r="F243" s="228"/>
      <c r="G243" s="226" t="s">
        <v>8896</v>
      </c>
      <c r="H243" s="229">
        <v>14900</v>
      </c>
      <c r="I243" s="228">
        <f t="shared" si="10"/>
        <v>14.9</v>
      </c>
      <c r="J243" s="224">
        <v>2.99</v>
      </c>
      <c r="K243" s="228">
        <f>-(0.7*1.97*2+0.8*1.97*4)</f>
        <v>-9.0620000000000012</v>
      </c>
    </row>
    <row r="244" spans="1:11" ht="21.2" customHeight="1" x14ac:dyDescent="0.2">
      <c r="A244" s="226" t="s">
        <v>9106</v>
      </c>
      <c r="B244" s="226" t="s">
        <v>8944</v>
      </c>
      <c r="C244" s="226" t="s">
        <v>8875</v>
      </c>
      <c r="D244" s="227">
        <f t="shared" si="11"/>
        <v>39.474499999999999</v>
      </c>
      <c r="E244" s="223"/>
      <c r="F244" s="228"/>
      <c r="G244" s="226" t="s">
        <v>8896</v>
      </c>
      <c r="H244" s="229">
        <v>15200</v>
      </c>
      <c r="I244" s="228">
        <f t="shared" si="10"/>
        <v>15.2</v>
      </c>
      <c r="J244" s="224">
        <v>2.99</v>
      </c>
      <c r="K244" s="228">
        <f>-(0.8*1.97+0.9*2.55+1.45*1.45)</f>
        <v>-5.9734999999999996</v>
      </c>
    </row>
    <row r="245" spans="1:11" ht="21.2" customHeight="1" x14ac:dyDescent="0.2">
      <c r="A245" s="226" t="s">
        <v>9107</v>
      </c>
      <c r="B245" s="226" t="s">
        <v>8944</v>
      </c>
      <c r="C245" s="226" t="s">
        <v>8875</v>
      </c>
      <c r="D245" s="227">
        <f t="shared" si="11"/>
        <v>39.474499999999999</v>
      </c>
      <c r="E245" s="223"/>
      <c r="F245" s="228"/>
      <c r="G245" s="226" t="s">
        <v>8896</v>
      </c>
      <c r="H245" s="229">
        <v>15200</v>
      </c>
      <c r="I245" s="228">
        <f t="shared" si="10"/>
        <v>15.2</v>
      </c>
      <c r="J245" s="224">
        <v>2.99</v>
      </c>
      <c r="K245" s="228">
        <f>-(0.8*1.97+0.9*2.55+1.45*1.45)</f>
        <v>-5.9734999999999996</v>
      </c>
    </row>
    <row r="246" spans="1:11" ht="21.2" customHeight="1" x14ac:dyDescent="0.2">
      <c r="A246" s="226" t="s">
        <v>9108</v>
      </c>
      <c r="B246" s="226" t="s">
        <v>8944</v>
      </c>
      <c r="C246" s="226" t="s">
        <v>8875</v>
      </c>
      <c r="D246" s="227">
        <f t="shared" si="11"/>
        <v>39.474499999999999</v>
      </c>
      <c r="E246" s="223"/>
      <c r="F246" s="228"/>
      <c r="G246" s="226" t="s">
        <v>8896</v>
      </c>
      <c r="H246" s="229">
        <v>15200</v>
      </c>
      <c r="I246" s="228">
        <f t="shared" si="10"/>
        <v>15.2</v>
      </c>
      <c r="J246" s="224">
        <v>2.99</v>
      </c>
      <c r="K246" s="228">
        <f>-(0.8*1.97+0.9*2.55+1.45*1.45)</f>
        <v>-5.9734999999999996</v>
      </c>
    </row>
    <row r="247" spans="1:11" ht="21.2" customHeight="1" x14ac:dyDescent="0.2">
      <c r="A247" s="226" t="s">
        <v>9109</v>
      </c>
      <c r="B247" s="226" t="s">
        <v>8912</v>
      </c>
      <c r="C247" s="226" t="s">
        <v>8874</v>
      </c>
      <c r="D247" s="227">
        <f t="shared" si="11"/>
        <v>4.2966000000000015</v>
      </c>
      <c r="E247" s="223" t="s">
        <v>237</v>
      </c>
      <c r="F247" s="228">
        <f>4.34*2-0.7*1.97</f>
        <v>7.3010000000000002</v>
      </c>
      <c r="G247" s="226" t="s">
        <v>8994</v>
      </c>
      <c r="H247" s="229">
        <v>4340</v>
      </c>
      <c r="I247" s="228">
        <f t="shared" si="10"/>
        <v>4.34</v>
      </c>
      <c r="J247" s="224">
        <v>2.99</v>
      </c>
      <c r="K247" s="228">
        <f>-0.7*1.97</f>
        <v>-1.379</v>
      </c>
    </row>
    <row r="248" spans="1:11" ht="21.2" customHeight="1" x14ac:dyDescent="0.2">
      <c r="A248" s="226" t="s">
        <v>9110</v>
      </c>
      <c r="B248" s="226" t="s">
        <v>8922</v>
      </c>
      <c r="C248" s="226" t="s">
        <v>8874</v>
      </c>
      <c r="D248" s="227">
        <f t="shared" si="11"/>
        <v>5.8310999999999993</v>
      </c>
      <c r="E248" s="223" t="s">
        <v>237</v>
      </c>
      <c r="F248" s="228">
        <f>5.89*2-0.7*1.97</f>
        <v>10.401</v>
      </c>
      <c r="G248" s="226" t="s">
        <v>9016</v>
      </c>
      <c r="H248" s="229">
        <v>5890</v>
      </c>
      <c r="I248" s="228">
        <f t="shared" si="10"/>
        <v>5.89</v>
      </c>
      <c r="J248" s="224">
        <v>2.99</v>
      </c>
      <c r="K248" s="228">
        <f>-0.7*1.97</f>
        <v>-1.379</v>
      </c>
    </row>
    <row r="249" spans="1:11" ht="21.2" customHeight="1" x14ac:dyDescent="0.2">
      <c r="A249" s="226" t="s">
        <v>9111</v>
      </c>
      <c r="B249" s="226" t="s">
        <v>8942</v>
      </c>
      <c r="C249" s="226" t="s">
        <v>8875</v>
      </c>
      <c r="D249" s="227">
        <f t="shared" si="11"/>
        <v>20.649900000000002</v>
      </c>
      <c r="E249" s="223"/>
      <c r="F249" s="228"/>
      <c r="G249" s="226" t="s">
        <v>8896</v>
      </c>
      <c r="H249" s="229">
        <v>9410</v>
      </c>
      <c r="I249" s="228">
        <f t="shared" si="10"/>
        <v>9.41</v>
      </c>
      <c r="J249" s="224">
        <v>2.99</v>
      </c>
      <c r="K249" s="228">
        <f>-(0.7*1.97*2+0.8*1.97*3)</f>
        <v>-7.4859999999999998</v>
      </c>
    </row>
    <row r="250" spans="1:11" ht="21.2" customHeight="1" x14ac:dyDescent="0.2">
      <c r="A250" s="226" t="s">
        <v>9112</v>
      </c>
      <c r="B250" s="226" t="s">
        <v>8944</v>
      </c>
      <c r="C250" s="226" t="s">
        <v>8875</v>
      </c>
      <c r="D250" s="227">
        <f t="shared" si="11"/>
        <v>43.0625</v>
      </c>
      <c r="E250" s="223"/>
      <c r="F250" s="228"/>
      <c r="G250" s="226" t="s">
        <v>8896</v>
      </c>
      <c r="H250" s="229">
        <v>16400</v>
      </c>
      <c r="I250" s="228">
        <f t="shared" si="10"/>
        <v>16.399999999999999</v>
      </c>
      <c r="J250" s="224">
        <v>2.99</v>
      </c>
      <c r="K250" s="228">
        <f>-(0.8*1.97+0.9*2.55+1.45*1.45)</f>
        <v>-5.9734999999999996</v>
      </c>
    </row>
    <row r="251" spans="1:11" ht="21.2" customHeight="1" x14ac:dyDescent="0.2">
      <c r="A251" s="226" t="s">
        <v>9113</v>
      </c>
      <c r="B251" s="226" t="s">
        <v>8944</v>
      </c>
      <c r="C251" s="226" t="s">
        <v>8875</v>
      </c>
      <c r="D251" s="227">
        <f t="shared" si="11"/>
        <v>39.474499999999999</v>
      </c>
      <c r="E251" s="223"/>
      <c r="F251" s="228"/>
      <c r="G251" s="226" t="s">
        <v>8896</v>
      </c>
      <c r="H251" s="229">
        <v>15200</v>
      </c>
      <c r="I251" s="228">
        <f t="shared" si="10"/>
        <v>15.2</v>
      </c>
      <c r="J251" s="224">
        <v>2.99</v>
      </c>
      <c r="K251" s="228">
        <f>-(0.8*1.97+0.9*2.55+1.45*1.45)</f>
        <v>-5.9734999999999996</v>
      </c>
    </row>
    <row r="252" spans="1:11" ht="21.2" customHeight="1" x14ac:dyDescent="0.2">
      <c r="A252" s="226" t="s">
        <v>9114</v>
      </c>
      <c r="B252" s="226" t="s">
        <v>8922</v>
      </c>
      <c r="C252" s="226" t="s">
        <v>8874</v>
      </c>
      <c r="D252" s="227">
        <f t="shared" si="11"/>
        <v>6.1974</v>
      </c>
      <c r="E252" s="223" t="s">
        <v>237</v>
      </c>
      <c r="F252" s="228">
        <f>6.26*2-0.7*1.97</f>
        <v>11.141</v>
      </c>
      <c r="G252" s="226" t="s">
        <v>9016</v>
      </c>
      <c r="H252" s="229">
        <v>6260</v>
      </c>
      <c r="I252" s="228">
        <f t="shared" si="10"/>
        <v>6.26</v>
      </c>
      <c r="J252" s="224">
        <v>2.99</v>
      </c>
      <c r="K252" s="228">
        <f>-0.7*1.97</f>
        <v>-1.379</v>
      </c>
    </row>
    <row r="253" spans="1:11" ht="21.2" customHeight="1" x14ac:dyDescent="0.2">
      <c r="A253" s="226" t="s">
        <v>9115</v>
      </c>
      <c r="B253" s="226" t="s">
        <v>8912</v>
      </c>
      <c r="C253" s="226" t="s">
        <v>8874</v>
      </c>
      <c r="D253" s="227">
        <f t="shared" si="11"/>
        <v>4.2966000000000015</v>
      </c>
      <c r="E253" s="223" t="s">
        <v>237</v>
      </c>
      <c r="F253" s="228">
        <f>4.34*2-0.7*1.97</f>
        <v>7.3010000000000002</v>
      </c>
      <c r="G253" s="226" t="s">
        <v>9016</v>
      </c>
      <c r="H253" s="229">
        <v>4340</v>
      </c>
      <c r="I253" s="228">
        <f t="shared" si="10"/>
        <v>4.34</v>
      </c>
      <c r="J253" s="224">
        <v>2.99</v>
      </c>
      <c r="K253" s="228">
        <f>-0.7*1.97</f>
        <v>-1.379</v>
      </c>
    </row>
    <row r="254" spans="1:11" ht="21.2" customHeight="1" x14ac:dyDescent="0.2">
      <c r="A254" s="226" t="s">
        <v>9116</v>
      </c>
      <c r="B254" s="226" t="s">
        <v>8942</v>
      </c>
      <c r="C254" s="226" t="s">
        <v>8875</v>
      </c>
      <c r="D254" s="227">
        <f t="shared" si="11"/>
        <v>21.666500000000003</v>
      </c>
      <c r="E254" s="223"/>
      <c r="F254" s="228"/>
      <c r="G254" s="226" t="s">
        <v>8896</v>
      </c>
      <c r="H254" s="229">
        <v>9750</v>
      </c>
      <c r="I254" s="228">
        <f t="shared" si="10"/>
        <v>9.75</v>
      </c>
      <c r="J254" s="224">
        <v>2.99</v>
      </c>
      <c r="K254" s="228">
        <f>-(0.7*1.97*2+0.8*1.97*3)</f>
        <v>-7.4859999999999998</v>
      </c>
    </row>
    <row r="255" spans="1:11" ht="21.2" customHeight="1" x14ac:dyDescent="0.2">
      <c r="A255" s="226" t="s">
        <v>9117</v>
      </c>
      <c r="B255" s="226" t="s">
        <v>8944</v>
      </c>
      <c r="C255" s="226" t="s">
        <v>8875</v>
      </c>
      <c r="D255" s="227">
        <f t="shared" si="11"/>
        <v>39.474499999999999</v>
      </c>
      <c r="E255" s="223"/>
      <c r="F255" s="228"/>
      <c r="G255" s="226" t="s">
        <v>8896</v>
      </c>
      <c r="H255" s="229">
        <v>15200</v>
      </c>
      <c r="I255" s="228">
        <f t="shared" si="10"/>
        <v>15.2</v>
      </c>
      <c r="J255" s="224">
        <v>2.99</v>
      </c>
      <c r="K255" s="228">
        <f>-(0.8*1.97+0.9*2.55+1.45*1.45)</f>
        <v>-5.9734999999999996</v>
      </c>
    </row>
    <row r="256" spans="1:11" ht="21.2" customHeight="1" x14ac:dyDescent="0.2">
      <c r="A256" s="226" t="s">
        <v>9118</v>
      </c>
      <c r="B256" s="226" t="s">
        <v>8944</v>
      </c>
      <c r="C256" s="226" t="s">
        <v>8875</v>
      </c>
      <c r="D256" s="227">
        <f t="shared" si="11"/>
        <v>37.830000000000005</v>
      </c>
      <c r="E256" s="223"/>
      <c r="F256" s="228"/>
      <c r="G256" s="226" t="s">
        <v>8896</v>
      </c>
      <c r="H256" s="229">
        <v>14650</v>
      </c>
      <c r="I256" s="228">
        <f t="shared" si="10"/>
        <v>14.65</v>
      </c>
      <c r="J256" s="224">
        <v>2.99</v>
      </c>
      <c r="K256" s="228">
        <f>-(0.8*1.97+0.9*2.55+1.45*1.45)</f>
        <v>-5.9734999999999996</v>
      </c>
    </row>
    <row r="257" spans="1:11" ht="21.2" customHeight="1" x14ac:dyDescent="0.2">
      <c r="A257" s="226" t="s">
        <v>9119</v>
      </c>
      <c r="B257" s="226" t="s">
        <v>8922</v>
      </c>
      <c r="C257" s="226" t="s">
        <v>8874</v>
      </c>
      <c r="D257" s="227">
        <f t="shared" si="11"/>
        <v>6.1974</v>
      </c>
      <c r="E257" s="223" t="s">
        <v>237</v>
      </c>
      <c r="F257" s="228">
        <f>6.26*2-0.7*1.97</f>
        <v>11.141</v>
      </c>
      <c r="G257" s="226" t="s">
        <v>9016</v>
      </c>
      <c r="H257" s="229">
        <v>6260</v>
      </c>
      <c r="I257" s="228">
        <f t="shared" si="10"/>
        <v>6.26</v>
      </c>
      <c r="J257" s="224">
        <v>2.99</v>
      </c>
      <c r="K257" s="228">
        <f>-0.7*1.97</f>
        <v>-1.379</v>
      </c>
    </row>
    <row r="258" spans="1:11" ht="21.2" customHeight="1" x14ac:dyDescent="0.2">
      <c r="A258" s="226" t="s">
        <v>9120</v>
      </c>
      <c r="B258" s="226" t="s">
        <v>8912</v>
      </c>
      <c r="C258" s="226" t="s">
        <v>8874</v>
      </c>
      <c r="D258" s="227">
        <f t="shared" si="11"/>
        <v>4.6629000000000005</v>
      </c>
      <c r="E258" s="223" t="s">
        <v>237</v>
      </c>
      <c r="F258" s="228">
        <f>4.71*2-0.7*1.97</f>
        <v>8.0410000000000004</v>
      </c>
      <c r="G258" s="226" t="s">
        <v>9016</v>
      </c>
      <c r="H258" s="229">
        <v>4710</v>
      </c>
      <c r="I258" s="228">
        <f t="shared" si="10"/>
        <v>4.71</v>
      </c>
      <c r="J258" s="224">
        <v>2.99</v>
      </c>
      <c r="K258" s="228">
        <f>-0.7*1.97</f>
        <v>-1.379</v>
      </c>
    </row>
    <row r="259" spans="1:11" ht="21.2" customHeight="1" x14ac:dyDescent="0.2">
      <c r="A259" s="226" t="s">
        <v>9121</v>
      </c>
      <c r="B259" s="226" t="s">
        <v>8942</v>
      </c>
      <c r="C259" s="226" t="s">
        <v>8875</v>
      </c>
      <c r="D259" s="227">
        <f t="shared" si="11"/>
        <v>48.047000000000011</v>
      </c>
      <c r="E259" s="223"/>
      <c r="F259" s="228"/>
      <c r="G259" s="226" t="s">
        <v>8896</v>
      </c>
      <c r="H259" s="229">
        <v>19100</v>
      </c>
      <c r="I259" s="228">
        <f t="shared" si="10"/>
        <v>19.100000000000001</v>
      </c>
      <c r="J259" s="224">
        <v>2.99</v>
      </c>
      <c r="K259" s="228">
        <f>-(0.7*1.97*2+0.8*1.97*4)</f>
        <v>-9.0620000000000012</v>
      </c>
    </row>
    <row r="260" spans="1:11" ht="21.2" customHeight="1" x14ac:dyDescent="0.2">
      <c r="A260" s="226" t="s">
        <v>9122</v>
      </c>
      <c r="B260" s="226" t="s">
        <v>8944</v>
      </c>
      <c r="C260" s="226" t="s">
        <v>8875</v>
      </c>
      <c r="D260" s="227">
        <f t="shared" si="11"/>
        <v>41.045000000000002</v>
      </c>
      <c r="E260" s="223"/>
      <c r="F260" s="228"/>
      <c r="G260" s="226" t="s">
        <v>8896</v>
      </c>
      <c r="H260" s="229">
        <v>15900</v>
      </c>
      <c r="I260" s="228">
        <f t="shared" si="10"/>
        <v>15.9</v>
      </c>
      <c r="J260" s="224">
        <v>2.99</v>
      </c>
      <c r="K260" s="228">
        <f>-(0.8*1.97+2.4*2.05)</f>
        <v>-6.4959999999999987</v>
      </c>
    </row>
    <row r="261" spans="1:11" ht="21.2" customHeight="1" x14ac:dyDescent="0.2">
      <c r="A261" s="226" t="s">
        <v>9123</v>
      </c>
      <c r="B261" s="226" t="s">
        <v>8944</v>
      </c>
      <c r="C261" s="226" t="s">
        <v>8875</v>
      </c>
      <c r="D261" s="227">
        <f t="shared" si="11"/>
        <v>40.182000000000002</v>
      </c>
      <c r="E261" s="223"/>
      <c r="F261" s="228"/>
      <c r="G261" s="226" t="s">
        <v>8896</v>
      </c>
      <c r="H261" s="229">
        <v>15200</v>
      </c>
      <c r="I261" s="228">
        <f t="shared" si="10"/>
        <v>15.2</v>
      </c>
      <c r="J261" s="224">
        <v>2.99</v>
      </c>
      <c r="K261" s="228">
        <f>-(0.8*1.97+1.8*2.05)</f>
        <v>-5.266</v>
      </c>
    </row>
    <row r="262" spans="1:11" ht="21.2" customHeight="1" x14ac:dyDescent="0.2">
      <c r="A262" s="226" t="s">
        <v>9124</v>
      </c>
      <c r="B262" s="226" t="s">
        <v>8944</v>
      </c>
      <c r="C262" s="226" t="s">
        <v>8875</v>
      </c>
      <c r="D262" s="227">
        <f t="shared" si="11"/>
        <v>41.976000000000006</v>
      </c>
      <c r="E262" s="223"/>
      <c r="F262" s="228"/>
      <c r="G262" s="226" t="s">
        <v>8896</v>
      </c>
      <c r="H262" s="229">
        <v>15800</v>
      </c>
      <c r="I262" s="228">
        <f t="shared" si="10"/>
        <v>15.8</v>
      </c>
      <c r="J262" s="224">
        <v>2.99</v>
      </c>
      <c r="K262" s="228">
        <f>-(0.8*1.97+1.8*2.05)</f>
        <v>-5.266</v>
      </c>
    </row>
    <row r="263" spans="1:11" ht="21.2" customHeight="1" x14ac:dyDescent="0.2">
      <c r="A263" s="226" t="s">
        <v>9125</v>
      </c>
      <c r="B263" s="226" t="s">
        <v>8912</v>
      </c>
      <c r="C263" s="226" t="s">
        <v>8874</v>
      </c>
      <c r="D263" s="227">
        <f t="shared" si="11"/>
        <v>5.3460000000000001</v>
      </c>
      <c r="E263" s="223" t="s">
        <v>237</v>
      </c>
      <c r="F263" s="228">
        <f>5.4*2-0.7*1.97</f>
        <v>9.4210000000000012</v>
      </c>
      <c r="G263" s="226" t="s">
        <v>9016</v>
      </c>
      <c r="H263" s="229">
        <v>5400</v>
      </c>
      <c r="I263" s="228">
        <f t="shared" si="10"/>
        <v>5.4</v>
      </c>
      <c r="J263" s="224">
        <v>2.99</v>
      </c>
      <c r="K263" s="228">
        <f>-0.7*1.97</f>
        <v>-1.379</v>
      </c>
    </row>
    <row r="264" spans="1:11" ht="21.2" customHeight="1" x14ac:dyDescent="0.2">
      <c r="A264" s="226" t="s">
        <v>9126</v>
      </c>
      <c r="B264" s="226" t="s">
        <v>8922</v>
      </c>
      <c r="C264" s="226" t="s">
        <v>8874</v>
      </c>
      <c r="D264" s="227">
        <f t="shared" si="11"/>
        <v>0</v>
      </c>
      <c r="E264" s="223" t="s">
        <v>237</v>
      </c>
      <c r="F264" s="228">
        <f>6.45*2.99-0.7*1.97</f>
        <v>17.906500000000001</v>
      </c>
      <c r="G264" s="226" t="s">
        <v>9016</v>
      </c>
      <c r="H264" s="229">
        <v>6450</v>
      </c>
      <c r="I264" s="228">
        <f t="shared" si="10"/>
        <v>6.45</v>
      </c>
      <c r="J264" s="224">
        <v>2.99</v>
      </c>
      <c r="K264" s="228">
        <f>-0.7*1.97</f>
        <v>-1.379</v>
      </c>
    </row>
    <row r="265" spans="1:11" ht="21.2" customHeight="1" x14ac:dyDescent="0.2">
      <c r="A265" s="226" t="s">
        <v>9127</v>
      </c>
      <c r="B265" s="226" t="s">
        <v>8942</v>
      </c>
      <c r="C265" s="226" t="s">
        <v>8875</v>
      </c>
      <c r="D265" s="227">
        <f t="shared" si="11"/>
        <v>71.191000000000003</v>
      </c>
      <c r="E265" s="223"/>
      <c r="F265" s="228"/>
      <c r="G265" s="226" t="s">
        <v>8899</v>
      </c>
      <c r="H265" s="229">
        <v>29110</v>
      </c>
      <c r="I265" s="228">
        <f t="shared" si="10"/>
        <v>29.11</v>
      </c>
      <c r="J265" s="224">
        <v>3</v>
      </c>
      <c r="K265" s="228">
        <f>-(1.4*2.1+0.7*1.97+0.8*1.97*3+0.9*1.97*4)</f>
        <v>-16.138999999999999</v>
      </c>
    </row>
    <row r="266" spans="1:11" ht="21.2" customHeight="1" x14ac:dyDescent="0.2">
      <c r="A266" s="226" t="s">
        <v>9128</v>
      </c>
      <c r="B266" s="226" t="s">
        <v>8990</v>
      </c>
      <c r="C266" s="226" t="s">
        <v>8875</v>
      </c>
      <c r="D266" s="227">
        <f t="shared" si="11"/>
        <v>40.860000000000007</v>
      </c>
      <c r="E266" s="223"/>
      <c r="F266" s="228"/>
      <c r="G266" s="226" t="s">
        <v>8896</v>
      </c>
      <c r="H266" s="229">
        <v>16850</v>
      </c>
      <c r="I266" s="228">
        <f t="shared" si="10"/>
        <v>16.850000000000001</v>
      </c>
      <c r="J266" s="224">
        <v>3</v>
      </c>
      <c r="K266" s="228">
        <f>-(0.9*1.97+3.9*2.03)</f>
        <v>-9.69</v>
      </c>
    </row>
    <row r="267" spans="1:11" ht="21.2" customHeight="1" x14ac:dyDescent="0.2">
      <c r="A267" s="226" t="s">
        <v>9129</v>
      </c>
      <c r="B267" s="226" t="s">
        <v>8944</v>
      </c>
      <c r="C267" s="226" t="s">
        <v>8875</v>
      </c>
      <c r="D267" s="227">
        <f t="shared" si="11"/>
        <v>31.506500000000006</v>
      </c>
      <c r="E267" s="223"/>
      <c r="F267" s="228"/>
      <c r="G267" s="226" t="s">
        <v>8896</v>
      </c>
      <c r="H267" s="229">
        <v>12550</v>
      </c>
      <c r="I267" s="228">
        <f t="shared" si="10"/>
        <v>12.55</v>
      </c>
      <c r="J267" s="224">
        <v>3</v>
      </c>
      <c r="K267" s="228">
        <f>-(0.8*1.97+2.25*2.03)</f>
        <v>-6.1434999999999995</v>
      </c>
    </row>
    <row r="268" spans="1:11" ht="21.2" customHeight="1" x14ac:dyDescent="0.2">
      <c r="A268" s="226" t="s">
        <v>9130</v>
      </c>
      <c r="B268" s="226" t="s">
        <v>8990</v>
      </c>
      <c r="C268" s="226" t="s">
        <v>8875</v>
      </c>
      <c r="D268" s="227">
        <f t="shared" si="11"/>
        <v>46.009499999999996</v>
      </c>
      <c r="E268" s="223"/>
      <c r="F268" s="228"/>
      <c r="G268" s="226" t="s">
        <v>8896</v>
      </c>
      <c r="H268" s="229">
        <v>17450</v>
      </c>
      <c r="I268" s="228">
        <f t="shared" si="10"/>
        <v>17.45</v>
      </c>
      <c r="J268" s="224">
        <v>3</v>
      </c>
      <c r="K268" s="228">
        <f>-(0.9*1.97+2.25*2.03)</f>
        <v>-6.3404999999999996</v>
      </c>
    </row>
    <row r="269" spans="1:11" ht="21.2" customHeight="1" x14ac:dyDescent="0.2">
      <c r="A269" s="226" t="s">
        <v>9131</v>
      </c>
      <c r="B269" s="226" t="s">
        <v>8944</v>
      </c>
      <c r="C269" s="226" t="s">
        <v>8875</v>
      </c>
      <c r="D269" s="227">
        <f t="shared" si="11"/>
        <v>39.539000000000001</v>
      </c>
      <c r="E269" s="223"/>
      <c r="F269" s="228"/>
      <c r="G269" s="226" t="s">
        <v>8896</v>
      </c>
      <c r="H269" s="229">
        <v>16750</v>
      </c>
      <c r="I269" s="228">
        <f t="shared" si="10"/>
        <v>16.75</v>
      </c>
      <c r="J269" s="224">
        <v>3</v>
      </c>
      <c r="K269" s="228">
        <f>-(0.8*1.97+4.5*2.03)</f>
        <v>-10.711</v>
      </c>
    </row>
    <row r="270" spans="1:11" ht="21.2" customHeight="1" x14ac:dyDescent="0.2">
      <c r="A270" s="226" t="s">
        <v>9132</v>
      </c>
      <c r="B270" s="226" t="s">
        <v>8944</v>
      </c>
      <c r="C270" s="226" t="s">
        <v>8875</v>
      </c>
      <c r="D270" s="227">
        <f t="shared" si="11"/>
        <v>41.198999999999998</v>
      </c>
      <c r="E270" s="223"/>
      <c r="F270" s="228"/>
      <c r="G270" s="226" t="s">
        <v>8896</v>
      </c>
      <c r="H270" s="229">
        <v>15950</v>
      </c>
      <c r="I270" s="228">
        <f t="shared" si="10"/>
        <v>15.95</v>
      </c>
      <c r="J270" s="224">
        <v>3</v>
      </c>
      <c r="K270" s="228">
        <f>-(0.8*1.97+2.5*2.03)</f>
        <v>-6.6509999999999998</v>
      </c>
    </row>
    <row r="271" spans="1:11" ht="30.2" customHeight="1" x14ac:dyDescent="0.2">
      <c r="A271" s="226" t="s">
        <v>9133</v>
      </c>
      <c r="B271" s="226" t="s">
        <v>9134</v>
      </c>
      <c r="C271" s="226" t="s">
        <v>8874</v>
      </c>
      <c r="D271" s="227">
        <f t="shared" si="11"/>
        <v>9.57</v>
      </c>
      <c r="E271" s="223" t="s">
        <v>237</v>
      </c>
      <c r="F271" s="228">
        <f>9.57*2-0.7*1.97</f>
        <v>17.760999999999999</v>
      </c>
      <c r="G271" s="226" t="s">
        <v>9016</v>
      </c>
      <c r="H271" s="229">
        <v>9570</v>
      </c>
      <c r="I271" s="228">
        <f t="shared" si="10"/>
        <v>9.57</v>
      </c>
      <c r="J271" s="224">
        <v>3</v>
      </c>
      <c r="K271" s="228">
        <f>-0.7*1.97</f>
        <v>-1.379</v>
      </c>
    </row>
    <row r="272" spans="1:11" ht="21.2" customHeight="1" x14ac:dyDescent="0.2">
      <c r="A272" s="226" t="s">
        <v>5096</v>
      </c>
      <c r="B272" s="226" t="s">
        <v>8922</v>
      </c>
      <c r="C272" s="226" t="s">
        <v>8874</v>
      </c>
      <c r="D272" s="227">
        <f t="shared" si="11"/>
        <v>9.6999999999999993</v>
      </c>
      <c r="E272" s="223" t="s">
        <v>237</v>
      </c>
      <c r="F272" s="228">
        <f>9.7*2-0.9*1.97</f>
        <v>17.626999999999999</v>
      </c>
      <c r="G272" s="226" t="s">
        <v>9016</v>
      </c>
      <c r="H272" s="229">
        <v>9700</v>
      </c>
      <c r="I272" s="228">
        <f t="shared" si="10"/>
        <v>9.6999999999999993</v>
      </c>
      <c r="J272" s="224">
        <v>3</v>
      </c>
      <c r="K272" s="228">
        <f>-0.9*1.97</f>
        <v>-1.7729999999999999</v>
      </c>
    </row>
    <row r="273" spans="1:11" ht="21.2" customHeight="1" x14ac:dyDescent="0.2">
      <c r="A273" s="226" t="s">
        <v>5097</v>
      </c>
      <c r="B273" s="226" t="s">
        <v>8929</v>
      </c>
      <c r="C273" s="226" t="s">
        <v>8874</v>
      </c>
      <c r="D273" s="227">
        <f t="shared" si="11"/>
        <v>26.878499999999995</v>
      </c>
      <c r="E273" s="223" t="s">
        <v>239</v>
      </c>
      <c r="F273" s="228">
        <f>(2.25+0.6)*1.4</f>
        <v>3.9899999999999998</v>
      </c>
      <c r="G273" s="226" t="s">
        <v>8976</v>
      </c>
      <c r="H273" s="229">
        <v>12200</v>
      </c>
      <c r="I273" s="228">
        <f t="shared" si="10"/>
        <v>12.2</v>
      </c>
      <c r="J273" s="224">
        <v>3</v>
      </c>
      <c r="K273" s="228">
        <f>-(0.9*1.97+1.95*2.03)</f>
        <v>-5.7314999999999996</v>
      </c>
    </row>
    <row r="274" spans="1:11" ht="21.2" customHeight="1" x14ac:dyDescent="0.2">
      <c r="A274" s="226" t="s">
        <v>1521</v>
      </c>
      <c r="B274" s="226" t="s">
        <v>514</v>
      </c>
      <c r="C274" s="226" t="s">
        <v>8875</v>
      </c>
      <c r="D274" s="227">
        <f t="shared" si="11"/>
        <v>48.967999999999989</v>
      </c>
      <c r="E274" s="223"/>
      <c r="F274" s="228"/>
      <c r="G274" s="226" t="s">
        <v>8899</v>
      </c>
      <c r="H274" s="229">
        <v>26400</v>
      </c>
      <c r="I274" s="228">
        <f t="shared" ref="I274:I318" si="12">H274/1000</f>
        <v>26.4</v>
      </c>
      <c r="J274" s="224">
        <v>3</v>
      </c>
      <c r="K274" s="228">
        <f>-(0.8*1.97+0.9*1.97*2+3.6*3+4.77*3)</f>
        <v>-30.231999999999999</v>
      </c>
    </row>
    <row r="275" spans="1:11" ht="21.2" customHeight="1" x14ac:dyDescent="0.2">
      <c r="A275" s="226" t="s">
        <v>5102</v>
      </c>
      <c r="B275" s="226" t="s">
        <v>8898</v>
      </c>
      <c r="C275" s="226" t="s">
        <v>8875</v>
      </c>
      <c r="D275" s="227">
        <f t="shared" si="11"/>
        <v>36.247999999999998</v>
      </c>
      <c r="E275" s="223"/>
      <c r="F275" s="228"/>
      <c r="G275" s="226" t="s">
        <v>8899</v>
      </c>
      <c r="H275" s="229">
        <v>16090</v>
      </c>
      <c r="I275" s="228">
        <f t="shared" si="12"/>
        <v>16.09</v>
      </c>
      <c r="J275" s="224">
        <v>3</v>
      </c>
      <c r="K275" s="228">
        <f>-(0.8*1.97+0.9*2.1*3+1.2*1.8+1.2*2.18)</f>
        <v>-12.022</v>
      </c>
    </row>
    <row r="276" spans="1:11" ht="21.2" customHeight="1" x14ac:dyDescent="0.2">
      <c r="A276" s="226" t="s">
        <v>5101</v>
      </c>
      <c r="B276" s="226" t="s">
        <v>8898</v>
      </c>
      <c r="C276" s="226" t="s">
        <v>8875</v>
      </c>
      <c r="D276" s="227">
        <f t="shared" si="11"/>
        <v>155.57400000000001</v>
      </c>
      <c r="E276" s="223"/>
      <c r="F276" s="228"/>
      <c r="G276" s="226" t="s">
        <v>8899</v>
      </c>
      <c r="H276" s="229">
        <v>72590</v>
      </c>
      <c r="I276" s="228">
        <f t="shared" si="12"/>
        <v>72.59</v>
      </c>
      <c r="J276" s="224">
        <v>3</v>
      </c>
      <c r="K276" s="228">
        <f>-(0.8*1.97*6+0.9*2.1*2+5.4*1.8*3+5.5*1.8*2)</f>
        <v>-62.195999999999998</v>
      </c>
    </row>
    <row r="277" spans="1:11" ht="30.2" customHeight="1" x14ac:dyDescent="0.2">
      <c r="A277" s="226" t="s">
        <v>5100</v>
      </c>
      <c r="B277" s="226" t="s">
        <v>8898</v>
      </c>
      <c r="C277" s="226" t="s">
        <v>8875</v>
      </c>
      <c r="D277" s="227">
        <f t="shared" si="11"/>
        <v>38.87700000000001</v>
      </c>
      <c r="E277" s="223"/>
      <c r="F277" s="228"/>
      <c r="G277" s="226" t="s">
        <v>8899</v>
      </c>
      <c r="H277" s="229">
        <v>16190</v>
      </c>
      <c r="I277" s="228">
        <f t="shared" si="12"/>
        <v>16.190000000000001</v>
      </c>
      <c r="J277" s="224">
        <v>3</v>
      </c>
      <c r="K277" s="228">
        <f>-(0.9*1.97+0.9*0.8+4*1.8)</f>
        <v>-9.6929999999999996</v>
      </c>
    </row>
    <row r="278" spans="1:11" ht="21.2" customHeight="1" x14ac:dyDescent="0.2">
      <c r="A278" s="226" t="s">
        <v>9135</v>
      </c>
      <c r="B278" s="226" t="s">
        <v>8917</v>
      </c>
      <c r="C278" s="226" t="s">
        <v>8874</v>
      </c>
      <c r="D278" s="227">
        <f t="shared" si="11"/>
        <v>0</v>
      </c>
      <c r="E278" s="223" t="s">
        <v>237</v>
      </c>
      <c r="F278" s="228">
        <f>6.8*3-0.8*1.97</f>
        <v>18.823999999999998</v>
      </c>
      <c r="G278" s="226" t="s">
        <v>8994</v>
      </c>
      <c r="H278" s="229">
        <v>6800</v>
      </c>
      <c r="I278" s="228">
        <f t="shared" si="12"/>
        <v>6.8</v>
      </c>
      <c r="J278" s="224">
        <v>3</v>
      </c>
      <c r="K278" s="228">
        <f>-0.8*1.97</f>
        <v>-1.5760000000000001</v>
      </c>
    </row>
    <row r="279" spans="1:11" ht="21.2" customHeight="1" x14ac:dyDescent="0.2">
      <c r="A279" s="226" t="s">
        <v>5103</v>
      </c>
      <c r="B279" s="226" t="s">
        <v>8929</v>
      </c>
      <c r="C279" s="226" t="s">
        <v>8875</v>
      </c>
      <c r="D279" s="227">
        <f t="shared" si="11"/>
        <v>39.676499999999997</v>
      </c>
      <c r="E279" s="223" t="s">
        <v>239</v>
      </c>
      <c r="F279" s="228">
        <f>(4.35+1.45+0.7)*1.4</f>
        <v>9.1</v>
      </c>
      <c r="G279" s="226" t="s">
        <v>8976</v>
      </c>
      <c r="H279" s="229">
        <v>18250</v>
      </c>
      <c r="I279" s="228">
        <f t="shared" si="12"/>
        <v>18.25</v>
      </c>
      <c r="J279" s="224">
        <v>3</v>
      </c>
      <c r="K279" s="228">
        <f>-(0.8*1.97+0.9*2.55+1.45*1.45)</f>
        <v>-5.9734999999999996</v>
      </c>
    </row>
    <row r="280" spans="1:11" ht="21.2" customHeight="1" x14ac:dyDescent="0.2">
      <c r="A280" s="226" t="s">
        <v>9136</v>
      </c>
      <c r="B280" s="226" t="s">
        <v>8940</v>
      </c>
      <c r="C280" s="231" t="s">
        <v>8878</v>
      </c>
      <c r="D280" s="227">
        <f t="shared" si="11"/>
        <v>93.12</v>
      </c>
      <c r="E280" s="223"/>
      <c r="F280" s="228"/>
      <c r="G280" s="226" t="s">
        <v>8899</v>
      </c>
      <c r="H280" s="229">
        <v>31040</v>
      </c>
      <c r="I280" s="228">
        <f t="shared" si="12"/>
        <v>31.04</v>
      </c>
      <c r="J280" s="224">
        <v>3</v>
      </c>
      <c r="K280" s="230"/>
    </row>
    <row r="281" spans="1:11" ht="21.2" customHeight="1" x14ac:dyDescent="0.2">
      <c r="A281" s="226" t="s">
        <v>9137</v>
      </c>
      <c r="B281" s="226" t="s">
        <v>8924</v>
      </c>
      <c r="C281" s="226" t="s">
        <v>8871</v>
      </c>
      <c r="D281" s="227">
        <f t="shared" si="11"/>
        <v>25.02</v>
      </c>
      <c r="E281" s="223"/>
      <c r="F281" s="228"/>
      <c r="G281" s="226" t="s">
        <v>8871</v>
      </c>
      <c r="H281" s="229">
        <v>8340</v>
      </c>
      <c r="I281" s="228">
        <f t="shared" si="12"/>
        <v>8.34</v>
      </c>
      <c r="J281" s="224">
        <v>3</v>
      </c>
      <c r="K281" s="230"/>
    </row>
    <row r="282" spans="1:11" ht="21.2" customHeight="1" x14ac:dyDescent="0.2">
      <c r="A282" s="226" t="s">
        <v>2036</v>
      </c>
      <c r="B282" s="226" t="s">
        <v>5052</v>
      </c>
      <c r="C282" s="226" t="s">
        <v>8875</v>
      </c>
      <c r="D282" s="227">
        <f t="shared" si="11"/>
        <v>37.167000000000002</v>
      </c>
      <c r="E282" s="223"/>
      <c r="F282" s="228"/>
      <c r="G282" s="226" t="s">
        <v>8871</v>
      </c>
      <c r="H282" s="229">
        <v>13730</v>
      </c>
      <c r="I282" s="228">
        <f t="shared" si="12"/>
        <v>13.73</v>
      </c>
      <c r="J282" s="224">
        <v>3</v>
      </c>
      <c r="K282" s="228">
        <f>-(0.9*1.97+2*0.9*1.25)</f>
        <v>-4.0229999999999997</v>
      </c>
    </row>
    <row r="283" spans="1:11" ht="21.2" customHeight="1" x14ac:dyDescent="0.2">
      <c r="A283" s="226" t="s">
        <v>9138</v>
      </c>
      <c r="B283" s="226" t="s">
        <v>8942</v>
      </c>
      <c r="C283" s="226" t="s">
        <v>8875</v>
      </c>
      <c r="D283" s="227">
        <f t="shared" si="11"/>
        <v>21.343999999999998</v>
      </c>
      <c r="E283" s="223"/>
      <c r="F283" s="228"/>
      <c r="G283" s="226" t="s">
        <v>8896</v>
      </c>
      <c r="H283" s="229">
        <v>9610</v>
      </c>
      <c r="I283" s="228">
        <f t="shared" si="12"/>
        <v>9.61</v>
      </c>
      <c r="J283" s="224">
        <v>3</v>
      </c>
      <c r="K283" s="228">
        <f>-(0.7*1.97*2+0.8*1.97*3)</f>
        <v>-7.4859999999999998</v>
      </c>
    </row>
    <row r="284" spans="1:11" ht="21.2" customHeight="1" x14ac:dyDescent="0.2">
      <c r="A284" s="226" t="s">
        <v>9139</v>
      </c>
      <c r="B284" s="226" t="s">
        <v>8944</v>
      </c>
      <c r="C284" s="226" t="s">
        <v>8875</v>
      </c>
      <c r="D284" s="227">
        <f t="shared" si="11"/>
        <v>43.076500000000003</v>
      </c>
      <c r="E284" s="223"/>
      <c r="F284" s="228"/>
      <c r="G284" s="226" t="s">
        <v>8896</v>
      </c>
      <c r="H284" s="229">
        <v>16350</v>
      </c>
      <c r="I284" s="228">
        <f t="shared" si="12"/>
        <v>16.350000000000001</v>
      </c>
      <c r="J284" s="224">
        <v>3</v>
      </c>
      <c r="K284" s="228">
        <f>-(0.8*1.97+0.9*2.55+1.45*1.45)</f>
        <v>-5.9734999999999996</v>
      </c>
    </row>
    <row r="285" spans="1:11" ht="21.2" customHeight="1" x14ac:dyDescent="0.2">
      <c r="A285" s="226" t="s">
        <v>9140</v>
      </c>
      <c r="B285" s="226" t="s">
        <v>8944</v>
      </c>
      <c r="C285" s="226" t="s">
        <v>8875</v>
      </c>
      <c r="D285" s="227">
        <f t="shared" si="11"/>
        <v>40.043500000000002</v>
      </c>
      <c r="E285" s="223"/>
      <c r="F285" s="228"/>
      <c r="G285" s="226" t="s">
        <v>8896</v>
      </c>
      <c r="H285" s="229">
        <v>15339</v>
      </c>
      <c r="I285" s="228">
        <f t="shared" si="12"/>
        <v>15.339</v>
      </c>
      <c r="J285" s="224">
        <v>3</v>
      </c>
      <c r="K285" s="228">
        <f>-(0.8*1.97+0.9*2.55+1.45*1.45)</f>
        <v>-5.9734999999999996</v>
      </c>
    </row>
    <row r="286" spans="1:11" ht="21.2" customHeight="1" x14ac:dyDescent="0.2">
      <c r="A286" s="226" t="s">
        <v>9141</v>
      </c>
      <c r="B286" s="226" t="s">
        <v>8912</v>
      </c>
      <c r="C286" s="226" t="s">
        <v>8874</v>
      </c>
      <c r="D286" s="227">
        <f t="shared" si="11"/>
        <v>4.34</v>
      </c>
      <c r="E286" s="223" t="s">
        <v>237</v>
      </c>
      <c r="F286" s="228">
        <f>4.34*2-0.7*1.97</f>
        <v>7.3010000000000002</v>
      </c>
      <c r="G286" s="226" t="s">
        <v>8994</v>
      </c>
      <c r="H286" s="229">
        <v>4340</v>
      </c>
      <c r="I286" s="228">
        <f t="shared" si="12"/>
        <v>4.34</v>
      </c>
      <c r="J286" s="224">
        <v>3</v>
      </c>
      <c r="K286" s="228">
        <f>-0.7*1.97</f>
        <v>-1.379</v>
      </c>
    </row>
    <row r="287" spans="1:11" ht="21.2" customHeight="1" x14ac:dyDescent="0.2">
      <c r="A287" s="226" t="s">
        <v>9142</v>
      </c>
      <c r="B287" s="226" t="s">
        <v>8922</v>
      </c>
      <c r="C287" s="226" t="s">
        <v>8874</v>
      </c>
      <c r="D287" s="227">
        <f t="shared" si="11"/>
        <v>6.0599999999999987</v>
      </c>
      <c r="E287" s="223" t="s">
        <v>237</v>
      </c>
      <c r="F287" s="228">
        <f>6.06*2-0.7*1.97</f>
        <v>10.741</v>
      </c>
      <c r="G287" s="226" t="s">
        <v>8994</v>
      </c>
      <c r="H287" s="229">
        <v>6060</v>
      </c>
      <c r="I287" s="228">
        <f t="shared" si="12"/>
        <v>6.06</v>
      </c>
      <c r="J287" s="224">
        <v>3</v>
      </c>
      <c r="K287" s="228">
        <f>-0.7*1.97</f>
        <v>-1.379</v>
      </c>
    </row>
    <row r="288" spans="1:11" ht="21.2" customHeight="1" x14ac:dyDescent="0.2">
      <c r="A288" s="226" t="s">
        <v>9143</v>
      </c>
      <c r="B288" s="226" t="s">
        <v>8942</v>
      </c>
      <c r="C288" s="226" t="s">
        <v>8875</v>
      </c>
      <c r="D288" s="227">
        <f t="shared" si="11"/>
        <v>20.039000000000001</v>
      </c>
      <c r="E288" s="223"/>
      <c r="F288" s="228"/>
      <c r="G288" s="226" t="s">
        <v>8896</v>
      </c>
      <c r="H288" s="229">
        <v>9175</v>
      </c>
      <c r="I288" s="228">
        <f t="shared" si="12"/>
        <v>9.1750000000000007</v>
      </c>
      <c r="J288" s="224">
        <v>3</v>
      </c>
      <c r="K288" s="228">
        <f>-(0.7*1.97*2+0.8*1.97*3)</f>
        <v>-7.4859999999999998</v>
      </c>
    </row>
    <row r="289" spans="1:11" ht="21.2" customHeight="1" x14ac:dyDescent="0.2">
      <c r="A289" s="226" t="s">
        <v>9144</v>
      </c>
      <c r="B289" s="226" t="s">
        <v>8944</v>
      </c>
      <c r="C289" s="226" t="s">
        <v>8875</v>
      </c>
      <c r="D289" s="227">
        <f t="shared" si="11"/>
        <v>39.746499999999997</v>
      </c>
      <c r="E289" s="223"/>
      <c r="F289" s="228"/>
      <c r="G289" s="226" t="s">
        <v>8896</v>
      </c>
      <c r="H289" s="229">
        <v>15240</v>
      </c>
      <c r="I289" s="228">
        <f t="shared" si="12"/>
        <v>15.24</v>
      </c>
      <c r="J289" s="224">
        <v>3</v>
      </c>
      <c r="K289" s="228">
        <f>-(0.8*1.97+0.9*2.55+1.45*1.45)</f>
        <v>-5.9734999999999996</v>
      </c>
    </row>
    <row r="290" spans="1:11" ht="21.2" customHeight="1" x14ac:dyDescent="0.2">
      <c r="A290" s="226" t="s">
        <v>9145</v>
      </c>
      <c r="B290" s="226" t="s">
        <v>8944</v>
      </c>
      <c r="C290" s="226" t="s">
        <v>8875</v>
      </c>
      <c r="D290" s="227">
        <f t="shared" si="11"/>
        <v>39.749499999999998</v>
      </c>
      <c r="E290" s="223"/>
      <c r="F290" s="228"/>
      <c r="G290" s="226" t="s">
        <v>8896</v>
      </c>
      <c r="H290" s="229">
        <v>15241</v>
      </c>
      <c r="I290" s="228">
        <f t="shared" si="12"/>
        <v>15.241</v>
      </c>
      <c r="J290" s="224">
        <v>3</v>
      </c>
      <c r="K290" s="228">
        <f>-(0.8*1.97+0.9*2.55+1.45*1.45)</f>
        <v>-5.9734999999999996</v>
      </c>
    </row>
    <row r="291" spans="1:11" ht="21.2" customHeight="1" x14ac:dyDescent="0.2">
      <c r="A291" s="226" t="s">
        <v>9146</v>
      </c>
      <c r="B291" s="226" t="s">
        <v>8922</v>
      </c>
      <c r="C291" s="226" t="s">
        <v>8874</v>
      </c>
      <c r="D291" s="227">
        <f t="shared" si="11"/>
        <v>6.26</v>
      </c>
      <c r="E291" s="223" t="s">
        <v>237</v>
      </c>
      <c r="F291" s="228">
        <f>6.26*2-0.7*1.97</f>
        <v>11.141</v>
      </c>
      <c r="G291" s="226" t="s">
        <v>8994</v>
      </c>
      <c r="H291" s="229">
        <v>6260</v>
      </c>
      <c r="I291" s="228">
        <f t="shared" si="12"/>
        <v>6.26</v>
      </c>
      <c r="J291" s="224">
        <v>3</v>
      </c>
      <c r="K291" s="228">
        <f>-0.7*1.97</f>
        <v>-1.379</v>
      </c>
    </row>
    <row r="292" spans="1:11" ht="21.2" customHeight="1" x14ac:dyDescent="0.2">
      <c r="A292" s="226" t="s">
        <v>9147</v>
      </c>
      <c r="B292" s="226" t="s">
        <v>8912</v>
      </c>
      <c r="C292" s="226" t="s">
        <v>8874</v>
      </c>
      <c r="D292" s="227">
        <f t="shared" si="11"/>
        <v>4.34</v>
      </c>
      <c r="E292" s="223" t="s">
        <v>237</v>
      </c>
      <c r="F292" s="228">
        <f>4.34*2-0.7*1.97</f>
        <v>7.3010000000000002</v>
      </c>
      <c r="G292" s="226" t="s">
        <v>8994</v>
      </c>
      <c r="H292" s="229">
        <v>4340</v>
      </c>
      <c r="I292" s="228">
        <f t="shared" si="12"/>
        <v>4.34</v>
      </c>
      <c r="J292" s="224">
        <v>3</v>
      </c>
      <c r="K292" s="228">
        <f>-0.7*1.97</f>
        <v>-1.379</v>
      </c>
    </row>
    <row r="293" spans="1:11" ht="21.2" customHeight="1" x14ac:dyDescent="0.2">
      <c r="A293" s="226" t="s">
        <v>9148</v>
      </c>
      <c r="B293" s="226" t="s">
        <v>8942</v>
      </c>
      <c r="C293" s="226" t="s">
        <v>8875</v>
      </c>
      <c r="D293" s="227">
        <f t="shared" si="11"/>
        <v>18.494</v>
      </c>
      <c r="E293" s="223"/>
      <c r="F293" s="228"/>
      <c r="G293" s="226" t="s">
        <v>8896</v>
      </c>
      <c r="H293" s="229">
        <v>8660</v>
      </c>
      <c r="I293" s="228">
        <f t="shared" si="12"/>
        <v>8.66</v>
      </c>
      <c r="J293" s="224">
        <v>3</v>
      </c>
      <c r="K293" s="228">
        <f>-(0.7*1.97*2+0.8*1.97*3)</f>
        <v>-7.4859999999999998</v>
      </c>
    </row>
    <row r="294" spans="1:11" ht="21.2" customHeight="1" x14ac:dyDescent="0.2">
      <c r="A294" s="226" t="s">
        <v>9149</v>
      </c>
      <c r="B294" s="226" t="s">
        <v>8944</v>
      </c>
      <c r="C294" s="226" t="s">
        <v>8875</v>
      </c>
      <c r="D294" s="227">
        <f t="shared" si="11"/>
        <v>39.746499999999997</v>
      </c>
      <c r="E294" s="223"/>
      <c r="F294" s="228"/>
      <c r="G294" s="226" t="s">
        <v>8896</v>
      </c>
      <c r="H294" s="229">
        <v>15240</v>
      </c>
      <c r="I294" s="228">
        <f t="shared" si="12"/>
        <v>15.24</v>
      </c>
      <c r="J294" s="224">
        <v>3</v>
      </c>
      <c r="K294" s="228">
        <f>-(0.8*1.97+0.9*2.55+1.45*1.45)</f>
        <v>-5.9734999999999996</v>
      </c>
    </row>
    <row r="295" spans="1:11" ht="21.2" customHeight="1" x14ac:dyDescent="0.2">
      <c r="A295" s="226" t="s">
        <v>9150</v>
      </c>
      <c r="B295" s="226" t="s">
        <v>8944</v>
      </c>
      <c r="C295" s="226" t="s">
        <v>8875</v>
      </c>
      <c r="D295" s="227">
        <f t="shared" si="11"/>
        <v>39.746499999999997</v>
      </c>
      <c r="E295" s="223"/>
      <c r="F295" s="228"/>
      <c r="G295" s="226" t="s">
        <v>8896</v>
      </c>
      <c r="H295" s="229">
        <v>15240</v>
      </c>
      <c r="I295" s="228">
        <f t="shared" si="12"/>
        <v>15.24</v>
      </c>
      <c r="J295" s="224">
        <v>3</v>
      </c>
      <c r="K295" s="228">
        <f>-(0.8*1.97+0.9*2.55+1.45*1.45)</f>
        <v>-5.9734999999999996</v>
      </c>
    </row>
    <row r="296" spans="1:11" ht="21.2" customHeight="1" x14ac:dyDescent="0.2">
      <c r="A296" s="226" t="s">
        <v>9151</v>
      </c>
      <c r="B296" s="226" t="s">
        <v>8922</v>
      </c>
      <c r="C296" s="226" t="s">
        <v>8874</v>
      </c>
      <c r="D296" s="227">
        <f t="shared" si="11"/>
        <v>6.26</v>
      </c>
      <c r="E296" s="223" t="s">
        <v>237</v>
      </c>
      <c r="F296" s="228">
        <f>6.26*2-0.7*1.97</f>
        <v>11.141</v>
      </c>
      <c r="G296" s="226" t="s">
        <v>8994</v>
      </c>
      <c r="H296" s="229">
        <v>6260</v>
      </c>
      <c r="I296" s="228">
        <f t="shared" si="12"/>
        <v>6.26</v>
      </c>
      <c r="J296" s="224">
        <v>3</v>
      </c>
      <c r="K296" s="228">
        <f>-0.7*1.97</f>
        <v>-1.379</v>
      </c>
    </row>
    <row r="297" spans="1:11" ht="21.2" customHeight="1" x14ac:dyDescent="0.2">
      <c r="A297" s="226" t="s">
        <v>9152</v>
      </c>
      <c r="B297" s="226" t="s">
        <v>8912</v>
      </c>
      <c r="C297" s="226" t="s">
        <v>8874</v>
      </c>
      <c r="D297" s="227">
        <f t="shared" si="11"/>
        <v>4.34</v>
      </c>
      <c r="E297" s="223" t="s">
        <v>237</v>
      </c>
      <c r="F297" s="228">
        <f>4.34*2-0.7*1.97</f>
        <v>7.3010000000000002</v>
      </c>
      <c r="G297" s="226" t="s">
        <v>8994</v>
      </c>
      <c r="H297" s="229">
        <v>4340</v>
      </c>
      <c r="I297" s="228">
        <f t="shared" si="12"/>
        <v>4.34</v>
      </c>
      <c r="J297" s="224">
        <v>3</v>
      </c>
      <c r="K297" s="228">
        <f>-0.7*1.97</f>
        <v>-1.379</v>
      </c>
    </row>
    <row r="298" spans="1:11" ht="21.2" customHeight="1" x14ac:dyDescent="0.2">
      <c r="A298" s="226" t="s">
        <v>9153</v>
      </c>
      <c r="B298" s="226" t="s">
        <v>8942</v>
      </c>
      <c r="C298" s="226" t="s">
        <v>8875</v>
      </c>
      <c r="D298" s="227">
        <f t="shared" ref="D298:D318" si="13">I298*J298+K298-F298</f>
        <v>18.494</v>
      </c>
      <c r="E298" s="223"/>
      <c r="F298" s="228"/>
      <c r="G298" s="226" t="s">
        <v>8896</v>
      </c>
      <c r="H298" s="229">
        <v>8660</v>
      </c>
      <c r="I298" s="228">
        <f t="shared" si="12"/>
        <v>8.66</v>
      </c>
      <c r="J298" s="224">
        <v>3</v>
      </c>
      <c r="K298" s="228">
        <f>-(0.7*1.97*2+0.8*1.97*3)</f>
        <v>-7.4859999999999998</v>
      </c>
    </row>
    <row r="299" spans="1:11" ht="21.2" customHeight="1" x14ac:dyDescent="0.2">
      <c r="A299" s="226" t="s">
        <v>9154</v>
      </c>
      <c r="B299" s="226" t="s">
        <v>8944</v>
      </c>
      <c r="C299" s="226" t="s">
        <v>8875</v>
      </c>
      <c r="D299" s="227">
        <f t="shared" si="13"/>
        <v>39.746499999999997</v>
      </c>
      <c r="E299" s="223"/>
      <c r="F299" s="228"/>
      <c r="G299" s="226" t="s">
        <v>8896</v>
      </c>
      <c r="H299" s="229">
        <v>15240</v>
      </c>
      <c r="I299" s="228">
        <f t="shared" si="12"/>
        <v>15.24</v>
      </c>
      <c r="J299" s="224">
        <v>3</v>
      </c>
      <c r="K299" s="228">
        <f>-(0.8*1.97+0.9*2.55+1.45*1.45)</f>
        <v>-5.9734999999999996</v>
      </c>
    </row>
    <row r="300" spans="1:11" ht="21.2" customHeight="1" x14ac:dyDescent="0.2">
      <c r="A300" s="226" t="s">
        <v>9155</v>
      </c>
      <c r="B300" s="226" t="s">
        <v>8944</v>
      </c>
      <c r="C300" s="226" t="s">
        <v>8875</v>
      </c>
      <c r="D300" s="227">
        <f t="shared" si="13"/>
        <v>39.746499999999997</v>
      </c>
      <c r="E300" s="223"/>
      <c r="F300" s="228"/>
      <c r="G300" s="226" t="s">
        <v>8896</v>
      </c>
      <c r="H300" s="229">
        <v>15240</v>
      </c>
      <c r="I300" s="228">
        <f t="shared" si="12"/>
        <v>15.24</v>
      </c>
      <c r="J300" s="224">
        <v>3</v>
      </c>
      <c r="K300" s="228">
        <f>-(0.8*1.97+0.9*2.55+1.45*1.45)</f>
        <v>-5.9734999999999996</v>
      </c>
    </row>
    <row r="301" spans="1:11" ht="21.2" customHeight="1" x14ac:dyDescent="0.2">
      <c r="A301" s="226" t="s">
        <v>9156</v>
      </c>
      <c r="B301" s="226" t="s">
        <v>8922</v>
      </c>
      <c r="C301" s="226" t="s">
        <v>8874</v>
      </c>
      <c r="D301" s="227">
        <f t="shared" si="13"/>
        <v>6.26</v>
      </c>
      <c r="E301" s="223" t="s">
        <v>237</v>
      </c>
      <c r="F301" s="228">
        <f>6.26*2-0.7*1.97</f>
        <v>11.141</v>
      </c>
      <c r="G301" s="226" t="s">
        <v>8994</v>
      </c>
      <c r="H301" s="229">
        <v>6260</v>
      </c>
      <c r="I301" s="228">
        <f t="shared" si="12"/>
        <v>6.26</v>
      </c>
      <c r="J301" s="224">
        <v>3</v>
      </c>
      <c r="K301" s="228">
        <f>-0.7*1.97</f>
        <v>-1.379</v>
      </c>
    </row>
    <row r="302" spans="1:11" ht="21.2" customHeight="1" x14ac:dyDescent="0.2">
      <c r="A302" s="226" t="s">
        <v>9157</v>
      </c>
      <c r="B302" s="226" t="s">
        <v>8912</v>
      </c>
      <c r="C302" s="226" t="s">
        <v>8874</v>
      </c>
      <c r="D302" s="227">
        <f t="shared" si="13"/>
        <v>4.34</v>
      </c>
      <c r="E302" s="223" t="s">
        <v>237</v>
      </c>
      <c r="F302" s="228">
        <f>4.34*2-0.7*1.97</f>
        <v>7.3010000000000002</v>
      </c>
      <c r="G302" s="226" t="s">
        <v>8994</v>
      </c>
      <c r="H302" s="229">
        <v>4340</v>
      </c>
      <c r="I302" s="228">
        <f t="shared" si="12"/>
        <v>4.34</v>
      </c>
      <c r="J302" s="224">
        <v>3</v>
      </c>
      <c r="K302" s="228">
        <f>-0.7*1.97</f>
        <v>-1.379</v>
      </c>
    </row>
    <row r="303" spans="1:11" ht="21.2" customHeight="1" x14ac:dyDescent="0.2">
      <c r="A303" s="226" t="s">
        <v>9158</v>
      </c>
      <c r="B303" s="226" t="s">
        <v>8942</v>
      </c>
      <c r="C303" s="226" t="s">
        <v>8875</v>
      </c>
      <c r="D303" s="227">
        <f t="shared" si="13"/>
        <v>37.694000000000003</v>
      </c>
      <c r="E303" s="223"/>
      <c r="F303" s="228"/>
      <c r="G303" s="226" t="s">
        <v>8896</v>
      </c>
      <c r="H303" s="229">
        <v>15060</v>
      </c>
      <c r="I303" s="228">
        <f t="shared" si="12"/>
        <v>15.06</v>
      </c>
      <c r="J303" s="224">
        <v>3</v>
      </c>
      <c r="K303" s="228">
        <f>-(0.7*1.97*2+0.8*1.97*3)</f>
        <v>-7.4859999999999998</v>
      </c>
    </row>
    <row r="304" spans="1:11" ht="21.2" customHeight="1" x14ac:dyDescent="0.2">
      <c r="A304" s="226" t="s">
        <v>9159</v>
      </c>
      <c r="B304" s="226" t="s">
        <v>8944</v>
      </c>
      <c r="C304" s="226" t="s">
        <v>8875</v>
      </c>
      <c r="D304" s="227">
        <f t="shared" si="13"/>
        <v>39.746499999999997</v>
      </c>
      <c r="E304" s="223"/>
      <c r="F304" s="228"/>
      <c r="G304" s="226" t="s">
        <v>8896</v>
      </c>
      <c r="H304" s="229">
        <v>15240</v>
      </c>
      <c r="I304" s="228">
        <f t="shared" si="12"/>
        <v>15.24</v>
      </c>
      <c r="J304" s="224">
        <v>3</v>
      </c>
      <c r="K304" s="228">
        <f>-(0.8*1.97+0.9*2.55+1.45*1.45)</f>
        <v>-5.9734999999999996</v>
      </c>
    </row>
    <row r="305" spans="1:11" ht="21.2" customHeight="1" x14ac:dyDescent="0.2">
      <c r="A305" s="226" t="s">
        <v>9160</v>
      </c>
      <c r="B305" s="226" t="s">
        <v>8944</v>
      </c>
      <c r="C305" s="226" t="s">
        <v>8875</v>
      </c>
      <c r="D305" s="227">
        <f t="shared" si="13"/>
        <v>39.746499999999997</v>
      </c>
      <c r="E305" s="223"/>
      <c r="F305" s="228"/>
      <c r="G305" s="226" t="s">
        <v>8896</v>
      </c>
      <c r="H305" s="229">
        <v>15240</v>
      </c>
      <c r="I305" s="228">
        <f t="shared" si="12"/>
        <v>15.24</v>
      </c>
      <c r="J305" s="224">
        <v>3</v>
      </c>
      <c r="K305" s="228">
        <f>-(0.8*1.97+0.9*2.55+1.45*1.45)</f>
        <v>-5.9734999999999996</v>
      </c>
    </row>
    <row r="306" spans="1:11" ht="21.2" customHeight="1" x14ac:dyDescent="0.2">
      <c r="A306" s="226" t="s">
        <v>9161</v>
      </c>
      <c r="B306" s="226" t="s">
        <v>8944</v>
      </c>
      <c r="C306" s="226" t="s">
        <v>8875</v>
      </c>
      <c r="D306" s="227">
        <f t="shared" si="13"/>
        <v>40.079500000000003</v>
      </c>
      <c r="E306" s="223"/>
      <c r="F306" s="228"/>
      <c r="G306" s="226" t="s">
        <v>8896</v>
      </c>
      <c r="H306" s="229">
        <v>15351</v>
      </c>
      <c r="I306" s="228">
        <f t="shared" si="12"/>
        <v>15.351000000000001</v>
      </c>
      <c r="J306" s="224">
        <v>3</v>
      </c>
      <c r="K306" s="228">
        <f>-(0.8*1.97+0.9*2.55+1.45*1.45)</f>
        <v>-5.9734999999999996</v>
      </c>
    </row>
    <row r="307" spans="1:11" ht="21.2" customHeight="1" x14ac:dyDescent="0.2">
      <c r="A307" s="226" t="s">
        <v>9162</v>
      </c>
      <c r="B307" s="226" t="s">
        <v>8912</v>
      </c>
      <c r="C307" s="226" t="s">
        <v>8874</v>
      </c>
      <c r="D307" s="227">
        <f t="shared" si="13"/>
        <v>4.34</v>
      </c>
      <c r="E307" s="223" t="s">
        <v>237</v>
      </c>
      <c r="F307" s="228">
        <f>4.34*2-0.7*1.97</f>
        <v>7.3010000000000002</v>
      </c>
      <c r="G307" s="226" t="s">
        <v>8994</v>
      </c>
      <c r="H307" s="229">
        <v>4340</v>
      </c>
      <c r="I307" s="228">
        <f t="shared" si="12"/>
        <v>4.34</v>
      </c>
      <c r="J307" s="224">
        <v>3</v>
      </c>
      <c r="K307" s="228">
        <f>-0.7*1.97</f>
        <v>-1.379</v>
      </c>
    </row>
    <row r="308" spans="1:11" ht="21.2" customHeight="1" x14ac:dyDescent="0.2">
      <c r="A308" s="226" t="s">
        <v>9163</v>
      </c>
      <c r="B308" s="226" t="s">
        <v>8922</v>
      </c>
      <c r="C308" s="226" t="s">
        <v>8874</v>
      </c>
      <c r="D308" s="227">
        <f t="shared" si="13"/>
        <v>5.889999999999997</v>
      </c>
      <c r="E308" s="223" t="s">
        <v>237</v>
      </c>
      <c r="F308" s="228">
        <f>5.89*2-0.7*1.97</f>
        <v>10.401</v>
      </c>
      <c r="G308" s="226" t="s">
        <v>8994</v>
      </c>
      <c r="H308" s="229">
        <v>5890</v>
      </c>
      <c r="I308" s="228">
        <f t="shared" si="12"/>
        <v>5.89</v>
      </c>
      <c r="J308" s="224">
        <v>3</v>
      </c>
      <c r="K308" s="228">
        <f>-0.7*1.97</f>
        <v>-1.379</v>
      </c>
    </row>
    <row r="309" spans="1:11" ht="21.2" customHeight="1" x14ac:dyDescent="0.2">
      <c r="A309" s="226" t="s">
        <v>9164</v>
      </c>
      <c r="B309" s="226" t="s">
        <v>8942</v>
      </c>
      <c r="C309" s="226" t="s">
        <v>8875</v>
      </c>
      <c r="D309" s="227">
        <f t="shared" si="13"/>
        <v>20.744</v>
      </c>
      <c r="E309" s="223"/>
      <c r="F309" s="228"/>
      <c r="G309" s="226" t="s">
        <v>8896</v>
      </c>
      <c r="H309" s="229">
        <v>9410</v>
      </c>
      <c r="I309" s="228">
        <f t="shared" si="12"/>
        <v>9.41</v>
      </c>
      <c r="J309" s="224">
        <v>3</v>
      </c>
      <c r="K309" s="228">
        <f>-(0.7*1.97*2+0.8*1.97*3)</f>
        <v>-7.4859999999999998</v>
      </c>
    </row>
    <row r="310" spans="1:11" ht="21.2" customHeight="1" x14ac:dyDescent="0.2">
      <c r="A310" s="226" t="s">
        <v>9165</v>
      </c>
      <c r="B310" s="226" t="s">
        <v>8944</v>
      </c>
      <c r="C310" s="226" t="s">
        <v>8875</v>
      </c>
      <c r="D310" s="227">
        <f t="shared" si="13"/>
        <v>39.746499999999997</v>
      </c>
      <c r="E310" s="223"/>
      <c r="F310" s="228"/>
      <c r="G310" s="226" t="s">
        <v>8896</v>
      </c>
      <c r="H310" s="229">
        <v>15240</v>
      </c>
      <c r="I310" s="228">
        <f t="shared" si="12"/>
        <v>15.24</v>
      </c>
      <c r="J310" s="224">
        <v>3</v>
      </c>
      <c r="K310" s="228">
        <f>-(0.8*1.97+0.9*2.55+1.45*1.45)</f>
        <v>-5.9734999999999996</v>
      </c>
    </row>
    <row r="311" spans="1:11" ht="21.2" customHeight="1" x14ac:dyDescent="0.2">
      <c r="A311" s="226" t="s">
        <v>9166</v>
      </c>
      <c r="B311" s="226" t="s">
        <v>8944</v>
      </c>
      <c r="C311" s="226" t="s">
        <v>8875</v>
      </c>
      <c r="D311" s="227">
        <f t="shared" si="13"/>
        <v>43.226499999999994</v>
      </c>
      <c r="E311" s="223"/>
      <c r="F311" s="228"/>
      <c r="G311" s="226" t="s">
        <v>8896</v>
      </c>
      <c r="H311" s="229">
        <v>16400</v>
      </c>
      <c r="I311" s="228">
        <f t="shared" si="12"/>
        <v>16.399999999999999</v>
      </c>
      <c r="J311" s="224">
        <v>3</v>
      </c>
      <c r="K311" s="228">
        <f>-(0.8*1.97+0.9*2.55+1.45*1.45)</f>
        <v>-5.9734999999999996</v>
      </c>
    </row>
    <row r="312" spans="1:11" ht="21.2" customHeight="1" x14ac:dyDescent="0.2">
      <c r="A312" s="226" t="s">
        <v>9167</v>
      </c>
      <c r="B312" s="226" t="s">
        <v>8922</v>
      </c>
      <c r="C312" s="226" t="s">
        <v>8874</v>
      </c>
      <c r="D312" s="227">
        <f t="shared" si="13"/>
        <v>6.26</v>
      </c>
      <c r="E312" s="223" t="s">
        <v>237</v>
      </c>
      <c r="F312" s="228">
        <f>6.26*2-0.7*1.97</f>
        <v>11.141</v>
      </c>
      <c r="G312" s="226" t="s">
        <v>8994</v>
      </c>
      <c r="H312" s="229">
        <v>6260</v>
      </c>
      <c r="I312" s="228">
        <f t="shared" si="12"/>
        <v>6.26</v>
      </c>
      <c r="J312" s="224">
        <v>3</v>
      </c>
      <c r="K312" s="228">
        <f>-0.7*1.97</f>
        <v>-1.379</v>
      </c>
    </row>
    <row r="313" spans="1:11" ht="21.2" customHeight="1" x14ac:dyDescent="0.2">
      <c r="A313" s="226" t="s">
        <v>9168</v>
      </c>
      <c r="B313" s="226" t="s">
        <v>8912</v>
      </c>
      <c r="C313" s="226" t="s">
        <v>8874</v>
      </c>
      <c r="D313" s="227">
        <f t="shared" si="13"/>
        <v>4.34</v>
      </c>
      <c r="E313" s="223" t="s">
        <v>237</v>
      </c>
      <c r="F313" s="228">
        <f>4.34*2-0.7*1.97</f>
        <v>7.3010000000000002</v>
      </c>
      <c r="G313" s="226" t="s">
        <v>8994</v>
      </c>
      <c r="H313" s="229">
        <v>4340</v>
      </c>
      <c r="I313" s="228">
        <f t="shared" si="12"/>
        <v>4.34</v>
      </c>
      <c r="J313" s="224">
        <v>3</v>
      </c>
      <c r="K313" s="228">
        <f>-0.7*1.97</f>
        <v>-1.379</v>
      </c>
    </row>
    <row r="314" spans="1:11" ht="21.2" customHeight="1" x14ac:dyDescent="0.2">
      <c r="A314" s="226" t="s">
        <v>9169</v>
      </c>
      <c r="B314" s="226" t="s">
        <v>8942</v>
      </c>
      <c r="C314" s="226" t="s">
        <v>8875</v>
      </c>
      <c r="D314" s="227">
        <f t="shared" si="13"/>
        <v>19.783999999999999</v>
      </c>
      <c r="E314" s="223"/>
      <c r="F314" s="228"/>
      <c r="G314" s="226" t="s">
        <v>8896</v>
      </c>
      <c r="H314" s="229">
        <v>9090</v>
      </c>
      <c r="I314" s="228">
        <f t="shared" si="12"/>
        <v>9.09</v>
      </c>
      <c r="J314" s="224">
        <v>3</v>
      </c>
      <c r="K314" s="228">
        <f>-(0.7*1.97*2+0.8*1.97*3)</f>
        <v>-7.4859999999999998</v>
      </c>
    </row>
    <row r="315" spans="1:11" ht="21.2" customHeight="1" x14ac:dyDescent="0.2">
      <c r="A315" s="226" t="s">
        <v>9170</v>
      </c>
      <c r="B315" s="226" t="s">
        <v>8944</v>
      </c>
      <c r="C315" s="226" t="s">
        <v>8875</v>
      </c>
      <c r="D315" s="227">
        <f t="shared" si="13"/>
        <v>40.526499999999999</v>
      </c>
      <c r="E315" s="223"/>
      <c r="F315" s="228"/>
      <c r="G315" s="226" t="s">
        <v>8896</v>
      </c>
      <c r="H315" s="229">
        <v>15500</v>
      </c>
      <c r="I315" s="228">
        <f t="shared" si="12"/>
        <v>15.5</v>
      </c>
      <c r="J315" s="224">
        <v>3</v>
      </c>
      <c r="K315" s="228">
        <f>-(0.8*1.97+0.9*2.55+1.45*1.45)</f>
        <v>-5.9734999999999996</v>
      </c>
    </row>
    <row r="316" spans="1:11" ht="21.2" customHeight="1" x14ac:dyDescent="0.2">
      <c r="A316" s="226" t="s">
        <v>9171</v>
      </c>
      <c r="B316" s="226" t="s">
        <v>8944</v>
      </c>
      <c r="C316" s="226" t="s">
        <v>8875</v>
      </c>
      <c r="D316" s="227">
        <f t="shared" si="13"/>
        <v>39.866499999999995</v>
      </c>
      <c r="E316" s="223"/>
      <c r="F316" s="228"/>
      <c r="G316" s="226" t="s">
        <v>8896</v>
      </c>
      <c r="H316" s="229">
        <v>15280</v>
      </c>
      <c r="I316" s="228">
        <f t="shared" si="12"/>
        <v>15.28</v>
      </c>
      <c r="J316" s="224">
        <v>3</v>
      </c>
      <c r="K316" s="228">
        <f>-(0.8*1.97+0.9*2.55+1.45*1.45)</f>
        <v>-5.9734999999999996</v>
      </c>
    </row>
    <row r="317" spans="1:11" ht="27" x14ac:dyDescent="0.2">
      <c r="A317" s="226" t="s">
        <v>9172</v>
      </c>
      <c r="B317" s="226" t="s">
        <v>8922</v>
      </c>
      <c r="C317" s="226" t="s">
        <v>8874</v>
      </c>
      <c r="D317" s="227">
        <f t="shared" si="13"/>
        <v>6.26</v>
      </c>
      <c r="E317" s="223" t="s">
        <v>237</v>
      </c>
      <c r="F317" s="228">
        <f>6.26*2-0.7*1.97</f>
        <v>11.141</v>
      </c>
      <c r="G317" s="226" t="s">
        <v>8994</v>
      </c>
      <c r="H317" s="229">
        <v>6260</v>
      </c>
      <c r="I317" s="228">
        <f t="shared" si="12"/>
        <v>6.26</v>
      </c>
      <c r="J317" s="224">
        <v>3</v>
      </c>
      <c r="K317" s="228">
        <f>-0.7*1.97</f>
        <v>-1.379</v>
      </c>
    </row>
    <row r="318" spans="1:11" ht="27" x14ac:dyDescent="0.2">
      <c r="A318" s="226" t="s">
        <v>9173</v>
      </c>
      <c r="B318" s="226" t="s">
        <v>8912</v>
      </c>
      <c r="C318" s="226" t="s">
        <v>8874</v>
      </c>
      <c r="D318" s="227">
        <f t="shared" si="13"/>
        <v>4.34</v>
      </c>
      <c r="E318" s="223" t="s">
        <v>237</v>
      </c>
      <c r="F318" s="228">
        <f>4.34*2-0.7*1.97</f>
        <v>7.3010000000000002</v>
      </c>
      <c r="G318" s="226" t="s">
        <v>8994</v>
      </c>
      <c r="H318" s="229">
        <v>4340</v>
      </c>
      <c r="I318" s="228">
        <f t="shared" si="12"/>
        <v>4.34</v>
      </c>
      <c r="J318" s="224">
        <v>3</v>
      </c>
      <c r="K318" s="228">
        <f>-0.7*1.97</f>
        <v>-1.379</v>
      </c>
    </row>
    <row r="320" spans="1:11" s="234" customFormat="1" x14ac:dyDescent="0.2">
      <c r="A320" s="208"/>
      <c r="B320" s="208"/>
      <c r="C320" s="208"/>
      <c r="D320" s="236">
        <f>SUM(D18:D319)</f>
        <v>9453.7756299999928</v>
      </c>
      <c r="E320" s="208"/>
      <c r="F320" s="233"/>
      <c r="G320" s="208"/>
      <c r="J320" s="235"/>
      <c r="K320" s="233"/>
    </row>
  </sheetData>
  <sheetProtection algorithmName="SHA-512" hashValue="XULnNs9zQAYN8gJZl5UEQsnZERD7KM19SJN3MHHY2lUJ2diRysLB0IRARBUo3uU0cS+6ZWToYFCVc59p1Zvoqg==" saltValue="rEHqZhEIPoBJXzJrmK7vFQ==" spinCount="100000" sheet="1" objects="1" scenarios="1" formatCells="0" formatColumns="0" formatRows="0" autoFilter="0"/>
  <autoFilter ref="A17:K318" xr:uid="{00000000-0009-0000-0000-00001B000000}"/>
  <pageMargins left="0.27559055118110198" right="0.19685039370078702" top="0.55118110236220508" bottom="0.70866141732283516" header="0.31496062992126012" footer="0.31496062992126012"/>
  <pageSetup paperSize="9" scale="61" fitToWidth="0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9"/>
  <dimension ref="A1:O344"/>
  <sheetViews>
    <sheetView workbookViewId="0"/>
  </sheetViews>
  <sheetFormatPr defaultColWidth="8.5" defaultRowHeight="15" x14ac:dyDescent="0.25"/>
  <cols>
    <col min="1" max="1" width="11" style="240" customWidth="1"/>
    <col min="2" max="2" width="19.5" style="240" customWidth="1"/>
    <col min="3" max="3" width="10.33203125" style="240" customWidth="1"/>
    <col min="4" max="4" width="16.1640625" style="240" customWidth="1"/>
    <col min="5" max="5" width="9" style="240" customWidth="1"/>
    <col min="6" max="6" width="10.1640625" style="240" customWidth="1"/>
    <col min="7" max="7" width="22.6640625" style="240" customWidth="1"/>
    <col min="8" max="8" width="9" style="240" customWidth="1"/>
    <col min="9" max="10" width="19.5" style="240" customWidth="1"/>
    <col min="11" max="11" width="8.5" style="240" customWidth="1"/>
    <col min="12" max="16384" width="8.5" style="240"/>
  </cols>
  <sheetData>
    <row r="1" spans="1:10" ht="39.6" customHeight="1" x14ac:dyDescent="0.25">
      <c r="A1" s="237" t="s">
        <v>9174</v>
      </c>
      <c r="B1" s="238"/>
      <c r="C1" s="238"/>
      <c r="D1" s="238"/>
      <c r="E1" s="238"/>
      <c r="F1" s="238"/>
      <c r="G1" s="238"/>
      <c r="H1" s="238"/>
      <c r="I1" s="238"/>
      <c r="J1" s="239"/>
    </row>
    <row r="3" spans="1:10" ht="33" x14ac:dyDescent="0.25">
      <c r="A3" s="241" t="s">
        <v>9175</v>
      </c>
      <c r="B3" s="242" t="s">
        <v>425</v>
      </c>
      <c r="C3" s="243"/>
      <c r="E3" s="241" t="s">
        <v>9176</v>
      </c>
      <c r="F3" s="244" t="s">
        <v>425</v>
      </c>
    </row>
    <row r="4" spans="1:10" ht="16.5" x14ac:dyDescent="0.25">
      <c r="A4" s="241"/>
      <c r="B4" s="242"/>
      <c r="C4" s="243"/>
      <c r="E4" s="245" t="s">
        <v>290</v>
      </c>
      <c r="F4" s="246">
        <f t="shared" ref="F4:F19" si="0">SUMIFS($C$29:$C$344,$F$29:$F$344,E4)</f>
        <v>48.62</v>
      </c>
    </row>
    <row r="5" spans="1:10" x14ac:dyDescent="0.25">
      <c r="A5" s="247" t="s">
        <v>177</v>
      </c>
      <c r="B5" s="248">
        <f t="shared" ref="B5:B14" si="1">SUMIFS($C$29:$C$344,$E$29:$E$344,A5)</f>
        <v>900.49</v>
      </c>
      <c r="C5" s="249"/>
      <c r="E5" s="247" t="s">
        <v>243</v>
      </c>
      <c r="F5" s="246">
        <f t="shared" si="0"/>
        <v>164.64</v>
      </c>
    </row>
    <row r="6" spans="1:10" x14ac:dyDescent="0.25">
      <c r="A6" s="247" t="s">
        <v>182</v>
      </c>
      <c r="B6" s="248">
        <f t="shared" si="1"/>
        <v>160.23999999999992</v>
      </c>
      <c r="C6" s="249"/>
      <c r="E6" s="247" t="s">
        <v>245</v>
      </c>
      <c r="F6" s="246">
        <f t="shared" si="0"/>
        <v>51.78</v>
      </c>
    </row>
    <row r="7" spans="1:10" x14ac:dyDescent="0.25">
      <c r="A7" s="250" t="s">
        <v>4013</v>
      </c>
      <c r="B7" s="251">
        <f t="shared" si="1"/>
        <v>0</v>
      </c>
      <c r="C7" s="249" t="s">
        <v>3755</v>
      </c>
      <c r="E7" s="247" t="s">
        <v>289</v>
      </c>
      <c r="F7" s="246">
        <f t="shared" si="0"/>
        <v>84.35</v>
      </c>
    </row>
    <row r="8" spans="1:10" x14ac:dyDescent="0.25">
      <c r="A8" s="247" t="s">
        <v>184</v>
      </c>
      <c r="B8" s="248">
        <f t="shared" si="1"/>
        <v>132.97</v>
      </c>
      <c r="C8" s="249"/>
      <c r="E8" s="247" t="s">
        <v>247</v>
      </c>
      <c r="F8" s="246">
        <f t="shared" si="0"/>
        <v>1287.389999999999</v>
      </c>
    </row>
    <row r="9" spans="1:10" x14ac:dyDescent="0.25">
      <c r="A9" s="247" t="s">
        <v>186</v>
      </c>
      <c r="B9" s="248">
        <f t="shared" si="1"/>
        <v>82.810000000000016</v>
      </c>
      <c r="C9" s="249"/>
      <c r="E9" s="247" t="s">
        <v>249</v>
      </c>
      <c r="F9" s="246">
        <f t="shared" si="0"/>
        <v>312.27999999999986</v>
      </c>
    </row>
    <row r="10" spans="1:10" x14ac:dyDescent="0.25">
      <c r="A10" s="247" t="s">
        <v>4015</v>
      </c>
      <c r="B10" s="248">
        <f t="shared" si="1"/>
        <v>83.45</v>
      </c>
      <c r="C10" s="249"/>
      <c r="E10" s="247" t="s">
        <v>253</v>
      </c>
      <c r="F10" s="246">
        <f t="shared" si="0"/>
        <v>526.46000000000015</v>
      </c>
    </row>
    <row r="11" spans="1:10" x14ac:dyDescent="0.25">
      <c r="A11" s="247" t="s">
        <v>191</v>
      </c>
      <c r="B11" s="248">
        <f t="shared" si="1"/>
        <v>284.54999999999995</v>
      </c>
      <c r="C11" s="249"/>
      <c r="E11" s="247" t="s">
        <v>255</v>
      </c>
      <c r="F11" s="246">
        <f t="shared" si="0"/>
        <v>321.21999999999997</v>
      </c>
    </row>
    <row r="12" spans="1:10" x14ac:dyDescent="0.25">
      <c r="A12" s="247" t="s">
        <v>197</v>
      </c>
      <c r="B12" s="248">
        <f t="shared" si="1"/>
        <v>1548.7799999999988</v>
      </c>
      <c r="C12" s="249"/>
      <c r="E12" s="247" t="s">
        <v>9177</v>
      </c>
      <c r="F12" s="246">
        <f t="shared" si="0"/>
        <v>97.47</v>
      </c>
    </row>
    <row r="13" spans="1:10" x14ac:dyDescent="0.25">
      <c r="A13" s="247" t="s">
        <v>218</v>
      </c>
      <c r="B13" s="248">
        <f t="shared" si="1"/>
        <v>232.76999999999998</v>
      </c>
      <c r="C13" s="249"/>
      <c r="E13" s="247" t="s">
        <v>259</v>
      </c>
      <c r="F13" s="246">
        <f t="shared" si="0"/>
        <v>4.37</v>
      </c>
    </row>
    <row r="14" spans="1:10" x14ac:dyDescent="0.25">
      <c r="A14" s="247" t="s">
        <v>230</v>
      </c>
      <c r="B14" s="248">
        <f t="shared" si="1"/>
        <v>140.63999999999999</v>
      </c>
      <c r="C14" s="249"/>
      <c r="E14" s="247" t="s">
        <v>263</v>
      </c>
      <c r="F14" s="246">
        <f t="shared" si="0"/>
        <v>4.1100000000000003</v>
      </c>
      <c r="G14" s="240" t="s">
        <v>9178</v>
      </c>
    </row>
    <row r="15" spans="1:10" x14ac:dyDescent="0.25">
      <c r="A15" s="250"/>
      <c r="B15" s="251"/>
      <c r="C15" s="249"/>
      <c r="E15" s="247" t="s">
        <v>265</v>
      </c>
      <c r="F15" s="246">
        <f t="shared" si="0"/>
        <v>261.3900000000001</v>
      </c>
    </row>
    <row r="16" spans="1:10" x14ac:dyDescent="0.25">
      <c r="A16" s="252"/>
      <c r="B16" s="253">
        <f>SUM(B4:B15)</f>
        <v>3566.6999999999989</v>
      </c>
      <c r="C16" s="254"/>
      <c r="E16" s="247" t="s">
        <v>228</v>
      </c>
      <c r="F16" s="246">
        <f t="shared" si="0"/>
        <v>200.96</v>
      </c>
    </row>
    <row r="17" spans="1:15" x14ac:dyDescent="0.25">
      <c r="A17" s="255"/>
      <c r="B17" s="255"/>
      <c r="C17" s="255" t="s">
        <v>9179</v>
      </c>
      <c r="E17" s="247" t="s">
        <v>4021</v>
      </c>
      <c r="F17" s="246">
        <f t="shared" si="0"/>
        <v>57.53</v>
      </c>
      <c r="G17" s="240" t="s">
        <v>9180</v>
      </c>
    </row>
    <row r="18" spans="1:15" x14ac:dyDescent="0.25">
      <c r="A18" s="255"/>
      <c r="B18" s="255"/>
      <c r="C18" s="255"/>
      <c r="E18" s="247" t="s">
        <v>4034</v>
      </c>
      <c r="F18" s="246">
        <f t="shared" si="0"/>
        <v>25.92</v>
      </c>
    </row>
    <row r="19" spans="1:15" x14ac:dyDescent="0.25">
      <c r="A19" s="255"/>
      <c r="B19" s="255"/>
      <c r="C19" s="255"/>
      <c r="E19" s="247" t="s">
        <v>8871</v>
      </c>
      <c r="F19" s="246">
        <f t="shared" si="0"/>
        <v>145.12</v>
      </c>
      <c r="G19" s="240" t="s">
        <v>9181</v>
      </c>
    </row>
    <row r="20" spans="1:15" x14ac:dyDescent="0.25">
      <c r="E20" s="252"/>
      <c r="F20" s="256">
        <f>SUM(F4:F19)</f>
        <v>3593.6099999999983</v>
      </c>
    </row>
    <row r="21" spans="1:15" x14ac:dyDescent="0.25">
      <c r="E21" s="255"/>
      <c r="F21" s="255"/>
    </row>
    <row r="22" spans="1:15" x14ac:dyDescent="0.25">
      <c r="E22" s="255"/>
      <c r="F22" s="255"/>
    </row>
    <row r="23" spans="1:15" x14ac:dyDescent="0.25">
      <c r="E23" s="255"/>
      <c r="F23" s="255"/>
    </row>
    <row r="25" spans="1:15" ht="21.2" customHeight="1" x14ac:dyDescent="0.25">
      <c r="A25" s="257"/>
      <c r="B25" s="257"/>
      <c r="C25" s="257"/>
      <c r="D25" s="257" t="s">
        <v>9182</v>
      </c>
      <c r="E25" s="257"/>
      <c r="F25" s="257"/>
      <c r="G25" s="257"/>
      <c r="H25" s="257"/>
      <c r="I25" s="257"/>
      <c r="J25" s="257"/>
    </row>
    <row r="26" spans="1:15" ht="21.2" customHeight="1" x14ac:dyDescent="0.25">
      <c r="A26" s="257" t="s">
        <v>8881</v>
      </c>
      <c r="B26" s="257" t="s">
        <v>8882</v>
      </c>
      <c r="C26" s="257" t="s">
        <v>9183</v>
      </c>
      <c r="D26" s="257" t="s">
        <v>9184</v>
      </c>
      <c r="E26" s="257" t="s">
        <v>9185</v>
      </c>
      <c r="F26" s="257" t="s">
        <v>9186</v>
      </c>
      <c r="G26" s="257" t="s">
        <v>8883</v>
      </c>
      <c r="H26" s="257" t="s">
        <v>8885</v>
      </c>
      <c r="I26" s="257" t="s">
        <v>8887</v>
      </c>
      <c r="J26" s="257" t="s">
        <v>8888</v>
      </c>
    </row>
    <row r="27" spans="1:15" s="263" customFormat="1" ht="30.2" customHeight="1" x14ac:dyDescent="0.25">
      <c r="A27" s="258" t="s">
        <v>9187</v>
      </c>
      <c r="B27" s="259"/>
      <c r="C27" s="260">
        <f>SUBTOTAL(9,C28:C344)</f>
        <v>3593.6100000000015</v>
      </c>
      <c r="D27" s="261"/>
      <c r="E27" s="261"/>
      <c r="F27" s="261"/>
      <c r="G27" s="262"/>
      <c r="H27" s="262"/>
      <c r="I27" s="262"/>
      <c r="J27" s="260"/>
      <c r="K27" s="240"/>
      <c r="L27" s="240"/>
      <c r="M27" s="240"/>
      <c r="N27" s="240"/>
      <c r="O27" s="240"/>
    </row>
    <row r="28" spans="1:15" s="268" customFormat="1" ht="15.75" x14ac:dyDescent="0.25">
      <c r="A28" s="264" t="s">
        <v>477</v>
      </c>
      <c r="B28" s="265"/>
      <c r="C28" s="266">
        <f>SUBTOTAL(9,C29:C30)</f>
        <v>20.38</v>
      </c>
      <c r="D28" s="267"/>
      <c r="E28" s="267"/>
      <c r="F28" s="267"/>
      <c r="G28" s="266"/>
      <c r="H28" s="266"/>
      <c r="I28" s="266"/>
      <c r="J28" s="266"/>
      <c r="K28" s="240"/>
      <c r="L28" s="240"/>
      <c r="M28" s="240"/>
      <c r="N28" s="240"/>
      <c r="O28" s="240"/>
    </row>
    <row r="29" spans="1:15" ht="21.2" customHeight="1" x14ac:dyDescent="0.25">
      <c r="A29" s="269" t="s">
        <v>2016</v>
      </c>
      <c r="B29" s="269" t="s">
        <v>9188</v>
      </c>
      <c r="C29" s="257">
        <v>6.62</v>
      </c>
      <c r="D29" s="269" t="s">
        <v>9189</v>
      </c>
      <c r="E29" s="257" t="s">
        <v>218</v>
      </c>
      <c r="F29" s="257" t="s">
        <v>255</v>
      </c>
      <c r="G29" s="269" t="s">
        <v>8880</v>
      </c>
      <c r="H29" s="257"/>
      <c r="I29" s="270" t="s">
        <v>9190</v>
      </c>
      <c r="J29" s="271">
        <v>12950</v>
      </c>
    </row>
    <row r="30" spans="1:15" ht="21.2" customHeight="1" x14ac:dyDescent="0.25">
      <c r="A30" s="269" t="s">
        <v>2018</v>
      </c>
      <c r="B30" s="269" t="s">
        <v>9191</v>
      </c>
      <c r="C30" s="257">
        <v>13.76</v>
      </c>
      <c r="D30" s="269" t="s">
        <v>9189</v>
      </c>
      <c r="E30" s="257" t="s">
        <v>218</v>
      </c>
      <c r="F30" s="257" t="s">
        <v>255</v>
      </c>
      <c r="G30" s="269" t="s">
        <v>8880</v>
      </c>
      <c r="H30" s="257"/>
      <c r="I30" s="270" t="s">
        <v>9190</v>
      </c>
      <c r="J30" s="271">
        <v>20950</v>
      </c>
    </row>
    <row r="31" spans="1:15" s="268" customFormat="1" ht="15.75" x14ac:dyDescent="0.25">
      <c r="A31" s="264" t="s">
        <v>357</v>
      </c>
      <c r="B31" s="265"/>
      <c r="C31" s="266">
        <f>SUBTOTAL(9,C32:C61)</f>
        <v>624.04999999999984</v>
      </c>
      <c r="D31" s="267"/>
      <c r="E31" s="267"/>
      <c r="F31" s="267"/>
      <c r="G31" s="266"/>
      <c r="H31" s="266"/>
      <c r="I31" s="266"/>
      <c r="J31" s="266"/>
      <c r="K31" s="240"/>
      <c r="L31" s="240"/>
      <c r="M31" s="240"/>
      <c r="N31" s="240"/>
      <c r="O31" s="240"/>
    </row>
    <row r="32" spans="1:15" s="255" customFormat="1" ht="21.2" customHeight="1" x14ac:dyDescent="0.25">
      <c r="A32" s="272" t="s">
        <v>5069</v>
      </c>
      <c r="B32" s="272" t="s">
        <v>9192</v>
      </c>
      <c r="C32" s="273">
        <v>30.97</v>
      </c>
      <c r="D32" s="272" t="s">
        <v>9193</v>
      </c>
      <c r="E32" s="273" t="s">
        <v>230</v>
      </c>
      <c r="F32" s="273" t="s">
        <v>255</v>
      </c>
      <c r="G32" s="272" t="s">
        <v>8880</v>
      </c>
      <c r="H32" s="273"/>
      <c r="I32" s="272" t="s">
        <v>8871</v>
      </c>
      <c r="J32" s="270">
        <v>25750</v>
      </c>
    </row>
    <row r="33" spans="1:10" s="255" customFormat="1" ht="21.2" customHeight="1" x14ac:dyDescent="0.25">
      <c r="A33" s="272" t="s">
        <v>1118</v>
      </c>
      <c r="B33" s="272" t="s">
        <v>9194</v>
      </c>
      <c r="C33" s="273">
        <v>49.08</v>
      </c>
      <c r="D33" s="272" t="s">
        <v>9195</v>
      </c>
      <c r="E33" s="273" t="s">
        <v>191</v>
      </c>
      <c r="F33" s="273" t="s">
        <v>255</v>
      </c>
      <c r="G33" s="272" t="s">
        <v>8880</v>
      </c>
      <c r="H33" s="273"/>
      <c r="I33" s="272" t="s">
        <v>8896</v>
      </c>
      <c r="J33" s="270">
        <v>34600</v>
      </c>
    </row>
    <row r="34" spans="1:10" s="255" customFormat="1" ht="21.2" customHeight="1" x14ac:dyDescent="0.25">
      <c r="A34" s="272" t="s">
        <v>5598</v>
      </c>
      <c r="B34" s="272" t="s">
        <v>9192</v>
      </c>
      <c r="C34" s="273">
        <v>14.94</v>
      </c>
      <c r="D34" s="272" t="s">
        <v>9193</v>
      </c>
      <c r="E34" s="273" t="s">
        <v>230</v>
      </c>
      <c r="F34" s="273" t="s">
        <v>255</v>
      </c>
      <c r="G34" s="272" t="s">
        <v>8880</v>
      </c>
      <c r="H34" s="273"/>
      <c r="I34" s="272" t="s">
        <v>8871</v>
      </c>
      <c r="J34" s="270">
        <v>17200</v>
      </c>
    </row>
    <row r="35" spans="1:10" s="255" customFormat="1" ht="21.2" customHeight="1" x14ac:dyDescent="0.25">
      <c r="A35" s="272" t="s">
        <v>8897</v>
      </c>
      <c r="B35" s="272" t="s">
        <v>9192</v>
      </c>
      <c r="C35" s="273">
        <v>21.45</v>
      </c>
      <c r="D35" s="272" t="s">
        <v>9193</v>
      </c>
      <c r="E35" s="273" t="s">
        <v>230</v>
      </c>
      <c r="F35" s="273" t="s">
        <v>255</v>
      </c>
      <c r="G35" s="272" t="s">
        <v>8880</v>
      </c>
      <c r="H35" s="273"/>
      <c r="I35" s="272" t="s">
        <v>8871</v>
      </c>
      <c r="J35" s="270">
        <v>19700</v>
      </c>
    </row>
    <row r="36" spans="1:10" s="255" customFormat="1" ht="21.2" customHeight="1" x14ac:dyDescent="0.25">
      <c r="A36" s="272" t="s">
        <v>5070</v>
      </c>
      <c r="B36" s="272" t="s">
        <v>9196</v>
      </c>
      <c r="C36" s="273">
        <v>21.64</v>
      </c>
      <c r="D36" s="272" t="s">
        <v>9197</v>
      </c>
      <c r="E36" s="273" t="s">
        <v>177</v>
      </c>
      <c r="F36" s="273" t="s">
        <v>255</v>
      </c>
      <c r="G36" s="272" t="s">
        <v>8880</v>
      </c>
      <c r="H36" s="273"/>
      <c r="I36" s="272" t="s">
        <v>9198</v>
      </c>
      <c r="J36" s="270">
        <v>23800</v>
      </c>
    </row>
    <row r="37" spans="1:10" s="255" customFormat="1" ht="21.2" customHeight="1" x14ac:dyDescent="0.25">
      <c r="A37" s="272" t="s">
        <v>2020</v>
      </c>
      <c r="B37" s="272" t="s">
        <v>9196</v>
      </c>
      <c r="C37" s="273">
        <v>11.83</v>
      </c>
      <c r="D37" s="272" t="s">
        <v>9189</v>
      </c>
      <c r="E37" s="273" t="s">
        <v>218</v>
      </c>
      <c r="F37" s="273" t="s">
        <v>245</v>
      </c>
      <c r="G37" s="272" t="s">
        <v>8877</v>
      </c>
      <c r="H37" s="273"/>
      <c r="I37" s="270" t="s">
        <v>9190</v>
      </c>
      <c r="J37" s="270">
        <v>20300</v>
      </c>
    </row>
    <row r="38" spans="1:10" s="255" customFormat="1" ht="21.2" customHeight="1" x14ac:dyDescent="0.25">
      <c r="A38" s="272" t="s">
        <v>5109</v>
      </c>
      <c r="B38" s="272" t="s">
        <v>9199</v>
      </c>
      <c r="C38" s="273">
        <v>2.73</v>
      </c>
      <c r="D38" s="272" t="s">
        <v>9197</v>
      </c>
      <c r="E38" s="273" t="s">
        <v>177</v>
      </c>
      <c r="F38" s="273" t="s">
        <v>255</v>
      </c>
      <c r="G38" s="272" t="s">
        <v>8880</v>
      </c>
      <c r="H38" s="273"/>
      <c r="I38" s="272" t="s">
        <v>9198</v>
      </c>
      <c r="J38" s="270">
        <v>7150</v>
      </c>
    </row>
    <row r="39" spans="1:10" s="255" customFormat="1" ht="48.4" customHeight="1" x14ac:dyDescent="0.25">
      <c r="A39" s="272" t="s">
        <v>1103</v>
      </c>
      <c r="B39" s="272" t="s">
        <v>9200</v>
      </c>
      <c r="C39" s="273">
        <v>34.51</v>
      </c>
      <c r="D39" s="272" t="s">
        <v>9195</v>
      </c>
      <c r="E39" s="273" t="s">
        <v>191</v>
      </c>
      <c r="F39" s="273" t="s">
        <v>255</v>
      </c>
      <c r="G39" s="272" t="s">
        <v>8880</v>
      </c>
      <c r="H39" s="273" t="s">
        <v>8872</v>
      </c>
      <c r="I39" s="272" t="s">
        <v>8902</v>
      </c>
      <c r="J39" s="270">
        <v>24150</v>
      </c>
    </row>
    <row r="40" spans="1:10" s="255" customFormat="1" ht="60.4" customHeight="1" x14ac:dyDescent="0.25">
      <c r="A40" s="272" t="s">
        <v>1105</v>
      </c>
      <c r="B40" s="272" t="s">
        <v>9201</v>
      </c>
      <c r="C40" s="273">
        <v>68.91</v>
      </c>
      <c r="D40" s="272" t="s">
        <v>9193</v>
      </c>
      <c r="E40" s="273" t="s">
        <v>230</v>
      </c>
      <c r="F40" s="273" t="s">
        <v>255</v>
      </c>
      <c r="G40" s="272" t="s">
        <v>8880</v>
      </c>
      <c r="H40" s="273" t="s">
        <v>8872</v>
      </c>
      <c r="I40" s="272" t="s">
        <v>8904</v>
      </c>
      <c r="J40" s="270">
        <v>39050</v>
      </c>
    </row>
    <row r="41" spans="1:10" s="255" customFormat="1" ht="21.2" customHeight="1" x14ac:dyDescent="0.25">
      <c r="A41" s="272" t="s">
        <v>2022</v>
      </c>
      <c r="B41" s="272" t="s">
        <v>9192</v>
      </c>
      <c r="C41" s="273">
        <v>3.72</v>
      </c>
      <c r="D41" s="272" t="s">
        <v>9189</v>
      </c>
      <c r="E41" s="273" t="s">
        <v>218</v>
      </c>
      <c r="F41" s="273" t="s">
        <v>243</v>
      </c>
      <c r="G41" s="272" t="s">
        <v>8877</v>
      </c>
      <c r="H41" s="273"/>
      <c r="I41" s="270" t="s">
        <v>9190</v>
      </c>
      <c r="J41" s="270">
        <v>8800</v>
      </c>
    </row>
    <row r="42" spans="1:10" s="255" customFormat="1" ht="21.2" customHeight="1" x14ac:dyDescent="0.25">
      <c r="A42" s="272" t="s">
        <v>8905</v>
      </c>
      <c r="B42" s="272" t="s">
        <v>9202</v>
      </c>
      <c r="C42" s="273">
        <v>3.87</v>
      </c>
      <c r="D42" s="272" t="s">
        <v>9197</v>
      </c>
      <c r="E42" s="273" t="s">
        <v>186</v>
      </c>
      <c r="F42" s="273" t="s">
        <v>255</v>
      </c>
      <c r="G42" s="272" t="s">
        <v>8879</v>
      </c>
      <c r="H42" s="273" t="s">
        <v>239</v>
      </c>
      <c r="I42" s="272" t="s">
        <v>8910</v>
      </c>
      <c r="J42" s="270">
        <v>7900</v>
      </c>
    </row>
    <row r="43" spans="1:10" s="255" customFormat="1" ht="21.2" customHeight="1" x14ac:dyDescent="0.25">
      <c r="A43" s="272" t="s">
        <v>1190</v>
      </c>
      <c r="B43" s="272" t="s">
        <v>9203</v>
      </c>
      <c r="C43" s="273">
        <v>15.04</v>
      </c>
      <c r="D43" s="272" t="s">
        <v>9197</v>
      </c>
      <c r="E43" s="273" t="s">
        <v>177</v>
      </c>
      <c r="F43" s="273" t="s">
        <v>255</v>
      </c>
      <c r="G43" s="272" t="s">
        <v>8880</v>
      </c>
      <c r="H43" s="273"/>
      <c r="I43" s="272" t="s">
        <v>9198</v>
      </c>
      <c r="J43" s="270">
        <v>18750</v>
      </c>
    </row>
    <row r="44" spans="1:10" s="255" customFormat="1" ht="21.2" customHeight="1" x14ac:dyDescent="0.25">
      <c r="A44" s="272" t="s">
        <v>8908</v>
      </c>
      <c r="B44" s="272" t="s">
        <v>9204</v>
      </c>
      <c r="C44" s="273">
        <v>2.0299999999999998</v>
      </c>
      <c r="D44" s="272" t="s">
        <v>9197</v>
      </c>
      <c r="E44" s="273" t="s">
        <v>186</v>
      </c>
      <c r="F44" s="273" t="s">
        <v>255</v>
      </c>
      <c r="G44" s="272" t="s">
        <v>8879</v>
      </c>
      <c r="H44" s="273" t="s">
        <v>239</v>
      </c>
      <c r="I44" s="272" t="s">
        <v>8910</v>
      </c>
      <c r="J44" s="270">
        <v>5700</v>
      </c>
    </row>
    <row r="45" spans="1:10" s="255" customFormat="1" ht="21.2" customHeight="1" x14ac:dyDescent="0.25">
      <c r="A45" s="272" t="s">
        <v>8911</v>
      </c>
      <c r="B45" s="272" t="s">
        <v>9205</v>
      </c>
      <c r="C45" s="273">
        <v>1.26</v>
      </c>
      <c r="D45" s="272" t="s">
        <v>9197</v>
      </c>
      <c r="E45" s="273" t="s">
        <v>186</v>
      </c>
      <c r="F45" s="273" t="s">
        <v>255</v>
      </c>
      <c r="G45" s="272" t="s">
        <v>8879</v>
      </c>
      <c r="H45" s="273" t="s">
        <v>239</v>
      </c>
      <c r="I45" s="272" t="s">
        <v>8910</v>
      </c>
      <c r="J45" s="270">
        <v>4600</v>
      </c>
    </row>
    <row r="46" spans="1:10" s="255" customFormat="1" ht="21.2" customHeight="1" x14ac:dyDescent="0.25">
      <c r="A46" s="272" t="s">
        <v>2074</v>
      </c>
      <c r="B46" s="272" t="s">
        <v>9206</v>
      </c>
      <c r="C46" s="273">
        <v>1.26</v>
      </c>
      <c r="D46" s="272" t="s">
        <v>9197</v>
      </c>
      <c r="E46" s="273" t="s">
        <v>186</v>
      </c>
      <c r="F46" s="273" t="s">
        <v>255</v>
      </c>
      <c r="G46" s="272" t="s">
        <v>8879</v>
      </c>
      <c r="H46" s="273" t="s">
        <v>239</v>
      </c>
      <c r="I46" s="272" t="s">
        <v>8910</v>
      </c>
      <c r="J46" s="270">
        <v>4600</v>
      </c>
    </row>
    <row r="47" spans="1:10" s="255" customFormat="1" ht="21.2" customHeight="1" x14ac:dyDescent="0.25">
      <c r="A47" s="272" t="s">
        <v>8914</v>
      </c>
      <c r="B47" s="272" t="s">
        <v>9196</v>
      </c>
      <c r="C47" s="273">
        <v>97.47</v>
      </c>
      <c r="D47" s="272" t="s">
        <v>9197</v>
      </c>
      <c r="E47" s="273" t="s">
        <v>177</v>
      </c>
      <c r="F47" s="273" t="s">
        <v>9177</v>
      </c>
      <c r="G47" s="272" t="s">
        <v>8880</v>
      </c>
      <c r="H47" s="273"/>
      <c r="I47" s="272" t="s">
        <v>9198</v>
      </c>
      <c r="J47" s="270">
        <v>101740</v>
      </c>
    </row>
    <row r="48" spans="1:10" s="255" customFormat="1" ht="21.2" customHeight="1" x14ac:dyDescent="0.25">
      <c r="A48" s="272" t="s">
        <v>8916</v>
      </c>
      <c r="B48" s="272" t="s">
        <v>9207</v>
      </c>
      <c r="C48" s="273">
        <v>3.26</v>
      </c>
      <c r="D48" s="272" t="s">
        <v>9197</v>
      </c>
      <c r="E48" s="273" t="s">
        <v>186</v>
      </c>
      <c r="F48" s="273" t="s">
        <v>255</v>
      </c>
      <c r="G48" s="272" t="s">
        <v>8879</v>
      </c>
      <c r="H48" s="273" t="s">
        <v>237</v>
      </c>
      <c r="I48" s="272" t="s">
        <v>8910</v>
      </c>
      <c r="J48" s="270">
        <v>7250</v>
      </c>
    </row>
    <row r="49" spans="1:15" s="255" customFormat="1" ht="21.2" customHeight="1" x14ac:dyDescent="0.25">
      <c r="A49" s="272" t="s">
        <v>8918</v>
      </c>
      <c r="B49" s="272" t="s">
        <v>9208</v>
      </c>
      <c r="C49" s="273">
        <v>6.79</v>
      </c>
      <c r="D49" s="272" t="s">
        <v>9197</v>
      </c>
      <c r="E49" s="273" t="s">
        <v>186</v>
      </c>
      <c r="F49" s="273" t="s">
        <v>255</v>
      </c>
      <c r="G49" s="272" t="s">
        <v>8880</v>
      </c>
      <c r="H49" s="273" t="s">
        <v>239</v>
      </c>
      <c r="I49" s="272" t="s">
        <v>9198</v>
      </c>
      <c r="J49" s="270">
        <v>11500</v>
      </c>
    </row>
    <row r="50" spans="1:15" s="255" customFormat="1" ht="21.2" customHeight="1" x14ac:dyDescent="0.25">
      <c r="A50" s="272" t="s">
        <v>5110</v>
      </c>
      <c r="B50" s="272" t="s">
        <v>9188</v>
      </c>
      <c r="C50" s="273">
        <v>4.37</v>
      </c>
      <c r="D50" s="272" t="s">
        <v>9193</v>
      </c>
      <c r="E50" s="273" t="s">
        <v>230</v>
      </c>
      <c r="F50" s="273" t="s">
        <v>259</v>
      </c>
      <c r="G50" s="272" t="s">
        <v>8880</v>
      </c>
      <c r="H50" s="273"/>
      <c r="I50" s="272" t="s">
        <v>8871</v>
      </c>
      <c r="J50" s="270">
        <v>8700</v>
      </c>
    </row>
    <row r="51" spans="1:15" s="255" customFormat="1" ht="21.2" customHeight="1" x14ac:dyDescent="0.25">
      <c r="A51" s="272" t="s">
        <v>1186</v>
      </c>
      <c r="B51" s="272" t="s">
        <v>9209</v>
      </c>
      <c r="C51" s="273">
        <v>12.3</v>
      </c>
      <c r="D51" s="272" t="s">
        <v>9197</v>
      </c>
      <c r="E51" s="273" t="s">
        <v>186</v>
      </c>
      <c r="F51" s="273" t="s">
        <v>255</v>
      </c>
      <c r="G51" s="272" t="s">
        <v>8879</v>
      </c>
      <c r="H51" s="273" t="s">
        <v>239</v>
      </c>
      <c r="I51" s="272" t="s">
        <v>9198</v>
      </c>
      <c r="J51" s="270">
        <v>15950</v>
      </c>
    </row>
    <row r="52" spans="1:15" s="255" customFormat="1" ht="21.2" customHeight="1" x14ac:dyDescent="0.25">
      <c r="A52" s="272" t="s">
        <v>2024</v>
      </c>
      <c r="B52" s="272" t="s">
        <v>9188</v>
      </c>
      <c r="C52" s="273">
        <v>63.37</v>
      </c>
      <c r="D52" s="272" t="s">
        <v>9189</v>
      </c>
      <c r="E52" s="273" t="s">
        <v>218</v>
      </c>
      <c r="F52" s="273" t="s">
        <v>243</v>
      </c>
      <c r="G52" s="272" t="s">
        <v>8880</v>
      </c>
      <c r="H52" s="273"/>
      <c r="I52" s="270" t="s">
        <v>9190</v>
      </c>
      <c r="J52" s="270">
        <v>37850</v>
      </c>
    </row>
    <row r="53" spans="1:15" s="255" customFormat="1" ht="45" x14ac:dyDescent="0.25">
      <c r="A53" s="272" t="s">
        <v>1509</v>
      </c>
      <c r="B53" s="270" t="s">
        <v>9210</v>
      </c>
      <c r="C53" s="273">
        <f>22.95-C54</f>
        <v>10.8</v>
      </c>
      <c r="D53" s="272" t="s">
        <v>9197</v>
      </c>
      <c r="E53" s="273" t="s">
        <v>177</v>
      </c>
      <c r="F53" s="273" t="s">
        <v>255</v>
      </c>
      <c r="G53" s="272" t="s">
        <v>8880</v>
      </c>
      <c r="H53" s="273"/>
      <c r="I53" s="272" t="s">
        <v>9211</v>
      </c>
      <c r="J53" s="270">
        <v>27800</v>
      </c>
    </row>
    <row r="54" spans="1:15" s="255" customFormat="1" ht="33.75" x14ac:dyDescent="0.25">
      <c r="A54" s="270" t="s">
        <v>1509</v>
      </c>
      <c r="B54" s="270" t="s">
        <v>9212</v>
      </c>
      <c r="C54" s="274">
        <f>(2.1+4.5+1.5)*1.5</f>
        <v>12.149999999999999</v>
      </c>
      <c r="D54" s="270" t="s">
        <v>9197</v>
      </c>
      <c r="E54" s="275" t="s">
        <v>177</v>
      </c>
      <c r="F54" s="274" t="s">
        <v>8871</v>
      </c>
      <c r="G54" s="270" t="s">
        <v>8880</v>
      </c>
      <c r="H54" s="275"/>
      <c r="I54" s="270" t="s">
        <v>9213</v>
      </c>
      <c r="J54" s="271" t="s">
        <v>9214</v>
      </c>
    </row>
    <row r="55" spans="1:15" s="255" customFormat="1" ht="21.2" customHeight="1" x14ac:dyDescent="0.25">
      <c r="A55" s="272" t="s">
        <v>2026</v>
      </c>
      <c r="B55" s="272" t="s">
        <v>9215</v>
      </c>
      <c r="C55" s="273">
        <v>35.92</v>
      </c>
      <c r="D55" s="272" t="s">
        <v>9189</v>
      </c>
      <c r="E55" s="273" t="s">
        <v>218</v>
      </c>
      <c r="F55" s="273" t="s">
        <v>245</v>
      </c>
      <c r="G55" s="272" t="s">
        <v>8877</v>
      </c>
      <c r="H55" s="273"/>
      <c r="I55" s="270" t="s">
        <v>9190</v>
      </c>
      <c r="J55" s="270">
        <v>27500</v>
      </c>
    </row>
    <row r="56" spans="1:15" s="255" customFormat="1" ht="41.45" customHeight="1" x14ac:dyDescent="0.25">
      <c r="A56" s="272" t="s">
        <v>651</v>
      </c>
      <c r="B56" s="272" t="s">
        <v>9216</v>
      </c>
      <c r="C56" s="273">
        <v>4.03</v>
      </c>
      <c r="D56" s="272" t="s">
        <v>9197</v>
      </c>
      <c r="E56" s="273" t="s">
        <v>186</v>
      </c>
      <c r="F56" s="273" t="s">
        <v>245</v>
      </c>
      <c r="G56" s="272" t="s">
        <v>8876</v>
      </c>
      <c r="H56" s="273" t="s">
        <v>239</v>
      </c>
      <c r="I56" s="272" t="s">
        <v>9217</v>
      </c>
      <c r="J56" s="270">
        <v>8140</v>
      </c>
    </row>
    <row r="57" spans="1:15" s="255" customFormat="1" ht="21.2" customHeight="1" x14ac:dyDescent="0.25">
      <c r="A57" s="272" t="s">
        <v>2028</v>
      </c>
      <c r="B57" s="272" t="s">
        <v>9192</v>
      </c>
      <c r="C57" s="273">
        <v>21.42</v>
      </c>
      <c r="D57" s="272" t="s">
        <v>9189</v>
      </c>
      <c r="E57" s="273" t="s">
        <v>218</v>
      </c>
      <c r="F57" s="273" t="s">
        <v>243</v>
      </c>
      <c r="G57" s="272" t="s">
        <v>8877</v>
      </c>
      <c r="H57" s="273"/>
      <c r="I57" s="270" t="s">
        <v>9190</v>
      </c>
      <c r="J57" s="270">
        <v>19670</v>
      </c>
    </row>
    <row r="58" spans="1:15" s="255" customFormat="1" ht="21.2" customHeight="1" x14ac:dyDescent="0.25">
      <c r="A58" s="272" t="s">
        <v>2030</v>
      </c>
      <c r="B58" s="272" t="s">
        <v>9192</v>
      </c>
      <c r="C58" s="273">
        <v>25.8</v>
      </c>
      <c r="D58" s="272" t="s">
        <v>9189</v>
      </c>
      <c r="E58" s="273" t="s">
        <v>218</v>
      </c>
      <c r="F58" s="273" t="s">
        <v>243</v>
      </c>
      <c r="G58" s="272" t="s">
        <v>8877</v>
      </c>
      <c r="H58" s="273"/>
      <c r="I58" s="270" t="s">
        <v>9190</v>
      </c>
      <c r="J58" s="270">
        <v>23550</v>
      </c>
    </row>
    <row r="59" spans="1:15" s="255" customFormat="1" ht="21.2" customHeight="1" x14ac:dyDescent="0.25">
      <c r="A59" s="272" t="s">
        <v>8923</v>
      </c>
      <c r="B59" s="272" t="s">
        <v>9218</v>
      </c>
      <c r="C59" s="273">
        <v>4.1100000000000003</v>
      </c>
      <c r="D59" s="272" t="s">
        <v>9189</v>
      </c>
      <c r="E59" s="273"/>
      <c r="F59" s="273" t="s">
        <v>263</v>
      </c>
      <c r="G59" s="272" t="s">
        <v>8871</v>
      </c>
      <c r="H59" s="273"/>
      <c r="I59" s="272" t="s">
        <v>8871</v>
      </c>
      <c r="J59" s="270">
        <v>8339</v>
      </c>
    </row>
    <row r="60" spans="1:15" s="255" customFormat="1" ht="21.2" customHeight="1" x14ac:dyDescent="0.25">
      <c r="A60" s="272" t="s">
        <v>2032</v>
      </c>
      <c r="B60" s="272" t="s">
        <v>9219</v>
      </c>
      <c r="C60" s="273">
        <v>17.38</v>
      </c>
      <c r="D60" s="272" t="s">
        <v>9189</v>
      </c>
      <c r="E60" s="273" t="s">
        <v>218</v>
      </c>
      <c r="F60" s="273" t="s">
        <v>243</v>
      </c>
      <c r="G60" s="272" t="s">
        <v>8880</v>
      </c>
      <c r="H60" s="273"/>
      <c r="I60" s="270" t="s">
        <v>9190</v>
      </c>
      <c r="J60" s="270">
        <v>17555</v>
      </c>
    </row>
    <row r="61" spans="1:15" s="255" customFormat="1" ht="21.2" customHeight="1" x14ac:dyDescent="0.25">
      <c r="A61" s="272" t="s">
        <v>2034</v>
      </c>
      <c r="B61" s="272" t="s">
        <v>9192</v>
      </c>
      <c r="C61" s="273">
        <v>21.64</v>
      </c>
      <c r="D61" s="272" t="s">
        <v>9189</v>
      </c>
      <c r="E61" s="273" t="s">
        <v>218</v>
      </c>
      <c r="F61" s="273" t="s">
        <v>243</v>
      </c>
      <c r="G61" s="272" t="s">
        <v>8880</v>
      </c>
      <c r="H61" s="273"/>
      <c r="I61" s="270" t="s">
        <v>9190</v>
      </c>
      <c r="J61" s="270">
        <v>19051</v>
      </c>
    </row>
    <row r="62" spans="1:15" s="268" customFormat="1" ht="15.75" x14ac:dyDescent="0.25">
      <c r="A62" s="264" t="s">
        <v>362</v>
      </c>
      <c r="B62" s="265"/>
      <c r="C62" s="266">
        <f>SUBTOTAL(9,C63:C112)</f>
        <v>683.86999999999966</v>
      </c>
      <c r="D62" s="267"/>
      <c r="E62" s="267"/>
      <c r="F62" s="267"/>
      <c r="G62" s="266"/>
      <c r="H62" s="266"/>
      <c r="I62" s="266"/>
      <c r="J62" s="266"/>
      <c r="K62" s="240"/>
      <c r="L62" s="240"/>
      <c r="M62" s="240"/>
      <c r="N62" s="240"/>
      <c r="O62" s="240"/>
    </row>
    <row r="63" spans="1:15" ht="21.2" customHeight="1" x14ac:dyDescent="0.25">
      <c r="A63" s="269" t="s">
        <v>8926</v>
      </c>
      <c r="B63" s="269" t="s">
        <v>9220</v>
      </c>
      <c r="C63" s="257">
        <v>48.62</v>
      </c>
      <c r="D63" s="272" t="s">
        <v>9221</v>
      </c>
      <c r="E63" s="257" t="s">
        <v>184</v>
      </c>
      <c r="F63" s="257" t="s">
        <v>290</v>
      </c>
      <c r="G63" s="269" t="s">
        <v>8875</v>
      </c>
      <c r="H63" s="257" t="s">
        <v>241</v>
      </c>
      <c r="I63" s="269" t="s">
        <v>9198</v>
      </c>
      <c r="J63" s="271">
        <v>28650</v>
      </c>
    </row>
    <row r="64" spans="1:15" ht="21.2" customHeight="1" x14ac:dyDescent="0.25">
      <c r="A64" s="269" t="s">
        <v>5073</v>
      </c>
      <c r="B64" s="269" t="s">
        <v>9196</v>
      </c>
      <c r="C64" s="257">
        <v>11.4</v>
      </c>
      <c r="D64" s="269" t="s">
        <v>9197</v>
      </c>
      <c r="E64" s="257" t="s">
        <v>177</v>
      </c>
      <c r="F64" s="257" t="s">
        <v>253</v>
      </c>
      <c r="G64" s="269" t="s">
        <v>8875</v>
      </c>
      <c r="H64" s="257"/>
      <c r="I64" s="269" t="s">
        <v>9198</v>
      </c>
      <c r="J64" s="271">
        <v>16300</v>
      </c>
    </row>
    <row r="65" spans="1:10" ht="21.2" customHeight="1" x14ac:dyDescent="0.25">
      <c r="A65" s="269" t="s">
        <v>5072</v>
      </c>
      <c r="B65" s="269" t="s">
        <v>9196</v>
      </c>
      <c r="C65" s="257">
        <v>56</v>
      </c>
      <c r="D65" s="269" t="s">
        <v>9197</v>
      </c>
      <c r="E65" s="257" t="s">
        <v>177</v>
      </c>
      <c r="F65" s="257" t="s">
        <v>253</v>
      </c>
      <c r="G65" s="269" t="s">
        <v>8875</v>
      </c>
      <c r="H65" s="257"/>
      <c r="I65" s="269" t="s">
        <v>9198</v>
      </c>
      <c r="J65" s="271">
        <v>72900</v>
      </c>
    </row>
    <row r="66" spans="1:10" ht="21.2" customHeight="1" x14ac:dyDescent="0.25">
      <c r="A66" s="269" t="s">
        <v>8928</v>
      </c>
      <c r="B66" s="269" t="s">
        <v>9207</v>
      </c>
      <c r="C66" s="257">
        <v>2.1800000000000002</v>
      </c>
      <c r="D66" s="269" t="s">
        <v>9197</v>
      </c>
      <c r="E66" s="257" t="s">
        <v>186</v>
      </c>
      <c r="F66" s="257" t="s">
        <v>249</v>
      </c>
      <c r="G66" s="269" t="s">
        <v>8874</v>
      </c>
      <c r="H66" s="257" t="s">
        <v>237</v>
      </c>
      <c r="I66" s="269" t="s">
        <v>9198</v>
      </c>
      <c r="J66" s="271">
        <v>6700</v>
      </c>
    </row>
    <row r="67" spans="1:10" ht="21.2" customHeight="1" x14ac:dyDescent="0.25">
      <c r="A67" s="269" t="s">
        <v>5074</v>
      </c>
      <c r="B67" s="269" t="s">
        <v>9222</v>
      </c>
      <c r="C67" s="257">
        <v>18.54</v>
      </c>
      <c r="D67" s="269" t="s">
        <v>9197</v>
      </c>
      <c r="E67" s="257" t="s">
        <v>177</v>
      </c>
      <c r="F67" s="257" t="s">
        <v>249</v>
      </c>
      <c r="G67" s="269" t="s">
        <v>8875</v>
      </c>
      <c r="H67" s="257" t="s">
        <v>239</v>
      </c>
      <c r="I67" s="269" t="s">
        <v>8930</v>
      </c>
      <c r="J67" s="271">
        <v>20150</v>
      </c>
    </row>
    <row r="68" spans="1:10" ht="21.2" customHeight="1" x14ac:dyDescent="0.25">
      <c r="A68" s="269" t="s">
        <v>5075</v>
      </c>
      <c r="B68" s="269" t="s">
        <v>9223</v>
      </c>
      <c r="C68" s="257">
        <v>42.28</v>
      </c>
      <c r="D68" s="269" t="s">
        <v>9195</v>
      </c>
      <c r="E68" s="257" t="s">
        <v>191</v>
      </c>
      <c r="F68" s="257" t="s">
        <v>228</v>
      </c>
      <c r="G68" s="269" t="s">
        <v>8875</v>
      </c>
      <c r="H68" s="257" t="s">
        <v>241</v>
      </c>
      <c r="I68" s="269" t="s">
        <v>8896</v>
      </c>
      <c r="J68" s="271">
        <v>28250</v>
      </c>
    </row>
    <row r="69" spans="1:10" ht="45" x14ac:dyDescent="0.25">
      <c r="A69" s="269" t="s">
        <v>1511</v>
      </c>
      <c r="B69" s="270" t="s">
        <v>9210</v>
      </c>
      <c r="C69" s="257">
        <f>25.87-C70</f>
        <v>12.820000000000002</v>
      </c>
      <c r="D69" s="269" t="s">
        <v>9197</v>
      </c>
      <c r="E69" s="257" t="s">
        <v>177</v>
      </c>
      <c r="F69" s="257" t="s">
        <v>253</v>
      </c>
      <c r="G69" s="269" t="s">
        <v>8875</v>
      </c>
      <c r="H69" s="257"/>
      <c r="I69" s="272" t="s">
        <v>9211</v>
      </c>
      <c r="J69" s="271">
        <v>20500</v>
      </c>
    </row>
    <row r="70" spans="1:10" ht="33.75" x14ac:dyDescent="0.25">
      <c r="A70" s="271" t="s">
        <v>1511</v>
      </c>
      <c r="B70" s="270" t="s">
        <v>9212</v>
      </c>
      <c r="C70" s="274">
        <f>(2*2.1+4.5)*1.5</f>
        <v>13.049999999999999</v>
      </c>
      <c r="D70" s="270" t="s">
        <v>9197</v>
      </c>
      <c r="E70" s="275" t="s">
        <v>177</v>
      </c>
      <c r="F70" s="274" t="s">
        <v>8871</v>
      </c>
      <c r="G70" s="271" t="s">
        <v>8875</v>
      </c>
      <c r="H70" s="274"/>
      <c r="I70" s="270" t="s">
        <v>9213</v>
      </c>
      <c r="J70" s="271" t="s">
        <v>9214</v>
      </c>
    </row>
    <row r="71" spans="1:10" ht="21.2" customHeight="1" x14ac:dyDescent="0.25">
      <c r="A71" s="271" t="s">
        <v>8932</v>
      </c>
      <c r="B71" s="271" t="s">
        <v>9196</v>
      </c>
      <c r="C71" s="274">
        <v>27.5</v>
      </c>
      <c r="D71" s="271" t="s">
        <v>9197</v>
      </c>
      <c r="E71" s="274" t="s">
        <v>177</v>
      </c>
      <c r="F71" s="274" t="s">
        <v>253</v>
      </c>
      <c r="G71" s="271" t="s">
        <v>8875</v>
      </c>
      <c r="H71" s="274"/>
      <c r="I71" s="271" t="s">
        <v>9198</v>
      </c>
      <c r="J71" s="271">
        <v>32210</v>
      </c>
    </row>
    <row r="72" spans="1:10" ht="21.2" customHeight="1" x14ac:dyDescent="0.25">
      <c r="A72" s="271" t="s">
        <v>8933</v>
      </c>
      <c r="B72" s="271" t="s">
        <v>9224</v>
      </c>
      <c r="C72" s="274">
        <v>17.7</v>
      </c>
      <c r="D72" s="271" t="s">
        <v>9195</v>
      </c>
      <c r="E72" s="274" t="s">
        <v>191</v>
      </c>
      <c r="F72" s="274" t="s">
        <v>228</v>
      </c>
      <c r="G72" s="271" t="s">
        <v>8875</v>
      </c>
      <c r="H72" s="274"/>
      <c r="I72" s="271" t="s">
        <v>8896</v>
      </c>
      <c r="J72" s="271">
        <v>19800</v>
      </c>
    </row>
    <row r="73" spans="1:10" ht="21.2" customHeight="1" x14ac:dyDescent="0.25">
      <c r="A73" s="271" t="s">
        <v>8935</v>
      </c>
      <c r="B73" s="271" t="s">
        <v>9205</v>
      </c>
      <c r="C73" s="274">
        <v>3.91</v>
      </c>
      <c r="D73" s="271" t="s">
        <v>9197</v>
      </c>
      <c r="E73" s="274" t="s">
        <v>186</v>
      </c>
      <c r="F73" s="274" t="s">
        <v>249</v>
      </c>
      <c r="G73" s="271" t="s">
        <v>8874</v>
      </c>
      <c r="H73" s="274" t="s">
        <v>239</v>
      </c>
      <c r="I73" s="271" t="s">
        <v>8910</v>
      </c>
      <c r="J73" s="271">
        <v>10060</v>
      </c>
    </row>
    <row r="74" spans="1:10" ht="45" x14ac:dyDescent="0.25">
      <c r="A74" s="271" t="s">
        <v>1513</v>
      </c>
      <c r="B74" s="270" t="s">
        <v>9210</v>
      </c>
      <c r="C74" s="274">
        <f>19.91-C75</f>
        <v>8.68</v>
      </c>
      <c r="D74" s="271" t="s">
        <v>9197</v>
      </c>
      <c r="E74" s="274" t="s">
        <v>177</v>
      </c>
      <c r="F74" s="274" t="s">
        <v>253</v>
      </c>
      <c r="G74" s="271" t="s">
        <v>8875</v>
      </c>
      <c r="H74" s="274"/>
      <c r="I74" s="270" t="s">
        <v>9211</v>
      </c>
      <c r="J74" s="271">
        <v>19610</v>
      </c>
    </row>
    <row r="75" spans="1:10" ht="33.75" x14ac:dyDescent="0.25">
      <c r="A75" s="271" t="s">
        <v>1513</v>
      </c>
      <c r="B75" s="270" t="s">
        <v>9212</v>
      </c>
      <c r="C75" s="274">
        <f>2*3*1.2+2.6*1.55</f>
        <v>11.23</v>
      </c>
      <c r="D75" s="270" t="s">
        <v>9197</v>
      </c>
      <c r="E75" s="275" t="s">
        <v>177</v>
      </c>
      <c r="F75" s="274" t="s">
        <v>8871</v>
      </c>
      <c r="G75" s="271" t="s">
        <v>8875</v>
      </c>
      <c r="H75" s="274"/>
      <c r="I75" s="270" t="s">
        <v>9213</v>
      </c>
      <c r="J75" s="271" t="s">
        <v>9214</v>
      </c>
    </row>
    <row r="76" spans="1:10" ht="21.2" customHeight="1" x14ac:dyDescent="0.25">
      <c r="A76" s="269" t="s">
        <v>5076</v>
      </c>
      <c r="B76" s="269" t="s">
        <v>9188</v>
      </c>
      <c r="C76" s="257">
        <v>7.44</v>
      </c>
      <c r="D76" s="269" t="s">
        <v>9197</v>
      </c>
      <c r="E76" s="257" t="s">
        <v>186</v>
      </c>
      <c r="F76" s="257" t="s">
        <v>249</v>
      </c>
      <c r="G76" s="269" t="s">
        <v>8873</v>
      </c>
      <c r="H76" s="257" t="s">
        <v>8936</v>
      </c>
      <c r="I76" s="269"/>
      <c r="J76" s="271">
        <v>13350</v>
      </c>
    </row>
    <row r="77" spans="1:10" ht="21.2" customHeight="1" x14ac:dyDescent="0.25">
      <c r="A77" s="269" t="s">
        <v>5077</v>
      </c>
      <c r="B77" s="269" t="s">
        <v>9225</v>
      </c>
      <c r="C77" s="257">
        <v>41.04</v>
      </c>
      <c r="D77" s="269" t="s">
        <v>9195</v>
      </c>
      <c r="E77" s="257" t="s">
        <v>191</v>
      </c>
      <c r="F77" s="257" t="s">
        <v>228</v>
      </c>
      <c r="G77" s="269" t="s">
        <v>8875</v>
      </c>
      <c r="H77" s="257"/>
      <c r="I77" s="269" t="s">
        <v>8896</v>
      </c>
      <c r="J77" s="271">
        <v>29520</v>
      </c>
    </row>
    <row r="78" spans="1:10" ht="21.2" customHeight="1" x14ac:dyDescent="0.25">
      <c r="A78" s="269" t="s">
        <v>5111</v>
      </c>
      <c r="B78" s="269" t="s">
        <v>9218</v>
      </c>
      <c r="C78" s="257">
        <v>4.1100000000000003</v>
      </c>
      <c r="D78" s="269"/>
      <c r="E78" s="257"/>
      <c r="F78" s="257" t="s">
        <v>8871</v>
      </c>
      <c r="G78" s="269" t="s">
        <v>8871</v>
      </c>
      <c r="H78" s="257"/>
      <c r="I78" s="269"/>
      <c r="J78" s="271">
        <v>8340</v>
      </c>
    </row>
    <row r="79" spans="1:10" ht="21.2" customHeight="1" x14ac:dyDescent="0.25">
      <c r="A79" s="269" t="s">
        <v>1525</v>
      </c>
      <c r="B79" s="269" t="s">
        <v>9226</v>
      </c>
      <c r="C79" s="257">
        <v>84.35</v>
      </c>
      <c r="D79" s="269" t="s">
        <v>9221</v>
      </c>
      <c r="E79" s="257" t="s">
        <v>184</v>
      </c>
      <c r="F79" s="257" t="s">
        <v>289</v>
      </c>
      <c r="G79" s="269" t="s">
        <v>8875</v>
      </c>
      <c r="H79" s="257" t="s">
        <v>241</v>
      </c>
      <c r="I79" s="269" t="s">
        <v>9198</v>
      </c>
      <c r="J79" s="271">
        <v>50081</v>
      </c>
    </row>
    <row r="80" spans="1:10" ht="21.2" customHeight="1" x14ac:dyDescent="0.25">
      <c r="A80" s="269" t="s">
        <v>8939</v>
      </c>
      <c r="B80" s="269" t="s">
        <v>9227</v>
      </c>
      <c r="C80" s="257">
        <v>25.92</v>
      </c>
      <c r="D80" s="269" t="s">
        <v>9197</v>
      </c>
      <c r="E80" s="257" t="s">
        <v>4015</v>
      </c>
      <c r="F80" s="257" t="s">
        <v>4034</v>
      </c>
      <c r="G80" s="269" t="s">
        <v>8878</v>
      </c>
      <c r="H80" s="257"/>
      <c r="I80" s="269" t="s">
        <v>8899</v>
      </c>
      <c r="J80" s="271">
        <v>21429</v>
      </c>
    </row>
    <row r="81" spans="1:10" ht="21.2" customHeight="1" x14ac:dyDescent="0.25">
      <c r="A81" s="269" t="s">
        <v>8941</v>
      </c>
      <c r="B81" s="269" t="s">
        <v>9228</v>
      </c>
      <c r="C81" s="257">
        <v>4.3499999999999996</v>
      </c>
      <c r="D81" s="269" t="s">
        <v>9195</v>
      </c>
      <c r="E81" s="257" t="s">
        <v>197</v>
      </c>
      <c r="F81" s="257" t="s">
        <v>265</v>
      </c>
      <c r="G81" s="269" t="s">
        <v>8875</v>
      </c>
      <c r="H81" s="257"/>
      <c r="I81" s="269" t="s">
        <v>8896</v>
      </c>
      <c r="J81" s="271">
        <v>8900</v>
      </c>
    </row>
    <row r="82" spans="1:10" ht="21.2" customHeight="1" x14ac:dyDescent="0.25">
      <c r="A82" s="269" t="s">
        <v>8943</v>
      </c>
      <c r="B82" s="269" t="s">
        <v>9229</v>
      </c>
      <c r="C82" s="257">
        <v>13.28</v>
      </c>
      <c r="D82" s="269" t="s">
        <v>9195</v>
      </c>
      <c r="E82" s="257" t="s">
        <v>197</v>
      </c>
      <c r="F82" s="257" t="s">
        <v>247</v>
      </c>
      <c r="G82" s="269" t="s">
        <v>8875</v>
      </c>
      <c r="H82" s="257"/>
      <c r="I82" s="269" t="s">
        <v>8896</v>
      </c>
      <c r="J82" s="271">
        <v>15200</v>
      </c>
    </row>
    <row r="83" spans="1:10" ht="21.2" customHeight="1" x14ac:dyDescent="0.25">
      <c r="A83" s="269" t="s">
        <v>8945</v>
      </c>
      <c r="B83" s="269" t="s">
        <v>9229</v>
      </c>
      <c r="C83" s="257">
        <v>13.28</v>
      </c>
      <c r="D83" s="269" t="s">
        <v>9195</v>
      </c>
      <c r="E83" s="257" t="s">
        <v>197</v>
      </c>
      <c r="F83" s="257" t="s">
        <v>247</v>
      </c>
      <c r="G83" s="269" t="s">
        <v>8875</v>
      </c>
      <c r="H83" s="257"/>
      <c r="I83" s="269" t="s">
        <v>8896</v>
      </c>
      <c r="J83" s="271">
        <v>15200</v>
      </c>
    </row>
    <row r="84" spans="1:10" ht="21.2" customHeight="1" x14ac:dyDescent="0.25">
      <c r="A84" s="269" t="s">
        <v>8946</v>
      </c>
      <c r="B84" s="269" t="s">
        <v>9216</v>
      </c>
      <c r="C84" s="257">
        <v>2.2400000000000002</v>
      </c>
      <c r="D84" s="269" t="s">
        <v>9197</v>
      </c>
      <c r="E84" s="257" t="s">
        <v>182</v>
      </c>
      <c r="F84" s="257" t="s">
        <v>249</v>
      </c>
      <c r="G84" s="269" t="s">
        <v>8874</v>
      </c>
      <c r="H84" s="257" t="s">
        <v>237</v>
      </c>
      <c r="I84" s="269" t="s">
        <v>8910</v>
      </c>
      <c r="J84" s="271">
        <v>6260</v>
      </c>
    </row>
    <row r="85" spans="1:10" ht="21.2" customHeight="1" x14ac:dyDescent="0.25">
      <c r="A85" s="269" t="s">
        <v>8947</v>
      </c>
      <c r="B85" s="269" t="s">
        <v>9205</v>
      </c>
      <c r="C85" s="257">
        <v>1.1399999999999999</v>
      </c>
      <c r="D85" s="269" t="s">
        <v>9197</v>
      </c>
      <c r="E85" s="257" t="s">
        <v>182</v>
      </c>
      <c r="F85" s="257" t="s">
        <v>249</v>
      </c>
      <c r="G85" s="269" t="s">
        <v>8874</v>
      </c>
      <c r="H85" s="257" t="s">
        <v>237</v>
      </c>
      <c r="I85" s="269" t="s">
        <v>8910</v>
      </c>
      <c r="J85" s="271">
        <v>4340</v>
      </c>
    </row>
    <row r="86" spans="1:10" ht="21.2" customHeight="1" x14ac:dyDescent="0.25">
      <c r="A86" s="269" t="s">
        <v>8948</v>
      </c>
      <c r="B86" s="269" t="s">
        <v>9228</v>
      </c>
      <c r="C86" s="257">
        <v>4.18</v>
      </c>
      <c r="D86" s="269" t="s">
        <v>9195</v>
      </c>
      <c r="E86" s="257" t="s">
        <v>197</v>
      </c>
      <c r="F86" s="257" t="s">
        <v>265</v>
      </c>
      <c r="G86" s="269" t="s">
        <v>8875</v>
      </c>
      <c r="H86" s="257"/>
      <c r="I86" s="269" t="s">
        <v>8896</v>
      </c>
      <c r="J86" s="271">
        <v>8660</v>
      </c>
    </row>
    <row r="87" spans="1:10" ht="21.2" customHeight="1" x14ac:dyDescent="0.25">
      <c r="A87" s="269" t="s">
        <v>8949</v>
      </c>
      <c r="B87" s="269" t="s">
        <v>9229</v>
      </c>
      <c r="C87" s="257">
        <v>13.28</v>
      </c>
      <c r="D87" s="269" t="s">
        <v>9195</v>
      </c>
      <c r="E87" s="257" t="s">
        <v>197</v>
      </c>
      <c r="F87" s="257" t="s">
        <v>247</v>
      </c>
      <c r="G87" s="269" t="s">
        <v>8875</v>
      </c>
      <c r="H87" s="257"/>
      <c r="I87" s="269" t="s">
        <v>8896</v>
      </c>
      <c r="J87" s="271">
        <v>15200</v>
      </c>
    </row>
    <row r="88" spans="1:10" ht="21.2" customHeight="1" x14ac:dyDescent="0.25">
      <c r="A88" s="269" t="s">
        <v>8950</v>
      </c>
      <c r="B88" s="269" t="s">
        <v>9229</v>
      </c>
      <c r="C88" s="257">
        <v>13.28</v>
      </c>
      <c r="D88" s="269" t="s">
        <v>9195</v>
      </c>
      <c r="E88" s="257" t="s">
        <v>197</v>
      </c>
      <c r="F88" s="257" t="s">
        <v>247</v>
      </c>
      <c r="G88" s="269" t="s">
        <v>8875</v>
      </c>
      <c r="H88" s="257"/>
      <c r="I88" s="269" t="s">
        <v>8896</v>
      </c>
      <c r="J88" s="271">
        <v>15200</v>
      </c>
    </row>
    <row r="89" spans="1:10" ht="21.2" customHeight="1" x14ac:dyDescent="0.25">
      <c r="A89" s="269" t="s">
        <v>8951</v>
      </c>
      <c r="B89" s="269" t="s">
        <v>9216</v>
      </c>
      <c r="C89" s="257">
        <v>2.2400000000000002</v>
      </c>
      <c r="D89" s="269" t="s">
        <v>9197</v>
      </c>
      <c r="E89" s="257" t="s">
        <v>182</v>
      </c>
      <c r="F89" s="257" t="s">
        <v>249</v>
      </c>
      <c r="G89" s="269" t="s">
        <v>8874</v>
      </c>
      <c r="H89" s="257" t="s">
        <v>237</v>
      </c>
      <c r="I89" s="269" t="s">
        <v>8910</v>
      </c>
      <c r="J89" s="271">
        <v>6260</v>
      </c>
    </row>
    <row r="90" spans="1:10" ht="21.2" customHeight="1" x14ac:dyDescent="0.25">
      <c r="A90" s="269" t="s">
        <v>8952</v>
      </c>
      <c r="B90" s="269" t="s">
        <v>9205</v>
      </c>
      <c r="C90" s="257">
        <v>1.1399999999999999</v>
      </c>
      <c r="D90" s="269" t="s">
        <v>9197</v>
      </c>
      <c r="E90" s="257" t="s">
        <v>182</v>
      </c>
      <c r="F90" s="257" t="s">
        <v>249</v>
      </c>
      <c r="G90" s="269" t="s">
        <v>8874</v>
      </c>
      <c r="H90" s="257" t="s">
        <v>237</v>
      </c>
      <c r="I90" s="269" t="s">
        <v>8910</v>
      </c>
      <c r="J90" s="271">
        <v>4340</v>
      </c>
    </row>
    <row r="91" spans="1:10" ht="21.2" customHeight="1" x14ac:dyDescent="0.25">
      <c r="A91" s="269" t="s">
        <v>8953</v>
      </c>
      <c r="B91" s="269" t="s">
        <v>9228</v>
      </c>
      <c r="C91" s="257">
        <v>8.43</v>
      </c>
      <c r="D91" s="269" t="s">
        <v>9195</v>
      </c>
      <c r="E91" s="257" t="s">
        <v>197</v>
      </c>
      <c r="F91" s="257" t="s">
        <v>265</v>
      </c>
      <c r="G91" s="269" t="s">
        <v>8875</v>
      </c>
      <c r="H91" s="257"/>
      <c r="I91" s="269" t="s">
        <v>8896</v>
      </c>
      <c r="J91" s="271">
        <v>15060</v>
      </c>
    </row>
    <row r="92" spans="1:10" ht="21.2" customHeight="1" x14ac:dyDescent="0.25">
      <c r="A92" s="269" t="s">
        <v>8954</v>
      </c>
      <c r="B92" s="269" t="s">
        <v>9229</v>
      </c>
      <c r="C92" s="257">
        <v>13.28</v>
      </c>
      <c r="D92" s="269" t="s">
        <v>9195</v>
      </c>
      <c r="E92" s="257" t="s">
        <v>197</v>
      </c>
      <c r="F92" s="257" t="s">
        <v>247</v>
      </c>
      <c r="G92" s="269" t="s">
        <v>8875</v>
      </c>
      <c r="H92" s="257"/>
      <c r="I92" s="269" t="s">
        <v>8896</v>
      </c>
      <c r="J92" s="271">
        <v>15200</v>
      </c>
    </row>
    <row r="93" spans="1:10" ht="21.2" customHeight="1" x14ac:dyDescent="0.25">
      <c r="A93" s="269" t="s">
        <v>8955</v>
      </c>
      <c r="B93" s="269" t="s">
        <v>9229</v>
      </c>
      <c r="C93" s="257">
        <v>13.28</v>
      </c>
      <c r="D93" s="269" t="s">
        <v>9195</v>
      </c>
      <c r="E93" s="257" t="s">
        <v>197</v>
      </c>
      <c r="F93" s="257" t="s">
        <v>247</v>
      </c>
      <c r="G93" s="269" t="s">
        <v>8875</v>
      </c>
      <c r="H93" s="257"/>
      <c r="I93" s="269" t="s">
        <v>8896</v>
      </c>
      <c r="J93" s="271">
        <v>15200</v>
      </c>
    </row>
    <row r="94" spans="1:10" ht="21.2" customHeight="1" x14ac:dyDescent="0.25">
      <c r="A94" s="269" t="s">
        <v>8956</v>
      </c>
      <c r="B94" s="269" t="s">
        <v>9229</v>
      </c>
      <c r="C94" s="257">
        <v>13.28</v>
      </c>
      <c r="D94" s="269" t="s">
        <v>9195</v>
      </c>
      <c r="E94" s="257" t="s">
        <v>197</v>
      </c>
      <c r="F94" s="257" t="s">
        <v>247</v>
      </c>
      <c r="G94" s="269" t="s">
        <v>8875</v>
      </c>
      <c r="H94" s="257"/>
      <c r="I94" s="269" t="s">
        <v>8896</v>
      </c>
      <c r="J94" s="271">
        <v>15200</v>
      </c>
    </row>
    <row r="95" spans="1:10" ht="21.2" customHeight="1" x14ac:dyDescent="0.25">
      <c r="A95" s="269" t="s">
        <v>8957</v>
      </c>
      <c r="B95" s="269" t="s">
        <v>9205</v>
      </c>
      <c r="C95" s="257">
        <v>1.1399999999999999</v>
      </c>
      <c r="D95" s="269" t="s">
        <v>9197</v>
      </c>
      <c r="E95" s="257" t="s">
        <v>182</v>
      </c>
      <c r="F95" s="257" t="s">
        <v>249</v>
      </c>
      <c r="G95" s="269" t="s">
        <v>8874</v>
      </c>
      <c r="H95" s="257" t="s">
        <v>237</v>
      </c>
      <c r="I95" s="269" t="s">
        <v>8910</v>
      </c>
      <c r="J95" s="271">
        <v>4340</v>
      </c>
    </row>
    <row r="96" spans="1:10" ht="21.2" customHeight="1" x14ac:dyDescent="0.25">
      <c r="A96" s="269" t="s">
        <v>8958</v>
      </c>
      <c r="B96" s="269" t="s">
        <v>9216</v>
      </c>
      <c r="C96" s="257">
        <v>2.13</v>
      </c>
      <c r="D96" s="269" t="s">
        <v>9197</v>
      </c>
      <c r="E96" s="257" t="s">
        <v>182</v>
      </c>
      <c r="F96" s="257" t="s">
        <v>249</v>
      </c>
      <c r="G96" s="269" t="s">
        <v>8874</v>
      </c>
      <c r="H96" s="257" t="s">
        <v>237</v>
      </c>
      <c r="I96" s="269" t="s">
        <v>8910</v>
      </c>
      <c r="J96" s="271">
        <v>5890</v>
      </c>
    </row>
    <row r="97" spans="1:10" ht="21.2" customHeight="1" x14ac:dyDescent="0.25">
      <c r="A97" s="269" t="s">
        <v>8959</v>
      </c>
      <c r="B97" s="269" t="s">
        <v>9228</v>
      </c>
      <c r="C97" s="257">
        <v>4.72</v>
      </c>
      <c r="D97" s="269" t="s">
        <v>9195</v>
      </c>
      <c r="E97" s="257" t="s">
        <v>197</v>
      </c>
      <c r="F97" s="257" t="s">
        <v>265</v>
      </c>
      <c r="G97" s="269" t="s">
        <v>8875</v>
      </c>
      <c r="H97" s="257"/>
      <c r="I97" s="269" t="s">
        <v>8896</v>
      </c>
      <c r="J97" s="271">
        <v>9410</v>
      </c>
    </row>
    <row r="98" spans="1:10" ht="21.2" customHeight="1" x14ac:dyDescent="0.25">
      <c r="A98" s="269" t="s">
        <v>1194</v>
      </c>
      <c r="B98" s="269" t="s">
        <v>9229</v>
      </c>
      <c r="C98" s="257">
        <v>15.71</v>
      </c>
      <c r="D98" s="269" t="s">
        <v>9195</v>
      </c>
      <c r="E98" s="257" t="s">
        <v>197</v>
      </c>
      <c r="F98" s="257" t="s">
        <v>247</v>
      </c>
      <c r="G98" s="269" t="s">
        <v>8875</v>
      </c>
      <c r="H98" s="257"/>
      <c r="I98" s="269" t="s">
        <v>8896</v>
      </c>
      <c r="J98" s="271">
        <v>16400</v>
      </c>
    </row>
    <row r="99" spans="1:10" ht="21.2" customHeight="1" x14ac:dyDescent="0.25">
      <c r="A99" s="269" t="s">
        <v>8960</v>
      </c>
      <c r="B99" s="269" t="s">
        <v>9229</v>
      </c>
      <c r="C99" s="257">
        <v>13.28</v>
      </c>
      <c r="D99" s="269" t="s">
        <v>9195</v>
      </c>
      <c r="E99" s="257" t="s">
        <v>197</v>
      </c>
      <c r="F99" s="257" t="s">
        <v>247</v>
      </c>
      <c r="G99" s="269" t="s">
        <v>8875</v>
      </c>
      <c r="H99" s="257"/>
      <c r="I99" s="269" t="s">
        <v>8896</v>
      </c>
      <c r="J99" s="271">
        <v>15200</v>
      </c>
    </row>
    <row r="100" spans="1:10" ht="21.2" customHeight="1" x14ac:dyDescent="0.25">
      <c r="A100" s="269" t="s">
        <v>8961</v>
      </c>
      <c r="B100" s="269" t="s">
        <v>9216</v>
      </c>
      <c r="C100" s="257">
        <v>2.11</v>
      </c>
      <c r="D100" s="269" t="s">
        <v>9197</v>
      </c>
      <c r="E100" s="257" t="s">
        <v>182</v>
      </c>
      <c r="F100" s="257" t="s">
        <v>249</v>
      </c>
      <c r="G100" s="269" t="s">
        <v>8874</v>
      </c>
      <c r="H100" s="257" t="s">
        <v>237</v>
      </c>
      <c r="I100" s="269" t="s">
        <v>8910</v>
      </c>
      <c r="J100" s="271">
        <v>6260</v>
      </c>
    </row>
    <row r="101" spans="1:10" ht="21.2" customHeight="1" x14ac:dyDescent="0.25">
      <c r="A101" s="269" t="s">
        <v>8962</v>
      </c>
      <c r="B101" s="269" t="s">
        <v>9205</v>
      </c>
      <c r="C101" s="257">
        <v>1.1399999999999999</v>
      </c>
      <c r="D101" s="269" t="s">
        <v>9197</v>
      </c>
      <c r="E101" s="257" t="s">
        <v>182</v>
      </c>
      <c r="F101" s="257" t="s">
        <v>249</v>
      </c>
      <c r="G101" s="269" t="s">
        <v>8874</v>
      </c>
      <c r="H101" s="257" t="s">
        <v>237</v>
      </c>
      <c r="I101" s="269" t="s">
        <v>8910</v>
      </c>
      <c r="J101" s="271">
        <v>4340</v>
      </c>
    </row>
    <row r="102" spans="1:10" ht="21.2" customHeight="1" x14ac:dyDescent="0.25">
      <c r="A102" s="269" t="s">
        <v>8963</v>
      </c>
      <c r="B102" s="269" t="s">
        <v>9228</v>
      </c>
      <c r="C102" s="257">
        <v>4.47</v>
      </c>
      <c r="D102" s="269" t="s">
        <v>9195</v>
      </c>
      <c r="E102" s="257" t="s">
        <v>197</v>
      </c>
      <c r="F102" s="257" t="s">
        <v>265</v>
      </c>
      <c r="G102" s="269" t="s">
        <v>8875</v>
      </c>
      <c r="H102" s="257"/>
      <c r="I102" s="269" t="s">
        <v>8896</v>
      </c>
      <c r="J102" s="271">
        <v>9750</v>
      </c>
    </row>
    <row r="103" spans="1:10" ht="21.2" customHeight="1" x14ac:dyDescent="0.25">
      <c r="A103" s="269" t="s">
        <v>8964</v>
      </c>
      <c r="B103" s="269" t="s">
        <v>9229</v>
      </c>
      <c r="C103" s="257">
        <v>13.28</v>
      </c>
      <c r="D103" s="269" t="s">
        <v>9195</v>
      </c>
      <c r="E103" s="257" t="s">
        <v>197</v>
      </c>
      <c r="F103" s="257" t="s">
        <v>247</v>
      </c>
      <c r="G103" s="269" t="s">
        <v>8875</v>
      </c>
      <c r="H103" s="257"/>
      <c r="I103" s="269" t="s">
        <v>8896</v>
      </c>
      <c r="J103" s="271">
        <v>15200</v>
      </c>
    </row>
    <row r="104" spans="1:10" ht="21.2" customHeight="1" x14ac:dyDescent="0.25">
      <c r="A104" s="269" t="s">
        <v>8965</v>
      </c>
      <c r="B104" s="269" t="s">
        <v>9229</v>
      </c>
      <c r="C104" s="257">
        <v>12.44</v>
      </c>
      <c r="D104" s="269" t="s">
        <v>9195</v>
      </c>
      <c r="E104" s="257" t="s">
        <v>197</v>
      </c>
      <c r="F104" s="257" t="s">
        <v>247</v>
      </c>
      <c r="G104" s="269" t="s">
        <v>8875</v>
      </c>
      <c r="H104" s="257"/>
      <c r="I104" s="269" t="s">
        <v>8896</v>
      </c>
      <c r="J104" s="271">
        <v>14650</v>
      </c>
    </row>
    <row r="105" spans="1:10" ht="21.2" customHeight="1" x14ac:dyDescent="0.25">
      <c r="A105" s="269" t="s">
        <v>8966</v>
      </c>
      <c r="B105" s="269" t="s">
        <v>9216</v>
      </c>
      <c r="C105" s="257">
        <v>2.39</v>
      </c>
      <c r="D105" s="269" t="s">
        <v>9197</v>
      </c>
      <c r="E105" s="257" t="s">
        <v>182</v>
      </c>
      <c r="F105" s="257" t="s">
        <v>249</v>
      </c>
      <c r="G105" s="269" t="s">
        <v>8874</v>
      </c>
      <c r="H105" s="257" t="s">
        <v>237</v>
      </c>
      <c r="I105" s="269" t="s">
        <v>8910</v>
      </c>
      <c r="J105" s="271">
        <v>6260</v>
      </c>
    </row>
    <row r="106" spans="1:10" ht="21.2" customHeight="1" x14ac:dyDescent="0.25">
      <c r="A106" s="269" t="s">
        <v>8967</v>
      </c>
      <c r="B106" s="269" t="s">
        <v>9205</v>
      </c>
      <c r="C106" s="257">
        <v>1.35</v>
      </c>
      <c r="D106" s="269" t="s">
        <v>9197</v>
      </c>
      <c r="E106" s="257" t="s">
        <v>182</v>
      </c>
      <c r="F106" s="257" t="s">
        <v>249</v>
      </c>
      <c r="G106" s="269" t="s">
        <v>8874</v>
      </c>
      <c r="H106" s="257" t="s">
        <v>237</v>
      </c>
      <c r="I106" s="269" t="s">
        <v>8910</v>
      </c>
      <c r="J106" s="271">
        <v>4710</v>
      </c>
    </row>
    <row r="107" spans="1:10" ht="21.2" customHeight="1" x14ac:dyDescent="0.25">
      <c r="A107" s="269" t="s">
        <v>8968</v>
      </c>
      <c r="B107" s="269" t="s">
        <v>9228</v>
      </c>
      <c r="C107" s="257">
        <v>10.56</v>
      </c>
      <c r="D107" s="269" t="s">
        <v>9195</v>
      </c>
      <c r="E107" s="257" t="s">
        <v>197</v>
      </c>
      <c r="F107" s="257" t="s">
        <v>265</v>
      </c>
      <c r="G107" s="269" t="s">
        <v>8875</v>
      </c>
      <c r="H107" s="257"/>
      <c r="I107" s="269" t="s">
        <v>8896</v>
      </c>
      <c r="J107" s="271">
        <v>19100</v>
      </c>
    </row>
    <row r="108" spans="1:10" ht="21.2" customHeight="1" x14ac:dyDescent="0.25">
      <c r="A108" s="269" t="s">
        <v>8969</v>
      </c>
      <c r="B108" s="269" t="s">
        <v>9229</v>
      </c>
      <c r="C108" s="257">
        <v>14.54</v>
      </c>
      <c r="D108" s="269" t="s">
        <v>9195</v>
      </c>
      <c r="E108" s="257" t="s">
        <v>197</v>
      </c>
      <c r="F108" s="257" t="s">
        <v>247</v>
      </c>
      <c r="G108" s="269" t="s">
        <v>8875</v>
      </c>
      <c r="H108" s="257"/>
      <c r="I108" s="269" t="s">
        <v>8896</v>
      </c>
      <c r="J108" s="271">
        <v>15900</v>
      </c>
    </row>
    <row r="109" spans="1:10" ht="21.2" customHeight="1" x14ac:dyDescent="0.25">
      <c r="A109" s="269" t="s">
        <v>8970</v>
      </c>
      <c r="B109" s="269" t="s">
        <v>9229</v>
      </c>
      <c r="C109" s="257">
        <v>12.67</v>
      </c>
      <c r="D109" s="269" t="s">
        <v>9195</v>
      </c>
      <c r="E109" s="257" t="s">
        <v>197</v>
      </c>
      <c r="F109" s="257" t="s">
        <v>247</v>
      </c>
      <c r="G109" s="269" t="s">
        <v>8875</v>
      </c>
      <c r="H109" s="257"/>
      <c r="I109" s="269" t="s">
        <v>8896</v>
      </c>
      <c r="J109" s="271">
        <v>15200</v>
      </c>
    </row>
    <row r="110" spans="1:10" ht="21.2" customHeight="1" x14ac:dyDescent="0.25">
      <c r="A110" s="269" t="s">
        <v>8971</v>
      </c>
      <c r="B110" s="269" t="s">
        <v>9229</v>
      </c>
      <c r="C110" s="257">
        <v>14.3</v>
      </c>
      <c r="D110" s="269" t="s">
        <v>9195</v>
      </c>
      <c r="E110" s="257" t="s">
        <v>197</v>
      </c>
      <c r="F110" s="257" t="s">
        <v>247</v>
      </c>
      <c r="G110" s="269" t="s">
        <v>8875</v>
      </c>
      <c r="H110" s="257"/>
      <c r="I110" s="269" t="s">
        <v>8896</v>
      </c>
      <c r="J110" s="271">
        <v>15800</v>
      </c>
    </row>
    <row r="111" spans="1:10" ht="21.2" customHeight="1" x14ac:dyDescent="0.25">
      <c r="A111" s="269" t="s">
        <v>8972</v>
      </c>
      <c r="B111" s="269" t="s">
        <v>9205</v>
      </c>
      <c r="C111" s="257">
        <v>1.76</v>
      </c>
      <c r="D111" s="269" t="s">
        <v>9197</v>
      </c>
      <c r="E111" s="257" t="s">
        <v>182</v>
      </c>
      <c r="F111" s="257" t="s">
        <v>249</v>
      </c>
      <c r="G111" s="269" t="s">
        <v>8874</v>
      </c>
      <c r="H111" s="257" t="s">
        <v>237</v>
      </c>
      <c r="I111" s="269" t="s">
        <v>8910</v>
      </c>
      <c r="J111" s="271">
        <v>5400</v>
      </c>
    </row>
    <row r="112" spans="1:10" ht="21.2" customHeight="1" x14ac:dyDescent="0.25">
      <c r="A112" s="269" t="s">
        <v>8973</v>
      </c>
      <c r="B112" s="269" t="s">
        <v>9216</v>
      </c>
      <c r="C112" s="257">
        <v>2.4300000000000002</v>
      </c>
      <c r="D112" s="269" t="s">
        <v>9197</v>
      </c>
      <c r="E112" s="257" t="s">
        <v>182</v>
      </c>
      <c r="F112" s="257" t="s">
        <v>249</v>
      </c>
      <c r="G112" s="269" t="s">
        <v>8874</v>
      </c>
      <c r="H112" s="257" t="s">
        <v>237</v>
      </c>
      <c r="I112" s="269" t="s">
        <v>8910</v>
      </c>
      <c r="J112" s="271">
        <v>6450</v>
      </c>
    </row>
    <row r="113" spans="1:15" s="268" customFormat="1" ht="15.75" x14ac:dyDescent="0.25">
      <c r="A113" s="264" t="s">
        <v>367</v>
      </c>
      <c r="B113" s="265"/>
      <c r="C113" s="266">
        <f>SUBTOTAL(9,C114:C173)</f>
        <v>602.97999999999956</v>
      </c>
      <c r="D113" s="267"/>
      <c r="E113" s="267"/>
      <c r="F113" s="267"/>
      <c r="G113" s="266"/>
      <c r="H113" s="266"/>
      <c r="I113" s="266"/>
      <c r="J113" s="266"/>
      <c r="K113" s="240"/>
      <c r="L113" s="240"/>
      <c r="M113" s="240"/>
      <c r="N113" s="240"/>
      <c r="O113" s="240"/>
    </row>
    <row r="114" spans="1:15" ht="45" x14ac:dyDescent="0.25">
      <c r="A114" s="269" t="s">
        <v>1515</v>
      </c>
      <c r="B114" s="270" t="s">
        <v>9210</v>
      </c>
      <c r="C114" s="257">
        <f>34.02-C115</f>
        <v>20.970000000000006</v>
      </c>
      <c r="D114" s="269" t="s">
        <v>9197</v>
      </c>
      <c r="E114" s="257" t="s">
        <v>177</v>
      </c>
      <c r="F114" s="257" t="s">
        <v>253</v>
      </c>
      <c r="G114" s="269" t="s">
        <v>8875</v>
      </c>
      <c r="H114" s="257"/>
      <c r="I114" s="272" t="s">
        <v>9211</v>
      </c>
      <c r="J114" s="271">
        <v>26188</v>
      </c>
    </row>
    <row r="115" spans="1:15" ht="33.75" x14ac:dyDescent="0.25">
      <c r="A115" s="271" t="s">
        <v>1515</v>
      </c>
      <c r="B115" s="270" t="s">
        <v>9212</v>
      </c>
      <c r="C115" s="274">
        <f>(2*2.1+4.5)*1.5</f>
        <v>13.049999999999999</v>
      </c>
      <c r="D115" s="270" t="s">
        <v>9197</v>
      </c>
      <c r="E115" s="275" t="s">
        <v>177</v>
      </c>
      <c r="F115" s="274" t="s">
        <v>8871</v>
      </c>
      <c r="G115" s="271" t="s">
        <v>8875</v>
      </c>
      <c r="H115" s="274"/>
      <c r="I115" s="270" t="s">
        <v>9213</v>
      </c>
      <c r="J115" s="271" t="s">
        <v>9214</v>
      </c>
    </row>
    <row r="116" spans="1:15" ht="21.2" customHeight="1" x14ac:dyDescent="0.25">
      <c r="A116" s="269" t="s">
        <v>5081</v>
      </c>
      <c r="B116" s="269" t="s">
        <v>9196</v>
      </c>
      <c r="C116" s="257">
        <v>10.86</v>
      </c>
      <c r="D116" s="269" t="s">
        <v>9197</v>
      </c>
      <c r="E116" s="257" t="s">
        <v>177</v>
      </c>
      <c r="F116" s="257" t="s">
        <v>253</v>
      </c>
      <c r="G116" s="269" t="s">
        <v>8875</v>
      </c>
      <c r="H116" s="257"/>
      <c r="I116" s="269" t="s">
        <v>9198</v>
      </c>
      <c r="J116" s="271">
        <v>15400</v>
      </c>
    </row>
    <row r="117" spans="1:15" ht="21.2" customHeight="1" x14ac:dyDescent="0.25">
      <c r="A117" s="269" t="s">
        <v>5080</v>
      </c>
      <c r="B117" s="269" t="s">
        <v>9196</v>
      </c>
      <c r="C117" s="257">
        <v>56.15</v>
      </c>
      <c r="D117" s="269" t="s">
        <v>9197</v>
      </c>
      <c r="E117" s="257" t="s">
        <v>177</v>
      </c>
      <c r="F117" s="257" t="s">
        <v>253</v>
      </c>
      <c r="G117" s="269" t="s">
        <v>8875</v>
      </c>
      <c r="H117" s="257"/>
      <c r="I117" s="269" t="s">
        <v>9198</v>
      </c>
      <c r="J117" s="271">
        <v>72381</v>
      </c>
    </row>
    <row r="118" spans="1:15" ht="21.2" customHeight="1" x14ac:dyDescent="0.25">
      <c r="A118" s="269" t="s">
        <v>8974</v>
      </c>
      <c r="B118" s="269" t="s">
        <v>9230</v>
      </c>
      <c r="C118" s="257">
        <v>2.4</v>
      </c>
      <c r="D118" s="269" t="s">
        <v>9197</v>
      </c>
      <c r="E118" s="257" t="s">
        <v>186</v>
      </c>
      <c r="F118" s="257" t="s">
        <v>249</v>
      </c>
      <c r="G118" s="269" t="s">
        <v>8875</v>
      </c>
      <c r="H118" s="257"/>
      <c r="I118" s="269" t="s">
        <v>9198</v>
      </c>
      <c r="J118" s="271">
        <v>7100</v>
      </c>
    </row>
    <row r="119" spans="1:15" ht="21.2" customHeight="1" x14ac:dyDescent="0.25">
      <c r="A119" s="269" t="s">
        <v>5083</v>
      </c>
      <c r="B119" s="269" t="s">
        <v>9222</v>
      </c>
      <c r="C119" s="257">
        <v>18.54</v>
      </c>
      <c r="D119" s="269" t="s">
        <v>9197</v>
      </c>
      <c r="E119" s="257" t="s">
        <v>177</v>
      </c>
      <c r="F119" s="257" t="s">
        <v>249</v>
      </c>
      <c r="G119" s="269" t="s">
        <v>8875</v>
      </c>
      <c r="H119" s="257" t="s">
        <v>239</v>
      </c>
      <c r="I119" s="269" t="s">
        <v>9231</v>
      </c>
      <c r="J119" s="271">
        <v>20150</v>
      </c>
    </row>
    <row r="120" spans="1:15" ht="21.2" customHeight="1" x14ac:dyDescent="0.25">
      <c r="A120" s="269" t="s">
        <v>5082</v>
      </c>
      <c r="B120" s="269" t="s">
        <v>9207</v>
      </c>
      <c r="C120" s="257">
        <v>7.44</v>
      </c>
      <c r="D120" s="269" t="s">
        <v>9197</v>
      </c>
      <c r="E120" s="257" t="s">
        <v>186</v>
      </c>
      <c r="F120" s="257" t="s">
        <v>249</v>
      </c>
      <c r="G120" s="269" t="s">
        <v>8873</v>
      </c>
      <c r="H120" s="257" t="s">
        <v>8936</v>
      </c>
      <c r="I120" s="269"/>
      <c r="J120" s="271">
        <v>13348</v>
      </c>
    </row>
    <row r="121" spans="1:15" ht="21.2" customHeight="1" x14ac:dyDescent="0.25">
      <c r="A121" s="269" t="s">
        <v>8977</v>
      </c>
      <c r="B121" s="269" t="s">
        <v>9196</v>
      </c>
      <c r="C121" s="257">
        <v>11.83</v>
      </c>
      <c r="D121" s="269" t="s">
        <v>9197</v>
      </c>
      <c r="E121" s="257" t="s">
        <v>177</v>
      </c>
      <c r="F121" s="257" t="s">
        <v>253</v>
      </c>
      <c r="G121" s="269" t="s">
        <v>8875</v>
      </c>
      <c r="H121" s="257"/>
      <c r="I121" s="269" t="s">
        <v>9198</v>
      </c>
      <c r="J121" s="271">
        <v>15660</v>
      </c>
    </row>
    <row r="122" spans="1:15" ht="21.2" customHeight="1" x14ac:dyDescent="0.25">
      <c r="A122" s="269" t="s">
        <v>1133</v>
      </c>
      <c r="B122" s="269" t="s">
        <v>9232</v>
      </c>
      <c r="C122" s="257">
        <v>86.57</v>
      </c>
      <c r="D122" s="269" t="s">
        <v>9195</v>
      </c>
      <c r="E122" s="257" t="s">
        <v>191</v>
      </c>
      <c r="F122" s="257" t="s">
        <v>228</v>
      </c>
      <c r="G122" s="269" t="s">
        <v>8875</v>
      </c>
      <c r="H122" s="257" t="s">
        <v>8872</v>
      </c>
      <c r="I122" s="269" t="s">
        <v>8896</v>
      </c>
      <c r="J122" s="271">
        <v>42000</v>
      </c>
    </row>
    <row r="123" spans="1:15" ht="21.2" customHeight="1" x14ac:dyDescent="0.25">
      <c r="A123" s="269" t="s">
        <v>8979</v>
      </c>
      <c r="B123" s="269" t="s">
        <v>9204</v>
      </c>
      <c r="C123" s="257">
        <v>1.74</v>
      </c>
      <c r="D123" s="269" t="s">
        <v>9197</v>
      </c>
      <c r="E123" s="257" t="s">
        <v>186</v>
      </c>
      <c r="F123" s="257" t="s">
        <v>249</v>
      </c>
      <c r="G123" s="269" t="s">
        <v>8874</v>
      </c>
      <c r="H123" s="257" t="s">
        <v>239</v>
      </c>
      <c r="I123" s="269" t="s">
        <v>8910</v>
      </c>
      <c r="J123" s="271">
        <v>5300</v>
      </c>
    </row>
    <row r="124" spans="1:15" ht="21.2" customHeight="1" x14ac:dyDescent="0.25">
      <c r="A124" s="269" t="s">
        <v>8980</v>
      </c>
      <c r="B124" s="269" t="s">
        <v>9205</v>
      </c>
      <c r="C124" s="257">
        <v>1.45</v>
      </c>
      <c r="D124" s="269" t="s">
        <v>9197</v>
      </c>
      <c r="E124" s="257" t="s">
        <v>186</v>
      </c>
      <c r="F124" s="257" t="s">
        <v>249</v>
      </c>
      <c r="G124" s="269" t="s">
        <v>8874</v>
      </c>
      <c r="H124" s="257" t="s">
        <v>239</v>
      </c>
      <c r="I124" s="269" t="s">
        <v>8910</v>
      </c>
      <c r="J124" s="271">
        <v>5060</v>
      </c>
    </row>
    <row r="125" spans="1:15" ht="21.2" customHeight="1" x14ac:dyDescent="0.25">
      <c r="A125" s="269" t="s">
        <v>8981</v>
      </c>
      <c r="B125" s="269" t="s">
        <v>9207</v>
      </c>
      <c r="C125" s="257">
        <v>1.5</v>
      </c>
      <c r="D125" s="269" t="s">
        <v>9197</v>
      </c>
      <c r="E125" s="257" t="s">
        <v>186</v>
      </c>
      <c r="F125" s="257" t="s">
        <v>249</v>
      </c>
      <c r="G125" s="269" t="s">
        <v>8874</v>
      </c>
      <c r="H125" s="257" t="s">
        <v>237</v>
      </c>
      <c r="I125" s="269" t="s">
        <v>8910</v>
      </c>
      <c r="J125" s="271">
        <v>4900</v>
      </c>
    </row>
    <row r="126" spans="1:15" ht="21.2" customHeight="1" x14ac:dyDescent="0.25">
      <c r="A126" s="269" t="s">
        <v>8982</v>
      </c>
      <c r="B126" s="269" t="s">
        <v>9204</v>
      </c>
      <c r="C126" s="257">
        <v>1.37</v>
      </c>
      <c r="D126" s="269" t="s">
        <v>9197</v>
      </c>
      <c r="E126" s="257" t="s">
        <v>186</v>
      </c>
      <c r="F126" s="257" t="s">
        <v>249</v>
      </c>
      <c r="G126" s="269" t="s">
        <v>8874</v>
      </c>
      <c r="H126" s="257" t="s">
        <v>239</v>
      </c>
      <c r="I126" s="269" t="s">
        <v>8910</v>
      </c>
      <c r="J126" s="271">
        <v>4800</v>
      </c>
    </row>
    <row r="127" spans="1:15" ht="21.2" customHeight="1" x14ac:dyDescent="0.25">
      <c r="A127" s="269" t="s">
        <v>8983</v>
      </c>
      <c r="B127" s="269" t="s">
        <v>9233</v>
      </c>
      <c r="C127" s="257">
        <v>1.1299999999999999</v>
      </c>
      <c r="D127" s="269" t="s">
        <v>9197</v>
      </c>
      <c r="E127" s="257" t="s">
        <v>186</v>
      </c>
      <c r="F127" s="257" t="s">
        <v>249</v>
      </c>
      <c r="G127" s="269" t="s">
        <v>8874</v>
      </c>
      <c r="H127" s="257" t="s">
        <v>239</v>
      </c>
      <c r="I127" s="269" t="s">
        <v>8910</v>
      </c>
      <c r="J127" s="271">
        <v>4400</v>
      </c>
    </row>
    <row r="128" spans="1:15" ht="21.2" customHeight="1" x14ac:dyDescent="0.25">
      <c r="A128" s="269" t="s">
        <v>8985</v>
      </c>
      <c r="B128" s="269" t="s">
        <v>9205</v>
      </c>
      <c r="C128" s="257">
        <v>1.03</v>
      </c>
      <c r="D128" s="269" t="s">
        <v>9197</v>
      </c>
      <c r="E128" s="257" t="s">
        <v>186</v>
      </c>
      <c r="F128" s="257" t="s">
        <v>249</v>
      </c>
      <c r="G128" s="269" t="s">
        <v>8874</v>
      </c>
      <c r="H128" s="257" t="s">
        <v>239</v>
      </c>
      <c r="I128" s="269" t="s">
        <v>8910</v>
      </c>
      <c r="J128" s="271">
        <v>4060</v>
      </c>
    </row>
    <row r="129" spans="1:10" ht="21.2" customHeight="1" x14ac:dyDescent="0.25">
      <c r="A129" s="269" t="s">
        <v>8986</v>
      </c>
      <c r="B129" s="269" t="s">
        <v>9192</v>
      </c>
      <c r="C129" s="257">
        <v>13.37</v>
      </c>
      <c r="D129" s="269" t="s">
        <v>9195</v>
      </c>
      <c r="E129" s="257" t="s">
        <v>191</v>
      </c>
      <c r="F129" s="257" t="s">
        <v>228</v>
      </c>
      <c r="G129" s="269" t="s">
        <v>8875</v>
      </c>
      <c r="H129" s="257"/>
      <c r="I129" s="269" t="s">
        <v>8896</v>
      </c>
      <c r="J129" s="271">
        <v>15150</v>
      </c>
    </row>
    <row r="130" spans="1:10" ht="45" x14ac:dyDescent="0.25">
      <c r="A130" s="271" t="s">
        <v>1516</v>
      </c>
      <c r="B130" s="270" t="s">
        <v>9210</v>
      </c>
      <c r="C130" s="274">
        <f>19.73-C131</f>
        <v>8.5</v>
      </c>
      <c r="D130" s="271" t="s">
        <v>9197</v>
      </c>
      <c r="E130" s="274" t="s">
        <v>177</v>
      </c>
      <c r="F130" s="274" t="s">
        <v>253</v>
      </c>
      <c r="G130" s="271" t="s">
        <v>8875</v>
      </c>
      <c r="H130" s="274"/>
      <c r="I130" s="270" t="s">
        <v>9211</v>
      </c>
      <c r="J130" s="271">
        <v>19410</v>
      </c>
    </row>
    <row r="131" spans="1:10" ht="33.75" x14ac:dyDescent="0.25">
      <c r="A131" s="271" t="s">
        <v>1516</v>
      </c>
      <c r="B131" s="270" t="s">
        <v>9212</v>
      </c>
      <c r="C131" s="274">
        <f>2*3*1.2+2.6*1.55</f>
        <v>11.23</v>
      </c>
      <c r="D131" s="270" t="s">
        <v>9197</v>
      </c>
      <c r="E131" s="275" t="s">
        <v>177</v>
      </c>
      <c r="F131" s="274" t="s">
        <v>8871</v>
      </c>
      <c r="G131" s="271" t="s">
        <v>8875</v>
      </c>
      <c r="H131" s="274"/>
      <c r="I131" s="270" t="s">
        <v>9213</v>
      </c>
      <c r="J131" s="271" t="s">
        <v>9214</v>
      </c>
    </row>
    <row r="132" spans="1:10" ht="21.2" customHeight="1" x14ac:dyDescent="0.25">
      <c r="A132" s="269" t="s">
        <v>8987</v>
      </c>
      <c r="B132" s="269" t="s">
        <v>9218</v>
      </c>
      <c r="C132" s="257">
        <v>4.1100000000000003</v>
      </c>
      <c r="D132" s="269"/>
      <c r="E132" s="257"/>
      <c r="F132" s="257" t="s">
        <v>8871</v>
      </c>
      <c r="G132" s="269" t="s">
        <v>8871</v>
      </c>
      <c r="H132" s="257"/>
      <c r="I132" s="269"/>
      <c r="J132" s="271">
        <v>8340</v>
      </c>
    </row>
    <row r="133" spans="1:10" ht="21.2" customHeight="1" x14ac:dyDescent="0.25">
      <c r="A133" s="269" t="s">
        <v>8988</v>
      </c>
      <c r="B133" s="269" t="s">
        <v>9228</v>
      </c>
      <c r="C133" s="257">
        <v>9.89</v>
      </c>
      <c r="D133" s="269" t="s">
        <v>9195</v>
      </c>
      <c r="E133" s="257" t="s">
        <v>197</v>
      </c>
      <c r="F133" s="257" t="s">
        <v>265</v>
      </c>
      <c r="G133" s="269" t="s">
        <v>8875</v>
      </c>
      <c r="H133" s="257"/>
      <c r="I133" s="269" t="s">
        <v>8896</v>
      </c>
      <c r="J133" s="271">
        <v>12650</v>
      </c>
    </row>
    <row r="134" spans="1:10" ht="21.2" customHeight="1" x14ac:dyDescent="0.25">
      <c r="A134" s="269" t="s">
        <v>8989</v>
      </c>
      <c r="B134" s="269" t="s">
        <v>9234</v>
      </c>
      <c r="C134" s="257">
        <v>18.63</v>
      </c>
      <c r="D134" s="269" t="s">
        <v>9195</v>
      </c>
      <c r="E134" s="257" t="s">
        <v>197</v>
      </c>
      <c r="F134" s="257" t="s">
        <v>247</v>
      </c>
      <c r="G134" s="269" t="s">
        <v>8875</v>
      </c>
      <c r="H134" s="257"/>
      <c r="I134" s="269" t="s">
        <v>8896</v>
      </c>
      <c r="J134" s="271">
        <v>18560</v>
      </c>
    </row>
    <row r="135" spans="1:10" ht="21.2" customHeight="1" x14ac:dyDescent="0.25">
      <c r="A135" s="269" t="s">
        <v>8991</v>
      </c>
      <c r="B135" s="269" t="s">
        <v>9229</v>
      </c>
      <c r="C135" s="257">
        <v>13.01</v>
      </c>
      <c r="D135" s="269" t="s">
        <v>9195</v>
      </c>
      <c r="E135" s="257" t="s">
        <v>197</v>
      </c>
      <c r="F135" s="257" t="s">
        <v>247</v>
      </c>
      <c r="G135" s="269" t="s">
        <v>8875</v>
      </c>
      <c r="H135" s="257"/>
      <c r="I135" s="269" t="s">
        <v>8896</v>
      </c>
      <c r="J135" s="271">
        <v>15000</v>
      </c>
    </row>
    <row r="136" spans="1:10" ht="21.2" customHeight="1" x14ac:dyDescent="0.25">
      <c r="A136" s="269" t="s">
        <v>8992</v>
      </c>
      <c r="B136" s="269" t="s">
        <v>9235</v>
      </c>
      <c r="C136" s="257">
        <v>6.55</v>
      </c>
      <c r="D136" s="269" t="s">
        <v>9197</v>
      </c>
      <c r="E136" s="257" t="s">
        <v>182</v>
      </c>
      <c r="F136" s="257" t="s">
        <v>249</v>
      </c>
      <c r="G136" s="269" t="s">
        <v>8874</v>
      </c>
      <c r="H136" s="257" t="s">
        <v>237</v>
      </c>
      <c r="I136" s="269" t="s">
        <v>8994</v>
      </c>
      <c r="J136" s="271">
        <v>10860</v>
      </c>
    </row>
    <row r="137" spans="1:10" ht="21.2" customHeight="1" x14ac:dyDescent="0.25">
      <c r="A137" s="269" t="s">
        <v>8995</v>
      </c>
      <c r="B137" s="269" t="s">
        <v>9228</v>
      </c>
      <c r="C137" s="257">
        <v>4.6100000000000003</v>
      </c>
      <c r="D137" s="269" t="s">
        <v>9195</v>
      </c>
      <c r="E137" s="257" t="s">
        <v>197</v>
      </c>
      <c r="F137" s="257" t="s">
        <v>265</v>
      </c>
      <c r="G137" s="269" t="s">
        <v>8875</v>
      </c>
      <c r="H137" s="257"/>
      <c r="I137" s="269" t="s">
        <v>8896</v>
      </c>
      <c r="J137" s="271">
        <v>9260</v>
      </c>
    </row>
    <row r="138" spans="1:10" ht="21.2" customHeight="1" x14ac:dyDescent="0.25">
      <c r="A138" s="269" t="s">
        <v>8996</v>
      </c>
      <c r="B138" s="269" t="s">
        <v>9229</v>
      </c>
      <c r="C138" s="257">
        <v>13.28</v>
      </c>
      <c r="D138" s="269" t="s">
        <v>9195</v>
      </c>
      <c r="E138" s="257" t="s">
        <v>197</v>
      </c>
      <c r="F138" s="257" t="s">
        <v>247</v>
      </c>
      <c r="G138" s="269" t="s">
        <v>8875</v>
      </c>
      <c r="H138" s="257"/>
      <c r="I138" s="269" t="s">
        <v>8896</v>
      </c>
      <c r="J138" s="271">
        <v>15200</v>
      </c>
    </row>
    <row r="139" spans="1:10" ht="21.2" customHeight="1" x14ac:dyDescent="0.25">
      <c r="A139" s="269" t="s">
        <v>8997</v>
      </c>
      <c r="B139" s="269" t="s">
        <v>9229</v>
      </c>
      <c r="C139" s="257">
        <v>13.28</v>
      </c>
      <c r="D139" s="269" t="s">
        <v>9195</v>
      </c>
      <c r="E139" s="257" t="s">
        <v>197</v>
      </c>
      <c r="F139" s="257" t="s">
        <v>247</v>
      </c>
      <c r="G139" s="269" t="s">
        <v>8875</v>
      </c>
      <c r="H139" s="257"/>
      <c r="I139" s="269" t="s">
        <v>8896</v>
      </c>
      <c r="J139" s="271">
        <v>15200</v>
      </c>
    </row>
    <row r="140" spans="1:10" ht="21.2" customHeight="1" x14ac:dyDescent="0.25">
      <c r="A140" s="269" t="s">
        <v>8998</v>
      </c>
      <c r="B140" s="269" t="s">
        <v>9216</v>
      </c>
      <c r="C140" s="257">
        <v>2.2400000000000002</v>
      </c>
      <c r="D140" s="269" t="s">
        <v>9197</v>
      </c>
      <c r="E140" s="257" t="s">
        <v>182</v>
      </c>
      <c r="F140" s="257" t="s">
        <v>249</v>
      </c>
      <c r="G140" s="269" t="s">
        <v>8874</v>
      </c>
      <c r="H140" s="257" t="s">
        <v>237</v>
      </c>
      <c r="I140" s="269" t="s">
        <v>8994</v>
      </c>
      <c r="J140" s="271">
        <v>6260</v>
      </c>
    </row>
    <row r="141" spans="1:10" ht="21.2" customHeight="1" x14ac:dyDescent="0.25">
      <c r="A141" s="269" t="s">
        <v>8999</v>
      </c>
      <c r="B141" s="269" t="s">
        <v>9205</v>
      </c>
      <c r="C141" s="257">
        <v>1.1399999999999999</v>
      </c>
      <c r="D141" s="269" t="s">
        <v>9197</v>
      </c>
      <c r="E141" s="257" t="s">
        <v>182</v>
      </c>
      <c r="F141" s="257" t="s">
        <v>249</v>
      </c>
      <c r="G141" s="269" t="s">
        <v>8874</v>
      </c>
      <c r="H141" s="257" t="s">
        <v>237</v>
      </c>
      <c r="I141" s="269" t="s">
        <v>8994</v>
      </c>
      <c r="J141" s="271">
        <v>4340</v>
      </c>
    </row>
    <row r="142" spans="1:10" ht="21.2" customHeight="1" x14ac:dyDescent="0.25">
      <c r="A142" s="269" t="s">
        <v>9000</v>
      </c>
      <c r="B142" s="269" t="s">
        <v>9228</v>
      </c>
      <c r="C142" s="257">
        <v>4.18</v>
      </c>
      <c r="D142" s="269" t="s">
        <v>9195</v>
      </c>
      <c r="E142" s="257" t="s">
        <v>197</v>
      </c>
      <c r="F142" s="257" t="s">
        <v>265</v>
      </c>
      <c r="G142" s="269" t="s">
        <v>8875</v>
      </c>
      <c r="H142" s="257"/>
      <c r="I142" s="269" t="s">
        <v>8896</v>
      </c>
      <c r="J142" s="271">
        <v>8660</v>
      </c>
    </row>
    <row r="143" spans="1:10" ht="21.2" customHeight="1" x14ac:dyDescent="0.25">
      <c r="A143" s="269" t="s">
        <v>9001</v>
      </c>
      <c r="B143" s="269" t="s">
        <v>9229</v>
      </c>
      <c r="C143" s="257">
        <v>13.28</v>
      </c>
      <c r="D143" s="269" t="s">
        <v>9195</v>
      </c>
      <c r="E143" s="257" t="s">
        <v>197</v>
      </c>
      <c r="F143" s="257" t="s">
        <v>247</v>
      </c>
      <c r="G143" s="269" t="s">
        <v>8875</v>
      </c>
      <c r="H143" s="257"/>
      <c r="I143" s="269" t="s">
        <v>8896</v>
      </c>
      <c r="J143" s="271">
        <v>15200</v>
      </c>
    </row>
    <row r="144" spans="1:10" ht="21.2" customHeight="1" x14ac:dyDescent="0.25">
      <c r="A144" s="269" t="s">
        <v>9002</v>
      </c>
      <c r="B144" s="269" t="s">
        <v>9229</v>
      </c>
      <c r="C144" s="257">
        <v>13.28</v>
      </c>
      <c r="D144" s="269" t="s">
        <v>9195</v>
      </c>
      <c r="E144" s="257" t="s">
        <v>197</v>
      </c>
      <c r="F144" s="257" t="s">
        <v>247</v>
      </c>
      <c r="G144" s="269" t="s">
        <v>8875</v>
      </c>
      <c r="H144" s="257"/>
      <c r="I144" s="269" t="s">
        <v>8896</v>
      </c>
      <c r="J144" s="271">
        <v>15200</v>
      </c>
    </row>
    <row r="145" spans="1:10" ht="21.2" customHeight="1" x14ac:dyDescent="0.25">
      <c r="A145" s="269" t="s">
        <v>9003</v>
      </c>
      <c r="B145" s="269" t="s">
        <v>9216</v>
      </c>
      <c r="C145" s="257">
        <v>2.2400000000000002</v>
      </c>
      <c r="D145" s="269" t="s">
        <v>9197</v>
      </c>
      <c r="E145" s="257" t="s">
        <v>182</v>
      </c>
      <c r="F145" s="257" t="s">
        <v>249</v>
      </c>
      <c r="G145" s="269" t="s">
        <v>8874</v>
      </c>
      <c r="H145" s="257" t="s">
        <v>237</v>
      </c>
      <c r="I145" s="269" t="s">
        <v>8994</v>
      </c>
      <c r="J145" s="271">
        <v>6260</v>
      </c>
    </row>
    <row r="146" spans="1:10" ht="21.2" customHeight="1" x14ac:dyDescent="0.25">
      <c r="A146" s="269" t="s">
        <v>9004</v>
      </c>
      <c r="B146" s="269" t="s">
        <v>9205</v>
      </c>
      <c r="C146" s="257">
        <v>1.1399999999999999</v>
      </c>
      <c r="D146" s="269" t="s">
        <v>9197</v>
      </c>
      <c r="E146" s="257" t="s">
        <v>182</v>
      </c>
      <c r="F146" s="257" t="s">
        <v>249</v>
      </c>
      <c r="G146" s="269" t="s">
        <v>8874</v>
      </c>
      <c r="H146" s="257" t="s">
        <v>237</v>
      </c>
      <c r="I146" s="269" t="s">
        <v>8994</v>
      </c>
      <c r="J146" s="271">
        <v>4340</v>
      </c>
    </row>
    <row r="147" spans="1:10" ht="21.2" customHeight="1" x14ac:dyDescent="0.25">
      <c r="A147" s="269" t="s">
        <v>9005</v>
      </c>
      <c r="B147" s="269" t="s">
        <v>9228</v>
      </c>
      <c r="C147" s="257">
        <v>4.18</v>
      </c>
      <c r="D147" s="269" t="s">
        <v>9195</v>
      </c>
      <c r="E147" s="257" t="s">
        <v>197</v>
      </c>
      <c r="F147" s="257" t="s">
        <v>265</v>
      </c>
      <c r="G147" s="269" t="s">
        <v>8875</v>
      </c>
      <c r="H147" s="257"/>
      <c r="I147" s="269" t="s">
        <v>8896</v>
      </c>
      <c r="J147" s="271">
        <v>8660</v>
      </c>
    </row>
    <row r="148" spans="1:10" ht="21.2" customHeight="1" x14ac:dyDescent="0.25">
      <c r="A148" s="269" t="s">
        <v>9006</v>
      </c>
      <c r="B148" s="269" t="s">
        <v>9229</v>
      </c>
      <c r="C148" s="257">
        <v>13.34</v>
      </c>
      <c r="D148" s="269" t="s">
        <v>9195</v>
      </c>
      <c r="E148" s="257" t="s">
        <v>197</v>
      </c>
      <c r="F148" s="257" t="s">
        <v>247</v>
      </c>
      <c r="G148" s="269" t="s">
        <v>8875</v>
      </c>
      <c r="H148" s="257"/>
      <c r="I148" s="269" t="s">
        <v>8896</v>
      </c>
      <c r="J148" s="271">
        <v>15200</v>
      </c>
    </row>
    <row r="149" spans="1:10" ht="21.2" customHeight="1" x14ac:dyDescent="0.25">
      <c r="A149" s="269" t="s">
        <v>9007</v>
      </c>
      <c r="B149" s="269" t="s">
        <v>9229</v>
      </c>
      <c r="C149" s="257">
        <v>13.28</v>
      </c>
      <c r="D149" s="269" t="s">
        <v>9195</v>
      </c>
      <c r="E149" s="257" t="s">
        <v>197</v>
      </c>
      <c r="F149" s="257" t="s">
        <v>247</v>
      </c>
      <c r="G149" s="269" t="s">
        <v>8875</v>
      </c>
      <c r="H149" s="257"/>
      <c r="I149" s="269" t="s">
        <v>8896</v>
      </c>
      <c r="J149" s="271">
        <v>15200</v>
      </c>
    </row>
    <row r="150" spans="1:10" ht="21.2" customHeight="1" x14ac:dyDescent="0.25">
      <c r="A150" s="269" t="s">
        <v>9008</v>
      </c>
      <c r="B150" s="269" t="s">
        <v>9216</v>
      </c>
      <c r="C150" s="257">
        <v>2.2400000000000002</v>
      </c>
      <c r="D150" s="269" t="s">
        <v>9197</v>
      </c>
      <c r="E150" s="257" t="s">
        <v>182</v>
      </c>
      <c r="F150" s="257" t="s">
        <v>249</v>
      </c>
      <c r="G150" s="269" t="s">
        <v>8874</v>
      </c>
      <c r="H150" s="257" t="s">
        <v>237</v>
      </c>
      <c r="I150" s="269" t="s">
        <v>8994</v>
      </c>
      <c r="J150" s="271">
        <v>6260</v>
      </c>
    </row>
    <row r="151" spans="1:10" ht="21.2" customHeight="1" x14ac:dyDescent="0.25">
      <c r="A151" s="269" t="s">
        <v>9009</v>
      </c>
      <c r="B151" s="269" t="s">
        <v>9205</v>
      </c>
      <c r="C151" s="257">
        <v>1.1399999999999999</v>
      </c>
      <c r="D151" s="269" t="s">
        <v>9197</v>
      </c>
      <c r="E151" s="257" t="s">
        <v>182</v>
      </c>
      <c r="F151" s="257" t="s">
        <v>249</v>
      </c>
      <c r="G151" s="269" t="s">
        <v>8874</v>
      </c>
      <c r="H151" s="257" t="s">
        <v>237</v>
      </c>
      <c r="I151" s="269" t="s">
        <v>8994</v>
      </c>
      <c r="J151" s="271">
        <v>4340</v>
      </c>
    </row>
    <row r="152" spans="1:10" ht="21.2" customHeight="1" x14ac:dyDescent="0.25">
      <c r="A152" s="269" t="s">
        <v>9010</v>
      </c>
      <c r="B152" s="269" t="s">
        <v>9228</v>
      </c>
      <c r="C152" s="257">
        <v>8.6999999999999993</v>
      </c>
      <c r="D152" s="269" t="s">
        <v>9195</v>
      </c>
      <c r="E152" s="257" t="s">
        <v>197</v>
      </c>
      <c r="F152" s="257" t="s">
        <v>265</v>
      </c>
      <c r="G152" s="269" t="s">
        <v>8875</v>
      </c>
      <c r="H152" s="257"/>
      <c r="I152" s="269" t="s">
        <v>8896</v>
      </c>
      <c r="J152" s="271">
        <v>14900</v>
      </c>
    </row>
    <row r="153" spans="1:10" ht="21.2" customHeight="1" x14ac:dyDescent="0.25">
      <c r="A153" s="269" t="s">
        <v>9011</v>
      </c>
      <c r="B153" s="269" t="s">
        <v>9229</v>
      </c>
      <c r="C153" s="257">
        <v>13.28</v>
      </c>
      <c r="D153" s="269" t="s">
        <v>9195</v>
      </c>
      <c r="E153" s="257" t="s">
        <v>197</v>
      </c>
      <c r="F153" s="257" t="s">
        <v>247</v>
      </c>
      <c r="G153" s="269" t="s">
        <v>8875</v>
      </c>
      <c r="H153" s="257"/>
      <c r="I153" s="269" t="s">
        <v>8896</v>
      </c>
      <c r="J153" s="271">
        <v>15200</v>
      </c>
    </row>
    <row r="154" spans="1:10" ht="21.2" customHeight="1" x14ac:dyDescent="0.25">
      <c r="A154" s="269" t="s">
        <v>9012</v>
      </c>
      <c r="B154" s="269" t="s">
        <v>9229</v>
      </c>
      <c r="C154" s="257">
        <v>13.28</v>
      </c>
      <c r="D154" s="269" t="s">
        <v>9195</v>
      </c>
      <c r="E154" s="257" t="s">
        <v>197</v>
      </c>
      <c r="F154" s="257" t="s">
        <v>247</v>
      </c>
      <c r="G154" s="269" t="s">
        <v>8875</v>
      </c>
      <c r="H154" s="257"/>
      <c r="I154" s="269" t="s">
        <v>8896</v>
      </c>
      <c r="J154" s="271">
        <v>15200</v>
      </c>
    </row>
    <row r="155" spans="1:10" ht="21.2" customHeight="1" x14ac:dyDescent="0.25">
      <c r="A155" s="269" t="s">
        <v>9013</v>
      </c>
      <c r="B155" s="269" t="s">
        <v>9229</v>
      </c>
      <c r="C155" s="257">
        <v>13.28</v>
      </c>
      <c r="D155" s="269" t="s">
        <v>9195</v>
      </c>
      <c r="E155" s="257" t="s">
        <v>197</v>
      </c>
      <c r="F155" s="257" t="s">
        <v>247</v>
      </c>
      <c r="G155" s="269" t="s">
        <v>8875</v>
      </c>
      <c r="H155" s="257"/>
      <c r="I155" s="269" t="s">
        <v>8896</v>
      </c>
      <c r="J155" s="271">
        <v>15200</v>
      </c>
    </row>
    <row r="156" spans="1:10" ht="21.2" customHeight="1" x14ac:dyDescent="0.25">
      <c r="A156" s="269" t="s">
        <v>9014</v>
      </c>
      <c r="B156" s="269" t="s">
        <v>9205</v>
      </c>
      <c r="C156" s="257">
        <v>1.1399999999999999</v>
      </c>
      <c r="D156" s="269" t="s">
        <v>9197</v>
      </c>
      <c r="E156" s="257" t="s">
        <v>182</v>
      </c>
      <c r="F156" s="257" t="s">
        <v>249</v>
      </c>
      <c r="G156" s="269" t="s">
        <v>8874</v>
      </c>
      <c r="H156" s="257" t="s">
        <v>237</v>
      </c>
      <c r="I156" s="269" t="s">
        <v>8994</v>
      </c>
      <c r="J156" s="271">
        <v>4340</v>
      </c>
    </row>
    <row r="157" spans="1:10" ht="21.2" customHeight="1" x14ac:dyDescent="0.25">
      <c r="A157" s="269" t="s">
        <v>9015</v>
      </c>
      <c r="B157" s="269" t="s">
        <v>9216</v>
      </c>
      <c r="C157" s="257">
        <v>2.13</v>
      </c>
      <c r="D157" s="269" t="s">
        <v>9197</v>
      </c>
      <c r="E157" s="257" t="s">
        <v>182</v>
      </c>
      <c r="F157" s="257" t="s">
        <v>249</v>
      </c>
      <c r="G157" s="269" t="s">
        <v>8874</v>
      </c>
      <c r="H157" s="257" t="s">
        <v>237</v>
      </c>
      <c r="I157" s="269" t="s">
        <v>9016</v>
      </c>
      <c r="J157" s="271">
        <v>5890</v>
      </c>
    </row>
    <row r="158" spans="1:10" ht="21.2" customHeight="1" x14ac:dyDescent="0.25">
      <c r="A158" s="269" t="s">
        <v>9017</v>
      </c>
      <c r="B158" s="269" t="s">
        <v>9228</v>
      </c>
      <c r="C158" s="257">
        <v>4.72</v>
      </c>
      <c r="D158" s="269" t="s">
        <v>9195</v>
      </c>
      <c r="E158" s="257" t="s">
        <v>197</v>
      </c>
      <c r="F158" s="257" t="s">
        <v>265</v>
      </c>
      <c r="G158" s="269" t="s">
        <v>8875</v>
      </c>
      <c r="H158" s="257"/>
      <c r="I158" s="269" t="s">
        <v>8896</v>
      </c>
      <c r="J158" s="271">
        <v>9410</v>
      </c>
    </row>
    <row r="159" spans="1:10" ht="21.2" customHeight="1" x14ac:dyDescent="0.25">
      <c r="A159" s="269" t="s">
        <v>9018</v>
      </c>
      <c r="B159" s="269" t="s">
        <v>9229</v>
      </c>
      <c r="C159" s="257">
        <v>15.71</v>
      </c>
      <c r="D159" s="269" t="s">
        <v>9195</v>
      </c>
      <c r="E159" s="257" t="s">
        <v>197</v>
      </c>
      <c r="F159" s="257" t="s">
        <v>247</v>
      </c>
      <c r="G159" s="269" t="s">
        <v>8875</v>
      </c>
      <c r="H159" s="257"/>
      <c r="I159" s="269" t="s">
        <v>8896</v>
      </c>
      <c r="J159" s="271">
        <v>16400</v>
      </c>
    </row>
    <row r="160" spans="1:10" ht="21.2" customHeight="1" x14ac:dyDescent="0.25">
      <c r="A160" s="269" t="s">
        <v>9019</v>
      </c>
      <c r="B160" s="269" t="s">
        <v>9229</v>
      </c>
      <c r="C160" s="257">
        <v>13.28</v>
      </c>
      <c r="D160" s="269" t="s">
        <v>9195</v>
      </c>
      <c r="E160" s="257" t="s">
        <v>197</v>
      </c>
      <c r="F160" s="257" t="s">
        <v>247</v>
      </c>
      <c r="G160" s="269" t="s">
        <v>8875</v>
      </c>
      <c r="H160" s="257"/>
      <c r="I160" s="269" t="s">
        <v>8896</v>
      </c>
      <c r="J160" s="271">
        <v>15200</v>
      </c>
    </row>
    <row r="161" spans="1:15" ht="21.2" customHeight="1" x14ac:dyDescent="0.25">
      <c r="A161" s="269" t="s">
        <v>9020</v>
      </c>
      <c r="B161" s="269" t="s">
        <v>9216</v>
      </c>
      <c r="C161" s="257">
        <v>2.11</v>
      </c>
      <c r="D161" s="269" t="s">
        <v>9197</v>
      </c>
      <c r="E161" s="257" t="s">
        <v>182</v>
      </c>
      <c r="F161" s="257" t="s">
        <v>249</v>
      </c>
      <c r="G161" s="269" t="s">
        <v>8874</v>
      </c>
      <c r="H161" s="257" t="s">
        <v>237</v>
      </c>
      <c r="I161" s="269" t="s">
        <v>9016</v>
      </c>
      <c r="J161" s="271">
        <v>6260</v>
      </c>
    </row>
    <row r="162" spans="1:15" ht="21.2" customHeight="1" x14ac:dyDescent="0.25">
      <c r="A162" s="269" t="s">
        <v>9021</v>
      </c>
      <c r="B162" s="269" t="s">
        <v>9205</v>
      </c>
      <c r="C162" s="257">
        <v>1.1399999999999999</v>
      </c>
      <c r="D162" s="269" t="s">
        <v>9197</v>
      </c>
      <c r="E162" s="257" t="s">
        <v>182</v>
      </c>
      <c r="F162" s="257" t="s">
        <v>249</v>
      </c>
      <c r="G162" s="269" t="s">
        <v>8874</v>
      </c>
      <c r="H162" s="257" t="s">
        <v>237</v>
      </c>
      <c r="I162" s="269" t="s">
        <v>9016</v>
      </c>
      <c r="J162" s="271">
        <v>4340</v>
      </c>
    </row>
    <row r="163" spans="1:15" ht="21.2" customHeight="1" x14ac:dyDescent="0.25">
      <c r="A163" s="269" t="s">
        <v>9022</v>
      </c>
      <c r="B163" s="269" t="s">
        <v>9228</v>
      </c>
      <c r="C163" s="257">
        <v>4.47</v>
      </c>
      <c r="D163" s="269" t="s">
        <v>9195</v>
      </c>
      <c r="E163" s="257" t="s">
        <v>197</v>
      </c>
      <c r="F163" s="257" t="s">
        <v>265</v>
      </c>
      <c r="G163" s="269" t="s">
        <v>8875</v>
      </c>
      <c r="H163" s="257"/>
      <c r="I163" s="269" t="s">
        <v>8896</v>
      </c>
      <c r="J163" s="271">
        <v>9750</v>
      </c>
    </row>
    <row r="164" spans="1:15" ht="21.2" customHeight="1" x14ac:dyDescent="0.25">
      <c r="A164" s="269" t="s">
        <v>9023</v>
      </c>
      <c r="B164" s="269" t="s">
        <v>9229</v>
      </c>
      <c r="C164" s="257">
        <v>13.28</v>
      </c>
      <c r="D164" s="269" t="s">
        <v>9195</v>
      </c>
      <c r="E164" s="257" t="s">
        <v>197</v>
      </c>
      <c r="F164" s="257" t="s">
        <v>247</v>
      </c>
      <c r="G164" s="269" t="s">
        <v>8875</v>
      </c>
      <c r="H164" s="257"/>
      <c r="I164" s="269" t="s">
        <v>8896</v>
      </c>
      <c r="J164" s="271">
        <v>15200</v>
      </c>
    </row>
    <row r="165" spans="1:15" ht="21.2" customHeight="1" x14ac:dyDescent="0.25">
      <c r="A165" s="269" t="s">
        <v>9024</v>
      </c>
      <c r="B165" s="269" t="s">
        <v>9229</v>
      </c>
      <c r="C165" s="257">
        <v>12.44</v>
      </c>
      <c r="D165" s="269" t="s">
        <v>9195</v>
      </c>
      <c r="E165" s="257" t="s">
        <v>197</v>
      </c>
      <c r="F165" s="257" t="s">
        <v>247</v>
      </c>
      <c r="G165" s="269" t="s">
        <v>8875</v>
      </c>
      <c r="H165" s="257"/>
      <c r="I165" s="269" t="s">
        <v>8896</v>
      </c>
      <c r="J165" s="271">
        <v>14650</v>
      </c>
    </row>
    <row r="166" spans="1:15" ht="21.2" customHeight="1" x14ac:dyDescent="0.25">
      <c r="A166" s="269" t="s">
        <v>9025</v>
      </c>
      <c r="B166" s="269" t="s">
        <v>9216</v>
      </c>
      <c r="C166" s="257">
        <v>2.2400000000000002</v>
      </c>
      <c r="D166" s="269" t="s">
        <v>9197</v>
      </c>
      <c r="E166" s="257" t="s">
        <v>182</v>
      </c>
      <c r="F166" s="257" t="s">
        <v>249</v>
      </c>
      <c r="G166" s="269" t="s">
        <v>8874</v>
      </c>
      <c r="H166" s="257" t="s">
        <v>237</v>
      </c>
      <c r="I166" s="269" t="s">
        <v>9016</v>
      </c>
      <c r="J166" s="271">
        <v>6260</v>
      </c>
    </row>
    <row r="167" spans="1:15" ht="21.2" customHeight="1" x14ac:dyDescent="0.25">
      <c r="A167" s="269" t="s">
        <v>9026</v>
      </c>
      <c r="B167" s="269" t="s">
        <v>9205</v>
      </c>
      <c r="C167" s="257">
        <v>1.35</v>
      </c>
      <c r="D167" s="269" t="s">
        <v>9197</v>
      </c>
      <c r="E167" s="257" t="s">
        <v>182</v>
      </c>
      <c r="F167" s="257" t="s">
        <v>249</v>
      </c>
      <c r="G167" s="269" t="s">
        <v>8874</v>
      </c>
      <c r="H167" s="257" t="s">
        <v>237</v>
      </c>
      <c r="I167" s="269" t="s">
        <v>9016</v>
      </c>
      <c r="J167" s="271">
        <v>4710</v>
      </c>
    </row>
    <row r="168" spans="1:15" ht="21.2" customHeight="1" x14ac:dyDescent="0.25">
      <c r="A168" s="269" t="s">
        <v>9027</v>
      </c>
      <c r="B168" s="269" t="s">
        <v>9228</v>
      </c>
      <c r="C168" s="257">
        <v>10.56</v>
      </c>
      <c r="D168" s="269" t="s">
        <v>9195</v>
      </c>
      <c r="E168" s="257" t="s">
        <v>197</v>
      </c>
      <c r="F168" s="257" t="s">
        <v>265</v>
      </c>
      <c r="G168" s="269" t="s">
        <v>8875</v>
      </c>
      <c r="H168" s="257"/>
      <c r="I168" s="269" t="s">
        <v>8896</v>
      </c>
      <c r="J168" s="271">
        <v>19100</v>
      </c>
    </row>
    <row r="169" spans="1:15" ht="21.2" customHeight="1" x14ac:dyDescent="0.25">
      <c r="A169" s="269" t="s">
        <v>9028</v>
      </c>
      <c r="B169" s="269" t="s">
        <v>9229</v>
      </c>
      <c r="C169" s="257">
        <v>14.54</v>
      </c>
      <c r="D169" s="269" t="s">
        <v>9195</v>
      </c>
      <c r="E169" s="257" t="s">
        <v>197</v>
      </c>
      <c r="F169" s="257" t="s">
        <v>247</v>
      </c>
      <c r="G169" s="269" t="s">
        <v>8875</v>
      </c>
      <c r="H169" s="257"/>
      <c r="I169" s="269" t="s">
        <v>8896</v>
      </c>
      <c r="J169" s="271">
        <v>15900</v>
      </c>
    </row>
    <row r="170" spans="1:15" ht="21.2" customHeight="1" x14ac:dyDescent="0.25">
      <c r="A170" s="269" t="s">
        <v>9029</v>
      </c>
      <c r="B170" s="269" t="s">
        <v>9229</v>
      </c>
      <c r="C170" s="257">
        <v>12.67</v>
      </c>
      <c r="D170" s="269" t="s">
        <v>9195</v>
      </c>
      <c r="E170" s="257" t="s">
        <v>197</v>
      </c>
      <c r="F170" s="257" t="s">
        <v>247</v>
      </c>
      <c r="G170" s="269" t="s">
        <v>8875</v>
      </c>
      <c r="H170" s="257"/>
      <c r="I170" s="269" t="s">
        <v>8896</v>
      </c>
      <c r="J170" s="271">
        <v>15200</v>
      </c>
    </row>
    <row r="171" spans="1:15" ht="21.2" customHeight="1" x14ac:dyDescent="0.25">
      <c r="A171" s="269" t="s">
        <v>9030</v>
      </c>
      <c r="B171" s="269" t="s">
        <v>9229</v>
      </c>
      <c r="C171" s="257">
        <v>14.3</v>
      </c>
      <c r="D171" s="269" t="s">
        <v>9195</v>
      </c>
      <c r="E171" s="257" t="s">
        <v>197</v>
      </c>
      <c r="F171" s="257" t="s">
        <v>247</v>
      </c>
      <c r="G171" s="269" t="s">
        <v>8875</v>
      </c>
      <c r="H171" s="257"/>
      <c r="I171" s="269" t="s">
        <v>8896</v>
      </c>
      <c r="J171" s="271">
        <v>15800</v>
      </c>
    </row>
    <row r="172" spans="1:15" ht="21.2" customHeight="1" x14ac:dyDescent="0.25">
      <c r="A172" s="269" t="s">
        <v>9031</v>
      </c>
      <c r="B172" s="269" t="s">
        <v>9205</v>
      </c>
      <c r="C172" s="257">
        <v>1.76</v>
      </c>
      <c r="D172" s="269" t="s">
        <v>9197</v>
      </c>
      <c r="E172" s="257" t="s">
        <v>182</v>
      </c>
      <c r="F172" s="257" t="s">
        <v>249</v>
      </c>
      <c r="G172" s="269" t="s">
        <v>8874</v>
      </c>
      <c r="H172" s="257" t="s">
        <v>237</v>
      </c>
      <c r="I172" s="269" t="s">
        <v>9016</v>
      </c>
      <c r="J172" s="271">
        <v>5400</v>
      </c>
    </row>
    <row r="173" spans="1:15" ht="21.2" customHeight="1" x14ac:dyDescent="0.25">
      <c r="A173" s="269" t="s">
        <v>9032</v>
      </c>
      <c r="B173" s="269" t="s">
        <v>9216</v>
      </c>
      <c r="C173" s="257">
        <v>2.4300000000000002</v>
      </c>
      <c r="D173" s="269" t="s">
        <v>9197</v>
      </c>
      <c r="E173" s="257" t="s">
        <v>182</v>
      </c>
      <c r="F173" s="257" t="s">
        <v>249</v>
      </c>
      <c r="G173" s="269" t="s">
        <v>8874</v>
      </c>
      <c r="H173" s="257" t="s">
        <v>237</v>
      </c>
      <c r="I173" s="269" t="s">
        <v>9016</v>
      </c>
      <c r="J173" s="271">
        <v>6450</v>
      </c>
    </row>
    <row r="174" spans="1:15" s="268" customFormat="1" ht="15.75" x14ac:dyDescent="0.25">
      <c r="A174" s="264" t="s">
        <v>368</v>
      </c>
      <c r="B174" s="265"/>
      <c r="C174" s="266">
        <f>SUBTOTAL(9,C175:C236)</f>
        <v>597.97999999999979</v>
      </c>
      <c r="D174" s="267"/>
      <c r="E174" s="267"/>
      <c r="F174" s="267"/>
      <c r="G174" s="266"/>
      <c r="H174" s="266"/>
      <c r="I174" s="266"/>
      <c r="J174" s="266"/>
      <c r="K174" s="240"/>
      <c r="L174" s="240"/>
      <c r="M174" s="240"/>
      <c r="N174" s="240"/>
      <c r="O174" s="240"/>
    </row>
    <row r="175" spans="1:15" ht="45" x14ac:dyDescent="0.25">
      <c r="A175" s="271" t="s">
        <v>1517</v>
      </c>
      <c r="B175" s="270" t="s">
        <v>9210</v>
      </c>
      <c r="C175" s="274">
        <f>34.03-C176</f>
        <v>20.980000000000004</v>
      </c>
      <c r="D175" s="271" t="s">
        <v>9197</v>
      </c>
      <c r="E175" s="274" t="s">
        <v>177</v>
      </c>
      <c r="F175" s="274" t="s">
        <v>253</v>
      </c>
      <c r="G175" s="271" t="s">
        <v>8875</v>
      </c>
      <c r="H175" s="274"/>
      <c r="I175" s="270" t="s">
        <v>9211</v>
      </c>
      <c r="J175" s="271">
        <v>26200</v>
      </c>
    </row>
    <row r="176" spans="1:15" ht="33.75" x14ac:dyDescent="0.25">
      <c r="A176" s="271" t="s">
        <v>1517</v>
      </c>
      <c r="B176" s="270" t="s">
        <v>9212</v>
      </c>
      <c r="C176" s="274">
        <f>(2*2.1+4.5)*1.5</f>
        <v>13.049999999999999</v>
      </c>
      <c r="D176" s="270" t="s">
        <v>9197</v>
      </c>
      <c r="E176" s="275" t="s">
        <v>177</v>
      </c>
      <c r="F176" s="274" t="s">
        <v>8871</v>
      </c>
      <c r="G176" s="271" t="s">
        <v>8875</v>
      </c>
      <c r="H176" s="274"/>
      <c r="I176" s="270" t="s">
        <v>9213</v>
      </c>
      <c r="J176" s="271" t="s">
        <v>9214</v>
      </c>
    </row>
    <row r="177" spans="1:10" ht="21.2" customHeight="1" x14ac:dyDescent="0.25">
      <c r="A177" s="269" t="s">
        <v>5086</v>
      </c>
      <c r="B177" s="269" t="s">
        <v>9196</v>
      </c>
      <c r="C177" s="257">
        <v>10.86</v>
      </c>
      <c r="D177" s="269" t="s">
        <v>9197</v>
      </c>
      <c r="E177" s="257" t="s">
        <v>177</v>
      </c>
      <c r="F177" s="257" t="s">
        <v>253</v>
      </c>
      <c r="G177" s="269" t="s">
        <v>8875</v>
      </c>
      <c r="H177" s="257"/>
      <c r="I177" s="269" t="s">
        <v>9198</v>
      </c>
      <c r="J177" s="271">
        <v>15400</v>
      </c>
    </row>
    <row r="178" spans="1:10" ht="21.2" customHeight="1" x14ac:dyDescent="0.25">
      <c r="A178" s="269" t="s">
        <v>5085</v>
      </c>
      <c r="B178" s="269" t="s">
        <v>9196</v>
      </c>
      <c r="C178" s="257">
        <v>56.15</v>
      </c>
      <c r="D178" s="269" t="s">
        <v>9197</v>
      </c>
      <c r="E178" s="257" t="s">
        <v>177</v>
      </c>
      <c r="F178" s="257" t="s">
        <v>253</v>
      </c>
      <c r="G178" s="269" t="s">
        <v>8875</v>
      </c>
      <c r="H178" s="257"/>
      <c r="I178" s="269" t="s">
        <v>9198</v>
      </c>
      <c r="J178" s="271">
        <v>72381</v>
      </c>
    </row>
    <row r="179" spans="1:10" ht="21.2" customHeight="1" x14ac:dyDescent="0.25">
      <c r="A179" s="269" t="s">
        <v>9033</v>
      </c>
      <c r="B179" s="269" t="s">
        <v>9207</v>
      </c>
      <c r="C179" s="257">
        <v>2.1800000000000002</v>
      </c>
      <c r="D179" s="269" t="s">
        <v>9197</v>
      </c>
      <c r="E179" s="257" t="s">
        <v>186</v>
      </c>
      <c r="F179" s="257" t="s">
        <v>249</v>
      </c>
      <c r="G179" s="269" t="s">
        <v>8874</v>
      </c>
      <c r="H179" s="257" t="s">
        <v>237</v>
      </c>
      <c r="I179" s="269" t="s">
        <v>9198</v>
      </c>
      <c r="J179" s="271">
        <v>6700</v>
      </c>
    </row>
    <row r="180" spans="1:10" ht="21.2" customHeight="1" x14ac:dyDescent="0.25">
      <c r="A180" s="269" t="s">
        <v>5087</v>
      </c>
      <c r="B180" s="269" t="s">
        <v>9222</v>
      </c>
      <c r="C180" s="257">
        <v>18.54</v>
      </c>
      <c r="D180" s="269" t="s">
        <v>9197</v>
      </c>
      <c r="E180" s="257" t="s">
        <v>177</v>
      </c>
      <c r="F180" s="257" t="s">
        <v>249</v>
      </c>
      <c r="G180" s="269" t="s">
        <v>8874</v>
      </c>
      <c r="H180" s="257" t="s">
        <v>239</v>
      </c>
      <c r="I180" s="269" t="s">
        <v>9231</v>
      </c>
      <c r="J180" s="271">
        <v>20150</v>
      </c>
    </row>
    <row r="181" spans="1:10" ht="21.2" customHeight="1" x14ac:dyDescent="0.25">
      <c r="A181" s="269" t="s">
        <v>5112</v>
      </c>
      <c r="B181" s="269" t="s">
        <v>9188</v>
      </c>
      <c r="C181" s="257">
        <v>7.44</v>
      </c>
      <c r="D181" s="269" t="s">
        <v>9197</v>
      </c>
      <c r="E181" s="257" t="s">
        <v>186</v>
      </c>
      <c r="F181" s="257" t="s">
        <v>249</v>
      </c>
      <c r="G181" s="269" t="s">
        <v>8873</v>
      </c>
      <c r="H181" s="257" t="s">
        <v>8936</v>
      </c>
      <c r="I181" s="269"/>
      <c r="J181" s="271">
        <v>13348</v>
      </c>
    </row>
    <row r="182" spans="1:10" ht="45" x14ac:dyDescent="0.25">
      <c r="A182" s="271" t="s">
        <v>1518</v>
      </c>
      <c r="B182" s="270" t="s">
        <v>9210</v>
      </c>
      <c r="C182" s="274">
        <f>23.78-C183</f>
        <v>12.55</v>
      </c>
      <c r="D182" s="271" t="s">
        <v>9197</v>
      </c>
      <c r="E182" s="274" t="s">
        <v>177</v>
      </c>
      <c r="F182" s="274" t="s">
        <v>253</v>
      </c>
      <c r="G182" s="271" t="s">
        <v>8875</v>
      </c>
      <c r="H182" s="274"/>
      <c r="I182" s="270" t="s">
        <v>9211</v>
      </c>
      <c r="J182" s="271">
        <v>23850</v>
      </c>
    </row>
    <row r="183" spans="1:10" ht="33.75" x14ac:dyDescent="0.25">
      <c r="A183" s="271" t="s">
        <v>1518</v>
      </c>
      <c r="B183" s="270" t="s">
        <v>9212</v>
      </c>
      <c r="C183" s="274">
        <f>2*3*1.2+2.6*1.55</f>
        <v>11.23</v>
      </c>
      <c r="D183" s="270" t="s">
        <v>9197</v>
      </c>
      <c r="E183" s="275" t="s">
        <v>177</v>
      </c>
      <c r="F183" s="274" t="s">
        <v>8871</v>
      </c>
      <c r="G183" s="271" t="s">
        <v>8875</v>
      </c>
      <c r="H183" s="274"/>
      <c r="I183" s="270" t="s">
        <v>9213</v>
      </c>
      <c r="J183" s="271" t="s">
        <v>9214</v>
      </c>
    </row>
    <row r="184" spans="1:10" ht="21.2" customHeight="1" x14ac:dyDescent="0.25">
      <c r="A184" s="269" t="s">
        <v>9034</v>
      </c>
      <c r="B184" s="269" t="s">
        <v>9207</v>
      </c>
      <c r="C184" s="257">
        <v>2.15</v>
      </c>
      <c r="D184" s="269" t="s">
        <v>9197</v>
      </c>
      <c r="E184" s="257" t="s">
        <v>186</v>
      </c>
      <c r="F184" s="257" t="s">
        <v>249</v>
      </c>
      <c r="G184" s="269" t="s">
        <v>8874</v>
      </c>
      <c r="H184" s="257" t="s">
        <v>237</v>
      </c>
      <c r="I184" s="269" t="s">
        <v>8910</v>
      </c>
      <c r="J184" s="271">
        <v>6060</v>
      </c>
    </row>
    <row r="185" spans="1:10" ht="21.2" customHeight="1" x14ac:dyDescent="0.25">
      <c r="A185" s="269" t="s">
        <v>9035</v>
      </c>
      <c r="B185" s="269" t="s">
        <v>9218</v>
      </c>
      <c r="C185" s="257">
        <v>4.1100000000000003</v>
      </c>
      <c r="D185" s="269"/>
      <c r="E185" s="257"/>
      <c r="F185" s="257" t="s">
        <v>8871</v>
      </c>
      <c r="G185" s="269" t="s">
        <v>8871</v>
      </c>
      <c r="H185" s="257"/>
      <c r="I185" s="269" t="s">
        <v>8871</v>
      </c>
      <c r="J185" s="271">
        <v>8340</v>
      </c>
    </row>
    <row r="186" spans="1:10" ht="21.2" customHeight="1" x14ac:dyDescent="0.25">
      <c r="A186" s="269" t="s">
        <v>9036</v>
      </c>
      <c r="B186" s="269" t="s">
        <v>9228</v>
      </c>
      <c r="C186" s="257">
        <v>9.89</v>
      </c>
      <c r="D186" s="269" t="s">
        <v>9195</v>
      </c>
      <c r="E186" s="257" t="s">
        <v>197</v>
      </c>
      <c r="F186" s="257" t="s">
        <v>265</v>
      </c>
      <c r="G186" s="269" t="s">
        <v>8875</v>
      </c>
      <c r="H186" s="257"/>
      <c r="I186" s="269" t="s">
        <v>8896</v>
      </c>
      <c r="J186" s="271">
        <v>12650</v>
      </c>
    </row>
    <row r="187" spans="1:10" ht="21.2" customHeight="1" x14ac:dyDescent="0.25">
      <c r="A187" s="269" t="s">
        <v>9037</v>
      </c>
      <c r="B187" s="269" t="s">
        <v>9234</v>
      </c>
      <c r="C187" s="257">
        <v>18.63</v>
      </c>
      <c r="D187" s="269" t="s">
        <v>9195</v>
      </c>
      <c r="E187" s="257" t="s">
        <v>197</v>
      </c>
      <c r="F187" s="257" t="s">
        <v>247</v>
      </c>
      <c r="G187" s="269" t="s">
        <v>8875</v>
      </c>
      <c r="H187" s="257"/>
      <c r="I187" s="269" t="s">
        <v>8896</v>
      </c>
      <c r="J187" s="271">
        <v>18560</v>
      </c>
    </row>
    <row r="188" spans="1:10" ht="21.2" customHeight="1" x14ac:dyDescent="0.25">
      <c r="A188" s="269" t="s">
        <v>9038</v>
      </c>
      <c r="B188" s="269" t="s">
        <v>9229</v>
      </c>
      <c r="C188" s="257">
        <v>13.01</v>
      </c>
      <c r="D188" s="269" t="s">
        <v>9195</v>
      </c>
      <c r="E188" s="257" t="s">
        <v>197</v>
      </c>
      <c r="F188" s="257" t="s">
        <v>247</v>
      </c>
      <c r="G188" s="269" t="s">
        <v>8875</v>
      </c>
      <c r="H188" s="257"/>
      <c r="I188" s="269" t="s">
        <v>8896</v>
      </c>
      <c r="J188" s="271">
        <v>15000</v>
      </c>
    </row>
    <row r="189" spans="1:10" ht="21.2" customHeight="1" x14ac:dyDescent="0.25">
      <c r="A189" s="269" t="s">
        <v>9039</v>
      </c>
      <c r="B189" s="269" t="s">
        <v>9235</v>
      </c>
      <c r="C189" s="257">
        <v>6.55</v>
      </c>
      <c r="D189" s="269" t="s">
        <v>9197</v>
      </c>
      <c r="E189" s="257" t="s">
        <v>182</v>
      </c>
      <c r="F189" s="257" t="s">
        <v>249</v>
      </c>
      <c r="G189" s="269" t="s">
        <v>8874</v>
      </c>
      <c r="H189" s="257" t="s">
        <v>237</v>
      </c>
      <c r="I189" s="269" t="s">
        <v>8994</v>
      </c>
      <c r="J189" s="271">
        <v>10860</v>
      </c>
    </row>
    <row r="190" spans="1:10" ht="21.2" customHeight="1" x14ac:dyDescent="0.25">
      <c r="A190" s="269" t="s">
        <v>9040</v>
      </c>
      <c r="B190" s="269" t="s">
        <v>9228</v>
      </c>
      <c r="C190" s="257">
        <v>4.6100000000000003</v>
      </c>
      <c r="D190" s="269" t="s">
        <v>9195</v>
      </c>
      <c r="E190" s="257" t="s">
        <v>197</v>
      </c>
      <c r="F190" s="257" t="s">
        <v>265</v>
      </c>
      <c r="G190" s="269" t="s">
        <v>8875</v>
      </c>
      <c r="H190" s="257"/>
      <c r="I190" s="269" t="s">
        <v>8896</v>
      </c>
      <c r="J190" s="271">
        <v>9260</v>
      </c>
    </row>
    <row r="191" spans="1:10" ht="21.2" customHeight="1" x14ac:dyDescent="0.25">
      <c r="A191" s="269" t="s">
        <v>9041</v>
      </c>
      <c r="B191" s="269" t="s">
        <v>9229</v>
      </c>
      <c r="C191" s="257">
        <v>13.28</v>
      </c>
      <c r="D191" s="269" t="s">
        <v>9195</v>
      </c>
      <c r="E191" s="257" t="s">
        <v>197</v>
      </c>
      <c r="F191" s="257" t="s">
        <v>247</v>
      </c>
      <c r="G191" s="269" t="s">
        <v>8875</v>
      </c>
      <c r="H191" s="257"/>
      <c r="I191" s="269" t="s">
        <v>8896</v>
      </c>
      <c r="J191" s="271">
        <v>15200</v>
      </c>
    </row>
    <row r="192" spans="1:10" ht="21.2" customHeight="1" x14ac:dyDescent="0.25">
      <c r="A192" s="269" t="s">
        <v>9042</v>
      </c>
      <c r="B192" s="269" t="s">
        <v>9229</v>
      </c>
      <c r="C192" s="257">
        <v>13.28</v>
      </c>
      <c r="D192" s="269" t="s">
        <v>9195</v>
      </c>
      <c r="E192" s="257" t="s">
        <v>197</v>
      </c>
      <c r="F192" s="257" t="s">
        <v>247</v>
      </c>
      <c r="G192" s="269" t="s">
        <v>8875</v>
      </c>
      <c r="H192" s="257"/>
      <c r="I192" s="269" t="s">
        <v>8896</v>
      </c>
      <c r="J192" s="271">
        <v>15200</v>
      </c>
    </row>
    <row r="193" spans="1:10" ht="21.2" customHeight="1" x14ac:dyDescent="0.25">
      <c r="A193" s="269" t="s">
        <v>9043</v>
      </c>
      <c r="B193" s="269" t="s">
        <v>9216</v>
      </c>
      <c r="C193" s="257">
        <v>2.2400000000000002</v>
      </c>
      <c r="D193" s="269" t="s">
        <v>9197</v>
      </c>
      <c r="E193" s="257" t="s">
        <v>182</v>
      </c>
      <c r="F193" s="257" t="s">
        <v>249</v>
      </c>
      <c r="G193" s="269" t="s">
        <v>8874</v>
      </c>
      <c r="H193" s="257" t="s">
        <v>237</v>
      </c>
      <c r="I193" s="269" t="s">
        <v>8994</v>
      </c>
      <c r="J193" s="271">
        <v>6260</v>
      </c>
    </row>
    <row r="194" spans="1:10" ht="21.2" customHeight="1" x14ac:dyDescent="0.25">
      <c r="A194" s="269" t="s">
        <v>9044</v>
      </c>
      <c r="B194" s="269" t="s">
        <v>9205</v>
      </c>
      <c r="C194" s="257">
        <v>1.1399999999999999</v>
      </c>
      <c r="D194" s="269" t="s">
        <v>9197</v>
      </c>
      <c r="E194" s="257" t="s">
        <v>182</v>
      </c>
      <c r="F194" s="257" t="s">
        <v>249</v>
      </c>
      <c r="G194" s="269" t="s">
        <v>8874</v>
      </c>
      <c r="H194" s="257" t="s">
        <v>237</v>
      </c>
      <c r="I194" s="269" t="s">
        <v>8994</v>
      </c>
      <c r="J194" s="271">
        <v>4340</v>
      </c>
    </row>
    <row r="195" spans="1:10" ht="21.2" customHeight="1" x14ac:dyDescent="0.25">
      <c r="A195" s="269" t="s">
        <v>9045</v>
      </c>
      <c r="B195" s="269" t="s">
        <v>9228</v>
      </c>
      <c r="C195" s="257">
        <v>4.18</v>
      </c>
      <c r="D195" s="269" t="s">
        <v>9195</v>
      </c>
      <c r="E195" s="257" t="s">
        <v>197</v>
      </c>
      <c r="F195" s="257" t="s">
        <v>265</v>
      </c>
      <c r="G195" s="269" t="s">
        <v>8875</v>
      </c>
      <c r="H195" s="257"/>
      <c r="I195" s="269" t="s">
        <v>8896</v>
      </c>
      <c r="J195" s="271">
        <v>8660</v>
      </c>
    </row>
    <row r="196" spans="1:10" ht="21.2" customHeight="1" x14ac:dyDescent="0.25">
      <c r="A196" s="269" t="s">
        <v>9046</v>
      </c>
      <c r="B196" s="269" t="s">
        <v>9229</v>
      </c>
      <c r="C196" s="257">
        <v>13.28</v>
      </c>
      <c r="D196" s="269" t="s">
        <v>9195</v>
      </c>
      <c r="E196" s="257" t="s">
        <v>197</v>
      </c>
      <c r="F196" s="257" t="s">
        <v>247</v>
      </c>
      <c r="G196" s="269" t="s">
        <v>8875</v>
      </c>
      <c r="H196" s="257"/>
      <c r="I196" s="269" t="s">
        <v>8896</v>
      </c>
      <c r="J196" s="271">
        <v>15200</v>
      </c>
    </row>
    <row r="197" spans="1:10" ht="21.2" customHeight="1" x14ac:dyDescent="0.25">
      <c r="A197" s="269" t="s">
        <v>9047</v>
      </c>
      <c r="B197" s="269" t="s">
        <v>9229</v>
      </c>
      <c r="C197" s="257">
        <v>13.28</v>
      </c>
      <c r="D197" s="269" t="s">
        <v>9195</v>
      </c>
      <c r="E197" s="257" t="s">
        <v>197</v>
      </c>
      <c r="F197" s="257" t="s">
        <v>247</v>
      </c>
      <c r="G197" s="269" t="s">
        <v>8875</v>
      </c>
      <c r="H197" s="257"/>
      <c r="I197" s="269" t="s">
        <v>8896</v>
      </c>
      <c r="J197" s="271">
        <v>15200</v>
      </c>
    </row>
    <row r="198" spans="1:10" ht="21.2" customHeight="1" x14ac:dyDescent="0.25">
      <c r="A198" s="269" t="s">
        <v>9048</v>
      </c>
      <c r="B198" s="269" t="s">
        <v>9216</v>
      </c>
      <c r="C198" s="257">
        <v>2.2400000000000002</v>
      </c>
      <c r="D198" s="269" t="s">
        <v>9197</v>
      </c>
      <c r="E198" s="257" t="s">
        <v>182</v>
      </c>
      <c r="F198" s="257" t="s">
        <v>249</v>
      </c>
      <c r="G198" s="269" t="s">
        <v>8874</v>
      </c>
      <c r="H198" s="257" t="s">
        <v>237</v>
      </c>
      <c r="I198" s="269" t="s">
        <v>8994</v>
      </c>
      <c r="J198" s="271">
        <v>6260</v>
      </c>
    </row>
    <row r="199" spans="1:10" ht="21.2" customHeight="1" x14ac:dyDescent="0.25">
      <c r="A199" s="269" t="s">
        <v>9049</v>
      </c>
      <c r="B199" s="269" t="s">
        <v>9205</v>
      </c>
      <c r="C199" s="257">
        <v>1.1399999999999999</v>
      </c>
      <c r="D199" s="269" t="s">
        <v>9197</v>
      </c>
      <c r="E199" s="257" t="s">
        <v>182</v>
      </c>
      <c r="F199" s="257" t="s">
        <v>249</v>
      </c>
      <c r="G199" s="269" t="s">
        <v>8874</v>
      </c>
      <c r="H199" s="257" t="s">
        <v>237</v>
      </c>
      <c r="I199" s="269" t="s">
        <v>8994</v>
      </c>
      <c r="J199" s="271">
        <v>4340</v>
      </c>
    </row>
    <row r="200" spans="1:10" ht="21.2" customHeight="1" x14ac:dyDescent="0.25">
      <c r="A200" s="269" t="s">
        <v>9050</v>
      </c>
      <c r="B200" s="269" t="s">
        <v>9228</v>
      </c>
      <c r="C200" s="257">
        <v>4.18</v>
      </c>
      <c r="D200" s="269" t="s">
        <v>9195</v>
      </c>
      <c r="E200" s="257" t="s">
        <v>197</v>
      </c>
      <c r="F200" s="257" t="s">
        <v>265</v>
      </c>
      <c r="G200" s="269" t="s">
        <v>8875</v>
      </c>
      <c r="H200" s="257"/>
      <c r="I200" s="269" t="s">
        <v>8896</v>
      </c>
      <c r="J200" s="271">
        <v>8660</v>
      </c>
    </row>
    <row r="201" spans="1:10" ht="21.2" customHeight="1" x14ac:dyDescent="0.25">
      <c r="A201" s="269" t="s">
        <v>9051</v>
      </c>
      <c r="B201" s="269" t="s">
        <v>9229</v>
      </c>
      <c r="C201" s="257">
        <v>13.34</v>
      </c>
      <c r="D201" s="269" t="s">
        <v>9195</v>
      </c>
      <c r="E201" s="257" t="s">
        <v>197</v>
      </c>
      <c r="F201" s="257" t="s">
        <v>247</v>
      </c>
      <c r="G201" s="269" t="s">
        <v>8875</v>
      </c>
      <c r="H201" s="257"/>
      <c r="I201" s="269" t="s">
        <v>8896</v>
      </c>
      <c r="J201" s="271">
        <v>15200</v>
      </c>
    </row>
    <row r="202" spans="1:10" ht="21.2" customHeight="1" x14ac:dyDescent="0.25">
      <c r="A202" s="269" t="s">
        <v>9052</v>
      </c>
      <c r="B202" s="269" t="s">
        <v>9229</v>
      </c>
      <c r="C202" s="257">
        <v>13.28</v>
      </c>
      <c r="D202" s="269" t="s">
        <v>9195</v>
      </c>
      <c r="E202" s="257" t="s">
        <v>197</v>
      </c>
      <c r="F202" s="257" t="s">
        <v>247</v>
      </c>
      <c r="G202" s="269" t="s">
        <v>8875</v>
      </c>
      <c r="H202" s="257"/>
      <c r="I202" s="269" t="s">
        <v>8896</v>
      </c>
      <c r="J202" s="271">
        <v>15200</v>
      </c>
    </row>
    <row r="203" spans="1:10" ht="21.2" customHeight="1" x14ac:dyDescent="0.25">
      <c r="A203" s="269" t="s">
        <v>9053</v>
      </c>
      <c r="B203" s="269" t="s">
        <v>9216</v>
      </c>
      <c r="C203" s="257">
        <v>2.2400000000000002</v>
      </c>
      <c r="D203" s="269" t="s">
        <v>9197</v>
      </c>
      <c r="E203" s="257" t="s">
        <v>182</v>
      </c>
      <c r="F203" s="257" t="s">
        <v>249</v>
      </c>
      <c r="G203" s="269" t="s">
        <v>8874</v>
      </c>
      <c r="H203" s="257" t="s">
        <v>237</v>
      </c>
      <c r="I203" s="269" t="s">
        <v>8994</v>
      </c>
      <c r="J203" s="271">
        <v>6260</v>
      </c>
    </row>
    <row r="204" spans="1:10" ht="21.2" customHeight="1" x14ac:dyDescent="0.25">
      <c r="A204" s="269" t="s">
        <v>9054</v>
      </c>
      <c r="B204" s="269" t="s">
        <v>9205</v>
      </c>
      <c r="C204" s="257">
        <v>1.1399999999999999</v>
      </c>
      <c r="D204" s="269" t="s">
        <v>9197</v>
      </c>
      <c r="E204" s="257" t="s">
        <v>182</v>
      </c>
      <c r="F204" s="257" t="s">
        <v>249</v>
      </c>
      <c r="G204" s="269" t="s">
        <v>8874</v>
      </c>
      <c r="H204" s="257" t="s">
        <v>237</v>
      </c>
      <c r="I204" s="269" t="s">
        <v>8994</v>
      </c>
      <c r="J204" s="271">
        <v>4340</v>
      </c>
    </row>
    <row r="205" spans="1:10" ht="21.2" customHeight="1" x14ac:dyDescent="0.25">
      <c r="A205" s="269" t="s">
        <v>9055</v>
      </c>
      <c r="B205" s="269" t="s">
        <v>9228</v>
      </c>
      <c r="C205" s="257">
        <v>8.5299999999999994</v>
      </c>
      <c r="D205" s="269" t="s">
        <v>9195</v>
      </c>
      <c r="E205" s="257" t="s">
        <v>197</v>
      </c>
      <c r="F205" s="257" t="s">
        <v>265</v>
      </c>
      <c r="G205" s="269" t="s">
        <v>8875</v>
      </c>
      <c r="H205" s="257"/>
      <c r="I205" s="269" t="s">
        <v>8896</v>
      </c>
      <c r="J205" s="271">
        <v>14660</v>
      </c>
    </row>
    <row r="206" spans="1:10" ht="21.2" customHeight="1" x14ac:dyDescent="0.25">
      <c r="A206" s="269" t="s">
        <v>9056</v>
      </c>
      <c r="B206" s="269" t="s">
        <v>9229</v>
      </c>
      <c r="C206" s="257">
        <v>13.28</v>
      </c>
      <c r="D206" s="269" t="s">
        <v>9195</v>
      </c>
      <c r="E206" s="257" t="s">
        <v>197</v>
      </c>
      <c r="F206" s="257" t="s">
        <v>247</v>
      </c>
      <c r="G206" s="269" t="s">
        <v>8875</v>
      </c>
      <c r="H206" s="257"/>
      <c r="I206" s="269" t="s">
        <v>8896</v>
      </c>
      <c r="J206" s="271">
        <v>15200</v>
      </c>
    </row>
    <row r="207" spans="1:10" ht="21.2" customHeight="1" x14ac:dyDescent="0.25">
      <c r="A207" s="269" t="s">
        <v>9057</v>
      </c>
      <c r="B207" s="269" t="s">
        <v>9229</v>
      </c>
      <c r="C207" s="257">
        <v>13.28</v>
      </c>
      <c r="D207" s="269" t="s">
        <v>9195</v>
      </c>
      <c r="E207" s="257" t="s">
        <v>197</v>
      </c>
      <c r="F207" s="257" t="s">
        <v>247</v>
      </c>
      <c r="G207" s="269" t="s">
        <v>8875</v>
      </c>
      <c r="H207" s="257"/>
      <c r="I207" s="269" t="s">
        <v>8896</v>
      </c>
      <c r="J207" s="271">
        <v>15200</v>
      </c>
    </row>
    <row r="208" spans="1:10" ht="21.2" customHeight="1" x14ac:dyDescent="0.25">
      <c r="A208" s="269" t="s">
        <v>9058</v>
      </c>
      <c r="B208" s="269" t="s">
        <v>9229</v>
      </c>
      <c r="C208" s="257">
        <v>13.28</v>
      </c>
      <c r="D208" s="269" t="s">
        <v>9195</v>
      </c>
      <c r="E208" s="257" t="s">
        <v>197</v>
      </c>
      <c r="F208" s="257" t="s">
        <v>247</v>
      </c>
      <c r="G208" s="269" t="s">
        <v>8875</v>
      </c>
      <c r="H208" s="257"/>
      <c r="I208" s="269" t="s">
        <v>8896</v>
      </c>
      <c r="J208" s="271">
        <v>15200</v>
      </c>
    </row>
    <row r="209" spans="1:10" ht="21.2" customHeight="1" x14ac:dyDescent="0.25">
      <c r="A209" s="269" t="s">
        <v>9059</v>
      </c>
      <c r="B209" s="269" t="s">
        <v>9205</v>
      </c>
      <c r="C209" s="257">
        <v>1.1399999999999999</v>
      </c>
      <c r="D209" s="269" t="s">
        <v>9197</v>
      </c>
      <c r="E209" s="257" t="s">
        <v>182</v>
      </c>
      <c r="F209" s="257" t="s">
        <v>249</v>
      </c>
      <c r="G209" s="269" t="s">
        <v>8874</v>
      </c>
      <c r="H209" s="257" t="s">
        <v>237</v>
      </c>
      <c r="I209" s="269" t="s">
        <v>8994</v>
      </c>
      <c r="J209" s="271">
        <v>4340</v>
      </c>
    </row>
    <row r="210" spans="1:10" ht="21.2" customHeight="1" x14ac:dyDescent="0.25">
      <c r="A210" s="269" t="s">
        <v>9060</v>
      </c>
      <c r="B210" s="269" t="s">
        <v>9216</v>
      </c>
      <c r="C210" s="257">
        <v>2.13</v>
      </c>
      <c r="D210" s="269" t="s">
        <v>9197</v>
      </c>
      <c r="E210" s="257" t="s">
        <v>182</v>
      </c>
      <c r="F210" s="257" t="s">
        <v>249</v>
      </c>
      <c r="G210" s="269" t="s">
        <v>8874</v>
      </c>
      <c r="H210" s="257" t="s">
        <v>237</v>
      </c>
      <c r="I210" s="269" t="s">
        <v>9016</v>
      </c>
      <c r="J210" s="271">
        <v>5890</v>
      </c>
    </row>
    <row r="211" spans="1:10" ht="21.2" customHeight="1" x14ac:dyDescent="0.25">
      <c r="A211" s="269" t="s">
        <v>9061</v>
      </c>
      <c r="B211" s="269" t="s">
        <v>9228</v>
      </c>
      <c r="C211" s="257">
        <v>4.72</v>
      </c>
      <c r="D211" s="269" t="s">
        <v>9195</v>
      </c>
      <c r="E211" s="257" t="s">
        <v>197</v>
      </c>
      <c r="F211" s="257" t="s">
        <v>265</v>
      </c>
      <c r="G211" s="269" t="s">
        <v>8875</v>
      </c>
      <c r="H211" s="257"/>
      <c r="I211" s="269" t="s">
        <v>8896</v>
      </c>
      <c r="J211" s="271">
        <v>9410</v>
      </c>
    </row>
    <row r="212" spans="1:10" ht="21.2" customHeight="1" x14ac:dyDescent="0.25">
      <c r="A212" s="269" t="s">
        <v>9062</v>
      </c>
      <c r="B212" s="269" t="s">
        <v>9229</v>
      </c>
      <c r="C212" s="257">
        <v>15.71</v>
      </c>
      <c r="D212" s="269" t="s">
        <v>9195</v>
      </c>
      <c r="E212" s="257" t="s">
        <v>197</v>
      </c>
      <c r="F212" s="257" t="s">
        <v>247</v>
      </c>
      <c r="G212" s="269" t="s">
        <v>8875</v>
      </c>
      <c r="H212" s="257"/>
      <c r="I212" s="269" t="s">
        <v>8896</v>
      </c>
      <c r="J212" s="271">
        <v>16400</v>
      </c>
    </row>
    <row r="213" spans="1:10" ht="21.2" customHeight="1" x14ac:dyDescent="0.25">
      <c r="A213" s="269" t="s">
        <v>9063</v>
      </c>
      <c r="B213" s="269" t="s">
        <v>9229</v>
      </c>
      <c r="C213" s="257">
        <v>13.28</v>
      </c>
      <c r="D213" s="269" t="s">
        <v>9195</v>
      </c>
      <c r="E213" s="257" t="s">
        <v>197</v>
      </c>
      <c r="F213" s="257" t="s">
        <v>247</v>
      </c>
      <c r="G213" s="269" t="s">
        <v>8875</v>
      </c>
      <c r="H213" s="257"/>
      <c r="I213" s="269" t="s">
        <v>8896</v>
      </c>
      <c r="J213" s="271">
        <v>15200</v>
      </c>
    </row>
    <row r="214" spans="1:10" ht="21.2" customHeight="1" x14ac:dyDescent="0.25">
      <c r="A214" s="269" t="s">
        <v>9064</v>
      </c>
      <c r="B214" s="269" t="s">
        <v>9216</v>
      </c>
      <c r="C214" s="257">
        <v>2.39</v>
      </c>
      <c r="D214" s="269" t="s">
        <v>9197</v>
      </c>
      <c r="E214" s="257" t="s">
        <v>182</v>
      </c>
      <c r="F214" s="257" t="s">
        <v>249</v>
      </c>
      <c r="G214" s="269" t="s">
        <v>8874</v>
      </c>
      <c r="H214" s="257" t="s">
        <v>237</v>
      </c>
      <c r="I214" s="269" t="s">
        <v>9016</v>
      </c>
      <c r="J214" s="271">
        <v>6260</v>
      </c>
    </row>
    <row r="215" spans="1:10" ht="21.2" customHeight="1" x14ac:dyDescent="0.25">
      <c r="A215" s="269" t="s">
        <v>9065</v>
      </c>
      <c r="B215" s="269" t="s">
        <v>9205</v>
      </c>
      <c r="C215" s="257">
        <v>1.1399999999999999</v>
      </c>
      <c r="D215" s="269" t="s">
        <v>9197</v>
      </c>
      <c r="E215" s="257" t="s">
        <v>182</v>
      </c>
      <c r="F215" s="257" t="s">
        <v>249</v>
      </c>
      <c r="G215" s="269" t="s">
        <v>8874</v>
      </c>
      <c r="H215" s="257" t="s">
        <v>237</v>
      </c>
      <c r="I215" s="269" t="s">
        <v>9016</v>
      </c>
      <c r="J215" s="271">
        <v>4340</v>
      </c>
    </row>
    <row r="216" spans="1:10" ht="21.2" customHeight="1" x14ac:dyDescent="0.25">
      <c r="A216" s="269" t="s">
        <v>9066</v>
      </c>
      <c r="B216" s="269" t="s">
        <v>9228</v>
      </c>
      <c r="C216" s="257">
        <v>4.47</v>
      </c>
      <c r="D216" s="269" t="s">
        <v>9195</v>
      </c>
      <c r="E216" s="257" t="s">
        <v>197</v>
      </c>
      <c r="F216" s="257" t="s">
        <v>265</v>
      </c>
      <c r="G216" s="269" t="s">
        <v>8875</v>
      </c>
      <c r="H216" s="257"/>
      <c r="I216" s="269" t="s">
        <v>8896</v>
      </c>
      <c r="J216" s="271">
        <v>9750</v>
      </c>
    </row>
    <row r="217" spans="1:10" ht="21.2" customHeight="1" x14ac:dyDescent="0.25">
      <c r="A217" s="269" t="s">
        <v>9067</v>
      </c>
      <c r="B217" s="269" t="s">
        <v>9229</v>
      </c>
      <c r="C217" s="257">
        <v>13.28</v>
      </c>
      <c r="D217" s="269" t="s">
        <v>9195</v>
      </c>
      <c r="E217" s="257" t="s">
        <v>197</v>
      </c>
      <c r="F217" s="257" t="s">
        <v>247</v>
      </c>
      <c r="G217" s="269" t="s">
        <v>8875</v>
      </c>
      <c r="H217" s="257"/>
      <c r="I217" s="269" t="s">
        <v>8896</v>
      </c>
      <c r="J217" s="271">
        <v>15200</v>
      </c>
    </row>
    <row r="218" spans="1:10" ht="21.2" customHeight="1" x14ac:dyDescent="0.25">
      <c r="A218" s="269" t="s">
        <v>9068</v>
      </c>
      <c r="B218" s="269" t="s">
        <v>9229</v>
      </c>
      <c r="C218" s="257">
        <v>12.44</v>
      </c>
      <c r="D218" s="269" t="s">
        <v>9195</v>
      </c>
      <c r="E218" s="257" t="s">
        <v>197</v>
      </c>
      <c r="F218" s="257" t="s">
        <v>247</v>
      </c>
      <c r="G218" s="269" t="s">
        <v>8875</v>
      </c>
      <c r="H218" s="257"/>
      <c r="I218" s="269" t="s">
        <v>8896</v>
      </c>
      <c r="J218" s="271">
        <v>14650</v>
      </c>
    </row>
    <row r="219" spans="1:10" ht="21.2" customHeight="1" x14ac:dyDescent="0.25">
      <c r="A219" s="269" t="s">
        <v>9069</v>
      </c>
      <c r="B219" s="269" t="s">
        <v>9216</v>
      </c>
      <c r="C219" s="257">
        <v>2.2400000000000002</v>
      </c>
      <c r="D219" s="269" t="s">
        <v>9197</v>
      </c>
      <c r="E219" s="257" t="s">
        <v>182</v>
      </c>
      <c r="F219" s="257" t="s">
        <v>249</v>
      </c>
      <c r="G219" s="269" t="s">
        <v>8874</v>
      </c>
      <c r="H219" s="257" t="s">
        <v>237</v>
      </c>
      <c r="I219" s="269" t="s">
        <v>9016</v>
      </c>
      <c r="J219" s="271">
        <v>6260</v>
      </c>
    </row>
    <row r="220" spans="1:10" ht="21.2" customHeight="1" x14ac:dyDescent="0.25">
      <c r="A220" s="269" t="s">
        <v>9070</v>
      </c>
      <c r="B220" s="269" t="s">
        <v>9205</v>
      </c>
      <c r="C220" s="257">
        <v>1.35</v>
      </c>
      <c r="D220" s="269" t="s">
        <v>9197</v>
      </c>
      <c r="E220" s="257" t="s">
        <v>182</v>
      </c>
      <c r="F220" s="257" t="s">
        <v>249</v>
      </c>
      <c r="G220" s="269" t="s">
        <v>8874</v>
      </c>
      <c r="H220" s="257" t="s">
        <v>237</v>
      </c>
      <c r="I220" s="269" t="s">
        <v>9016</v>
      </c>
      <c r="J220" s="271">
        <v>4710</v>
      </c>
    </row>
    <row r="221" spans="1:10" ht="21.2" customHeight="1" x14ac:dyDescent="0.25">
      <c r="A221" s="269" t="s">
        <v>9071</v>
      </c>
      <c r="B221" s="269" t="s">
        <v>9228</v>
      </c>
      <c r="C221" s="257">
        <v>10.56</v>
      </c>
      <c r="D221" s="269" t="s">
        <v>9195</v>
      </c>
      <c r="E221" s="257" t="s">
        <v>197</v>
      </c>
      <c r="F221" s="257" t="s">
        <v>265</v>
      </c>
      <c r="G221" s="269" t="s">
        <v>8875</v>
      </c>
      <c r="H221" s="257"/>
      <c r="I221" s="269" t="s">
        <v>8896</v>
      </c>
      <c r="J221" s="271">
        <v>19100</v>
      </c>
    </row>
    <row r="222" spans="1:10" ht="21.2" customHeight="1" x14ac:dyDescent="0.25">
      <c r="A222" s="269" t="s">
        <v>9072</v>
      </c>
      <c r="B222" s="269" t="s">
        <v>9229</v>
      </c>
      <c r="C222" s="257">
        <v>14.54</v>
      </c>
      <c r="D222" s="269" t="s">
        <v>9195</v>
      </c>
      <c r="E222" s="257" t="s">
        <v>197</v>
      </c>
      <c r="F222" s="257" t="s">
        <v>247</v>
      </c>
      <c r="G222" s="269" t="s">
        <v>8875</v>
      </c>
      <c r="H222" s="257"/>
      <c r="I222" s="269" t="s">
        <v>8896</v>
      </c>
      <c r="J222" s="271">
        <v>15900</v>
      </c>
    </row>
    <row r="223" spans="1:10" ht="21.2" customHeight="1" x14ac:dyDescent="0.25">
      <c r="A223" s="269" t="s">
        <v>9073</v>
      </c>
      <c r="B223" s="269" t="s">
        <v>9229</v>
      </c>
      <c r="C223" s="257">
        <v>12.67</v>
      </c>
      <c r="D223" s="269" t="s">
        <v>9195</v>
      </c>
      <c r="E223" s="257" t="s">
        <v>197</v>
      </c>
      <c r="F223" s="257" t="s">
        <v>247</v>
      </c>
      <c r="G223" s="269" t="s">
        <v>8875</v>
      </c>
      <c r="H223" s="257"/>
      <c r="I223" s="269" t="s">
        <v>8896</v>
      </c>
      <c r="J223" s="271">
        <v>15200</v>
      </c>
    </row>
    <row r="224" spans="1:10" ht="21.2" customHeight="1" x14ac:dyDescent="0.25">
      <c r="A224" s="269" t="s">
        <v>9074</v>
      </c>
      <c r="B224" s="269" t="s">
        <v>9229</v>
      </c>
      <c r="C224" s="257">
        <v>14.3</v>
      </c>
      <c r="D224" s="269" t="s">
        <v>9195</v>
      </c>
      <c r="E224" s="257" t="s">
        <v>197</v>
      </c>
      <c r="F224" s="257" t="s">
        <v>247</v>
      </c>
      <c r="G224" s="269" t="s">
        <v>8875</v>
      </c>
      <c r="H224" s="257"/>
      <c r="I224" s="269" t="s">
        <v>8896</v>
      </c>
      <c r="J224" s="271">
        <v>15800</v>
      </c>
    </row>
    <row r="225" spans="1:15" ht="21.2" customHeight="1" x14ac:dyDescent="0.25">
      <c r="A225" s="269" t="s">
        <v>9075</v>
      </c>
      <c r="B225" s="269" t="s">
        <v>9205</v>
      </c>
      <c r="C225" s="257">
        <v>1.76</v>
      </c>
      <c r="D225" s="269" t="s">
        <v>9197</v>
      </c>
      <c r="E225" s="257" t="s">
        <v>182</v>
      </c>
      <c r="F225" s="257" t="s">
        <v>249</v>
      </c>
      <c r="G225" s="269" t="s">
        <v>8874</v>
      </c>
      <c r="H225" s="257" t="s">
        <v>237</v>
      </c>
      <c r="I225" s="269" t="s">
        <v>9016</v>
      </c>
      <c r="J225" s="271">
        <v>5400</v>
      </c>
    </row>
    <row r="226" spans="1:15" ht="21.2" customHeight="1" x14ac:dyDescent="0.25">
      <c r="A226" s="269" t="s">
        <v>9076</v>
      </c>
      <c r="B226" s="269" t="s">
        <v>9216</v>
      </c>
      <c r="C226" s="257">
        <v>2.4300000000000002</v>
      </c>
      <c r="D226" s="269" t="s">
        <v>9197</v>
      </c>
      <c r="E226" s="257" t="s">
        <v>182</v>
      </c>
      <c r="F226" s="257" t="s">
        <v>249</v>
      </c>
      <c r="G226" s="269" t="s">
        <v>8874</v>
      </c>
      <c r="H226" s="257" t="s">
        <v>237</v>
      </c>
      <c r="I226" s="269" t="s">
        <v>9016</v>
      </c>
      <c r="J226" s="271">
        <v>6450</v>
      </c>
    </row>
    <row r="227" spans="1:15" ht="21.2" customHeight="1" x14ac:dyDescent="0.25">
      <c r="A227" s="269" t="s">
        <v>5088</v>
      </c>
      <c r="B227" s="269" t="s">
        <v>9228</v>
      </c>
      <c r="C227" s="257">
        <v>17.14</v>
      </c>
      <c r="D227" s="269" t="s">
        <v>9195</v>
      </c>
      <c r="E227" s="257" t="s">
        <v>197</v>
      </c>
      <c r="F227" s="257" t="s">
        <v>265</v>
      </c>
      <c r="G227" s="269" t="s">
        <v>8875</v>
      </c>
      <c r="H227" s="257"/>
      <c r="I227" s="269" t="s">
        <v>8896</v>
      </c>
      <c r="J227" s="271">
        <v>28860</v>
      </c>
    </row>
    <row r="228" spans="1:15" ht="21.2" customHeight="1" x14ac:dyDescent="0.25">
      <c r="A228" s="269" t="s">
        <v>5089</v>
      </c>
      <c r="B228" s="269" t="s">
        <v>9229</v>
      </c>
      <c r="C228" s="257">
        <v>14.5</v>
      </c>
      <c r="D228" s="269" t="s">
        <v>9195</v>
      </c>
      <c r="E228" s="257" t="s">
        <v>197</v>
      </c>
      <c r="F228" s="257" t="s">
        <v>247</v>
      </c>
      <c r="G228" s="269" t="s">
        <v>8875</v>
      </c>
      <c r="H228" s="257"/>
      <c r="I228" s="269" t="s">
        <v>8896</v>
      </c>
      <c r="J228" s="271">
        <v>15550</v>
      </c>
    </row>
    <row r="229" spans="1:15" ht="21.2" customHeight="1" x14ac:dyDescent="0.25">
      <c r="A229" s="269" t="s">
        <v>9077</v>
      </c>
      <c r="B229" s="269" t="s">
        <v>9229</v>
      </c>
      <c r="C229" s="257">
        <v>13.84</v>
      </c>
      <c r="D229" s="269" t="s">
        <v>9195</v>
      </c>
      <c r="E229" s="257" t="s">
        <v>197</v>
      </c>
      <c r="F229" s="257" t="s">
        <v>247</v>
      </c>
      <c r="G229" s="269" t="s">
        <v>8875</v>
      </c>
      <c r="H229" s="257"/>
      <c r="I229" s="269" t="s">
        <v>8896</v>
      </c>
      <c r="J229" s="271">
        <v>15961</v>
      </c>
    </row>
    <row r="230" spans="1:15" ht="21.2" customHeight="1" x14ac:dyDescent="0.25">
      <c r="A230" s="269" t="s">
        <v>9078</v>
      </c>
      <c r="B230" s="269" t="s">
        <v>9229</v>
      </c>
      <c r="C230" s="257">
        <v>15.54</v>
      </c>
      <c r="D230" s="269" t="s">
        <v>9195</v>
      </c>
      <c r="E230" s="257" t="s">
        <v>197</v>
      </c>
      <c r="F230" s="257" t="s">
        <v>247</v>
      </c>
      <c r="G230" s="269" t="s">
        <v>8875</v>
      </c>
      <c r="H230" s="257"/>
      <c r="I230" s="269" t="s">
        <v>8896</v>
      </c>
      <c r="J230" s="271">
        <v>16750</v>
      </c>
    </row>
    <row r="231" spans="1:15" ht="21.2" customHeight="1" x14ac:dyDescent="0.25">
      <c r="A231" s="269" t="s">
        <v>9079</v>
      </c>
      <c r="B231" s="269" t="s">
        <v>9229</v>
      </c>
      <c r="C231" s="257">
        <v>14.64</v>
      </c>
      <c r="D231" s="269" t="s">
        <v>9195</v>
      </c>
      <c r="E231" s="257" t="s">
        <v>197</v>
      </c>
      <c r="F231" s="257" t="s">
        <v>247</v>
      </c>
      <c r="G231" s="269" t="s">
        <v>8875</v>
      </c>
      <c r="H231" s="257"/>
      <c r="I231" s="269" t="s">
        <v>8896</v>
      </c>
      <c r="J231" s="271">
        <v>16350</v>
      </c>
    </row>
    <row r="232" spans="1:15" ht="21.2" customHeight="1" x14ac:dyDescent="0.25">
      <c r="A232" s="269" t="s">
        <v>9080</v>
      </c>
      <c r="B232" s="269" t="s">
        <v>9229</v>
      </c>
      <c r="C232" s="257">
        <v>16.559999999999999</v>
      </c>
      <c r="D232" s="269" t="s">
        <v>9195</v>
      </c>
      <c r="E232" s="257" t="s">
        <v>197</v>
      </c>
      <c r="F232" s="257" t="s">
        <v>247</v>
      </c>
      <c r="G232" s="269" t="s">
        <v>8875</v>
      </c>
      <c r="H232" s="257"/>
      <c r="I232" s="269" t="s">
        <v>8896</v>
      </c>
      <c r="J232" s="271">
        <v>18400</v>
      </c>
    </row>
    <row r="233" spans="1:15" ht="21.2" customHeight="1" x14ac:dyDescent="0.25">
      <c r="A233" s="269" t="s">
        <v>9081</v>
      </c>
      <c r="B233" s="269" t="s">
        <v>9216</v>
      </c>
      <c r="C233" s="257">
        <v>7.76</v>
      </c>
      <c r="D233" s="269" t="s">
        <v>9197</v>
      </c>
      <c r="E233" s="257" t="s">
        <v>182</v>
      </c>
      <c r="F233" s="257" t="s">
        <v>249</v>
      </c>
      <c r="G233" s="269" t="s">
        <v>8874</v>
      </c>
      <c r="H233" s="257" t="s">
        <v>237</v>
      </c>
      <c r="I233" s="269" t="s">
        <v>8910</v>
      </c>
      <c r="J233" s="271">
        <v>11900</v>
      </c>
    </row>
    <row r="234" spans="1:15" ht="21.2" customHeight="1" x14ac:dyDescent="0.25">
      <c r="A234" s="269" t="s">
        <v>9082</v>
      </c>
      <c r="B234" s="269" t="s">
        <v>9205</v>
      </c>
      <c r="C234" s="257">
        <v>1.58</v>
      </c>
      <c r="D234" s="269" t="s">
        <v>9197</v>
      </c>
      <c r="E234" s="257" t="s">
        <v>182</v>
      </c>
      <c r="F234" s="257" t="s">
        <v>249</v>
      </c>
      <c r="G234" s="269" t="s">
        <v>8874</v>
      </c>
      <c r="H234" s="257" t="s">
        <v>237</v>
      </c>
      <c r="I234" s="269" t="s">
        <v>8910</v>
      </c>
      <c r="J234" s="271">
        <v>5300</v>
      </c>
    </row>
    <row r="235" spans="1:15" ht="21.2" customHeight="1" x14ac:dyDescent="0.25">
      <c r="A235" s="269" t="s">
        <v>9083</v>
      </c>
      <c r="B235" s="269" t="s">
        <v>9205</v>
      </c>
      <c r="C235" s="257">
        <v>1.58</v>
      </c>
      <c r="D235" s="269" t="s">
        <v>9197</v>
      </c>
      <c r="E235" s="257" t="s">
        <v>182</v>
      </c>
      <c r="F235" s="257" t="s">
        <v>249</v>
      </c>
      <c r="G235" s="269" t="s">
        <v>8874</v>
      </c>
      <c r="H235" s="257" t="s">
        <v>237</v>
      </c>
      <c r="I235" s="269" t="s">
        <v>8910</v>
      </c>
      <c r="J235" s="271">
        <v>5300</v>
      </c>
    </row>
    <row r="236" spans="1:15" ht="21.2" customHeight="1" x14ac:dyDescent="0.25">
      <c r="A236" s="269" t="s">
        <v>5090</v>
      </c>
      <c r="B236" s="269" t="s">
        <v>9222</v>
      </c>
      <c r="C236" s="257">
        <v>5.75</v>
      </c>
      <c r="D236" s="269" t="s">
        <v>9197</v>
      </c>
      <c r="E236" s="257" t="s">
        <v>177</v>
      </c>
      <c r="F236" s="257" t="s">
        <v>249</v>
      </c>
      <c r="G236" s="269" t="s">
        <v>8874</v>
      </c>
      <c r="H236" s="257" t="s">
        <v>239</v>
      </c>
      <c r="I236" s="269" t="s">
        <v>9231</v>
      </c>
      <c r="J236" s="271">
        <v>9750</v>
      </c>
    </row>
    <row r="237" spans="1:15" s="268" customFormat="1" ht="15.75" x14ac:dyDescent="0.25">
      <c r="A237" s="264" t="s">
        <v>370</v>
      </c>
      <c r="B237" s="265"/>
      <c r="C237" s="266">
        <f>SUBTOTAL(9,C238:C297)</f>
        <v>593.14999999999986</v>
      </c>
      <c r="D237" s="267"/>
      <c r="E237" s="267"/>
      <c r="F237" s="267"/>
      <c r="G237" s="266"/>
      <c r="H237" s="266"/>
      <c r="I237" s="266"/>
      <c r="J237" s="266"/>
      <c r="K237" s="240"/>
      <c r="L237" s="240"/>
      <c r="M237" s="240"/>
      <c r="N237" s="240"/>
      <c r="O237" s="240"/>
    </row>
    <row r="238" spans="1:15" ht="45" x14ac:dyDescent="0.25">
      <c r="A238" s="271" t="s">
        <v>1519</v>
      </c>
      <c r="B238" s="270" t="s">
        <v>9210</v>
      </c>
      <c r="C238" s="274">
        <f>34.03-C239</f>
        <v>20.980000000000004</v>
      </c>
      <c r="D238" s="271" t="s">
        <v>9197</v>
      </c>
      <c r="E238" s="274" t="s">
        <v>177</v>
      </c>
      <c r="F238" s="274" t="s">
        <v>253</v>
      </c>
      <c r="G238" s="271" t="s">
        <v>8875</v>
      </c>
      <c r="H238" s="274"/>
      <c r="I238" s="270" t="s">
        <v>9211</v>
      </c>
      <c r="J238" s="271">
        <v>26200</v>
      </c>
    </row>
    <row r="239" spans="1:15" ht="33.75" x14ac:dyDescent="0.25">
      <c r="A239" s="271" t="s">
        <v>1519</v>
      </c>
      <c r="B239" s="270" t="s">
        <v>9212</v>
      </c>
      <c r="C239" s="274">
        <f>(2*2.1+4.5)*1.5</f>
        <v>13.049999999999999</v>
      </c>
      <c r="D239" s="270" t="s">
        <v>9197</v>
      </c>
      <c r="E239" s="275" t="s">
        <v>177</v>
      </c>
      <c r="F239" s="274" t="s">
        <v>8871</v>
      </c>
      <c r="G239" s="271" t="s">
        <v>8875</v>
      </c>
      <c r="H239" s="274"/>
      <c r="I239" s="270" t="s">
        <v>9213</v>
      </c>
      <c r="J239" s="271" t="s">
        <v>9214</v>
      </c>
    </row>
    <row r="240" spans="1:15" ht="21.2" customHeight="1" x14ac:dyDescent="0.25">
      <c r="A240" s="269" t="s">
        <v>5095</v>
      </c>
      <c r="B240" s="269" t="s">
        <v>9196</v>
      </c>
      <c r="C240" s="257">
        <v>10.86</v>
      </c>
      <c r="D240" s="269" t="s">
        <v>9197</v>
      </c>
      <c r="E240" s="257" t="s">
        <v>177</v>
      </c>
      <c r="F240" s="257" t="s">
        <v>253</v>
      </c>
      <c r="G240" s="269" t="s">
        <v>8875</v>
      </c>
      <c r="H240" s="257"/>
      <c r="I240" s="269" t="s">
        <v>9198</v>
      </c>
      <c r="J240" s="271">
        <v>15400</v>
      </c>
    </row>
    <row r="241" spans="1:10" ht="21.2" customHeight="1" x14ac:dyDescent="0.25">
      <c r="A241" s="269" t="s">
        <v>5094</v>
      </c>
      <c r="B241" s="269" t="s">
        <v>9196</v>
      </c>
      <c r="C241" s="257">
        <v>56.15</v>
      </c>
      <c r="D241" s="269" t="s">
        <v>9197</v>
      </c>
      <c r="E241" s="257" t="s">
        <v>177</v>
      </c>
      <c r="F241" s="257" t="s">
        <v>253</v>
      </c>
      <c r="G241" s="269" t="s">
        <v>8875</v>
      </c>
      <c r="H241" s="257"/>
      <c r="I241" s="269" t="s">
        <v>9198</v>
      </c>
      <c r="J241" s="271">
        <v>72381</v>
      </c>
    </row>
    <row r="242" spans="1:10" ht="21.2" customHeight="1" x14ac:dyDescent="0.25">
      <c r="A242" s="269" t="s">
        <v>9084</v>
      </c>
      <c r="B242" s="269" t="s">
        <v>9230</v>
      </c>
      <c r="C242" s="257">
        <v>2.4</v>
      </c>
      <c r="D242" s="269" t="s">
        <v>9197</v>
      </c>
      <c r="E242" s="257" t="s">
        <v>186</v>
      </c>
      <c r="F242" s="257" t="s">
        <v>249</v>
      </c>
      <c r="G242" s="269" t="s">
        <v>8875</v>
      </c>
      <c r="H242" s="257"/>
      <c r="I242" s="269" t="s">
        <v>9198</v>
      </c>
      <c r="J242" s="271">
        <v>7100</v>
      </c>
    </row>
    <row r="243" spans="1:10" ht="30.2" customHeight="1" x14ac:dyDescent="0.25">
      <c r="A243" s="269" t="s">
        <v>5098</v>
      </c>
      <c r="B243" s="269" t="s">
        <v>9222</v>
      </c>
      <c r="C243" s="257">
        <v>18.54</v>
      </c>
      <c r="D243" s="269" t="s">
        <v>9197</v>
      </c>
      <c r="E243" s="257" t="s">
        <v>177</v>
      </c>
      <c r="F243" s="257" t="s">
        <v>249</v>
      </c>
      <c r="G243" s="269" t="s">
        <v>8874</v>
      </c>
      <c r="H243" s="257" t="s">
        <v>239</v>
      </c>
      <c r="I243" s="269" t="s">
        <v>9231</v>
      </c>
      <c r="J243" s="271">
        <v>20150</v>
      </c>
    </row>
    <row r="244" spans="1:10" ht="45" x14ac:dyDescent="0.25">
      <c r="A244" s="271" t="s">
        <v>1520</v>
      </c>
      <c r="B244" s="271" t="s">
        <v>9210</v>
      </c>
      <c r="C244" s="274">
        <f>23.78-C245</f>
        <v>12.55</v>
      </c>
      <c r="D244" s="271" t="s">
        <v>9197</v>
      </c>
      <c r="E244" s="274" t="s">
        <v>177</v>
      </c>
      <c r="F244" s="274" t="s">
        <v>253</v>
      </c>
      <c r="G244" s="271" t="s">
        <v>8875</v>
      </c>
      <c r="H244" s="274"/>
      <c r="I244" s="270" t="s">
        <v>9236</v>
      </c>
      <c r="J244" s="271">
        <v>23850</v>
      </c>
    </row>
    <row r="245" spans="1:10" ht="33.75" x14ac:dyDescent="0.25">
      <c r="A245" s="269" t="s">
        <v>1520</v>
      </c>
      <c r="B245" s="269" t="s">
        <v>9212</v>
      </c>
      <c r="C245" s="257">
        <f>2*3*1.2+2.6*1.55</f>
        <v>11.23</v>
      </c>
      <c r="D245" s="272" t="s">
        <v>9197</v>
      </c>
      <c r="E245" s="273" t="s">
        <v>177</v>
      </c>
      <c r="F245" s="257" t="s">
        <v>8871</v>
      </c>
      <c r="G245" s="269" t="s">
        <v>8875</v>
      </c>
      <c r="H245" s="257"/>
      <c r="I245" s="272" t="s">
        <v>9213</v>
      </c>
      <c r="J245" s="271" t="s">
        <v>9214</v>
      </c>
    </row>
    <row r="246" spans="1:10" ht="21.2" customHeight="1" x14ac:dyDescent="0.25">
      <c r="A246" s="269" t="s">
        <v>9085</v>
      </c>
      <c r="B246" s="269" t="s">
        <v>9218</v>
      </c>
      <c r="C246" s="257">
        <v>2.25</v>
      </c>
      <c r="D246" s="269"/>
      <c r="E246" s="257"/>
      <c r="F246" s="257" t="s">
        <v>8871</v>
      </c>
      <c r="G246" s="269" t="s">
        <v>8871</v>
      </c>
      <c r="H246" s="257"/>
      <c r="I246" s="269" t="s">
        <v>8871</v>
      </c>
      <c r="J246" s="271">
        <v>6000</v>
      </c>
    </row>
    <row r="247" spans="1:10" ht="21.2" customHeight="1" x14ac:dyDescent="0.25">
      <c r="A247" s="269" t="s">
        <v>9085</v>
      </c>
      <c r="B247" s="269" t="s">
        <v>9218</v>
      </c>
      <c r="C247" s="257">
        <v>4.1100000000000003</v>
      </c>
      <c r="D247" s="269"/>
      <c r="E247" s="257"/>
      <c r="F247" s="257" t="s">
        <v>8871</v>
      </c>
      <c r="G247" s="269" t="s">
        <v>8871</v>
      </c>
      <c r="H247" s="257"/>
      <c r="I247" s="269" t="s">
        <v>8871</v>
      </c>
      <c r="J247" s="271">
        <v>8340</v>
      </c>
    </row>
    <row r="248" spans="1:10" ht="21.2" customHeight="1" x14ac:dyDescent="0.25">
      <c r="A248" s="269" t="s">
        <v>9086</v>
      </c>
      <c r="B248" s="269" t="s">
        <v>9228</v>
      </c>
      <c r="C248" s="257">
        <v>9.89</v>
      </c>
      <c r="D248" s="269" t="s">
        <v>9195</v>
      </c>
      <c r="E248" s="257" t="s">
        <v>197</v>
      </c>
      <c r="F248" s="257" t="s">
        <v>265</v>
      </c>
      <c r="G248" s="269" t="s">
        <v>8875</v>
      </c>
      <c r="H248" s="257"/>
      <c r="I248" s="269" t="s">
        <v>8896</v>
      </c>
      <c r="J248" s="271">
        <v>12650</v>
      </c>
    </row>
    <row r="249" spans="1:10" ht="21.2" customHeight="1" x14ac:dyDescent="0.25">
      <c r="A249" s="269" t="s">
        <v>9087</v>
      </c>
      <c r="B249" s="269" t="s">
        <v>9234</v>
      </c>
      <c r="C249" s="257">
        <v>18.63</v>
      </c>
      <c r="D249" s="269" t="s">
        <v>9195</v>
      </c>
      <c r="E249" s="257" t="s">
        <v>197</v>
      </c>
      <c r="F249" s="257" t="s">
        <v>247</v>
      </c>
      <c r="G249" s="269" t="s">
        <v>8875</v>
      </c>
      <c r="H249" s="257"/>
      <c r="I249" s="269" t="s">
        <v>8896</v>
      </c>
      <c r="J249" s="271">
        <v>18560</v>
      </c>
    </row>
    <row r="250" spans="1:10" ht="21.2" customHeight="1" x14ac:dyDescent="0.25">
      <c r="A250" s="269" t="s">
        <v>9088</v>
      </c>
      <c r="B250" s="269" t="s">
        <v>9229</v>
      </c>
      <c r="C250" s="257">
        <v>13.01</v>
      </c>
      <c r="D250" s="269" t="s">
        <v>9195</v>
      </c>
      <c r="E250" s="257" t="s">
        <v>197</v>
      </c>
      <c r="F250" s="257" t="s">
        <v>247</v>
      </c>
      <c r="G250" s="269" t="s">
        <v>8875</v>
      </c>
      <c r="H250" s="257"/>
      <c r="I250" s="269" t="s">
        <v>8896</v>
      </c>
      <c r="J250" s="271">
        <v>15000</v>
      </c>
    </row>
    <row r="251" spans="1:10" ht="21.2" customHeight="1" x14ac:dyDescent="0.25">
      <c r="A251" s="269" t="s">
        <v>9089</v>
      </c>
      <c r="B251" s="269" t="s">
        <v>9235</v>
      </c>
      <c r="C251" s="257">
        <v>6.55</v>
      </c>
      <c r="D251" s="269" t="s">
        <v>9197</v>
      </c>
      <c r="E251" s="257" t="s">
        <v>182</v>
      </c>
      <c r="F251" s="257" t="s">
        <v>249</v>
      </c>
      <c r="G251" s="269" t="s">
        <v>8874</v>
      </c>
      <c r="H251" s="257" t="s">
        <v>237</v>
      </c>
      <c r="I251" s="269" t="s">
        <v>8994</v>
      </c>
      <c r="J251" s="271">
        <v>10860</v>
      </c>
    </row>
    <row r="252" spans="1:10" ht="21.2" customHeight="1" x14ac:dyDescent="0.25">
      <c r="A252" s="269" t="s">
        <v>9090</v>
      </c>
      <c r="B252" s="269" t="s">
        <v>9228</v>
      </c>
      <c r="C252" s="257">
        <v>4.6100000000000003</v>
      </c>
      <c r="D252" s="269" t="s">
        <v>9195</v>
      </c>
      <c r="E252" s="257" t="s">
        <v>197</v>
      </c>
      <c r="F252" s="257" t="s">
        <v>265</v>
      </c>
      <c r="G252" s="269" t="s">
        <v>8875</v>
      </c>
      <c r="H252" s="257"/>
      <c r="I252" s="269" t="s">
        <v>8896</v>
      </c>
      <c r="J252" s="271">
        <v>9260</v>
      </c>
    </row>
    <row r="253" spans="1:10" ht="21.2" customHeight="1" x14ac:dyDescent="0.25">
      <c r="A253" s="269" t="s">
        <v>9091</v>
      </c>
      <c r="B253" s="269" t="s">
        <v>9229</v>
      </c>
      <c r="C253" s="257">
        <v>13.28</v>
      </c>
      <c r="D253" s="269" t="s">
        <v>9195</v>
      </c>
      <c r="E253" s="257" t="s">
        <v>197</v>
      </c>
      <c r="F253" s="257" t="s">
        <v>247</v>
      </c>
      <c r="G253" s="269" t="s">
        <v>8875</v>
      </c>
      <c r="H253" s="257"/>
      <c r="I253" s="269" t="s">
        <v>8896</v>
      </c>
      <c r="J253" s="271">
        <v>15200</v>
      </c>
    </row>
    <row r="254" spans="1:10" ht="21.2" customHeight="1" x14ac:dyDescent="0.25">
      <c r="A254" s="269" t="s">
        <v>9092</v>
      </c>
      <c r="B254" s="269" t="s">
        <v>9229</v>
      </c>
      <c r="C254" s="257">
        <v>13.28</v>
      </c>
      <c r="D254" s="269" t="s">
        <v>9195</v>
      </c>
      <c r="E254" s="257" t="s">
        <v>197</v>
      </c>
      <c r="F254" s="257" t="s">
        <v>247</v>
      </c>
      <c r="G254" s="269" t="s">
        <v>8875</v>
      </c>
      <c r="H254" s="257"/>
      <c r="I254" s="269" t="s">
        <v>8896</v>
      </c>
      <c r="J254" s="271">
        <v>15200</v>
      </c>
    </row>
    <row r="255" spans="1:10" ht="21.2" customHeight="1" x14ac:dyDescent="0.25">
      <c r="A255" s="269" t="s">
        <v>9093</v>
      </c>
      <c r="B255" s="269" t="s">
        <v>9216</v>
      </c>
      <c r="C255" s="257">
        <v>2.2400000000000002</v>
      </c>
      <c r="D255" s="269" t="s">
        <v>9197</v>
      </c>
      <c r="E255" s="257" t="s">
        <v>182</v>
      </c>
      <c r="F255" s="257" t="s">
        <v>249</v>
      </c>
      <c r="G255" s="269" t="s">
        <v>8874</v>
      </c>
      <c r="H255" s="257" t="s">
        <v>237</v>
      </c>
      <c r="I255" s="269" t="s">
        <v>8994</v>
      </c>
      <c r="J255" s="271">
        <v>6260</v>
      </c>
    </row>
    <row r="256" spans="1:10" ht="21.2" customHeight="1" x14ac:dyDescent="0.25">
      <c r="A256" s="269" t="s">
        <v>9094</v>
      </c>
      <c r="B256" s="269" t="s">
        <v>9205</v>
      </c>
      <c r="C256" s="257">
        <v>1.1399999999999999</v>
      </c>
      <c r="D256" s="269" t="s">
        <v>9197</v>
      </c>
      <c r="E256" s="257" t="s">
        <v>182</v>
      </c>
      <c r="F256" s="257" t="s">
        <v>249</v>
      </c>
      <c r="G256" s="269" t="s">
        <v>8874</v>
      </c>
      <c r="H256" s="257" t="s">
        <v>237</v>
      </c>
      <c r="I256" s="269" t="s">
        <v>8994</v>
      </c>
      <c r="J256" s="271">
        <v>4340</v>
      </c>
    </row>
    <row r="257" spans="1:10" ht="21.2" customHeight="1" x14ac:dyDescent="0.25">
      <c r="A257" s="269" t="s">
        <v>9095</v>
      </c>
      <c r="B257" s="269" t="s">
        <v>9228</v>
      </c>
      <c r="C257" s="257">
        <v>4.18</v>
      </c>
      <c r="D257" s="269" t="s">
        <v>9195</v>
      </c>
      <c r="E257" s="257" t="s">
        <v>197</v>
      </c>
      <c r="F257" s="257" t="s">
        <v>265</v>
      </c>
      <c r="G257" s="269" t="s">
        <v>8875</v>
      </c>
      <c r="H257" s="257"/>
      <c r="I257" s="269" t="s">
        <v>8896</v>
      </c>
      <c r="J257" s="271">
        <v>8660</v>
      </c>
    </row>
    <row r="258" spans="1:10" ht="21.2" customHeight="1" x14ac:dyDescent="0.25">
      <c r="A258" s="269" t="s">
        <v>9096</v>
      </c>
      <c r="B258" s="269" t="s">
        <v>9229</v>
      </c>
      <c r="C258" s="257">
        <v>13.28</v>
      </c>
      <c r="D258" s="269" t="s">
        <v>9195</v>
      </c>
      <c r="E258" s="257" t="s">
        <v>197</v>
      </c>
      <c r="F258" s="257" t="s">
        <v>247</v>
      </c>
      <c r="G258" s="269" t="s">
        <v>8875</v>
      </c>
      <c r="H258" s="257"/>
      <c r="I258" s="269" t="s">
        <v>8896</v>
      </c>
      <c r="J258" s="271">
        <v>15200</v>
      </c>
    </row>
    <row r="259" spans="1:10" ht="21.2" customHeight="1" x14ac:dyDescent="0.25">
      <c r="A259" s="269" t="s">
        <v>9097</v>
      </c>
      <c r="B259" s="269" t="s">
        <v>9229</v>
      </c>
      <c r="C259" s="257">
        <v>13.28</v>
      </c>
      <c r="D259" s="269" t="s">
        <v>9195</v>
      </c>
      <c r="E259" s="257" t="s">
        <v>197</v>
      </c>
      <c r="F259" s="257" t="s">
        <v>247</v>
      </c>
      <c r="G259" s="269" t="s">
        <v>8875</v>
      </c>
      <c r="H259" s="257"/>
      <c r="I259" s="269" t="s">
        <v>8896</v>
      </c>
      <c r="J259" s="271">
        <v>15200</v>
      </c>
    </row>
    <row r="260" spans="1:10" ht="21.2" customHeight="1" x14ac:dyDescent="0.25">
      <c r="A260" s="269" t="s">
        <v>9098</v>
      </c>
      <c r="B260" s="269" t="s">
        <v>9216</v>
      </c>
      <c r="C260" s="257">
        <v>2.2400000000000002</v>
      </c>
      <c r="D260" s="269" t="s">
        <v>9197</v>
      </c>
      <c r="E260" s="257" t="s">
        <v>182</v>
      </c>
      <c r="F260" s="257" t="s">
        <v>249</v>
      </c>
      <c r="G260" s="269" t="s">
        <v>8874</v>
      </c>
      <c r="H260" s="257" t="s">
        <v>237</v>
      </c>
      <c r="I260" s="269" t="s">
        <v>8994</v>
      </c>
      <c r="J260" s="271">
        <v>6260</v>
      </c>
    </row>
    <row r="261" spans="1:10" ht="21.2" customHeight="1" x14ac:dyDescent="0.25">
      <c r="A261" s="269" t="s">
        <v>9099</v>
      </c>
      <c r="B261" s="269" t="s">
        <v>9205</v>
      </c>
      <c r="C261" s="257">
        <v>1.1399999999999999</v>
      </c>
      <c r="D261" s="269" t="s">
        <v>9197</v>
      </c>
      <c r="E261" s="257" t="s">
        <v>182</v>
      </c>
      <c r="F261" s="257" t="s">
        <v>249</v>
      </c>
      <c r="G261" s="269" t="s">
        <v>8874</v>
      </c>
      <c r="H261" s="257" t="s">
        <v>237</v>
      </c>
      <c r="I261" s="269" t="s">
        <v>8994</v>
      </c>
      <c r="J261" s="271">
        <v>4340</v>
      </c>
    </row>
    <row r="262" spans="1:10" ht="21.2" customHeight="1" x14ac:dyDescent="0.25">
      <c r="A262" s="269" t="s">
        <v>9100</v>
      </c>
      <c r="B262" s="269" t="s">
        <v>9228</v>
      </c>
      <c r="C262" s="257">
        <v>4.18</v>
      </c>
      <c r="D262" s="269" t="s">
        <v>9195</v>
      </c>
      <c r="E262" s="257" t="s">
        <v>197</v>
      </c>
      <c r="F262" s="257" t="s">
        <v>265</v>
      </c>
      <c r="G262" s="269" t="s">
        <v>8875</v>
      </c>
      <c r="H262" s="257"/>
      <c r="I262" s="269" t="s">
        <v>8896</v>
      </c>
      <c r="J262" s="271">
        <v>8660</v>
      </c>
    </row>
    <row r="263" spans="1:10" ht="21.2" customHeight="1" x14ac:dyDescent="0.25">
      <c r="A263" s="269" t="s">
        <v>9101</v>
      </c>
      <c r="B263" s="269" t="s">
        <v>9229</v>
      </c>
      <c r="C263" s="257">
        <v>13.34</v>
      </c>
      <c r="D263" s="269" t="s">
        <v>9195</v>
      </c>
      <c r="E263" s="257" t="s">
        <v>197</v>
      </c>
      <c r="F263" s="257" t="s">
        <v>247</v>
      </c>
      <c r="G263" s="269" t="s">
        <v>8875</v>
      </c>
      <c r="H263" s="257"/>
      <c r="I263" s="269" t="s">
        <v>8896</v>
      </c>
      <c r="J263" s="271">
        <v>15200</v>
      </c>
    </row>
    <row r="264" spans="1:10" ht="21.2" customHeight="1" x14ac:dyDescent="0.25">
      <c r="A264" s="269" t="s">
        <v>9102</v>
      </c>
      <c r="B264" s="269" t="s">
        <v>9229</v>
      </c>
      <c r="C264" s="257">
        <v>13.28</v>
      </c>
      <c r="D264" s="269" t="s">
        <v>9195</v>
      </c>
      <c r="E264" s="257" t="s">
        <v>197</v>
      </c>
      <c r="F264" s="257" t="s">
        <v>247</v>
      </c>
      <c r="G264" s="269" t="s">
        <v>8875</v>
      </c>
      <c r="H264" s="257"/>
      <c r="I264" s="269" t="s">
        <v>8896</v>
      </c>
      <c r="J264" s="271">
        <v>15200</v>
      </c>
    </row>
    <row r="265" spans="1:10" ht="21.2" customHeight="1" x14ac:dyDescent="0.25">
      <c r="A265" s="269" t="s">
        <v>9103</v>
      </c>
      <c r="B265" s="269" t="s">
        <v>9216</v>
      </c>
      <c r="C265" s="257">
        <v>2.2400000000000002</v>
      </c>
      <c r="D265" s="269" t="s">
        <v>9197</v>
      </c>
      <c r="E265" s="257" t="s">
        <v>182</v>
      </c>
      <c r="F265" s="257" t="s">
        <v>249</v>
      </c>
      <c r="G265" s="269" t="s">
        <v>8874</v>
      </c>
      <c r="H265" s="257" t="s">
        <v>237</v>
      </c>
      <c r="I265" s="269" t="s">
        <v>8994</v>
      </c>
      <c r="J265" s="271">
        <v>6260</v>
      </c>
    </row>
    <row r="266" spans="1:10" ht="21.2" customHeight="1" x14ac:dyDescent="0.25">
      <c r="A266" s="269" t="s">
        <v>9104</v>
      </c>
      <c r="B266" s="269" t="s">
        <v>9205</v>
      </c>
      <c r="C266" s="257">
        <v>1.1399999999999999</v>
      </c>
      <c r="D266" s="269" t="s">
        <v>9197</v>
      </c>
      <c r="E266" s="257" t="s">
        <v>182</v>
      </c>
      <c r="F266" s="257" t="s">
        <v>249</v>
      </c>
      <c r="G266" s="269" t="s">
        <v>8874</v>
      </c>
      <c r="H266" s="257" t="s">
        <v>237</v>
      </c>
      <c r="I266" s="269" t="s">
        <v>8994</v>
      </c>
      <c r="J266" s="271">
        <v>4340</v>
      </c>
    </row>
    <row r="267" spans="1:10" ht="21.2" customHeight="1" x14ac:dyDescent="0.25">
      <c r="A267" s="269" t="s">
        <v>9105</v>
      </c>
      <c r="B267" s="269" t="s">
        <v>9228</v>
      </c>
      <c r="C267" s="257">
        <v>8.6999999999999993</v>
      </c>
      <c r="D267" s="269" t="s">
        <v>9195</v>
      </c>
      <c r="E267" s="257" t="s">
        <v>197</v>
      </c>
      <c r="F267" s="257" t="s">
        <v>265</v>
      </c>
      <c r="G267" s="269" t="s">
        <v>8875</v>
      </c>
      <c r="H267" s="257"/>
      <c r="I267" s="269" t="s">
        <v>8896</v>
      </c>
      <c r="J267" s="271">
        <v>14900</v>
      </c>
    </row>
    <row r="268" spans="1:10" ht="21.2" customHeight="1" x14ac:dyDescent="0.25">
      <c r="A268" s="269" t="s">
        <v>9106</v>
      </c>
      <c r="B268" s="269" t="s">
        <v>9229</v>
      </c>
      <c r="C268" s="257">
        <v>13.28</v>
      </c>
      <c r="D268" s="269" t="s">
        <v>9195</v>
      </c>
      <c r="E268" s="257" t="s">
        <v>197</v>
      </c>
      <c r="F268" s="257" t="s">
        <v>247</v>
      </c>
      <c r="G268" s="269" t="s">
        <v>8875</v>
      </c>
      <c r="H268" s="257"/>
      <c r="I268" s="269" t="s">
        <v>8896</v>
      </c>
      <c r="J268" s="271">
        <v>15200</v>
      </c>
    </row>
    <row r="269" spans="1:10" ht="21.2" customHeight="1" x14ac:dyDescent="0.25">
      <c r="A269" s="269" t="s">
        <v>9107</v>
      </c>
      <c r="B269" s="269" t="s">
        <v>9229</v>
      </c>
      <c r="C269" s="257">
        <v>13.28</v>
      </c>
      <c r="D269" s="269" t="s">
        <v>9195</v>
      </c>
      <c r="E269" s="257" t="s">
        <v>197</v>
      </c>
      <c r="F269" s="257" t="s">
        <v>247</v>
      </c>
      <c r="G269" s="269" t="s">
        <v>8875</v>
      </c>
      <c r="H269" s="257"/>
      <c r="I269" s="269" t="s">
        <v>8896</v>
      </c>
      <c r="J269" s="271">
        <v>15200</v>
      </c>
    </row>
    <row r="270" spans="1:10" ht="21.2" customHeight="1" x14ac:dyDescent="0.25">
      <c r="A270" s="269" t="s">
        <v>9108</v>
      </c>
      <c r="B270" s="269" t="s">
        <v>9229</v>
      </c>
      <c r="C270" s="257">
        <v>13.28</v>
      </c>
      <c r="D270" s="269" t="s">
        <v>9195</v>
      </c>
      <c r="E270" s="257" t="s">
        <v>197</v>
      </c>
      <c r="F270" s="257" t="s">
        <v>247</v>
      </c>
      <c r="G270" s="269" t="s">
        <v>8875</v>
      </c>
      <c r="H270" s="257"/>
      <c r="I270" s="269" t="s">
        <v>8896</v>
      </c>
      <c r="J270" s="271">
        <v>15200</v>
      </c>
    </row>
    <row r="271" spans="1:10" ht="21.2" customHeight="1" x14ac:dyDescent="0.25">
      <c r="A271" s="269" t="s">
        <v>9109</v>
      </c>
      <c r="B271" s="269" t="s">
        <v>9205</v>
      </c>
      <c r="C271" s="257">
        <v>1.1399999999999999</v>
      </c>
      <c r="D271" s="269" t="s">
        <v>9197</v>
      </c>
      <c r="E271" s="257" t="s">
        <v>182</v>
      </c>
      <c r="F271" s="257" t="s">
        <v>249</v>
      </c>
      <c r="G271" s="269" t="s">
        <v>8874</v>
      </c>
      <c r="H271" s="257" t="s">
        <v>237</v>
      </c>
      <c r="I271" s="269" t="s">
        <v>8994</v>
      </c>
      <c r="J271" s="271">
        <v>4340</v>
      </c>
    </row>
    <row r="272" spans="1:10" ht="21.2" customHeight="1" x14ac:dyDescent="0.25">
      <c r="A272" s="269" t="s">
        <v>9110</v>
      </c>
      <c r="B272" s="269" t="s">
        <v>9216</v>
      </c>
      <c r="C272" s="257">
        <v>2.13</v>
      </c>
      <c r="D272" s="269" t="s">
        <v>9197</v>
      </c>
      <c r="E272" s="257" t="s">
        <v>182</v>
      </c>
      <c r="F272" s="257" t="s">
        <v>249</v>
      </c>
      <c r="G272" s="269" t="s">
        <v>8874</v>
      </c>
      <c r="H272" s="257" t="s">
        <v>237</v>
      </c>
      <c r="I272" s="269" t="s">
        <v>9016</v>
      </c>
      <c r="J272" s="271">
        <v>5890</v>
      </c>
    </row>
    <row r="273" spans="1:10" ht="21.2" customHeight="1" x14ac:dyDescent="0.25">
      <c r="A273" s="269" t="s">
        <v>9111</v>
      </c>
      <c r="B273" s="269" t="s">
        <v>9228</v>
      </c>
      <c r="C273" s="257">
        <v>4.72</v>
      </c>
      <c r="D273" s="269" t="s">
        <v>9195</v>
      </c>
      <c r="E273" s="257" t="s">
        <v>197</v>
      </c>
      <c r="F273" s="257" t="s">
        <v>265</v>
      </c>
      <c r="G273" s="269" t="s">
        <v>8875</v>
      </c>
      <c r="H273" s="257"/>
      <c r="I273" s="269" t="s">
        <v>8896</v>
      </c>
      <c r="J273" s="271">
        <v>9410</v>
      </c>
    </row>
    <row r="274" spans="1:10" ht="21.2" customHeight="1" x14ac:dyDescent="0.25">
      <c r="A274" s="269" t="s">
        <v>9112</v>
      </c>
      <c r="B274" s="269" t="s">
        <v>9229</v>
      </c>
      <c r="C274" s="257">
        <v>15.71</v>
      </c>
      <c r="D274" s="269" t="s">
        <v>9195</v>
      </c>
      <c r="E274" s="257" t="s">
        <v>197</v>
      </c>
      <c r="F274" s="257" t="s">
        <v>247</v>
      </c>
      <c r="G274" s="269" t="s">
        <v>8875</v>
      </c>
      <c r="H274" s="257"/>
      <c r="I274" s="269" t="s">
        <v>8896</v>
      </c>
      <c r="J274" s="271">
        <v>16400</v>
      </c>
    </row>
    <row r="275" spans="1:10" ht="21.2" customHeight="1" x14ac:dyDescent="0.25">
      <c r="A275" s="269" t="s">
        <v>9113</v>
      </c>
      <c r="B275" s="269" t="s">
        <v>9229</v>
      </c>
      <c r="C275" s="257">
        <v>13.28</v>
      </c>
      <c r="D275" s="269" t="s">
        <v>9195</v>
      </c>
      <c r="E275" s="257" t="s">
        <v>197</v>
      </c>
      <c r="F275" s="257" t="s">
        <v>247</v>
      </c>
      <c r="G275" s="269" t="s">
        <v>8875</v>
      </c>
      <c r="H275" s="257"/>
      <c r="I275" s="269" t="s">
        <v>8896</v>
      </c>
      <c r="J275" s="271">
        <v>15200</v>
      </c>
    </row>
    <row r="276" spans="1:10" ht="21.2" customHeight="1" x14ac:dyDescent="0.25">
      <c r="A276" s="269" t="s">
        <v>9114</v>
      </c>
      <c r="B276" s="269" t="s">
        <v>9216</v>
      </c>
      <c r="C276" s="257">
        <v>2.11</v>
      </c>
      <c r="D276" s="269" t="s">
        <v>9197</v>
      </c>
      <c r="E276" s="257" t="s">
        <v>182</v>
      </c>
      <c r="F276" s="257" t="s">
        <v>249</v>
      </c>
      <c r="G276" s="269" t="s">
        <v>8874</v>
      </c>
      <c r="H276" s="257" t="s">
        <v>237</v>
      </c>
      <c r="I276" s="269" t="s">
        <v>9016</v>
      </c>
      <c r="J276" s="271">
        <v>6260</v>
      </c>
    </row>
    <row r="277" spans="1:10" ht="21.2" customHeight="1" x14ac:dyDescent="0.25">
      <c r="A277" s="269" t="s">
        <v>9115</v>
      </c>
      <c r="B277" s="269" t="s">
        <v>9205</v>
      </c>
      <c r="C277" s="257">
        <v>1.1399999999999999</v>
      </c>
      <c r="D277" s="269" t="s">
        <v>9197</v>
      </c>
      <c r="E277" s="257" t="s">
        <v>182</v>
      </c>
      <c r="F277" s="257" t="s">
        <v>249</v>
      </c>
      <c r="G277" s="269" t="s">
        <v>8874</v>
      </c>
      <c r="H277" s="257" t="s">
        <v>237</v>
      </c>
      <c r="I277" s="269" t="s">
        <v>9016</v>
      </c>
      <c r="J277" s="271">
        <v>4340</v>
      </c>
    </row>
    <row r="278" spans="1:10" ht="21.2" customHeight="1" x14ac:dyDescent="0.25">
      <c r="A278" s="269" t="s">
        <v>9116</v>
      </c>
      <c r="B278" s="269" t="s">
        <v>9228</v>
      </c>
      <c r="C278" s="257">
        <v>4.47</v>
      </c>
      <c r="D278" s="269" t="s">
        <v>9195</v>
      </c>
      <c r="E278" s="257" t="s">
        <v>197</v>
      </c>
      <c r="F278" s="257" t="s">
        <v>265</v>
      </c>
      <c r="G278" s="269" t="s">
        <v>8875</v>
      </c>
      <c r="H278" s="257"/>
      <c r="I278" s="269" t="s">
        <v>8896</v>
      </c>
      <c r="J278" s="271">
        <v>9750</v>
      </c>
    </row>
    <row r="279" spans="1:10" ht="21.2" customHeight="1" x14ac:dyDescent="0.25">
      <c r="A279" s="269" t="s">
        <v>9117</v>
      </c>
      <c r="B279" s="269" t="s">
        <v>9229</v>
      </c>
      <c r="C279" s="257">
        <v>13.28</v>
      </c>
      <c r="D279" s="269" t="s">
        <v>9195</v>
      </c>
      <c r="E279" s="257" t="s">
        <v>197</v>
      </c>
      <c r="F279" s="257" t="s">
        <v>247</v>
      </c>
      <c r="G279" s="269" t="s">
        <v>8875</v>
      </c>
      <c r="H279" s="257"/>
      <c r="I279" s="269" t="s">
        <v>8896</v>
      </c>
      <c r="J279" s="271">
        <v>15200</v>
      </c>
    </row>
    <row r="280" spans="1:10" ht="21.2" customHeight="1" x14ac:dyDescent="0.25">
      <c r="A280" s="269" t="s">
        <v>9118</v>
      </c>
      <c r="B280" s="269" t="s">
        <v>9229</v>
      </c>
      <c r="C280" s="257">
        <v>12.44</v>
      </c>
      <c r="D280" s="269" t="s">
        <v>9195</v>
      </c>
      <c r="E280" s="257" t="s">
        <v>197</v>
      </c>
      <c r="F280" s="257" t="s">
        <v>247</v>
      </c>
      <c r="G280" s="269" t="s">
        <v>8875</v>
      </c>
      <c r="H280" s="257"/>
      <c r="I280" s="269" t="s">
        <v>8896</v>
      </c>
      <c r="J280" s="271">
        <v>14650</v>
      </c>
    </row>
    <row r="281" spans="1:10" ht="21.2" customHeight="1" x14ac:dyDescent="0.25">
      <c r="A281" s="269" t="s">
        <v>9119</v>
      </c>
      <c r="B281" s="269" t="s">
        <v>9216</v>
      </c>
      <c r="C281" s="257">
        <v>2.2400000000000002</v>
      </c>
      <c r="D281" s="269" t="s">
        <v>9197</v>
      </c>
      <c r="E281" s="257" t="s">
        <v>182</v>
      </c>
      <c r="F281" s="257" t="s">
        <v>249</v>
      </c>
      <c r="G281" s="269" t="s">
        <v>8874</v>
      </c>
      <c r="H281" s="257" t="s">
        <v>237</v>
      </c>
      <c r="I281" s="269" t="s">
        <v>9016</v>
      </c>
      <c r="J281" s="271">
        <v>6260</v>
      </c>
    </row>
    <row r="282" spans="1:10" ht="21.2" customHeight="1" x14ac:dyDescent="0.25">
      <c r="A282" s="269" t="s">
        <v>9120</v>
      </c>
      <c r="B282" s="269" t="s">
        <v>9205</v>
      </c>
      <c r="C282" s="257">
        <v>1.35</v>
      </c>
      <c r="D282" s="269" t="s">
        <v>9197</v>
      </c>
      <c r="E282" s="257" t="s">
        <v>182</v>
      </c>
      <c r="F282" s="257" t="s">
        <v>249</v>
      </c>
      <c r="G282" s="269" t="s">
        <v>8874</v>
      </c>
      <c r="H282" s="257" t="s">
        <v>237</v>
      </c>
      <c r="I282" s="269" t="s">
        <v>9016</v>
      </c>
      <c r="J282" s="271">
        <v>4710</v>
      </c>
    </row>
    <row r="283" spans="1:10" ht="21.2" customHeight="1" x14ac:dyDescent="0.25">
      <c r="A283" s="269" t="s">
        <v>9121</v>
      </c>
      <c r="B283" s="269" t="s">
        <v>9228</v>
      </c>
      <c r="C283" s="257">
        <v>10.56</v>
      </c>
      <c r="D283" s="269" t="s">
        <v>9195</v>
      </c>
      <c r="E283" s="257" t="s">
        <v>197</v>
      </c>
      <c r="F283" s="257" t="s">
        <v>265</v>
      </c>
      <c r="G283" s="269" t="s">
        <v>8875</v>
      </c>
      <c r="H283" s="257"/>
      <c r="I283" s="269" t="s">
        <v>8896</v>
      </c>
      <c r="J283" s="271">
        <v>19100</v>
      </c>
    </row>
    <row r="284" spans="1:10" ht="21.2" customHeight="1" x14ac:dyDescent="0.25">
      <c r="A284" s="269" t="s">
        <v>9122</v>
      </c>
      <c r="B284" s="269" t="s">
        <v>9229</v>
      </c>
      <c r="C284" s="257">
        <v>14.54</v>
      </c>
      <c r="D284" s="269" t="s">
        <v>9195</v>
      </c>
      <c r="E284" s="257" t="s">
        <v>197</v>
      </c>
      <c r="F284" s="257" t="s">
        <v>247</v>
      </c>
      <c r="G284" s="269" t="s">
        <v>8875</v>
      </c>
      <c r="H284" s="257"/>
      <c r="I284" s="269" t="s">
        <v>8896</v>
      </c>
      <c r="J284" s="271">
        <v>15900</v>
      </c>
    </row>
    <row r="285" spans="1:10" ht="21.2" customHeight="1" x14ac:dyDescent="0.25">
      <c r="A285" s="269" t="s">
        <v>9123</v>
      </c>
      <c r="B285" s="269" t="s">
        <v>9229</v>
      </c>
      <c r="C285" s="257">
        <v>12.67</v>
      </c>
      <c r="D285" s="269" t="s">
        <v>9195</v>
      </c>
      <c r="E285" s="257" t="s">
        <v>197</v>
      </c>
      <c r="F285" s="257" t="s">
        <v>247</v>
      </c>
      <c r="G285" s="269" t="s">
        <v>8875</v>
      </c>
      <c r="H285" s="257"/>
      <c r="I285" s="269" t="s">
        <v>8896</v>
      </c>
      <c r="J285" s="271">
        <v>15200</v>
      </c>
    </row>
    <row r="286" spans="1:10" ht="21.2" customHeight="1" x14ac:dyDescent="0.25">
      <c r="A286" s="269" t="s">
        <v>9124</v>
      </c>
      <c r="B286" s="269" t="s">
        <v>9229</v>
      </c>
      <c r="C286" s="257">
        <v>14.3</v>
      </c>
      <c r="D286" s="269" t="s">
        <v>9195</v>
      </c>
      <c r="E286" s="257" t="s">
        <v>197</v>
      </c>
      <c r="F286" s="257" t="s">
        <v>247</v>
      </c>
      <c r="G286" s="269" t="s">
        <v>8875</v>
      </c>
      <c r="H286" s="257"/>
      <c r="I286" s="269" t="s">
        <v>8896</v>
      </c>
      <c r="J286" s="271">
        <v>15800</v>
      </c>
    </row>
    <row r="287" spans="1:10" ht="21.2" customHeight="1" x14ac:dyDescent="0.25">
      <c r="A287" s="269" t="s">
        <v>9125</v>
      </c>
      <c r="B287" s="269" t="s">
        <v>9205</v>
      </c>
      <c r="C287" s="257">
        <v>1.76</v>
      </c>
      <c r="D287" s="269" t="s">
        <v>9197</v>
      </c>
      <c r="E287" s="257" t="s">
        <v>182</v>
      </c>
      <c r="F287" s="257" t="s">
        <v>249</v>
      </c>
      <c r="G287" s="269" t="s">
        <v>8874</v>
      </c>
      <c r="H287" s="257" t="s">
        <v>237</v>
      </c>
      <c r="I287" s="269" t="s">
        <v>9016</v>
      </c>
      <c r="J287" s="271">
        <v>5400</v>
      </c>
    </row>
    <row r="288" spans="1:10" ht="21.2" customHeight="1" x14ac:dyDescent="0.25">
      <c r="A288" s="269" t="s">
        <v>9126</v>
      </c>
      <c r="B288" s="269" t="s">
        <v>9216</v>
      </c>
      <c r="C288" s="257">
        <v>2.4300000000000002</v>
      </c>
      <c r="D288" s="269" t="s">
        <v>9197</v>
      </c>
      <c r="E288" s="257" t="s">
        <v>182</v>
      </c>
      <c r="F288" s="257" t="s">
        <v>249</v>
      </c>
      <c r="G288" s="269" t="s">
        <v>8874</v>
      </c>
      <c r="H288" s="257" t="s">
        <v>237</v>
      </c>
      <c r="I288" s="269" t="s">
        <v>9016</v>
      </c>
      <c r="J288" s="271">
        <v>6450</v>
      </c>
    </row>
    <row r="289" spans="1:15" ht="21.2" customHeight="1" x14ac:dyDescent="0.25">
      <c r="A289" s="269" t="s">
        <v>9127</v>
      </c>
      <c r="B289" s="269" t="s">
        <v>9228</v>
      </c>
      <c r="C289" s="257">
        <v>18.32</v>
      </c>
      <c r="D289" s="269" t="s">
        <v>9195</v>
      </c>
      <c r="E289" s="257" t="s">
        <v>197</v>
      </c>
      <c r="F289" s="257" t="s">
        <v>265</v>
      </c>
      <c r="G289" s="269" t="s">
        <v>8875</v>
      </c>
      <c r="H289" s="257"/>
      <c r="I289" s="272" t="s">
        <v>9237</v>
      </c>
      <c r="J289" s="271">
        <v>29110</v>
      </c>
    </row>
    <row r="290" spans="1:15" ht="21.2" customHeight="1" x14ac:dyDescent="0.25">
      <c r="A290" s="269" t="s">
        <v>9128</v>
      </c>
      <c r="B290" s="269" t="s">
        <v>9234</v>
      </c>
      <c r="C290" s="257">
        <v>17.14</v>
      </c>
      <c r="D290" s="269" t="s">
        <v>9195</v>
      </c>
      <c r="E290" s="257" t="s">
        <v>197</v>
      </c>
      <c r="F290" s="257" t="s">
        <v>247</v>
      </c>
      <c r="G290" s="269" t="s">
        <v>8875</v>
      </c>
      <c r="H290" s="257"/>
      <c r="I290" s="269" t="s">
        <v>8896</v>
      </c>
      <c r="J290" s="271">
        <v>16850</v>
      </c>
    </row>
    <row r="291" spans="1:15" ht="21.2" customHeight="1" x14ac:dyDescent="0.25">
      <c r="A291" s="269" t="s">
        <v>9129</v>
      </c>
      <c r="B291" s="269" t="s">
        <v>9229</v>
      </c>
      <c r="C291" s="257">
        <v>9.02</v>
      </c>
      <c r="D291" s="269" t="s">
        <v>9195</v>
      </c>
      <c r="E291" s="257" t="s">
        <v>197</v>
      </c>
      <c r="F291" s="257" t="s">
        <v>247</v>
      </c>
      <c r="G291" s="269" t="s">
        <v>8875</v>
      </c>
      <c r="H291" s="257"/>
      <c r="I291" s="269" t="s">
        <v>8896</v>
      </c>
      <c r="J291" s="271">
        <v>12550</v>
      </c>
    </row>
    <row r="292" spans="1:15" ht="21.2" customHeight="1" x14ac:dyDescent="0.25">
      <c r="A292" s="269" t="s">
        <v>9130</v>
      </c>
      <c r="B292" s="269" t="s">
        <v>9234</v>
      </c>
      <c r="C292" s="257">
        <v>17.62</v>
      </c>
      <c r="D292" s="269" t="s">
        <v>9195</v>
      </c>
      <c r="E292" s="257" t="s">
        <v>197</v>
      </c>
      <c r="F292" s="257" t="s">
        <v>247</v>
      </c>
      <c r="G292" s="269" t="s">
        <v>8875</v>
      </c>
      <c r="H292" s="257"/>
      <c r="I292" s="269" t="s">
        <v>8896</v>
      </c>
      <c r="J292" s="271">
        <v>17450</v>
      </c>
    </row>
    <row r="293" spans="1:15" ht="21.2" customHeight="1" x14ac:dyDescent="0.25">
      <c r="A293" s="269" t="s">
        <v>9131</v>
      </c>
      <c r="B293" s="269" t="s">
        <v>9229</v>
      </c>
      <c r="C293" s="257">
        <v>15.54</v>
      </c>
      <c r="D293" s="269" t="s">
        <v>9195</v>
      </c>
      <c r="E293" s="257" t="s">
        <v>197</v>
      </c>
      <c r="F293" s="257" t="s">
        <v>247</v>
      </c>
      <c r="G293" s="269" t="s">
        <v>8875</v>
      </c>
      <c r="H293" s="257"/>
      <c r="I293" s="269" t="s">
        <v>8896</v>
      </c>
      <c r="J293" s="271">
        <v>16750</v>
      </c>
    </row>
    <row r="294" spans="1:15" ht="21.2" customHeight="1" x14ac:dyDescent="0.25">
      <c r="A294" s="269" t="s">
        <v>9132</v>
      </c>
      <c r="B294" s="269" t="s">
        <v>9229</v>
      </c>
      <c r="C294" s="257">
        <v>13.83</v>
      </c>
      <c r="D294" s="269" t="s">
        <v>9195</v>
      </c>
      <c r="E294" s="257" t="s">
        <v>197</v>
      </c>
      <c r="F294" s="257" t="s">
        <v>247</v>
      </c>
      <c r="G294" s="269" t="s">
        <v>8875</v>
      </c>
      <c r="H294" s="257"/>
      <c r="I294" s="269" t="s">
        <v>8896</v>
      </c>
      <c r="J294" s="271">
        <v>15950</v>
      </c>
    </row>
    <row r="295" spans="1:15" ht="21.2" customHeight="1" x14ac:dyDescent="0.25">
      <c r="A295" s="269" t="s">
        <v>9133</v>
      </c>
      <c r="B295" s="269" t="s">
        <v>9238</v>
      </c>
      <c r="C295" s="257">
        <v>5.54</v>
      </c>
      <c r="D295" s="269" t="s">
        <v>9197</v>
      </c>
      <c r="E295" s="257" t="s">
        <v>182</v>
      </c>
      <c r="F295" s="257" t="s">
        <v>249</v>
      </c>
      <c r="G295" s="269" t="s">
        <v>8874</v>
      </c>
      <c r="H295" s="257" t="s">
        <v>237</v>
      </c>
      <c r="I295" s="269" t="s">
        <v>9016</v>
      </c>
      <c r="J295" s="271">
        <v>9570</v>
      </c>
    </row>
    <row r="296" spans="1:15" ht="21.2" customHeight="1" x14ac:dyDescent="0.25">
      <c r="A296" s="269" t="s">
        <v>5096</v>
      </c>
      <c r="B296" s="269" t="s">
        <v>9216</v>
      </c>
      <c r="C296" s="257">
        <v>5.88</v>
      </c>
      <c r="D296" s="269" t="s">
        <v>9197</v>
      </c>
      <c r="E296" s="257" t="s">
        <v>182</v>
      </c>
      <c r="F296" s="257" t="s">
        <v>249</v>
      </c>
      <c r="G296" s="269" t="s">
        <v>8874</v>
      </c>
      <c r="H296" s="257" t="s">
        <v>237</v>
      </c>
      <c r="I296" s="269" t="s">
        <v>9016</v>
      </c>
      <c r="J296" s="271">
        <v>9700</v>
      </c>
    </row>
    <row r="297" spans="1:15" ht="30.2" customHeight="1" x14ac:dyDescent="0.25">
      <c r="A297" s="269" t="s">
        <v>5097</v>
      </c>
      <c r="B297" s="269" t="s">
        <v>9222</v>
      </c>
      <c r="C297" s="257">
        <v>8.4</v>
      </c>
      <c r="D297" s="269" t="s">
        <v>9197</v>
      </c>
      <c r="E297" s="257" t="s">
        <v>177</v>
      </c>
      <c r="F297" s="257" t="s">
        <v>249</v>
      </c>
      <c r="G297" s="269" t="s">
        <v>8874</v>
      </c>
      <c r="H297" s="257" t="s">
        <v>239</v>
      </c>
      <c r="I297" s="269" t="s">
        <v>9231</v>
      </c>
      <c r="J297" s="271">
        <v>12200</v>
      </c>
    </row>
    <row r="298" spans="1:15" s="268" customFormat="1" ht="15.75" x14ac:dyDescent="0.25">
      <c r="A298" s="264" t="s">
        <v>434</v>
      </c>
      <c r="B298" s="265"/>
      <c r="C298" s="266">
        <f>SUBTOTAL(9,C299:C344)</f>
        <v>471.20000000000022</v>
      </c>
      <c r="D298" s="267"/>
      <c r="E298" s="267"/>
      <c r="F298" s="267"/>
      <c r="G298" s="266"/>
      <c r="H298" s="266"/>
      <c r="I298" s="266"/>
      <c r="J298" s="266"/>
      <c r="K298" s="240"/>
      <c r="L298" s="240"/>
      <c r="M298" s="240"/>
      <c r="N298" s="240"/>
      <c r="O298" s="240"/>
    </row>
    <row r="299" spans="1:15" ht="45" x14ac:dyDescent="0.25">
      <c r="A299" s="269" t="s">
        <v>1521</v>
      </c>
      <c r="B299" s="269" t="s">
        <v>9210</v>
      </c>
      <c r="C299" s="257">
        <f>34.14-C300</f>
        <v>21.090000000000003</v>
      </c>
      <c r="D299" s="269" t="s">
        <v>9197</v>
      </c>
      <c r="E299" s="257" t="s">
        <v>177</v>
      </c>
      <c r="F299" s="257" t="s">
        <v>253</v>
      </c>
      <c r="G299" s="269" t="s">
        <v>8875</v>
      </c>
      <c r="H299" s="257"/>
      <c r="I299" s="272" t="s">
        <v>9236</v>
      </c>
      <c r="J299" s="271">
        <v>26400</v>
      </c>
    </row>
    <row r="300" spans="1:15" ht="33.75" x14ac:dyDescent="0.25">
      <c r="A300" s="269" t="s">
        <v>1521</v>
      </c>
      <c r="B300" s="269" t="s">
        <v>9212</v>
      </c>
      <c r="C300" s="257">
        <f>(2*2.1+4.5)*1.5</f>
        <v>13.049999999999999</v>
      </c>
      <c r="D300" s="272" t="s">
        <v>9197</v>
      </c>
      <c r="E300" s="273" t="s">
        <v>177</v>
      </c>
      <c r="F300" s="257" t="s">
        <v>8871</v>
      </c>
      <c r="G300" s="269" t="s">
        <v>8875</v>
      </c>
      <c r="H300" s="257"/>
      <c r="I300" s="272" t="s">
        <v>9213</v>
      </c>
      <c r="J300" s="271" t="s">
        <v>9214</v>
      </c>
    </row>
    <row r="301" spans="1:15" ht="21.2" customHeight="1" x14ac:dyDescent="0.25">
      <c r="A301" s="269" t="s">
        <v>5102</v>
      </c>
      <c r="B301" s="269" t="s">
        <v>9196</v>
      </c>
      <c r="C301" s="257">
        <v>11.66</v>
      </c>
      <c r="D301" s="269" t="s">
        <v>9197</v>
      </c>
      <c r="E301" s="257" t="s">
        <v>177</v>
      </c>
      <c r="F301" s="257" t="s">
        <v>253</v>
      </c>
      <c r="G301" s="269" t="s">
        <v>8875</v>
      </c>
      <c r="H301" s="257"/>
      <c r="I301" s="269" t="s">
        <v>9198</v>
      </c>
      <c r="J301" s="271">
        <v>16090</v>
      </c>
    </row>
    <row r="302" spans="1:15" ht="21.2" customHeight="1" x14ac:dyDescent="0.25">
      <c r="A302" s="269" t="s">
        <v>5101</v>
      </c>
      <c r="B302" s="269" t="s">
        <v>9196</v>
      </c>
      <c r="C302" s="257">
        <v>57.1</v>
      </c>
      <c r="D302" s="269" t="s">
        <v>9197</v>
      </c>
      <c r="E302" s="257" t="s">
        <v>177</v>
      </c>
      <c r="F302" s="257" t="s">
        <v>253</v>
      </c>
      <c r="G302" s="269" t="s">
        <v>8875</v>
      </c>
      <c r="H302" s="257"/>
      <c r="I302" s="269" t="s">
        <v>9198</v>
      </c>
      <c r="J302" s="271">
        <v>72590</v>
      </c>
    </row>
    <row r="303" spans="1:15" ht="21.2" customHeight="1" x14ac:dyDescent="0.25">
      <c r="A303" s="269" t="s">
        <v>5100</v>
      </c>
      <c r="B303" s="269" t="s">
        <v>9196</v>
      </c>
      <c r="C303" s="257">
        <v>10.82</v>
      </c>
      <c r="D303" s="269" t="s">
        <v>9197</v>
      </c>
      <c r="E303" s="257" t="s">
        <v>177</v>
      </c>
      <c r="F303" s="257" t="s">
        <v>253</v>
      </c>
      <c r="G303" s="269" t="s">
        <v>8875</v>
      </c>
      <c r="H303" s="257"/>
      <c r="I303" s="269" t="s">
        <v>9198</v>
      </c>
      <c r="J303" s="271">
        <v>16190</v>
      </c>
    </row>
    <row r="304" spans="1:15" ht="21.2" customHeight="1" x14ac:dyDescent="0.25">
      <c r="A304" s="269" t="s">
        <v>9135</v>
      </c>
      <c r="B304" s="269" t="s">
        <v>9207</v>
      </c>
      <c r="C304" s="257">
        <v>2.25</v>
      </c>
      <c r="D304" s="269" t="s">
        <v>9197</v>
      </c>
      <c r="E304" s="257" t="s">
        <v>186</v>
      </c>
      <c r="F304" s="257" t="s">
        <v>249</v>
      </c>
      <c r="G304" s="269" t="s">
        <v>8874</v>
      </c>
      <c r="H304" s="257" t="s">
        <v>237</v>
      </c>
      <c r="I304" s="269" t="s">
        <v>8994</v>
      </c>
      <c r="J304" s="271">
        <v>6800</v>
      </c>
    </row>
    <row r="305" spans="1:10" ht="30.2" customHeight="1" x14ac:dyDescent="0.25">
      <c r="A305" s="269" t="s">
        <v>5103</v>
      </c>
      <c r="B305" s="269" t="s">
        <v>9222</v>
      </c>
      <c r="C305" s="257">
        <v>15.72</v>
      </c>
      <c r="D305" s="269" t="s">
        <v>9197</v>
      </c>
      <c r="E305" s="257" t="s">
        <v>177</v>
      </c>
      <c r="F305" s="257" t="s">
        <v>249</v>
      </c>
      <c r="G305" s="269" t="s">
        <v>8875</v>
      </c>
      <c r="H305" s="257" t="s">
        <v>239</v>
      </c>
      <c r="I305" s="269" t="s">
        <v>9231</v>
      </c>
      <c r="J305" s="271">
        <v>18250</v>
      </c>
    </row>
    <row r="306" spans="1:10" ht="21.2" customHeight="1" x14ac:dyDescent="0.25">
      <c r="A306" s="269" t="s">
        <v>9136</v>
      </c>
      <c r="B306" s="269" t="s">
        <v>9227</v>
      </c>
      <c r="C306" s="257">
        <v>57.53</v>
      </c>
      <c r="D306" s="269" t="s">
        <v>9197</v>
      </c>
      <c r="E306" s="257" t="s">
        <v>4015</v>
      </c>
      <c r="F306" s="257" t="s">
        <v>4021</v>
      </c>
      <c r="G306" s="269" t="s">
        <v>8878</v>
      </c>
      <c r="H306" s="257"/>
      <c r="I306" s="269" t="s">
        <v>8899</v>
      </c>
      <c r="J306" s="271">
        <v>31040</v>
      </c>
    </row>
    <row r="307" spans="1:10" ht="21.2" customHeight="1" x14ac:dyDescent="0.25">
      <c r="A307" s="269" t="s">
        <v>9137</v>
      </c>
      <c r="B307" s="269" t="s">
        <v>9218</v>
      </c>
      <c r="C307" s="257">
        <v>4.1100000000000003</v>
      </c>
      <c r="D307" s="269"/>
      <c r="E307" s="257"/>
      <c r="F307" s="257" t="s">
        <v>8871</v>
      </c>
      <c r="G307" s="269" t="s">
        <v>8871</v>
      </c>
      <c r="H307" s="257"/>
      <c r="I307" s="269" t="s">
        <v>8871</v>
      </c>
      <c r="J307" s="271">
        <v>8340</v>
      </c>
    </row>
    <row r="308" spans="1:10" ht="21.2" customHeight="1" x14ac:dyDescent="0.25">
      <c r="A308" s="269" t="s">
        <v>2036</v>
      </c>
      <c r="B308" s="269" t="s">
        <v>9239</v>
      </c>
      <c r="C308" s="257">
        <v>11.31</v>
      </c>
      <c r="D308" s="269" t="s">
        <v>9189</v>
      </c>
      <c r="E308" s="257" t="s">
        <v>218</v>
      </c>
      <c r="F308" s="257" t="s">
        <v>243</v>
      </c>
      <c r="G308" s="269" t="s">
        <v>8875</v>
      </c>
      <c r="H308" s="257"/>
      <c r="I308" s="270" t="s">
        <v>9190</v>
      </c>
      <c r="J308" s="271">
        <v>13730</v>
      </c>
    </row>
    <row r="309" spans="1:10" ht="21.2" customHeight="1" x14ac:dyDescent="0.25">
      <c r="A309" s="269" t="s">
        <v>9138</v>
      </c>
      <c r="B309" s="269" t="s">
        <v>9228</v>
      </c>
      <c r="C309" s="257">
        <v>4.8600000000000003</v>
      </c>
      <c r="D309" s="269" t="s">
        <v>9195</v>
      </c>
      <c r="E309" s="257" t="s">
        <v>197</v>
      </c>
      <c r="F309" s="257" t="s">
        <v>265</v>
      </c>
      <c r="G309" s="269" t="s">
        <v>8875</v>
      </c>
      <c r="H309" s="257"/>
      <c r="I309" s="269" t="s">
        <v>8896</v>
      </c>
      <c r="J309" s="271">
        <v>9610</v>
      </c>
    </row>
    <row r="310" spans="1:10" ht="21.2" customHeight="1" x14ac:dyDescent="0.25">
      <c r="A310" s="269" t="s">
        <v>9139</v>
      </c>
      <c r="B310" s="269" t="s">
        <v>9229</v>
      </c>
      <c r="C310" s="257">
        <v>15.64</v>
      </c>
      <c r="D310" s="269" t="s">
        <v>9195</v>
      </c>
      <c r="E310" s="257" t="s">
        <v>197</v>
      </c>
      <c r="F310" s="257" t="s">
        <v>247</v>
      </c>
      <c r="G310" s="269" t="s">
        <v>8875</v>
      </c>
      <c r="H310" s="257"/>
      <c r="I310" s="269" t="s">
        <v>8896</v>
      </c>
      <c r="J310" s="271">
        <v>16350</v>
      </c>
    </row>
    <row r="311" spans="1:10" ht="21.2" customHeight="1" x14ac:dyDescent="0.25">
      <c r="A311" s="269" t="s">
        <v>9140</v>
      </c>
      <c r="B311" s="269" t="s">
        <v>9229</v>
      </c>
      <c r="C311" s="257">
        <v>13.72</v>
      </c>
      <c r="D311" s="269" t="s">
        <v>9195</v>
      </c>
      <c r="E311" s="257" t="s">
        <v>197</v>
      </c>
      <c r="F311" s="257" t="s">
        <v>247</v>
      </c>
      <c r="G311" s="269" t="s">
        <v>8875</v>
      </c>
      <c r="H311" s="257"/>
      <c r="I311" s="269" t="s">
        <v>8896</v>
      </c>
      <c r="J311" s="271">
        <v>15339</v>
      </c>
    </row>
    <row r="312" spans="1:10" ht="21.2" customHeight="1" x14ac:dyDescent="0.25">
      <c r="A312" s="269" t="s">
        <v>9141</v>
      </c>
      <c r="B312" s="269" t="s">
        <v>9205</v>
      </c>
      <c r="C312" s="257">
        <v>1.1399999999999999</v>
      </c>
      <c r="D312" s="269" t="s">
        <v>9197</v>
      </c>
      <c r="E312" s="257" t="s">
        <v>182</v>
      </c>
      <c r="F312" s="257" t="s">
        <v>249</v>
      </c>
      <c r="G312" s="269" t="s">
        <v>8874</v>
      </c>
      <c r="H312" s="257" t="s">
        <v>237</v>
      </c>
      <c r="I312" s="269" t="s">
        <v>8994</v>
      </c>
      <c r="J312" s="271">
        <v>4340</v>
      </c>
    </row>
    <row r="313" spans="1:10" ht="21.2" customHeight="1" x14ac:dyDescent="0.25">
      <c r="A313" s="269" t="s">
        <v>9142</v>
      </c>
      <c r="B313" s="269" t="s">
        <v>9216</v>
      </c>
      <c r="C313" s="257">
        <v>2.2599999999999998</v>
      </c>
      <c r="D313" s="269" t="s">
        <v>9197</v>
      </c>
      <c r="E313" s="257" t="s">
        <v>182</v>
      </c>
      <c r="F313" s="257" t="s">
        <v>249</v>
      </c>
      <c r="G313" s="269" t="s">
        <v>8874</v>
      </c>
      <c r="H313" s="257" t="s">
        <v>237</v>
      </c>
      <c r="I313" s="269" t="s">
        <v>8994</v>
      </c>
      <c r="J313" s="271">
        <v>6060</v>
      </c>
    </row>
    <row r="314" spans="1:10" ht="21.2" customHeight="1" x14ac:dyDescent="0.25">
      <c r="A314" s="269" t="s">
        <v>9143</v>
      </c>
      <c r="B314" s="269" t="s">
        <v>9228</v>
      </c>
      <c r="C314" s="257">
        <v>4.6100000000000003</v>
      </c>
      <c r="D314" s="269" t="s">
        <v>9195</v>
      </c>
      <c r="E314" s="257" t="s">
        <v>197</v>
      </c>
      <c r="F314" s="257" t="s">
        <v>265</v>
      </c>
      <c r="G314" s="269" t="s">
        <v>8875</v>
      </c>
      <c r="H314" s="257"/>
      <c r="I314" s="269" t="s">
        <v>8896</v>
      </c>
      <c r="J314" s="271">
        <v>9260</v>
      </c>
    </row>
    <row r="315" spans="1:10" ht="21.2" customHeight="1" x14ac:dyDescent="0.25">
      <c r="A315" s="269" t="s">
        <v>9144</v>
      </c>
      <c r="B315" s="269" t="s">
        <v>9229</v>
      </c>
      <c r="C315" s="257">
        <v>13.48</v>
      </c>
      <c r="D315" s="269" t="s">
        <v>9195</v>
      </c>
      <c r="E315" s="257" t="s">
        <v>197</v>
      </c>
      <c r="F315" s="257" t="s">
        <v>247</v>
      </c>
      <c r="G315" s="269" t="s">
        <v>8875</v>
      </c>
      <c r="H315" s="257"/>
      <c r="I315" s="269" t="s">
        <v>8896</v>
      </c>
      <c r="J315" s="271">
        <v>15240</v>
      </c>
    </row>
    <row r="316" spans="1:10" ht="21.2" customHeight="1" x14ac:dyDescent="0.25">
      <c r="A316" s="269" t="s">
        <v>9145</v>
      </c>
      <c r="B316" s="269" t="s">
        <v>9229</v>
      </c>
      <c r="C316" s="257">
        <v>13.48</v>
      </c>
      <c r="D316" s="269" t="s">
        <v>9195</v>
      </c>
      <c r="E316" s="257" t="s">
        <v>197</v>
      </c>
      <c r="F316" s="257" t="s">
        <v>247</v>
      </c>
      <c r="G316" s="269" t="s">
        <v>8875</v>
      </c>
      <c r="H316" s="257"/>
      <c r="I316" s="269" t="s">
        <v>8896</v>
      </c>
      <c r="J316" s="271">
        <v>15241</v>
      </c>
    </row>
    <row r="317" spans="1:10" ht="21.2" customHeight="1" x14ac:dyDescent="0.25">
      <c r="A317" s="269" t="s">
        <v>9146</v>
      </c>
      <c r="B317" s="269" t="s">
        <v>9216</v>
      </c>
      <c r="C317" s="257">
        <v>2.2400000000000002</v>
      </c>
      <c r="D317" s="269" t="s">
        <v>9197</v>
      </c>
      <c r="E317" s="257" t="s">
        <v>182</v>
      </c>
      <c r="F317" s="257" t="s">
        <v>249</v>
      </c>
      <c r="G317" s="269" t="s">
        <v>8874</v>
      </c>
      <c r="H317" s="257" t="s">
        <v>237</v>
      </c>
      <c r="I317" s="269" t="s">
        <v>8994</v>
      </c>
      <c r="J317" s="271">
        <v>6260</v>
      </c>
    </row>
    <row r="318" spans="1:10" ht="21.2" customHeight="1" x14ac:dyDescent="0.25">
      <c r="A318" s="269" t="s">
        <v>9147</v>
      </c>
      <c r="B318" s="269" t="s">
        <v>9205</v>
      </c>
      <c r="C318" s="257">
        <v>1.1399999999999999</v>
      </c>
      <c r="D318" s="269" t="s">
        <v>9197</v>
      </c>
      <c r="E318" s="257" t="s">
        <v>182</v>
      </c>
      <c r="F318" s="257" t="s">
        <v>249</v>
      </c>
      <c r="G318" s="269" t="s">
        <v>8874</v>
      </c>
      <c r="H318" s="257" t="s">
        <v>237</v>
      </c>
      <c r="I318" s="269" t="s">
        <v>8994</v>
      </c>
      <c r="J318" s="271">
        <v>4340</v>
      </c>
    </row>
    <row r="319" spans="1:10" ht="21.2" customHeight="1" x14ac:dyDescent="0.25">
      <c r="A319" s="269" t="s">
        <v>9148</v>
      </c>
      <c r="B319" s="269" t="s">
        <v>9228</v>
      </c>
      <c r="C319" s="257">
        <v>4.18</v>
      </c>
      <c r="D319" s="269" t="s">
        <v>9195</v>
      </c>
      <c r="E319" s="257" t="s">
        <v>197</v>
      </c>
      <c r="F319" s="257" t="s">
        <v>265</v>
      </c>
      <c r="G319" s="269" t="s">
        <v>8875</v>
      </c>
      <c r="H319" s="257"/>
      <c r="I319" s="269" t="s">
        <v>8896</v>
      </c>
      <c r="J319" s="271">
        <v>8660</v>
      </c>
    </row>
    <row r="320" spans="1:10" ht="21.2" customHeight="1" x14ac:dyDescent="0.25">
      <c r="A320" s="269" t="s">
        <v>9149</v>
      </c>
      <c r="B320" s="269" t="s">
        <v>9229</v>
      </c>
      <c r="C320" s="257">
        <v>13.48</v>
      </c>
      <c r="D320" s="269" t="s">
        <v>9195</v>
      </c>
      <c r="E320" s="257" t="s">
        <v>197</v>
      </c>
      <c r="F320" s="257" t="s">
        <v>247</v>
      </c>
      <c r="G320" s="269" t="s">
        <v>8875</v>
      </c>
      <c r="H320" s="257"/>
      <c r="I320" s="269" t="s">
        <v>8896</v>
      </c>
      <c r="J320" s="271">
        <v>15240</v>
      </c>
    </row>
    <row r="321" spans="1:10" ht="21.2" customHeight="1" x14ac:dyDescent="0.25">
      <c r="A321" s="269" t="s">
        <v>9150</v>
      </c>
      <c r="B321" s="269" t="s">
        <v>9229</v>
      </c>
      <c r="C321" s="257">
        <v>13.48</v>
      </c>
      <c r="D321" s="269" t="s">
        <v>9195</v>
      </c>
      <c r="E321" s="257" t="s">
        <v>197</v>
      </c>
      <c r="F321" s="257" t="s">
        <v>247</v>
      </c>
      <c r="G321" s="269" t="s">
        <v>8875</v>
      </c>
      <c r="H321" s="257"/>
      <c r="I321" s="269" t="s">
        <v>8896</v>
      </c>
      <c r="J321" s="271">
        <v>15240</v>
      </c>
    </row>
    <row r="322" spans="1:10" ht="21.2" customHeight="1" x14ac:dyDescent="0.25">
      <c r="A322" s="269" t="s">
        <v>9151</v>
      </c>
      <c r="B322" s="269" t="s">
        <v>9216</v>
      </c>
      <c r="C322" s="257">
        <v>2.2400000000000002</v>
      </c>
      <c r="D322" s="269" t="s">
        <v>9197</v>
      </c>
      <c r="E322" s="257" t="s">
        <v>182</v>
      </c>
      <c r="F322" s="257" t="s">
        <v>249</v>
      </c>
      <c r="G322" s="269" t="s">
        <v>8874</v>
      </c>
      <c r="H322" s="257" t="s">
        <v>237</v>
      </c>
      <c r="I322" s="269" t="s">
        <v>8994</v>
      </c>
      <c r="J322" s="271">
        <v>6260</v>
      </c>
    </row>
    <row r="323" spans="1:10" ht="21.2" customHeight="1" x14ac:dyDescent="0.25">
      <c r="A323" s="269" t="s">
        <v>9152</v>
      </c>
      <c r="B323" s="269" t="s">
        <v>9205</v>
      </c>
      <c r="C323" s="257">
        <v>1.1399999999999999</v>
      </c>
      <c r="D323" s="269" t="s">
        <v>9197</v>
      </c>
      <c r="E323" s="257" t="s">
        <v>182</v>
      </c>
      <c r="F323" s="257" t="s">
        <v>249</v>
      </c>
      <c r="G323" s="269" t="s">
        <v>8874</v>
      </c>
      <c r="H323" s="257" t="s">
        <v>237</v>
      </c>
      <c r="I323" s="269" t="s">
        <v>8994</v>
      </c>
      <c r="J323" s="271">
        <v>4340</v>
      </c>
    </row>
    <row r="324" spans="1:10" ht="21.2" customHeight="1" x14ac:dyDescent="0.25">
      <c r="A324" s="269" t="s">
        <v>9153</v>
      </c>
      <c r="B324" s="269" t="s">
        <v>9228</v>
      </c>
      <c r="C324" s="257">
        <v>4.18</v>
      </c>
      <c r="D324" s="269" t="s">
        <v>9195</v>
      </c>
      <c r="E324" s="257" t="s">
        <v>197</v>
      </c>
      <c r="F324" s="257" t="s">
        <v>265</v>
      </c>
      <c r="G324" s="269" t="s">
        <v>8875</v>
      </c>
      <c r="H324" s="257"/>
      <c r="I324" s="269" t="s">
        <v>8896</v>
      </c>
      <c r="J324" s="271">
        <v>8660</v>
      </c>
    </row>
    <row r="325" spans="1:10" ht="21.2" customHeight="1" x14ac:dyDescent="0.25">
      <c r="A325" s="269" t="s">
        <v>9154</v>
      </c>
      <c r="B325" s="269" t="s">
        <v>9229</v>
      </c>
      <c r="C325" s="257">
        <v>13.48</v>
      </c>
      <c r="D325" s="269" t="s">
        <v>9195</v>
      </c>
      <c r="E325" s="257" t="s">
        <v>197</v>
      </c>
      <c r="F325" s="257" t="s">
        <v>247</v>
      </c>
      <c r="G325" s="269" t="s">
        <v>8875</v>
      </c>
      <c r="H325" s="257"/>
      <c r="I325" s="269" t="s">
        <v>8896</v>
      </c>
      <c r="J325" s="271">
        <v>15240</v>
      </c>
    </row>
    <row r="326" spans="1:10" ht="21.2" customHeight="1" x14ac:dyDescent="0.25">
      <c r="A326" s="269" t="s">
        <v>9155</v>
      </c>
      <c r="B326" s="269" t="s">
        <v>9229</v>
      </c>
      <c r="C326" s="257">
        <v>13.48</v>
      </c>
      <c r="D326" s="269" t="s">
        <v>9195</v>
      </c>
      <c r="E326" s="257" t="s">
        <v>197</v>
      </c>
      <c r="F326" s="257" t="s">
        <v>247</v>
      </c>
      <c r="G326" s="269" t="s">
        <v>8875</v>
      </c>
      <c r="H326" s="257"/>
      <c r="I326" s="269" t="s">
        <v>8896</v>
      </c>
      <c r="J326" s="271">
        <v>15240</v>
      </c>
    </row>
    <row r="327" spans="1:10" ht="21.2" customHeight="1" x14ac:dyDescent="0.25">
      <c r="A327" s="269" t="s">
        <v>9156</v>
      </c>
      <c r="B327" s="269" t="s">
        <v>9216</v>
      </c>
      <c r="C327" s="257">
        <v>2.2400000000000002</v>
      </c>
      <c r="D327" s="269" t="s">
        <v>9197</v>
      </c>
      <c r="E327" s="257" t="s">
        <v>182</v>
      </c>
      <c r="F327" s="257" t="s">
        <v>249</v>
      </c>
      <c r="G327" s="269" t="s">
        <v>8874</v>
      </c>
      <c r="H327" s="257" t="s">
        <v>237</v>
      </c>
      <c r="I327" s="269" t="s">
        <v>8994</v>
      </c>
      <c r="J327" s="271">
        <v>6260</v>
      </c>
    </row>
    <row r="328" spans="1:10" ht="21.2" customHeight="1" x14ac:dyDescent="0.25">
      <c r="A328" s="269" t="s">
        <v>9157</v>
      </c>
      <c r="B328" s="269" t="s">
        <v>9205</v>
      </c>
      <c r="C328" s="257">
        <v>1.1399999999999999</v>
      </c>
      <c r="D328" s="269" t="s">
        <v>9197</v>
      </c>
      <c r="E328" s="257" t="s">
        <v>182</v>
      </c>
      <c r="F328" s="257" t="s">
        <v>249</v>
      </c>
      <c r="G328" s="269" t="s">
        <v>8874</v>
      </c>
      <c r="H328" s="257" t="s">
        <v>237</v>
      </c>
      <c r="I328" s="269" t="s">
        <v>8994</v>
      </c>
      <c r="J328" s="271">
        <v>4340</v>
      </c>
    </row>
    <row r="329" spans="1:10" ht="21.2" customHeight="1" x14ac:dyDescent="0.25">
      <c r="A329" s="269" t="s">
        <v>9158</v>
      </c>
      <c r="B329" s="269" t="s">
        <v>9228</v>
      </c>
      <c r="C329" s="257">
        <v>8.43</v>
      </c>
      <c r="D329" s="269" t="s">
        <v>9195</v>
      </c>
      <c r="E329" s="257" t="s">
        <v>197</v>
      </c>
      <c r="F329" s="257" t="s">
        <v>265</v>
      </c>
      <c r="G329" s="269" t="s">
        <v>8875</v>
      </c>
      <c r="H329" s="257"/>
      <c r="I329" s="269" t="s">
        <v>8896</v>
      </c>
      <c r="J329" s="271">
        <v>15060</v>
      </c>
    </row>
    <row r="330" spans="1:10" ht="21.2" customHeight="1" x14ac:dyDescent="0.25">
      <c r="A330" s="269" t="s">
        <v>9159</v>
      </c>
      <c r="B330" s="269" t="s">
        <v>9229</v>
      </c>
      <c r="C330" s="257">
        <v>13.48</v>
      </c>
      <c r="D330" s="269" t="s">
        <v>9195</v>
      </c>
      <c r="E330" s="257" t="s">
        <v>197</v>
      </c>
      <c r="F330" s="257" t="s">
        <v>247</v>
      </c>
      <c r="G330" s="269" t="s">
        <v>8875</v>
      </c>
      <c r="H330" s="257"/>
      <c r="I330" s="269" t="s">
        <v>8896</v>
      </c>
      <c r="J330" s="271">
        <v>15240</v>
      </c>
    </row>
    <row r="331" spans="1:10" ht="21.2" customHeight="1" x14ac:dyDescent="0.25">
      <c r="A331" s="269" t="s">
        <v>9160</v>
      </c>
      <c r="B331" s="269" t="s">
        <v>9229</v>
      </c>
      <c r="C331" s="257">
        <v>13.48</v>
      </c>
      <c r="D331" s="269" t="s">
        <v>9195</v>
      </c>
      <c r="E331" s="257" t="s">
        <v>197</v>
      </c>
      <c r="F331" s="257" t="s">
        <v>247</v>
      </c>
      <c r="G331" s="269" t="s">
        <v>8875</v>
      </c>
      <c r="H331" s="257"/>
      <c r="I331" s="269" t="s">
        <v>8896</v>
      </c>
      <c r="J331" s="271">
        <v>15240</v>
      </c>
    </row>
    <row r="332" spans="1:10" ht="21.2" customHeight="1" x14ac:dyDescent="0.25">
      <c r="A332" s="269" t="s">
        <v>9161</v>
      </c>
      <c r="B332" s="269" t="s">
        <v>9229</v>
      </c>
      <c r="C332" s="257">
        <v>13.74</v>
      </c>
      <c r="D332" s="269" t="s">
        <v>9195</v>
      </c>
      <c r="E332" s="257" t="s">
        <v>197</v>
      </c>
      <c r="F332" s="257" t="s">
        <v>247</v>
      </c>
      <c r="G332" s="269" t="s">
        <v>8875</v>
      </c>
      <c r="H332" s="257"/>
      <c r="I332" s="269" t="s">
        <v>8896</v>
      </c>
      <c r="J332" s="271">
        <v>15351</v>
      </c>
    </row>
    <row r="333" spans="1:10" ht="21.2" customHeight="1" x14ac:dyDescent="0.25">
      <c r="A333" s="269" t="s">
        <v>9162</v>
      </c>
      <c r="B333" s="269" t="s">
        <v>9205</v>
      </c>
      <c r="C333" s="257">
        <v>1.1399999999999999</v>
      </c>
      <c r="D333" s="269" t="s">
        <v>9197</v>
      </c>
      <c r="E333" s="257" t="s">
        <v>182</v>
      </c>
      <c r="F333" s="257" t="s">
        <v>249</v>
      </c>
      <c r="G333" s="269" t="s">
        <v>8874</v>
      </c>
      <c r="H333" s="257" t="s">
        <v>237</v>
      </c>
      <c r="I333" s="269" t="s">
        <v>8994</v>
      </c>
      <c r="J333" s="271">
        <v>4340</v>
      </c>
    </row>
    <row r="334" spans="1:10" ht="21.2" customHeight="1" x14ac:dyDescent="0.25">
      <c r="A334" s="269" t="s">
        <v>9163</v>
      </c>
      <c r="B334" s="269" t="s">
        <v>9216</v>
      </c>
      <c r="C334" s="257">
        <v>2.13</v>
      </c>
      <c r="D334" s="269" t="s">
        <v>9197</v>
      </c>
      <c r="E334" s="257" t="s">
        <v>182</v>
      </c>
      <c r="F334" s="257" t="s">
        <v>249</v>
      </c>
      <c r="G334" s="269" t="s">
        <v>8874</v>
      </c>
      <c r="H334" s="257" t="s">
        <v>237</v>
      </c>
      <c r="I334" s="269" t="s">
        <v>8994</v>
      </c>
      <c r="J334" s="271">
        <v>5890</v>
      </c>
    </row>
    <row r="335" spans="1:10" ht="21.2" customHeight="1" x14ac:dyDescent="0.25">
      <c r="A335" s="269" t="s">
        <v>9164</v>
      </c>
      <c r="B335" s="269" t="s">
        <v>9228</v>
      </c>
      <c r="C335" s="257">
        <v>4.72</v>
      </c>
      <c r="D335" s="269" t="s">
        <v>9195</v>
      </c>
      <c r="E335" s="257" t="s">
        <v>197</v>
      </c>
      <c r="F335" s="257" t="s">
        <v>265</v>
      </c>
      <c r="G335" s="269" t="s">
        <v>8875</v>
      </c>
      <c r="H335" s="257"/>
      <c r="I335" s="269" t="s">
        <v>8896</v>
      </c>
      <c r="J335" s="271">
        <v>9410</v>
      </c>
    </row>
    <row r="336" spans="1:10" ht="21.2" customHeight="1" x14ac:dyDescent="0.25">
      <c r="A336" s="269" t="s">
        <v>9165</v>
      </c>
      <c r="B336" s="269" t="s">
        <v>9229</v>
      </c>
      <c r="C336" s="257">
        <v>13.48</v>
      </c>
      <c r="D336" s="269" t="s">
        <v>9195</v>
      </c>
      <c r="E336" s="257" t="s">
        <v>197</v>
      </c>
      <c r="F336" s="257" t="s">
        <v>247</v>
      </c>
      <c r="G336" s="269" t="s">
        <v>8875</v>
      </c>
      <c r="H336" s="257"/>
      <c r="I336" s="269" t="s">
        <v>8896</v>
      </c>
      <c r="J336" s="271">
        <v>15240</v>
      </c>
    </row>
    <row r="337" spans="1:10" ht="21.2" customHeight="1" x14ac:dyDescent="0.25">
      <c r="A337" s="269" t="s">
        <v>9166</v>
      </c>
      <c r="B337" s="269" t="s">
        <v>9229</v>
      </c>
      <c r="C337" s="257">
        <v>15.8</v>
      </c>
      <c r="D337" s="269" t="s">
        <v>9195</v>
      </c>
      <c r="E337" s="257" t="s">
        <v>197</v>
      </c>
      <c r="F337" s="257" t="s">
        <v>247</v>
      </c>
      <c r="G337" s="269" t="s">
        <v>8875</v>
      </c>
      <c r="H337" s="257"/>
      <c r="I337" s="269" t="s">
        <v>8896</v>
      </c>
      <c r="J337" s="271">
        <v>16400</v>
      </c>
    </row>
    <row r="338" spans="1:10" ht="21.2" customHeight="1" x14ac:dyDescent="0.25">
      <c r="A338" s="269" t="s">
        <v>9167</v>
      </c>
      <c r="B338" s="269" t="s">
        <v>9216</v>
      </c>
      <c r="C338" s="257">
        <v>2.11</v>
      </c>
      <c r="D338" s="269" t="s">
        <v>9197</v>
      </c>
      <c r="E338" s="257" t="s">
        <v>182</v>
      </c>
      <c r="F338" s="257" t="s">
        <v>249</v>
      </c>
      <c r="G338" s="269" t="s">
        <v>8874</v>
      </c>
      <c r="H338" s="257" t="s">
        <v>237</v>
      </c>
      <c r="I338" s="269" t="s">
        <v>8994</v>
      </c>
      <c r="J338" s="271">
        <v>6260</v>
      </c>
    </row>
    <row r="339" spans="1:10" ht="21.2" customHeight="1" x14ac:dyDescent="0.25">
      <c r="A339" s="269" t="s">
        <v>9168</v>
      </c>
      <c r="B339" s="269" t="s">
        <v>9205</v>
      </c>
      <c r="C339" s="257">
        <v>1.1399999999999999</v>
      </c>
      <c r="D339" s="269" t="s">
        <v>9197</v>
      </c>
      <c r="E339" s="257" t="s">
        <v>182</v>
      </c>
      <c r="F339" s="257" t="s">
        <v>249</v>
      </c>
      <c r="G339" s="269" t="s">
        <v>8874</v>
      </c>
      <c r="H339" s="257" t="s">
        <v>237</v>
      </c>
      <c r="I339" s="269" t="s">
        <v>8994</v>
      </c>
      <c r="J339" s="271">
        <v>4340</v>
      </c>
    </row>
    <row r="340" spans="1:10" ht="21.2" customHeight="1" x14ac:dyDescent="0.25">
      <c r="A340" s="269" t="s">
        <v>9169</v>
      </c>
      <c r="B340" s="269" t="s">
        <v>9228</v>
      </c>
      <c r="C340" s="257">
        <v>4.4800000000000004</v>
      </c>
      <c r="D340" s="269" t="s">
        <v>9195</v>
      </c>
      <c r="E340" s="257" t="s">
        <v>197</v>
      </c>
      <c r="F340" s="257" t="s">
        <v>265</v>
      </c>
      <c r="G340" s="269" t="s">
        <v>8875</v>
      </c>
      <c r="H340" s="257"/>
      <c r="I340" s="269" t="s">
        <v>8896</v>
      </c>
      <c r="J340" s="271">
        <v>9090</v>
      </c>
    </row>
    <row r="341" spans="1:10" ht="21.2" customHeight="1" x14ac:dyDescent="0.25">
      <c r="A341" s="269" t="s">
        <v>9170</v>
      </c>
      <c r="B341" s="269" t="s">
        <v>9229</v>
      </c>
      <c r="C341" s="257">
        <v>13.86</v>
      </c>
      <c r="D341" s="269" t="s">
        <v>9195</v>
      </c>
      <c r="E341" s="257" t="s">
        <v>197</v>
      </c>
      <c r="F341" s="257" t="s">
        <v>247</v>
      </c>
      <c r="G341" s="269" t="s">
        <v>8875</v>
      </c>
      <c r="H341" s="257"/>
      <c r="I341" s="269" t="s">
        <v>8896</v>
      </c>
      <c r="J341" s="271">
        <v>15500</v>
      </c>
    </row>
    <row r="342" spans="1:10" ht="21.2" customHeight="1" x14ac:dyDescent="0.25">
      <c r="A342" s="269" t="s">
        <v>9171</v>
      </c>
      <c r="B342" s="269" t="s">
        <v>9229</v>
      </c>
      <c r="C342" s="257">
        <v>13.58</v>
      </c>
      <c r="D342" s="269" t="s">
        <v>9195</v>
      </c>
      <c r="E342" s="257" t="s">
        <v>197</v>
      </c>
      <c r="F342" s="257" t="s">
        <v>247</v>
      </c>
      <c r="G342" s="269" t="s">
        <v>8875</v>
      </c>
      <c r="H342" s="257"/>
      <c r="I342" s="269" t="s">
        <v>8896</v>
      </c>
      <c r="J342" s="271">
        <v>15280</v>
      </c>
    </row>
    <row r="343" spans="1:10" ht="21.2" customHeight="1" x14ac:dyDescent="0.25">
      <c r="A343" s="269" t="s">
        <v>9172</v>
      </c>
      <c r="B343" s="269" t="s">
        <v>9216</v>
      </c>
      <c r="C343" s="257">
        <v>2.2400000000000002</v>
      </c>
      <c r="D343" s="269" t="s">
        <v>9197</v>
      </c>
      <c r="E343" s="257" t="s">
        <v>182</v>
      </c>
      <c r="F343" s="257" t="s">
        <v>249</v>
      </c>
      <c r="G343" s="269" t="s">
        <v>8874</v>
      </c>
      <c r="H343" s="257" t="s">
        <v>237</v>
      </c>
      <c r="I343" s="269" t="s">
        <v>8994</v>
      </c>
      <c r="J343" s="271">
        <v>6260</v>
      </c>
    </row>
    <row r="344" spans="1:10" ht="21.2" customHeight="1" x14ac:dyDescent="0.25">
      <c r="A344" s="269" t="s">
        <v>9173</v>
      </c>
      <c r="B344" s="269" t="s">
        <v>9205</v>
      </c>
      <c r="C344" s="257">
        <v>1.1399999999999999</v>
      </c>
      <c r="D344" s="269" t="s">
        <v>9197</v>
      </c>
      <c r="E344" s="257" t="s">
        <v>182</v>
      </c>
      <c r="F344" s="257" t="s">
        <v>249</v>
      </c>
      <c r="G344" s="269" t="s">
        <v>8874</v>
      </c>
      <c r="H344" s="257" t="s">
        <v>237</v>
      </c>
      <c r="I344" s="269" t="s">
        <v>8994</v>
      </c>
      <c r="J344" s="271">
        <v>4340</v>
      </c>
    </row>
  </sheetData>
  <sheetProtection algorithmName="SHA-512" hashValue="BH6z9TDK1YwZFmqatpdGZsjI3kDzlp/p7+1BhunxctqbeJF4FrMPfWqFZy12XsGjqJvSFETaBIQTE9wBywY/jA==" saltValue="eJfbLXIqAlN+uqcWUzOPTA==" spinCount="100000" sheet="1" objects="1" scenarios="1" formatCells="0" formatColumns="0" formatRows="0" autoFilter="0"/>
  <autoFilter ref="A26:J344" xr:uid="{00000000-0009-0000-0000-00001C000000}"/>
  <pageMargins left="0.70866141732283516" right="0.23622047244094502" top="0.39000000000000035" bottom="0.35433070866141764" header="0.31496062992126012" footer="0.31496062992126012"/>
  <pageSetup paperSize="9" scale="75" fitToWidth="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B2:BM797"/>
  <sheetViews>
    <sheetView showGridLines="0" workbookViewId="0">
      <selection activeCell="F98" sqref="F98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5.332031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5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98</v>
      </c>
      <c r="AZ2" s="2" t="s">
        <v>2439</v>
      </c>
      <c r="BA2" s="2"/>
      <c r="BB2" s="2"/>
      <c r="BC2" s="2" t="s">
        <v>2440</v>
      </c>
      <c r="BD2" s="2" t="s">
        <v>90</v>
      </c>
    </row>
    <row r="3" spans="2:5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5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56" ht="6.95" hidden="1" customHeight="1" x14ac:dyDescent="0.2">
      <c r="B5" s="5"/>
      <c r="L5" s="5"/>
    </row>
    <row r="6" spans="2:56" ht="12" hidden="1" customHeight="1" x14ac:dyDescent="0.2">
      <c r="B6" s="5"/>
      <c r="D6" s="12" t="s">
        <v>15</v>
      </c>
      <c r="L6" s="5"/>
    </row>
    <row r="7" spans="2:5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56" ht="12" hidden="1" customHeight="1" x14ac:dyDescent="0.2">
      <c r="B8" s="5"/>
      <c r="D8" s="12" t="s">
        <v>190</v>
      </c>
      <c r="L8" s="5"/>
    </row>
    <row r="9" spans="2:5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</row>
    <row r="10" spans="2:56" s="16" customFormat="1" ht="12" hidden="1" customHeight="1" x14ac:dyDescent="0.2">
      <c r="B10" s="17"/>
      <c r="D10" s="12" t="s">
        <v>196</v>
      </c>
      <c r="L10" s="17"/>
    </row>
    <row r="11" spans="2:56" s="16" customFormat="1" ht="16.5" hidden="1" customHeight="1" x14ac:dyDescent="0.2">
      <c r="B11" s="17"/>
      <c r="E11" s="309" t="s">
        <v>2441</v>
      </c>
      <c r="F11" s="309"/>
      <c r="G11" s="309"/>
      <c r="H11" s="309"/>
      <c r="L11" s="17"/>
    </row>
    <row r="12" spans="2:56" s="16" customFormat="1" hidden="1" x14ac:dyDescent="0.2">
      <c r="B12" s="17"/>
      <c r="L12" s="17"/>
    </row>
    <row r="13" spans="2:5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</row>
    <row r="14" spans="2:56" s="16" customFormat="1" ht="12" hidden="1" customHeight="1" x14ac:dyDescent="0.2">
      <c r="B14" s="17"/>
      <c r="D14" s="12" t="s">
        <v>19</v>
      </c>
      <c r="F14" s="10" t="s">
        <v>20</v>
      </c>
      <c r="I14" s="12" t="s">
        <v>21</v>
      </c>
      <c r="J14" s="38" t="str">
        <f>IF(Rekapitulace_stavby!AN8&lt;&gt;"",Rekapitulace_stavby!AN8,"")</f>
        <v/>
      </c>
      <c r="L14" s="17"/>
    </row>
    <row r="15" spans="2:56" s="16" customFormat="1" ht="10.9" hidden="1" customHeight="1" x14ac:dyDescent="0.2">
      <c r="B15" s="17"/>
      <c r="L15" s="17"/>
    </row>
    <row r="16" spans="2:56" s="16" customFormat="1" ht="12" hidden="1" customHeight="1" x14ac:dyDescent="0.2">
      <c r="B16" s="17"/>
      <c r="D16" s="12" t="s">
        <v>22</v>
      </c>
      <c r="I16" s="12" t="s">
        <v>23</v>
      </c>
      <c r="J16" s="10" t="s">
        <v>24</v>
      </c>
      <c r="L16" s="17"/>
    </row>
    <row r="17" spans="2:12" s="16" customFormat="1" ht="18" hidden="1" customHeight="1" x14ac:dyDescent="0.2">
      <c r="B17" s="17"/>
      <c r="E17" s="10" t="s">
        <v>25</v>
      </c>
      <c r="I17" s="12" t="s">
        <v>26</v>
      </c>
      <c r="J17" s="10" t="s">
        <v>27</v>
      </c>
      <c r="L17" s="17"/>
    </row>
    <row r="18" spans="2:12" s="16" customFormat="1" ht="6.95" hidden="1" customHeight="1" x14ac:dyDescent="0.2">
      <c r="B18" s="17"/>
      <c r="L18" s="17"/>
    </row>
    <row r="19" spans="2:12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</row>
    <row r="20" spans="2:12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12" s="16" customFormat="1" ht="6.95" hidden="1" customHeight="1" x14ac:dyDescent="0.2">
      <c r="B21" s="17"/>
      <c r="L21" s="17"/>
    </row>
    <row r="22" spans="2:12" s="16" customFormat="1" ht="12" hidden="1" customHeight="1" x14ac:dyDescent="0.2">
      <c r="B22" s="17"/>
      <c r="D22" s="12" t="s">
        <v>29</v>
      </c>
      <c r="I22" s="12" t="s">
        <v>23</v>
      </c>
      <c r="J22" s="10" t="s">
        <v>30</v>
      </c>
      <c r="L22" s="17"/>
    </row>
    <row r="23" spans="2:12" s="16" customFormat="1" ht="18" hidden="1" customHeight="1" x14ac:dyDescent="0.2">
      <c r="B23" s="17"/>
      <c r="E23" s="10" t="s">
        <v>31</v>
      </c>
      <c r="I23" s="12" t="s">
        <v>26</v>
      </c>
      <c r="J23" s="10" t="s">
        <v>32</v>
      </c>
      <c r="L23" s="17"/>
    </row>
    <row r="24" spans="2:12" s="16" customFormat="1" ht="6.95" hidden="1" customHeight="1" x14ac:dyDescent="0.2">
      <c r="B24" s="17"/>
      <c r="L24" s="17"/>
    </row>
    <row r="25" spans="2:12" s="16" customFormat="1" ht="12" hidden="1" customHeight="1" x14ac:dyDescent="0.2">
      <c r="B25" s="17"/>
      <c r="D25" s="12" t="s">
        <v>34</v>
      </c>
      <c r="I25" s="12" t="s">
        <v>23</v>
      </c>
      <c r="J25" s="10" t="s">
        <v>35</v>
      </c>
      <c r="L25" s="17"/>
    </row>
    <row r="26" spans="2:12" s="16" customFormat="1" ht="18" hidden="1" customHeight="1" x14ac:dyDescent="0.2">
      <c r="B26" s="17"/>
      <c r="E26" s="10" t="s">
        <v>36</v>
      </c>
      <c r="I26" s="12" t="s">
        <v>26</v>
      </c>
      <c r="J26" s="10" t="s">
        <v>37</v>
      </c>
      <c r="L26" s="17"/>
    </row>
    <row r="27" spans="2:12" s="16" customFormat="1" ht="6.95" hidden="1" customHeight="1" x14ac:dyDescent="0.2">
      <c r="B27" s="17"/>
      <c r="L27" s="17"/>
    </row>
    <row r="28" spans="2:12" s="16" customFormat="1" ht="12" hidden="1" customHeight="1" x14ac:dyDescent="0.2">
      <c r="B28" s="17"/>
      <c r="D28" s="12" t="s">
        <v>38</v>
      </c>
      <c r="L28" s="17"/>
    </row>
    <row r="29" spans="2:12" s="81" customFormat="1" ht="47.25" hidden="1" customHeight="1" x14ac:dyDescent="0.2">
      <c r="B29" s="82"/>
      <c r="E29" s="304" t="s">
        <v>236</v>
      </c>
      <c r="F29" s="304"/>
      <c r="G29" s="304"/>
      <c r="H29" s="304"/>
      <c r="L29" s="82"/>
    </row>
    <row r="30" spans="2:12" s="16" customFormat="1" ht="6.95" hidden="1" customHeight="1" x14ac:dyDescent="0.2">
      <c r="B30" s="17"/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ROUND((SUM(BE138:BE796)),  2)</f>
        <v>0</v>
      </c>
      <c r="I35" s="86">
        <v>0.21</v>
      </c>
      <c r="J35" s="73">
        <f>ROUND(((SUM(BE138:BE796))*I35),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ROUND((SUM(BF138:BF796)),  2)</f>
        <v>0</v>
      </c>
      <c r="I36" s="86">
        <v>0.12</v>
      </c>
      <c r="J36" s="73">
        <f>ROUND(((SUM(BF138:BF796))*I36),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ROUND((SUM(BG138:BG796)),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ROUND((SUM(BH138:BH796)),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ROUND((SUM(BI138:BI796)),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KCE - Konstrukční část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>Alej Svobody 703 Plzeň 1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304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305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70" customFormat="1" ht="19.899999999999999" customHeight="1" x14ac:dyDescent="0.2">
      <c r="B101" s="103"/>
      <c r="D101" s="104" t="s">
        <v>306</v>
      </c>
      <c r="E101" s="105"/>
      <c r="F101" s="105"/>
      <c r="G101" s="105"/>
      <c r="H101" s="105"/>
      <c r="I101" s="105"/>
      <c r="J101" s="106">
        <f>J158</f>
        <v>0</v>
      </c>
      <c r="L101" s="103"/>
    </row>
    <row r="102" spans="2:47" s="70" customFormat="1" ht="19.899999999999999" customHeight="1" x14ac:dyDescent="0.2">
      <c r="B102" s="103"/>
      <c r="D102" s="104" t="s">
        <v>2442</v>
      </c>
      <c r="E102" s="105"/>
      <c r="F102" s="105"/>
      <c r="G102" s="105"/>
      <c r="H102" s="105"/>
      <c r="I102" s="105"/>
      <c r="J102" s="106">
        <f>J188</f>
        <v>0</v>
      </c>
      <c r="L102" s="103"/>
    </row>
    <row r="103" spans="2:47" s="70" customFormat="1" ht="19.899999999999999" customHeight="1" x14ac:dyDescent="0.2">
      <c r="B103" s="103"/>
      <c r="D103" s="104" t="s">
        <v>307</v>
      </c>
      <c r="E103" s="105"/>
      <c r="F103" s="105"/>
      <c r="G103" s="105"/>
      <c r="H103" s="105"/>
      <c r="I103" s="105"/>
      <c r="J103" s="106">
        <f>J247</f>
        <v>0</v>
      </c>
      <c r="L103" s="103"/>
    </row>
    <row r="104" spans="2:47" s="70" customFormat="1" ht="19.899999999999999" customHeight="1" x14ac:dyDescent="0.2">
      <c r="B104" s="103"/>
      <c r="D104" s="104" t="s">
        <v>308</v>
      </c>
      <c r="E104" s="105"/>
      <c r="F104" s="105"/>
      <c r="G104" s="105"/>
      <c r="H104" s="105"/>
      <c r="I104" s="105"/>
      <c r="J104" s="106">
        <f>J268</f>
        <v>0</v>
      </c>
      <c r="L104" s="103"/>
    </row>
    <row r="105" spans="2:47" s="70" customFormat="1" ht="19.899999999999999" customHeight="1" x14ac:dyDescent="0.2">
      <c r="B105" s="103"/>
      <c r="D105" s="104" t="s">
        <v>309</v>
      </c>
      <c r="E105" s="105"/>
      <c r="F105" s="105"/>
      <c r="G105" s="105"/>
      <c r="H105" s="105"/>
      <c r="I105" s="105"/>
      <c r="J105" s="106">
        <f>J273</f>
        <v>0</v>
      </c>
      <c r="L105" s="103"/>
    </row>
    <row r="106" spans="2:47" s="98" customFormat="1" ht="24.95" customHeight="1" x14ac:dyDescent="0.2">
      <c r="B106" s="99"/>
      <c r="D106" s="100" t="s">
        <v>310</v>
      </c>
      <c r="E106" s="101"/>
      <c r="F106" s="101"/>
      <c r="G106" s="101"/>
      <c r="H106" s="101"/>
      <c r="I106" s="101"/>
      <c r="J106" s="102">
        <f>J275</f>
        <v>0</v>
      </c>
      <c r="L106" s="99"/>
    </row>
    <row r="107" spans="2:47" s="70" customFormat="1" ht="19.899999999999999" customHeight="1" x14ac:dyDescent="0.2">
      <c r="B107" s="103"/>
      <c r="D107" s="104" t="s">
        <v>2443</v>
      </c>
      <c r="E107" s="105"/>
      <c r="F107" s="105"/>
      <c r="G107" s="105"/>
      <c r="H107" s="105"/>
      <c r="I107" s="105"/>
      <c r="J107" s="106">
        <f>J276</f>
        <v>0</v>
      </c>
      <c r="L107" s="103"/>
    </row>
    <row r="108" spans="2:47" s="70" customFormat="1" ht="19.899999999999999" customHeight="1" x14ac:dyDescent="0.2">
      <c r="B108" s="103"/>
      <c r="D108" s="104" t="s">
        <v>320</v>
      </c>
      <c r="E108" s="105"/>
      <c r="F108" s="105"/>
      <c r="G108" s="105"/>
      <c r="H108" s="105"/>
      <c r="I108" s="105"/>
      <c r="J108" s="106">
        <f>J742</f>
        <v>0</v>
      </c>
      <c r="L108" s="103"/>
    </row>
    <row r="109" spans="2:47" s="16" customFormat="1" ht="21.75" customHeight="1" x14ac:dyDescent="0.2">
      <c r="B109" s="17"/>
      <c r="L109" s="17"/>
    </row>
    <row r="110" spans="2:47" s="16" customFormat="1" ht="6.95" customHeight="1" x14ac:dyDescent="0.2">
      <c r="B110" s="30"/>
      <c r="C110" s="19"/>
      <c r="D110" s="19"/>
      <c r="E110" s="19"/>
      <c r="F110" s="19"/>
      <c r="G110" s="19"/>
      <c r="H110" s="19"/>
      <c r="I110" s="19"/>
      <c r="J110" s="19"/>
      <c r="K110" s="19"/>
      <c r="L110" s="17"/>
    </row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KCE - Konstrukční část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tr">
        <f>F14</f>
        <v>Alej Svobody 703 Plzeň 1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15.2" customHeight="1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P139+P275</f>
        <v>0</v>
      </c>
      <c r="Q138" s="39"/>
      <c r="R138" s="113">
        <f>R139+R275</f>
        <v>230.64841095000003</v>
      </c>
      <c r="S138" s="39"/>
      <c r="T138" s="114">
        <f>T139+T275</f>
        <v>0</v>
      </c>
      <c r="AT138" s="2" t="s">
        <v>79</v>
      </c>
      <c r="AU138" s="2" t="s">
        <v>303</v>
      </c>
      <c r="BK138" s="115">
        <f>BK139+BK275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P140+P158+P188+P247+P268+P273</f>
        <v>0</v>
      </c>
      <c r="R139" s="122">
        <f>R140+R158+R188+R247+R268+R273</f>
        <v>160.89142707000002</v>
      </c>
      <c r="T139" s="123">
        <f>T140+T158+T188+T247+T268+T273</f>
        <v>0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BK140+BK158+BK188+BK247+BK268+BK273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90</v>
      </c>
      <c r="F140" s="126" t="s">
        <v>338</v>
      </c>
      <c r="J140" s="127">
        <f>BK140</f>
        <v>0</v>
      </c>
      <c r="L140" s="117"/>
      <c r="M140" s="121"/>
      <c r="P140" s="122">
        <f>SUM(P141:P157)</f>
        <v>0</v>
      </c>
      <c r="R140" s="122">
        <f>SUM(R141:R157)</f>
        <v>28.098814839999996</v>
      </c>
      <c r="T140" s="123">
        <f>SUM(T141:T157)</f>
        <v>0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SUM(BK141:BK157)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2444</v>
      </c>
      <c r="F141" s="130" t="s">
        <v>2445</v>
      </c>
      <c r="G141" s="131" t="s">
        <v>342</v>
      </c>
      <c r="H141" s="132">
        <v>5.3520000000000003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2.5018699999999998</v>
      </c>
      <c r="R141" s="137">
        <f>Q141*H141</f>
        <v>13.39000824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2446</v>
      </c>
    </row>
    <row r="142" spans="2:65" s="141" customFormat="1" x14ac:dyDescent="0.2">
      <c r="B142" s="142"/>
      <c r="D142" s="143" t="s">
        <v>346</v>
      </c>
      <c r="E142" s="144"/>
      <c r="F142" s="145" t="s">
        <v>2447</v>
      </c>
      <c r="H142" s="144"/>
      <c r="L142" s="142"/>
      <c r="M142" s="146"/>
      <c r="T142" s="147"/>
      <c r="AT142" s="144" t="s">
        <v>346</v>
      </c>
      <c r="AU142" s="144" t="s">
        <v>90</v>
      </c>
      <c r="AV142" s="141" t="s">
        <v>87</v>
      </c>
      <c r="AW142" s="141" t="s">
        <v>33</v>
      </c>
      <c r="AX142" s="141" t="s">
        <v>80</v>
      </c>
      <c r="AY142" s="144" t="s">
        <v>337</v>
      </c>
    </row>
    <row r="143" spans="2:65" s="148" customFormat="1" x14ac:dyDescent="0.2">
      <c r="B143" s="149"/>
      <c r="D143" s="143" t="s">
        <v>346</v>
      </c>
      <c r="E143" s="150"/>
      <c r="F143" s="151" t="s">
        <v>2448</v>
      </c>
      <c r="H143" s="152">
        <v>4.0999999999999996</v>
      </c>
      <c r="L143" s="149"/>
      <c r="M143" s="153"/>
      <c r="T143" s="154"/>
      <c r="AT143" s="150" t="s">
        <v>346</v>
      </c>
      <c r="AU143" s="150" t="s">
        <v>90</v>
      </c>
      <c r="AV143" s="148" t="s">
        <v>90</v>
      </c>
      <c r="AW143" s="148" t="s">
        <v>33</v>
      </c>
      <c r="AX143" s="148" t="s">
        <v>80</v>
      </c>
      <c r="AY143" s="150" t="s">
        <v>337</v>
      </c>
    </row>
    <row r="144" spans="2:65" s="148" customFormat="1" x14ac:dyDescent="0.2">
      <c r="B144" s="149"/>
      <c r="D144" s="143" t="s">
        <v>346</v>
      </c>
      <c r="E144" s="150"/>
      <c r="F144" s="151" t="s">
        <v>2449</v>
      </c>
      <c r="H144" s="152">
        <v>1.252</v>
      </c>
      <c r="L144" s="149"/>
      <c r="M144" s="153"/>
      <c r="T144" s="154"/>
      <c r="AT144" s="150" t="s">
        <v>346</v>
      </c>
      <c r="AU144" s="150" t="s">
        <v>90</v>
      </c>
      <c r="AV144" s="148" t="s">
        <v>90</v>
      </c>
      <c r="AW144" s="148" t="s">
        <v>33</v>
      </c>
      <c r="AX144" s="148" t="s">
        <v>80</v>
      </c>
      <c r="AY144" s="150" t="s">
        <v>337</v>
      </c>
    </row>
    <row r="145" spans="2:65" s="141" customFormat="1" x14ac:dyDescent="0.2">
      <c r="B145" s="142"/>
      <c r="D145" s="143" t="s">
        <v>346</v>
      </c>
      <c r="E145" s="144"/>
      <c r="F145" s="145" t="s">
        <v>2450</v>
      </c>
      <c r="H145" s="144"/>
      <c r="L145" s="142"/>
      <c r="M145" s="146"/>
      <c r="T145" s="147"/>
      <c r="AT145" s="144" t="s">
        <v>346</v>
      </c>
      <c r="AU145" s="144" t="s">
        <v>90</v>
      </c>
      <c r="AV145" s="141" t="s">
        <v>87</v>
      </c>
      <c r="AW145" s="141" t="s">
        <v>33</v>
      </c>
      <c r="AX145" s="141" t="s">
        <v>80</v>
      </c>
      <c r="AY145" s="144" t="s">
        <v>337</v>
      </c>
    </row>
    <row r="146" spans="2:65" s="155" customFormat="1" x14ac:dyDescent="0.2">
      <c r="B146" s="156"/>
      <c r="D146" s="143" t="s">
        <v>346</v>
      </c>
      <c r="E146" s="157"/>
      <c r="F146" s="158" t="s">
        <v>351</v>
      </c>
      <c r="H146" s="159">
        <v>5.3520000000000003</v>
      </c>
      <c r="L146" s="156"/>
      <c r="M146" s="160"/>
      <c r="T146" s="161"/>
      <c r="AT146" s="157" t="s">
        <v>346</v>
      </c>
      <c r="AU146" s="157" t="s">
        <v>90</v>
      </c>
      <c r="AV146" s="155" t="s">
        <v>344</v>
      </c>
      <c r="AW146" s="155" t="s">
        <v>33</v>
      </c>
      <c r="AX146" s="155" t="s">
        <v>87</v>
      </c>
      <c r="AY146" s="157" t="s">
        <v>337</v>
      </c>
    </row>
    <row r="147" spans="2:65" s="16" customFormat="1" ht="16.5" customHeight="1" x14ac:dyDescent="0.2">
      <c r="B147" s="17"/>
      <c r="C147" s="128">
        <v>2</v>
      </c>
      <c r="D147" s="128" t="s">
        <v>339</v>
      </c>
      <c r="E147" s="129" t="s">
        <v>2451</v>
      </c>
      <c r="F147" s="130" t="s">
        <v>2452</v>
      </c>
      <c r="G147" s="131" t="s">
        <v>425</v>
      </c>
      <c r="H147" s="132">
        <v>5.9240000000000004</v>
      </c>
      <c r="I147" s="133"/>
      <c r="J147" s="134">
        <f>ROUND(I147*H147,2)</f>
        <v>0</v>
      </c>
      <c r="K147" s="130" t="s">
        <v>343</v>
      </c>
      <c r="L147" s="17"/>
      <c r="M147" s="135"/>
      <c r="N147" s="136" t="s">
        <v>45</v>
      </c>
      <c r="P147" s="137">
        <f>O147*H147</f>
        <v>0</v>
      </c>
      <c r="Q147" s="137">
        <v>2.9399999999999999E-3</v>
      </c>
      <c r="R147" s="137">
        <f>Q147*H147</f>
        <v>1.7416560000000001E-2</v>
      </c>
      <c r="S147" s="137">
        <v>0</v>
      </c>
      <c r="T147" s="138">
        <f>S147*H147</f>
        <v>0</v>
      </c>
      <c r="AR147" s="139" t="s">
        <v>344</v>
      </c>
      <c r="AT147" s="139" t="s">
        <v>339</v>
      </c>
      <c r="AU147" s="139" t="s">
        <v>90</v>
      </c>
      <c r="AY147" s="2" t="s">
        <v>337</v>
      </c>
      <c r="BE147" s="140">
        <f>IF(N147="základní",J147,0)</f>
        <v>0</v>
      </c>
      <c r="BF147" s="140">
        <f>IF(N147="snížená",J147,0)</f>
        <v>0</v>
      </c>
      <c r="BG147" s="140">
        <f>IF(N147="zákl. přenesená",J147,0)</f>
        <v>0</v>
      </c>
      <c r="BH147" s="140">
        <f>IF(N147="sníž. přenesená",J147,0)</f>
        <v>0</v>
      </c>
      <c r="BI147" s="140">
        <f>IF(N147="nulová",J147,0)</f>
        <v>0</v>
      </c>
      <c r="BJ147" s="2" t="s">
        <v>87</v>
      </c>
      <c r="BK147" s="140">
        <f>ROUND(I147*H147,2)</f>
        <v>0</v>
      </c>
      <c r="BL147" s="2" t="s">
        <v>344</v>
      </c>
      <c r="BM147" s="139" t="s">
        <v>2453</v>
      </c>
    </row>
    <row r="148" spans="2:65" s="148" customFormat="1" x14ac:dyDescent="0.2">
      <c r="B148" s="149"/>
      <c r="D148" s="143" t="s">
        <v>346</v>
      </c>
      <c r="E148" s="150"/>
      <c r="F148" s="151" t="s">
        <v>2454</v>
      </c>
      <c r="H148" s="152">
        <v>3.8719999999999999</v>
      </c>
      <c r="L148" s="149"/>
      <c r="M148" s="153"/>
      <c r="T148" s="154"/>
      <c r="AT148" s="150" t="s">
        <v>346</v>
      </c>
      <c r="AU148" s="150" t="s">
        <v>90</v>
      </c>
      <c r="AV148" s="148" t="s">
        <v>90</v>
      </c>
      <c r="AW148" s="148" t="s">
        <v>33</v>
      </c>
      <c r="AX148" s="148" t="s">
        <v>80</v>
      </c>
      <c r="AY148" s="150" t="s">
        <v>337</v>
      </c>
    </row>
    <row r="149" spans="2:65" s="148" customFormat="1" x14ac:dyDescent="0.2">
      <c r="B149" s="149"/>
      <c r="D149" s="143" t="s">
        <v>346</v>
      </c>
      <c r="E149" s="150"/>
      <c r="F149" s="151" t="s">
        <v>2455</v>
      </c>
      <c r="H149" s="152">
        <v>2.052</v>
      </c>
      <c r="L149" s="149"/>
      <c r="M149" s="153"/>
      <c r="T149" s="154"/>
      <c r="AT149" s="150" t="s">
        <v>346</v>
      </c>
      <c r="AU149" s="150" t="s">
        <v>90</v>
      </c>
      <c r="AV149" s="148" t="s">
        <v>90</v>
      </c>
      <c r="AW149" s="148" t="s">
        <v>33</v>
      </c>
      <c r="AX149" s="148" t="s">
        <v>80</v>
      </c>
      <c r="AY149" s="150" t="s">
        <v>337</v>
      </c>
    </row>
    <row r="150" spans="2:65" s="155" customFormat="1" x14ac:dyDescent="0.2">
      <c r="B150" s="156"/>
      <c r="D150" s="143" t="s">
        <v>346</v>
      </c>
      <c r="E150" s="157"/>
      <c r="F150" s="158" t="s">
        <v>351</v>
      </c>
      <c r="H150" s="159">
        <v>5.9240000000000004</v>
      </c>
      <c r="L150" s="156"/>
      <c r="M150" s="160"/>
      <c r="T150" s="161"/>
      <c r="AT150" s="157" t="s">
        <v>346</v>
      </c>
      <c r="AU150" s="157" t="s">
        <v>90</v>
      </c>
      <c r="AV150" s="155" t="s">
        <v>344</v>
      </c>
      <c r="AW150" s="155" t="s">
        <v>33</v>
      </c>
      <c r="AX150" s="155" t="s">
        <v>87</v>
      </c>
      <c r="AY150" s="157" t="s">
        <v>337</v>
      </c>
    </row>
    <row r="151" spans="2:65" s="16" customFormat="1" ht="16.5" customHeight="1" x14ac:dyDescent="0.2">
      <c r="B151" s="17"/>
      <c r="C151" s="128">
        <v>3</v>
      </c>
      <c r="D151" s="128" t="s">
        <v>339</v>
      </c>
      <c r="E151" s="129" t="s">
        <v>2456</v>
      </c>
      <c r="F151" s="130" t="s">
        <v>2457</v>
      </c>
      <c r="G151" s="131" t="s">
        <v>425</v>
      </c>
      <c r="H151" s="132">
        <v>5.9240000000000004</v>
      </c>
      <c r="I151" s="133"/>
      <c r="J151" s="134">
        <f>ROUND(I151*H151,2)</f>
        <v>0</v>
      </c>
      <c r="K151" s="130" t="s">
        <v>343</v>
      </c>
      <c r="L151" s="17"/>
      <c r="M151" s="135"/>
      <c r="N151" s="136" t="s">
        <v>45</v>
      </c>
      <c r="P151" s="137">
        <f>O151*H151</f>
        <v>0</v>
      </c>
      <c r="Q151" s="137">
        <v>0</v>
      </c>
      <c r="R151" s="137">
        <f>Q151*H151</f>
        <v>0</v>
      </c>
      <c r="S151" s="137">
        <v>0</v>
      </c>
      <c r="T151" s="138">
        <f>S151*H151</f>
        <v>0</v>
      </c>
      <c r="AR151" s="139" t="s">
        <v>344</v>
      </c>
      <c r="AT151" s="139" t="s">
        <v>339</v>
      </c>
      <c r="AU151" s="139" t="s">
        <v>90</v>
      </c>
      <c r="AY151" s="2" t="s">
        <v>337</v>
      </c>
      <c r="BE151" s="140">
        <f>IF(N151="základní",J151,0)</f>
        <v>0</v>
      </c>
      <c r="BF151" s="140">
        <f>IF(N151="snížená",J151,0)</f>
        <v>0</v>
      </c>
      <c r="BG151" s="140">
        <f>IF(N151="zákl. přenesená",J151,0)</f>
        <v>0</v>
      </c>
      <c r="BH151" s="140">
        <f>IF(N151="sníž. přenesená",J151,0)</f>
        <v>0</v>
      </c>
      <c r="BI151" s="140">
        <f>IF(N151="nulová",J151,0)</f>
        <v>0</v>
      </c>
      <c r="BJ151" s="2" t="s">
        <v>87</v>
      </c>
      <c r="BK151" s="140">
        <f>ROUND(I151*H151,2)</f>
        <v>0</v>
      </c>
      <c r="BL151" s="2" t="s">
        <v>344</v>
      </c>
      <c r="BM151" s="139" t="s">
        <v>2458</v>
      </c>
    </row>
    <row r="152" spans="2:65" s="16" customFormat="1" ht="16.5" customHeight="1" x14ac:dyDescent="0.2">
      <c r="B152" s="17"/>
      <c r="C152" s="128">
        <v>4</v>
      </c>
      <c r="D152" s="128" t="s">
        <v>339</v>
      </c>
      <c r="E152" s="129" t="s">
        <v>2459</v>
      </c>
      <c r="F152" s="130" t="s">
        <v>2460</v>
      </c>
      <c r="G152" s="131" t="s">
        <v>990</v>
      </c>
      <c r="H152" s="132">
        <v>0.64200000000000002</v>
      </c>
      <c r="I152" s="133"/>
      <c r="J152" s="134">
        <f>ROUND(I152*H152,2)</f>
        <v>0</v>
      </c>
      <c r="K152" s="130" t="s">
        <v>343</v>
      </c>
      <c r="L152" s="17"/>
      <c r="M152" s="135"/>
      <c r="N152" s="136" t="s">
        <v>45</v>
      </c>
      <c r="P152" s="137">
        <f>O152*H152</f>
        <v>0</v>
      </c>
      <c r="Q152" s="137">
        <v>1.0606199999999999</v>
      </c>
      <c r="R152" s="137">
        <f>Q152*H152</f>
        <v>0.68091804</v>
      </c>
      <c r="S152" s="137">
        <v>0</v>
      </c>
      <c r="T152" s="138">
        <f>S152*H152</f>
        <v>0</v>
      </c>
      <c r="AR152" s="139" t="s">
        <v>344</v>
      </c>
      <c r="AT152" s="139" t="s">
        <v>339</v>
      </c>
      <c r="AU152" s="139" t="s">
        <v>90</v>
      </c>
      <c r="AY152" s="2" t="s">
        <v>337</v>
      </c>
      <c r="BE152" s="140">
        <f>IF(N152="základní",J152,0)</f>
        <v>0</v>
      </c>
      <c r="BF152" s="140">
        <f>IF(N152="snížená",J152,0)</f>
        <v>0</v>
      </c>
      <c r="BG152" s="140">
        <f>IF(N152="zákl. přenesená",J152,0)</f>
        <v>0</v>
      </c>
      <c r="BH152" s="140">
        <f>IF(N152="sníž. přenesená",J152,0)</f>
        <v>0</v>
      </c>
      <c r="BI152" s="140">
        <f>IF(N152="nulová",J152,0)</f>
        <v>0</v>
      </c>
      <c r="BJ152" s="2" t="s">
        <v>87</v>
      </c>
      <c r="BK152" s="140">
        <f>ROUND(I152*H152,2)</f>
        <v>0</v>
      </c>
      <c r="BL152" s="2" t="s">
        <v>344</v>
      </c>
      <c r="BM152" s="139" t="s">
        <v>2461</v>
      </c>
    </row>
    <row r="153" spans="2:65" s="141" customFormat="1" x14ac:dyDescent="0.2">
      <c r="B153" s="142"/>
      <c r="D153" s="143" t="s">
        <v>346</v>
      </c>
      <c r="E153" s="144"/>
      <c r="F153" s="145" t="s">
        <v>2462</v>
      </c>
      <c r="H153" s="144"/>
      <c r="L153" s="142"/>
      <c r="M153" s="146"/>
      <c r="T153" s="147"/>
      <c r="AT153" s="144" t="s">
        <v>346</v>
      </c>
      <c r="AU153" s="144" t="s">
        <v>90</v>
      </c>
      <c r="AV153" s="141" t="s">
        <v>87</v>
      </c>
      <c r="AW153" s="141" t="s">
        <v>33</v>
      </c>
      <c r="AX153" s="141" t="s">
        <v>80</v>
      </c>
      <c r="AY153" s="144" t="s">
        <v>337</v>
      </c>
    </row>
    <row r="154" spans="2:65" s="148" customFormat="1" x14ac:dyDescent="0.2">
      <c r="B154" s="149"/>
      <c r="D154" s="143" t="s">
        <v>346</v>
      </c>
      <c r="E154" s="150"/>
      <c r="F154" s="151" t="s">
        <v>2463</v>
      </c>
      <c r="H154" s="152">
        <v>0.64200000000000002</v>
      </c>
      <c r="L154" s="149"/>
      <c r="M154" s="153"/>
      <c r="T154" s="154"/>
      <c r="AT154" s="150" t="s">
        <v>346</v>
      </c>
      <c r="AU154" s="150" t="s">
        <v>90</v>
      </c>
      <c r="AV154" s="148" t="s">
        <v>90</v>
      </c>
      <c r="AW154" s="148" t="s">
        <v>33</v>
      </c>
      <c r="AX154" s="148" t="s">
        <v>87</v>
      </c>
      <c r="AY154" s="150" t="s">
        <v>337</v>
      </c>
    </row>
    <row r="155" spans="2:65" s="16" customFormat="1" ht="16.5" customHeight="1" x14ac:dyDescent="0.2">
      <c r="B155" s="17"/>
      <c r="C155" s="128">
        <v>5</v>
      </c>
      <c r="D155" s="128" t="s">
        <v>339</v>
      </c>
      <c r="E155" s="129" t="s">
        <v>2464</v>
      </c>
      <c r="F155" s="130" t="s">
        <v>2465</v>
      </c>
      <c r="G155" s="131" t="s">
        <v>342</v>
      </c>
      <c r="H155" s="132">
        <v>5.6</v>
      </c>
      <c r="I155" s="133"/>
      <c r="J155" s="134">
        <f>ROUND(I155*H155,2)</f>
        <v>0</v>
      </c>
      <c r="K155" s="130" t="s">
        <v>343</v>
      </c>
      <c r="L155" s="17"/>
      <c r="M155" s="135"/>
      <c r="N155" s="136" t="s">
        <v>45</v>
      </c>
      <c r="P155" s="137">
        <f>O155*H155</f>
        <v>0</v>
      </c>
      <c r="Q155" s="137">
        <v>2.5018699999999998</v>
      </c>
      <c r="R155" s="137">
        <f>Q155*H155</f>
        <v>14.010471999999998</v>
      </c>
      <c r="S155" s="137">
        <v>0</v>
      </c>
      <c r="T155" s="138">
        <f>S155*H155</f>
        <v>0</v>
      </c>
      <c r="AR155" s="139" t="s">
        <v>344</v>
      </c>
      <c r="AT155" s="139" t="s">
        <v>339</v>
      </c>
      <c r="AU155" s="139" t="s">
        <v>90</v>
      </c>
      <c r="AY155" s="2" t="s">
        <v>337</v>
      </c>
      <c r="BE155" s="140">
        <f>IF(N155="základní",J155,0)</f>
        <v>0</v>
      </c>
      <c r="BF155" s="140">
        <f>IF(N155="snížená",J155,0)</f>
        <v>0</v>
      </c>
      <c r="BG155" s="140">
        <f>IF(N155="zákl. přenesená",J155,0)</f>
        <v>0</v>
      </c>
      <c r="BH155" s="140">
        <f>IF(N155="sníž. přenesená",J155,0)</f>
        <v>0</v>
      </c>
      <c r="BI155" s="140">
        <f>IF(N155="nulová",J155,0)</f>
        <v>0</v>
      </c>
      <c r="BJ155" s="2" t="s">
        <v>87</v>
      </c>
      <c r="BK155" s="140">
        <f>ROUND(I155*H155,2)</f>
        <v>0</v>
      </c>
      <c r="BL155" s="2" t="s">
        <v>344</v>
      </c>
      <c r="BM155" s="139" t="s">
        <v>2466</v>
      </c>
    </row>
    <row r="156" spans="2:65" s="141" customFormat="1" x14ac:dyDescent="0.2">
      <c r="B156" s="142"/>
      <c r="D156" s="143" t="s">
        <v>346</v>
      </c>
      <c r="E156" s="144"/>
      <c r="F156" s="145" t="s">
        <v>2467</v>
      </c>
      <c r="H156" s="144"/>
      <c r="L156" s="142"/>
      <c r="M156" s="146"/>
      <c r="T156" s="147"/>
      <c r="AT156" s="144" t="s">
        <v>346</v>
      </c>
      <c r="AU156" s="144" t="s">
        <v>90</v>
      </c>
      <c r="AV156" s="141" t="s">
        <v>87</v>
      </c>
      <c r="AW156" s="141" t="s">
        <v>33</v>
      </c>
      <c r="AX156" s="141" t="s">
        <v>80</v>
      </c>
      <c r="AY156" s="144" t="s">
        <v>337</v>
      </c>
    </row>
    <row r="157" spans="2:65" s="148" customFormat="1" x14ac:dyDescent="0.2">
      <c r="B157" s="149"/>
      <c r="D157" s="143" t="s">
        <v>346</v>
      </c>
      <c r="E157" s="150"/>
      <c r="F157" s="151" t="s">
        <v>2468</v>
      </c>
      <c r="H157" s="152">
        <v>5.6</v>
      </c>
      <c r="L157" s="149"/>
      <c r="M157" s="153"/>
      <c r="T157" s="154"/>
      <c r="AT157" s="150" t="s">
        <v>346</v>
      </c>
      <c r="AU157" s="150" t="s">
        <v>90</v>
      </c>
      <c r="AV157" s="148" t="s">
        <v>90</v>
      </c>
      <c r="AW157" s="148" t="s">
        <v>33</v>
      </c>
      <c r="AX157" s="148" t="s">
        <v>87</v>
      </c>
      <c r="AY157" s="150" t="s">
        <v>337</v>
      </c>
    </row>
    <row r="158" spans="2:65" s="116" customFormat="1" ht="22.9" customHeight="1" x14ac:dyDescent="0.2">
      <c r="B158" s="117"/>
      <c r="D158" s="118" t="s">
        <v>79</v>
      </c>
      <c r="E158" s="126" t="s">
        <v>113</v>
      </c>
      <c r="F158" s="126" t="s">
        <v>352</v>
      </c>
      <c r="J158" s="127">
        <f>BK158</f>
        <v>0</v>
      </c>
      <c r="L158" s="117"/>
      <c r="M158" s="121"/>
      <c r="P158" s="122">
        <f>SUM(P159:P187)</f>
        <v>0</v>
      </c>
      <c r="R158" s="122">
        <f>SUM(R159:R187)</f>
        <v>111.53001992999999</v>
      </c>
      <c r="T158" s="123">
        <f>SUM(T159:T187)</f>
        <v>0</v>
      </c>
      <c r="AR158" s="118" t="s">
        <v>87</v>
      </c>
      <c r="AT158" s="124" t="s">
        <v>79</v>
      </c>
      <c r="AU158" s="124" t="s">
        <v>87</v>
      </c>
      <c r="AY158" s="118" t="s">
        <v>337</v>
      </c>
      <c r="BK158" s="125">
        <f>SUM(BK159:BK187)</f>
        <v>0</v>
      </c>
    </row>
    <row r="159" spans="2:65" s="16" customFormat="1" ht="24.2" customHeight="1" x14ac:dyDescent="0.2">
      <c r="B159" s="17"/>
      <c r="C159" s="128">
        <v>6</v>
      </c>
      <c r="D159" s="128" t="s">
        <v>339</v>
      </c>
      <c r="E159" s="129" t="s">
        <v>2469</v>
      </c>
      <c r="F159" s="130" t="s">
        <v>2470</v>
      </c>
      <c r="G159" s="131" t="s">
        <v>425</v>
      </c>
      <c r="H159" s="132">
        <v>213.30699999999999</v>
      </c>
      <c r="I159" s="133"/>
      <c r="J159" s="134">
        <f>ROUND(I159*H159,2)</f>
        <v>0</v>
      </c>
      <c r="K159" s="130" t="s">
        <v>343</v>
      </c>
      <c r="L159" s="17"/>
      <c r="M159" s="135"/>
      <c r="N159" s="136" t="s">
        <v>45</v>
      </c>
      <c r="P159" s="137">
        <f>O159*H159</f>
        <v>0</v>
      </c>
      <c r="Q159" s="137">
        <v>0.49689</v>
      </c>
      <c r="R159" s="137">
        <f>Q159*H159</f>
        <v>105.99011523</v>
      </c>
      <c r="S159" s="137">
        <v>0</v>
      </c>
      <c r="T159" s="138">
        <f>S159*H159</f>
        <v>0</v>
      </c>
      <c r="AR159" s="139" t="s">
        <v>344</v>
      </c>
      <c r="AT159" s="139" t="s">
        <v>339</v>
      </c>
      <c r="AU159" s="139" t="s">
        <v>90</v>
      </c>
      <c r="AY159" s="2" t="s">
        <v>337</v>
      </c>
      <c r="BE159" s="140">
        <f>IF(N159="základní",J159,0)</f>
        <v>0</v>
      </c>
      <c r="BF159" s="140">
        <f>IF(N159="snížená",J159,0)</f>
        <v>0</v>
      </c>
      <c r="BG159" s="140">
        <f>IF(N159="zákl. přenesená",J159,0)</f>
        <v>0</v>
      </c>
      <c r="BH159" s="140">
        <f>IF(N159="sníž. přenesená",J159,0)</f>
        <v>0</v>
      </c>
      <c r="BI159" s="140">
        <f>IF(N159="nulová",J159,0)</f>
        <v>0</v>
      </c>
      <c r="BJ159" s="2" t="s">
        <v>87</v>
      </c>
      <c r="BK159" s="140">
        <f>ROUND(I159*H159,2)</f>
        <v>0</v>
      </c>
      <c r="BL159" s="2" t="s">
        <v>344</v>
      </c>
      <c r="BM159" s="139" t="s">
        <v>2471</v>
      </c>
    </row>
    <row r="160" spans="2:65" s="141" customFormat="1" x14ac:dyDescent="0.2">
      <c r="B160" s="142"/>
      <c r="D160" s="143" t="s">
        <v>346</v>
      </c>
      <c r="E160" s="144"/>
      <c r="F160" s="145" t="s">
        <v>2472</v>
      </c>
      <c r="H160" s="144"/>
      <c r="L160" s="142"/>
      <c r="M160" s="146"/>
      <c r="T160" s="147"/>
      <c r="AT160" s="144" t="s">
        <v>346</v>
      </c>
      <c r="AU160" s="144" t="s">
        <v>90</v>
      </c>
      <c r="AV160" s="141" t="s">
        <v>87</v>
      </c>
      <c r="AW160" s="141" t="s">
        <v>33</v>
      </c>
      <c r="AX160" s="141" t="s">
        <v>80</v>
      </c>
      <c r="AY160" s="144" t="s">
        <v>337</v>
      </c>
    </row>
    <row r="161" spans="2:65" s="141" customFormat="1" x14ac:dyDescent="0.2">
      <c r="B161" s="142"/>
      <c r="D161" s="143" t="s">
        <v>346</v>
      </c>
      <c r="E161" s="144"/>
      <c r="F161" s="145" t="s">
        <v>2473</v>
      </c>
      <c r="H161" s="144"/>
      <c r="L161" s="142"/>
      <c r="M161" s="146"/>
      <c r="T161" s="147"/>
      <c r="AT161" s="144" t="s">
        <v>346</v>
      </c>
      <c r="AU161" s="144" t="s">
        <v>90</v>
      </c>
      <c r="AV161" s="141" t="s">
        <v>87</v>
      </c>
      <c r="AW161" s="141" t="s">
        <v>33</v>
      </c>
      <c r="AX161" s="141" t="s">
        <v>80</v>
      </c>
      <c r="AY161" s="144" t="s">
        <v>337</v>
      </c>
    </row>
    <row r="162" spans="2:65" s="148" customFormat="1" x14ac:dyDescent="0.2">
      <c r="B162" s="149"/>
      <c r="D162" s="143" t="s">
        <v>346</v>
      </c>
      <c r="E162" s="150"/>
      <c r="F162" s="151" t="s">
        <v>2474</v>
      </c>
      <c r="H162" s="152">
        <v>195.65799999999999</v>
      </c>
      <c r="L162" s="149"/>
      <c r="M162" s="153"/>
      <c r="T162" s="154"/>
      <c r="AT162" s="150" t="s">
        <v>346</v>
      </c>
      <c r="AU162" s="150" t="s">
        <v>90</v>
      </c>
      <c r="AV162" s="148" t="s">
        <v>90</v>
      </c>
      <c r="AW162" s="148" t="s">
        <v>33</v>
      </c>
      <c r="AX162" s="148" t="s">
        <v>80</v>
      </c>
      <c r="AY162" s="150" t="s">
        <v>337</v>
      </c>
    </row>
    <row r="163" spans="2:65" s="148" customFormat="1" x14ac:dyDescent="0.2">
      <c r="B163" s="149"/>
      <c r="D163" s="143" t="s">
        <v>346</v>
      </c>
      <c r="E163" s="150"/>
      <c r="F163" s="151" t="s">
        <v>2475</v>
      </c>
      <c r="H163" s="152">
        <v>-15.696</v>
      </c>
      <c r="L163" s="149"/>
      <c r="M163" s="153"/>
      <c r="T163" s="154"/>
      <c r="AT163" s="150" t="s">
        <v>346</v>
      </c>
      <c r="AU163" s="150" t="s">
        <v>90</v>
      </c>
      <c r="AV163" s="148" t="s">
        <v>90</v>
      </c>
      <c r="AW163" s="148" t="s">
        <v>33</v>
      </c>
      <c r="AX163" s="148" t="s">
        <v>80</v>
      </c>
      <c r="AY163" s="150" t="s">
        <v>337</v>
      </c>
    </row>
    <row r="164" spans="2:65" s="141" customFormat="1" x14ac:dyDescent="0.2">
      <c r="B164" s="142"/>
      <c r="D164" s="143" t="s">
        <v>346</v>
      </c>
      <c r="E164" s="144"/>
      <c r="F164" s="145" t="s">
        <v>2476</v>
      </c>
      <c r="H164" s="144"/>
      <c r="L164" s="142"/>
      <c r="M164" s="146"/>
      <c r="T164" s="147"/>
      <c r="AT164" s="144" t="s">
        <v>346</v>
      </c>
      <c r="AU164" s="144" t="s">
        <v>90</v>
      </c>
      <c r="AV164" s="141" t="s">
        <v>87</v>
      </c>
      <c r="AW164" s="141" t="s">
        <v>33</v>
      </c>
      <c r="AX164" s="141" t="s">
        <v>80</v>
      </c>
      <c r="AY164" s="144" t="s">
        <v>337</v>
      </c>
    </row>
    <row r="165" spans="2:65" s="148" customFormat="1" x14ac:dyDescent="0.2">
      <c r="B165" s="149"/>
      <c r="D165" s="143" t="s">
        <v>346</v>
      </c>
      <c r="E165" s="150"/>
      <c r="F165" s="151" t="s">
        <v>2477</v>
      </c>
      <c r="H165" s="152">
        <v>34.893000000000001</v>
      </c>
      <c r="L165" s="149"/>
      <c r="M165" s="153"/>
      <c r="T165" s="154"/>
      <c r="AT165" s="150" t="s">
        <v>346</v>
      </c>
      <c r="AU165" s="150" t="s">
        <v>90</v>
      </c>
      <c r="AV165" s="148" t="s">
        <v>90</v>
      </c>
      <c r="AW165" s="148" t="s">
        <v>33</v>
      </c>
      <c r="AX165" s="148" t="s">
        <v>80</v>
      </c>
      <c r="AY165" s="150" t="s">
        <v>337</v>
      </c>
    </row>
    <row r="166" spans="2:65" s="148" customFormat="1" x14ac:dyDescent="0.2">
      <c r="B166" s="149"/>
      <c r="D166" s="143" t="s">
        <v>346</v>
      </c>
      <c r="E166" s="150"/>
      <c r="F166" s="151" t="s">
        <v>2478</v>
      </c>
      <c r="H166" s="152">
        <v>-1.548</v>
      </c>
      <c r="L166" s="149"/>
      <c r="M166" s="153"/>
      <c r="T166" s="154"/>
      <c r="AT166" s="150" t="s">
        <v>346</v>
      </c>
      <c r="AU166" s="150" t="s">
        <v>90</v>
      </c>
      <c r="AV166" s="148" t="s">
        <v>90</v>
      </c>
      <c r="AW166" s="148" t="s">
        <v>33</v>
      </c>
      <c r="AX166" s="148" t="s">
        <v>80</v>
      </c>
      <c r="AY166" s="150" t="s">
        <v>337</v>
      </c>
    </row>
    <row r="167" spans="2:65" s="155" customFormat="1" x14ac:dyDescent="0.2">
      <c r="B167" s="156"/>
      <c r="D167" s="143" t="s">
        <v>346</v>
      </c>
      <c r="E167" s="157"/>
      <c r="F167" s="158" t="s">
        <v>351</v>
      </c>
      <c r="H167" s="159">
        <v>213.30699999999999</v>
      </c>
      <c r="L167" s="156"/>
      <c r="M167" s="160"/>
      <c r="T167" s="161"/>
      <c r="AT167" s="157" t="s">
        <v>346</v>
      </c>
      <c r="AU167" s="157" t="s">
        <v>90</v>
      </c>
      <c r="AV167" s="155" t="s">
        <v>344</v>
      </c>
      <c r="AW167" s="155" t="s">
        <v>33</v>
      </c>
      <c r="AX167" s="155" t="s">
        <v>87</v>
      </c>
      <c r="AY167" s="157" t="s">
        <v>337</v>
      </c>
    </row>
    <row r="168" spans="2:65" s="16" customFormat="1" ht="16.5" customHeight="1" x14ac:dyDescent="0.2">
      <c r="B168" s="17"/>
      <c r="C168" s="128">
        <v>7</v>
      </c>
      <c r="D168" s="128" t="s">
        <v>339</v>
      </c>
      <c r="E168" s="129" t="s">
        <v>2479</v>
      </c>
      <c r="F168" s="130" t="s">
        <v>2480</v>
      </c>
      <c r="G168" s="131" t="s">
        <v>990</v>
      </c>
      <c r="H168" s="132">
        <v>3.5350000000000001</v>
      </c>
      <c r="I168" s="133"/>
      <c r="J168" s="134">
        <f>ROUND(I168*H168,2)</f>
        <v>0</v>
      </c>
      <c r="K168" s="130" t="s">
        <v>343</v>
      </c>
      <c r="L168" s="17"/>
      <c r="M168" s="135"/>
      <c r="N168" s="136" t="s">
        <v>45</v>
      </c>
      <c r="P168" s="137">
        <f>O168*H168</f>
        <v>0</v>
      </c>
      <c r="Q168" s="137">
        <v>1.04922</v>
      </c>
      <c r="R168" s="137">
        <f>Q168*H168</f>
        <v>3.7089927000000005</v>
      </c>
      <c r="S168" s="137">
        <v>0</v>
      </c>
      <c r="T168" s="138">
        <f>S168*H168</f>
        <v>0</v>
      </c>
      <c r="AR168" s="139" t="s">
        <v>344</v>
      </c>
      <c r="AT168" s="139" t="s">
        <v>339</v>
      </c>
      <c r="AU168" s="139" t="s">
        <v>90</v>
      </c>
      <c r="AY168" s="2" t="s">
        <v>337</v>
      </c>
      <c r="BE168" s="140">
        <f>IF(N168="základní",J168,0)</f>
        <v>0</v>
      </c>
      <c r="BF168" s="140">
        <f>IF(N168="snížená",J168,0)</f>
        <v>0</v>
      </c>
      <c r="BG168" s="140">
        <f>IF(N168="zákl. přenesená",J168,0)</f>
        <v>0</v>
      </c>
      <c r="BH168" s="140">
        <f>IF(N168="sníž. přenesená",J168,0)</f>
        <v>0</v>
      </c>
      <c r="BI168" s="140">
        <f>IF(N168="nulová",J168,0)</f>
        <v>0</v>
      </c>
      <c r="BJ168" s="2" t="s">
        <v>87</v>
      </c>
      <c r="BK168" s="140">
        <f>ROUND(I168*H168,2)</f>
        <v>0</v>
      </c>
      <c r="BL168" s="2" t="s">
        <v>344</v>
      </c>
      <c r="BM168" s="139" t="s">
        <v>2481</v>
      </c>
    </row>
    <row r="169" spans="2:65" s="141" customFormat="1" x14ac:dyDescent="0.2">
      <c r="B169" s="142"/>
      <c r="D169" s="143" t="s">
        <v>346</v>
      </c>
      <c r="E169" s="144"/>
      <c r="F169" s="145" t="s">
        <v>2482</v>
      </c>
      <c r="H169" s="144"/>
      <c r="L169" s="142"/>
      <c r="M169" s="146"/>
      <c r="T169" s="147"/>
      <c r="AT169" s="144" t="s">
        <v>346</v>
      </c>
      <c r="AU169" s="144" t="s">
        <v>90</v>
      </c>
      <c r="AV169" s="141" t="s">
        <v>87</v>
      </c>
      <c r="AW169" s="141" t="s">
        <v>33</v>
      </c>
      <c r="AX169" s="141" t="s">
        <v>80</v>
      </c>
      <c r="AY169" s="144" t="s">
        <v>337</v>
      </c>
    </row>
    <row r="170" spans="2:65" s="141" customFormat="1" x14ac:dyDescent="0.2">
      <c r="B170" s="142"/>
      <c r="D170" s="143" t="s">
        <v>346</v>
      </c>
      <c r="E170" s="144"/>
      <c r="F170" s="145" t="s">
        <v>2473</v>
      </c>
      <c r="H170" s="144"/>
      <c r="L170" s="142"/>
      <c r="M170" s="146"/>
      <c r="T170" s="147"/>
      <c r="AT170" s="144" t="s">
        <v>346</v>
      </c>
      <c r="AU170" s="144" t="s">
        <v>90</v>
      </c>
      <c r="AV170" s="141" t="s">
        <v>87</v>
      </c>
      <c r="AW170" s="141" t="s">
        <v>33</v>
      </c>
      <c r="AX170" s="141" t="s">
        <v>80</v>
      </c>
      <c r="AY170" s="144" t="s">
        <v>337</v>
      </c>
    </row>
    <row r="171" spans="2:65" s="148" customFormat="1" x14ac:dyDescent="0.2">
      <c r="B171" s="149"/>
      <c r="D171" s="143" t="s">
        <v>346</v>
      </c>
      <c r="E171" s="150"/>
      <c r="F171" s="151" t="s">
        <v>2483</v>
      </c>
      <c r="H171" s="152">
        <v>0.72499999999999998</v>
      </c>
      <c r="L171" s="149"/>
      <c r="M171" s="153"/>
      <c r="T171" s="154"/>
      <c r="AT171" s="150" t="s">
        <v>346</v>
      </c>
      <c r="AU171" s="150" t="s">
        <v>90</v>
      </c>
      <c r="AV171" s="148" t="s">
        <v>90</v>
      </c>
      <c r="AW171" s="148" t="s">
        <v>33</v>
      </c>
      <c r="AX171" s="148" t="s">
        <v>80</v>
      </c>
      <c r="AY171" s="150" t="s">
        <v>337</v>
      </c>
    </row>
    <row r="172" spans="2:65" s="148" customFormat="1" x14ac:dyDescent="0.2">
      <c r="B172" s="149"/>
      <c r="D172" s="143" t="s">
        <v>346</v>
      </c>
      <c r="E172" s="150"/>
      <c r="F172" s="151" t="s">
        <v>2484</v>
      </c>
      <c r="H172" s="152">
        <v>-5.1999999999999998E-2</v>
      </c>
      <c r="L172" s="149"/>
      <c r="M172" s="153"/>
      <c r="T172" s="154"/>
      <c r="AT172" s="150" t="s">
        <v>346</v>
      </c>
      <c r="AU172" s="150" t="s">
        <v>90</v>
      </c>
      <c r="AV172" s="148" t="s">
        <v>90</v>
      </c>
      <c r="AW172" s="148" t="s">
        <v>33</v>
      </c>
      <c r="AX172" s="148" t="s">
        <v>80</v>
      </c>
      <c r="AY172" s="150" t="s">
        <v>337</v>
      </c>
    </row>
    <row r="173" spans="2:65" s="141" customFormat="1" x14ac:dyDescent="0.2">
      <c r="B173" s="142"/>
      <c r="D173" s="143" t="s">
        <v>346</v>
      </c>
      <c r="E173" s="144"/>
      <c r="F173" s="145" t="s">
        <v>2476</v>
      </c>
      <c r="H173" s="144"/>
      <c r="L173" s="142"/>
      <c r="M173" s="146"/>
      <c r="T173" s="147"/>
      <c r="AT173" s="144" t="s">
        <v>346</v>
      </c>
      <c r="AU173" s="144" t="s">
        <v>90</v>
      </c>
      <c r="AV173" s="141" t="s">
        <v>87</v>
      </c>
      <c r="AW173" s="141" t="s">
        <v>33</v>
      </c>
      <c r="AX173" s="141" t="s">
        <v>80</v>
      </c>
      <c r="AY173" s="144" t="s">
        <v>337</v>
      </c>
    </row>
    <row r="174" spans="2:65" s="148" customFormat="1" x14ac:dyDescent="0.2">
      <c r="B174" s="149"/>
      <c r="D174" s="143" t="s">
        <v>346</v>
      </c>
      <c r="E174" s="150"/>
      <c r="F174" s="151" t="s">
        <v>2485</v>
      </c>
      <c r="H174" s="152">
        <v>0.69799999999999995</v>
      </c>
      <c r="L174" s="149"/>
      <c r="M174" s="153"/>
      <c r="T174" s="154"/>
      <c r="AT174" s="150" t="s">
        <v>346</v>
      </c>
      <c r="AU174" s="150" t="s">
        <v>90</v>
      </c>
      <c r="AV174" s="148" t="s">
        <v>90</v>
      </c>
      <c r="AW174" s="148" t="s">
        <v>33</v>
      </c>
      <c r="AX174" s="148" t="s">
        <v>80</v>
      </c>
      <c r="AY174" s="150" t="s">
        <v>337</v>
      </c>
    </row>
    <row r="175" spans="2:65" s="148" customFormat="1" x14ac:dyDescent="0.2">
      <c r="B175" s="149"/>
      <c r="D175" s="143" t="s">
        <v>346</v>
      </c>
      <c r="E175" s="150"/>
      <c r="F175" s="151" t="s">
        <v>2486</v>
      </c>
      <c r="H175" s="152">
        <v>-3.1E-2</v>
      </c>
      <c r="L175" s="149"/>
      <c r="M175" s="153"/>
      <c r="T175" s="154"/>
      <c r="AT175" s="150" t="s">
        <v>346</v>
      </c>
      <c r="AU175" s="150" t="s">
        <v>90</v>
      </c>
      <c r="AV175" s="148" t="s">
        <v>90</v>
      </c>
      <c r="AW175" s="148" t="s">
        <v>33</v>
      </c>
      <c r="AX175" s="148" t="s">
        <v>80</v>
      </c>
      <c r="AY175" s="150" t="s">
        <v>337</v>
      </c>
    </row>
    <row r="176" spans="2:65" s="141" customFormat="1" x14ac:dyDescent="0.2">
      <c r="B176" s="142"/>
      <c r="D176" s="143" t="s">
        <v>346</v>
      </c>
      <c r="E176" s="144"/>
      <c r="F176" s="145" t="s">
        <v>2487</v>
      </c>
      <c r="H176" s="144"/>
      <c r="L176" s="142"/>
      <c r="M176" s="146"/>
      <c r="T176" s="147"/>
      <c r="AT176" s="144" t="s">
        <v>346</v>
      </c>
      <c r="AU176" s="144" t="s">
        <v>90</v>
      </c>
      <c r="AV176" s="141" t="s">
        <v>87</v>
      </c>
      <c r="AW176" s="141" t="s">
        <v>33</v>
      </c>
      <c r="AX176" s="141" t="s">
        <v>80</v>
      </c>
      <c r="AY176" s="144" t="s">
        <v>337</v>
      </c>
    </row>
    <row r="177" spans="2:65" s="141" customFormat="1" x14ac:dyDescent="0.2">
      <c r="B177" s="142"/>
      <c r="D177" s="143" t="s">
        <v>346</v>
      </c>
      <c r="E177" s="144"/>
      <c r="F177" s="145" t="s">
        <v>2473</v>
      </c>
      <c r="H177" s="144"/>
      <c r="L177" s="142"/>
      <c r="M177" s="146"/>
      <c r="T177" s="147"/>
      <c r="AT177" s="144" t="s">
        <v>346</v>
      </c>
      <c r="AU177" s="144" t="s">
        <v>90</v>
      </c>
      <c r="AV177" s="141" t="s">
        <v>87</v>
      </c>
      <c r="AW177" s="141" t="s">
        <v>33</v>
      </c>
      <c r="AX177" s="141" t="s">
        <v>80</v>
      </c>
      <c r="AY177" s="144" t="s">
        <v>337</v>
      </c>
    </row>
    <row r="178" spans="2:65" s="148" customFormat="1" x14ac:dyDescent="0.2">
      <c r="B178" s="149"/>
      <c r="D178" s="143" t="s">
        <v>346</v>
      </c>
      <c r="E178" s="150"/>
      <c r="F178" s="151" t="s">
        <v>2488</v>
      </c>
      <c r="H178" s="152">
        <v>2.391</v>
      </c>
      <c r="L178" s="149"/>
      <c r="M178" s="153"/>
      <c r="T178" s="154"/>
      <c r="AT178" s="150" t="s">
        <v>346</v>
      </c>
      <c r="AU178" s="150" t="s">
        <v>90</v>
      </c>
      <c r="AV178" s="148" t="s">
        <v>90</v>
      </c>
      <c r="AW178" s="148" t="s">
        <v>33</v>
      </c>
      <c r="AX178" s="148" t="s">
        <v>80</v>
      </c>
      <c r="AY178" s="150" t="s">
        <v>337</v>
      </c>
    </row>
    <row r="179" spans="2:65" s="148" customFormat="1" x14ac:dyDescent="0.2">
      <c r="B179" s="149"/>
      <c r="D179" s="143" t="s">
        <v>346</v>
      </c>
      <c r="E179" s="150"/>
      <c r="F179" s="151" t="s">
        <v>2489</v>
      </c>
      <c r="H179" s="152">
        <v>-0.19600000000000001</v>
      </c>
      <c r="L179" s="149"/>
      <c r="M179" s="153"/>
      <c r="T179" s="154"/>
      <c r="AT179" s="150" t="s">
        <v>346</v>
      </c>
      <c r="AU179" s="150" t="s">
        <v>90</v>
      </c>
      <c r="AV179" s="148" t="s">
        <v>90</v>
      </c>
      <c r="AW179" s="148" t="s">
        <v>33</v>
      </c>
      <c r="AX179" s="148" t="s">
        <v>80</v>
      </c>
      <c r="AY179" s="150" t="s">
        <v>337</v>
      </c>
    </row>
    <row r="180" spans="2:65" s="155" customFormat="1" x14ac:dyDescent="0.2">
      <c r="B180" s="156"/>
      <c r="D180" s="143" t="s">
        <v>346</v>
      </c>
      <c r="E180" s="157"/>
      <c r="F180" s="158" t="s">
        <v>351</v>
      </c>
      <c r="H180" s="159">
        <v>3.5350000000000001</v>
      </c>
      <c r="L180" s="156"/>
      <c r="M180" s="160"/>
      <c r="T180" s="161"/>
      <c r="AT180" s="157" t="s">
        <v>346</v>
      </c>
      <c r="AU180" s="157" t="s">
        <v>90</v>
      </c>
      <c r="AV180" s="155" t="s">
        <v>344</v>
      </c>
      <c r="AW180" s="155" t="s">
        <v>33</v>
      </c>
      <c r="AX180" s="155" t="s">
        <v>87</v>
      </c>
      <c r="AY180" s="157" t="s">
        <v>337</v>
      </c>
    </row>
    <row r="181" spans="2:65" s="16" customFormat="1" ht="16.5" customHeight="1" x14ac:dyDescent="0.2">
      <c r="B181" s="17"/>
      <c r="C181" s="128">
        <v>8</v>
      </c>
      <c r="D181" s="128" t="s">
        <v>339</v>
      </c>
      <c r="E181" s="129" t="s">
        <v>2490</v>
      </c>
      <c r="F181" s="130" t="s">
        <v>2491</v>
      </c>
      <c r="G181" s="131" t="s">
        <v>724</v>
      </c>
      <c r="H181" s="132">
        <v>10.8</v>
      </c>
      <c r="I181" s="133"/>
      <c r="J181" s="134">
        <f>ROUND(I181*H181,2)</f>
        <v>0</v>
      </c>
      <c r="K181" s="130" t="s">
        <v>343</v>
      </c>
      <c r="L181" s="17"/>
      <c r="M181" s="135"/>
      <c r="N181" s="136" t="s">
        <v>45</v>
      </c>
      <c r="P181" s="137">
        <f>O181*H181</f>
        <v>0</v>
      </c>
      <c r="Q181" s="137">
        <v>4.709E-2</v>
      </c>
      <c r="R181" s="137">
        <f>Q181*H181</f>
        <v>0.50857200000000002</v>
      </c>
      <c r="S181" s="137">
        <v>0</v>
      </c>
      <c r="T181" s="138">
        <f>S181*H181</f>
        <v>0</v>
      </c>
      <c r="AR181" s="139" t="s">
        <v>344</v>
      </c>
      <c r="AT181" s="139" t="s">
        <v>339</v>
      </c>
      <c r="AU181" s="139" t="s">
        <v>90</v>
      </c>
      <c r="AY181" s="2" t="s">
        <v>337</v>
      </c>
      <c r="BE181" s="140">
        <f>IF(N181="základní",J181,0)</f>
        <v>0</v>
      </c>
      <c r="BF181" s="140">
        <f>IF(N181="snížená",J181,0)</f>
        <v>0</v>
      </c>
      <c r="BG181" s="140">
        <f>IF(N181="zákl. přenesená",J181,0)</f>
        <v>0</v>
      </c>
      <c r="BH181" s="140">
        <f>IF(N181="sníž. přenesená",J181,0)</f>
        <v>0</v>
      </c>
      <c r="BI181" s="140">
        <f>IF(N181="nulová",J181,0)</f>
        <v>0</v>
      </c>
      <c r="BJ181" s="2" t="s">
        <v>87</v>
      </c>
      <c r="BK181" s="140">
        <f>ROUND(I181*H181,2)</f>
        <v>0</v>
      </c>
      <c r="BL181" s="2" t="s">
        <v>344</v>
      </c>
      <c r="BM181" s="139" t="s">
        <v>2492</v>
      </c>
    </row>
    <row r="182" spans="2:65" s="141" customFormat="1" x14ac:dyDescent="0.2">
      <c r="B182" s="142"/>
      <c r="D182" s="143" t="s">
        <v>346</v>
      </c>
      <c r="E182" s="144"/>
      <c r="F182" s="145" t="s">
        <v>2493</v>
      </c>
      <c r="H182" s="144"/>
      <c r="L182" s="142"/>
      <c r="M182" s="146"/>
      <c r="T182" s="147"/>
      <c r="AT182" s="144" t="s">
        <v>346</v>
      </c>
      <c r="AU182" s="144" t="s">
        <v>90</v>
      </c>
      <c r="AV182" s="141" t="s">
        <v>87</v>
      </c>
      <c r="AW182" s="141" t="s">
        <v>33</v>
      </c>
      <c r="AX182" s="141" t="s">
        <v>80</v>
      </c>
      <c r="AY182" s="144" t="s">
        <v>337</v>
      </c>
    </row>
    <row r="183" spans="2:65" s="148" customFormat="1" x14ac:dyDescent="0.2">
      <c r="B183" s="149"/>
      <c r="D183" s="143" t="s">
        <v>346</v>
      </c>
      <c r="E183" s="150"/>
      <c r="F183" s="151" t="s">
        <v>2494</v>
      </c>
      <c r="H183" s="152">
        <v>10.8</v>
      </c>
      <c r="L183" s="149"/>
      <c r="M183" s="153"/>
      <c r="T183" s="154"/>
      <c r="AT183" s="150" t="s">
        <v>346</v>
      </c>
      <c r="AU183" s="150" t="s">
        <v>90</v>
      </c>
      <c r="AV183" s="148" t="s">
        <v>90</v>
      </c>
      <c r="AW183" s="148" t="s">
        <v>33</v>
      </c>
      <c r="AX183" s="148" t="s">
        <v>87</v>
      </c>
      <c r="AY183" s="150" t="s">
        <v>337</v>
      </c>
    </row>
    <row r="184" spans="2:65" s="16" customFormat="1" ht="16.5" customHeight="1" x14ac:dyDescent="0.2">
      <c r="B184" s="17"/>
      <c r="C184" s="128">
        <v>9</v>
      </c>
      <c r="D184" s="128" t="s">
        <v>339</v>
      </c>
      <c r="E184" s="129" t="s">
        <v>2495</v>
      </c>
      <c r="F184" s="130" t="s">
        <v>2496</v>
      </c>
      <c r="G184" s="131" t="s">
        <v>342</v>
      </c>
      <c r="H184" s="132">
        <v>0.5</v>
      </c>
      <c r="I184" s="133"/>
      <c r="J184" s="134">
        <f>ROUND(I184*H184,2)</f>
        <v>0</v>
      </c>
      <c r="K184" s="130" t="s">
        <v>343</v>
      </c>
      <c r="L184" s="17"/>
      <c r="M184" s="135"/>
      <c r="N184" s="136" t="s">
        <v>45</v>
      </c>
      <c r="P184" s="137">
        <f>O184*H184</f>
        <v>0</v>
      </c>
      <c r="Q184" s="137">
        <v>2.6446800000000001</v>
      </c>
      <c r="R184" s="137">
        <f>Q184*H184</f>
        <v>1.3223400000000001</v>
      </c>
      <c r="S184" s="137">
        <v>0</v>
      </c>
      <c r="T184" s="138">
        <f>S184*H184</f>
        <v>0</v>
      </c>
      <c r="AR184" s="139" t="s">
        <v>344</v>
      </c>
      <c r="AT184" s="139" t="s">
        <v>339</v>
      </c>
      <c r="AU184" s="139" t="s">
        <v>90</v>
      </c>
      <c r="AY184" s="2" t="s">
        <v>337</v>
      </c>
      <c r="BE184" s="140">
        <f>IF(N184="základní",J184,0)</f>
        <v>0</v>
      </c>
      <c r="BF184" s="140">
        <f>IF(N184="snížená",J184,0)</f>
        <v>0</v>
      </c>
      <c r="BG184" s="140">
        <f>IF(N184="zákl. přenesená",J184,0)</f>
        <v>0</v>
      </c>
      <c r="BH184" s="140">
        <f>IF(N184="sníž. přenesená",J184,0)</f>
        <v>0</v>
      </c>
      <c r="BI184" s="140">
        <f>IF(N184="nulová",J184,0)</f>
        <v>0</v>
      </c>
      <c r="BJ184" s="2" t="s">
        <v>87</v>
      </c>
      <c r="BK184" s="140">
        <f>ROUND(I184*H184,2)</f>
        <v>0</v>
      </c>
      <c r="BL184" s="2" t="s">
        <v>344</v>
      </c>
      <c r="BM184" s="139" t="s">
        <v>2497</v>
      </c>
    </row>
    <row r="185" spans="2:65" s="141" customFormat="1" x14ac:dyDescent="0.2">
      <c r="B185" s="142"/>
      <c r="D185" s="143" t="s">
        <v>346</v>
      </c>
      <c r="E185" s="144"/>
      <c r="F185" s="145" t="s">
        <v>2498</v>
      </c>
      <c r="H185" s="144"/>
      <c r="L185" s="142"/>
      <c r="M185" s="146"/>
      <c r="T185" s="147"/>
      <c r="AT185" s="144" t="s">
        <v>346</v>
      </c>
      <c r="AU185" s="144" t="s">
        <v>90</v>
      </c>
      <c r="AV185" s="141" t="s">
        <v>87</v>
      </c>
      <c r="AW185" s="141" t="s">
        <v>33</v>
      </c>
      <c r="AX185" s="141" t="s">
        <v>80</v>
      </c>
      <c r="AY185" s="144" t="s">
        <v>337</v>
      </c>
    </row>
    <row r="186" spans="2:65" s="141" customFormat="1" x14ac:dyDescent="0.2">
      <c r="B186" s="142"/>
      <c r="D186" s="143" t="s">
        <v>346</v>
      </c>
      <c r="E186" s="144"/>
      <c r="F186" s="145" t="s">
        <v>2499</v>
      </c>
      <c r="H186" s="144"/>
      <c r="L186" s="142"/>
      <c r="M186" s="146"/>
      <c r="T186" s="147"/>
      <c r="AT186" s="144" t="s">
        <v>346</v>
      </c>
      <c r="AU186" s="144" t="s">
        <v>90</v>
      </c>
      <c r="AV186" s="141" t="s">
        <v>87</v>
      </c>
      <c r="AW186" s="141" t="s">
        <v>33</v>
      </c>
      <c r="AX186" s="141" t="s">
        <v>80</v>
      </c>
      <c r="AY186" s="144" t="s">
        <v>337</v>
      </c>
    </row>
    <row r="187" spans="2:65" s="148" customFormat="1" x14ac:dyDescent="0.2">
      <c r="B187" s="149"/>
      <c r="D187" s="143" t="s">
        <v>346</v>
      </c>
      <c r="E187" s="150"/>
      <c r="F187" s="151" t="s">
        <v>2500</v>
      </c>
      <c r="H187" s="152">
        <v>0.5</v>
      </c>
      <c r="L187" s="149"/>
      <c r="M187" s="153"/>
      <c r="T187" s="154"/>
      <c r="AT187" s="150" t="s">
        <v>346</v>
      </c>
      <c r="AU187" s="150" t="s">
        <v>90</v>
      </c>
      <c r="AV187" s="148" t="s">
        <v>90</v>
      </c>
      <c r="AW187" s="148" t="s">
        <v>33</v>
      </c>
      <c r="AX187" s="148" t="s">
        <v>87</v>
      </c>
      <c r="AY187" s="150" t="s">
        <v>337</v>
      </c>
    </row>
    <row r="188" spans="2:65" s="116" customFormat="1" ht="22.9" customHeight="1" x14ac:dyDescent="0.2">
      <c r="B188" s="117"/>
      <c r="D188" s="118" t="s">
        <v>79</v>
      </c>
      <c r="E188" s="126" t="s">
        <v>344</v>
      </c>
      <c r="F188" s="126" t="s">
        <v>2501</v>
      </c>
      <c r="J188" s="127">
        <f>BK188</f>
        <v>0</v>
      </c>
      <c r="L188" s="117"/>
      <c r="M188" s="121"/>
      <c r="P188" s="122">
        <f>SUM(P189:P246)</f>
        <v>0</v>
      </c>
      <c r="R188" s="122">
        <f>SUM(R189:R246)</f>
        <v>15.232571499999999</v>
      </c>
      <c r="T188" s="123">
        <f>SUM(T189:T246)</f>
        <v>0</v>
      </c>
      <c r="AR188" s="118" t="s">
        <v>87</v>
      </c>
      <c r="AT188" s="124" t="s">
        <v>79</v>
      </c>
      <c r="AU188" s="124" t="s">
        <v>87</v>
      </c>
      <c r="AY188" s="118" t="s">
        <v>337</v>
      </c>
      <c r="BK188" s="125">
        <f>SUM(BK189:BK246)</f>
        <v>0</v>
      </c>
    </row>
    <row r="189" spans="2:65" s="16" customFormat="1" ht="16.5" customHeight="1" x14ac:dyDescent="0.2">
      <c r="B189" s="17"/>
      <c r="C189" s="128">
        <v>10</v>
      </c>
      <c r="D189" s="128" t="s">
        <v>339</v>
      </c>
      <c r="E189" s="129" t="s">
        <v>2502</v>
      </c>
      <c r="F189" s="130" t="s">
        <v>2503</v>
      </c>
      <c r="G189" s="131" t="s">
        <v>449</v>
      </c>
      <c r="H189" s="132">
        <v>39</v>
      </c>
      <c r="I189" s="133"/>
      <c r="J189" s="134">
        <f>ROUND(I189*H189,2)</f>
        <v>0</v>
      </c>
      <c r="K189" s="130" t="s">
        <v>343</v>
      </c>
      <c r="L189" s="17"/>
      <c r="M189" s="135"/>
      <c r="N189" s="136" t="s">
        <v>45</v>
      </c>
      <c r="P189" s="137">
        <f>O189*H189</f>
        <v>0</v>
      </c>
      <c r="Q189" s="137">
        <v>4.5900000000000003E-3</v>
      </c>
      <c r="R189" s="137">
        <f>Q189*H189</f>
        <v>0.17901</v>
      </c>
      <c r="S189" s="137">
        <v>0</v>
      </c>
      <c r="T189" s="138">
        <f>S189*H189</f>
        <v>0</v>
      </c>
      <c r="AR189" s="139" t="s">
        <v>344</v>
      </c>
      <c r="AT189" s="139" t="s">
        <v>339</v>
      </c>
      <c r="AU189" s="139" t="s">
        <v>90</v>
      </c>
      <c r="AY189" s="2" t="s">
        <v>337</v>
      </c>
      <c r="BE189" s="140">
        <f>IF(N189="základní",J189,0)</f>
        <v>0</v>
      </c>
      <c r="BF189" s="140">
        <f>IF(N189="snížená",J189,0)</f>
        <v>0</v>
      </c>
      <c r="BG189" s="140">
        <f>IF(N189="zákl. přenesená",J189,0)</f>
        <v>0</v>
      </c>
      <c r="BH189" s="140">
        <f>IF(N189="sníž. přenesená",J189,0)</f>
        <v>0</v>
      </c>
      <c r="BI189" s="140">
        <f>IF(N189="nulová",J189,0)</f>
        <v>0</v>
      </c>
      <c r="BJ189" s="2" t="s">
        <v>87</v>
      </c>
      <c r="BK189" s="140">
        <f>ROUND(I189*H189,2)</f>
        <v>0</v>
      </c>
      <c r="BL189" s="2" t="s">
        <v>344</v>
      </c>
      <c r="BM189" s="139" t="s">
        <v>2504</v>
      </c>
    </row>
    <row r="190" spans="2:65" s="141" customFormat="1" x14ac:dyDescent="0.2">
      <c r="B190" s="142"/>
      <c r="D190" s="143" t="s">
        <v>346</v>
      </c>
      <c r="E190" s="144"/>
      <c r="F190" s="145" t="s">
        <v>2505</v>
      </c>
      <c r="H190" s="144"/>
      <c r="L190" s="142"/>
      <c r="M190" s="146"/>
      <c r="T190" s="147"/>
      <c r="AT190" s="144" t="s">
        <v>346</v>
      </c>
      <c r="AU190" s="144" t="s">
        <v>90</v>
      </c>
      <c r="AV190" s="141" t="s">
        <v>87</v>
      </c>
      <c r="AW190" s="141" t="s">
        <v>33</v>
      </c>
      <c r="AX190" s="141" t="s">
        <v>80</v>
      </c>
      <c r="AY190" s="144" t="s">
        <v>337</v>
      </c>
    </row>
    <row r="191" spans="2:65" s="141" customFormat="1" x14ac:dyDescent="0.2">
      <c r="B191" s="142"/>
      <c r="D191" s="143" t="s">
        <v>346</v>
      </c>
      <c r="E191" s="144"/>
      <c r="F191" s="145" t="s">
        <v>2506</v>
      </c>
      <c r="H191" s="144"/>
      <c r="L191" s="142"/>
      <c r="M191" s="146"/>
      <c r="T191" s="147"/>
      <c r="AT191" s="144" t="s">
        <v>346</v>
      </c>
      <c r="AU191" s="144" t="s">
        <v>90</v>
      </c>
      <c r="AV191" s="141" t="s">
        <v>87</v>
      </c>
      <c r="AW191" s="141" t="s">
        <v>33</v>
      </c>
      <c r="AX191" s="141" t="s">
        <v>80</v>
      </c>
      <c r="AY191" s="144" t="s">
        <v>337</v>
      </c>
    </row>
    <row r="192" spans="2:65" s="148" customFormat="1" x14ac:dyDescent="0.2">
      <c r="B192" s="149"/>
      <c r="D192" s="143" t="s">
        <v>346</v>
      </c>
      <c r="E192" s="150"/>
      <c r="F192" s="151" t="s">
        <v>676</v>
      </c>
      <c r="H192" s="152">
        <v>39</v>
      </c>
      <c r="L192" s="149"/>
      <c r="M192" s="153"/>
      <c r="T192" s="154"/>
      <c r="AT192" s="150" t="s">
        <v>346</v>
      </c>
      <c r="AU192" s="150" t="s">
        <v>90</v>
      </c>
      <c r="AV192" s="148" t="s">
        <v>90</v>
      </c>
      <c r="AW192" s="148" t="s">
        <v>33</v>
      </c>
      <c r="AX192" s="148" t="s">
        <v>87</v>
      </c>
      <c r="AY192" s="150" t="s">
        <v>337</v>
      </c>
    </row>
    <row r="193" spans="2:65" s="16" customFormat="1" ht="16.5" customHeight="1" x14ac:dyDescent="0.2">
      <c r="B193" s="17"/>
      <c r="C193" s="162">
        <v>11</v>
      </c>
      <c r="D193" s="162" t="s">
        <v>519</v>
      </c>
      <c r="E193" s="163" t="s">
        <v>2507</v>
      </c>
      <c r="F193" s="164" t="s">
        <v>2508</v>
      </c>
      <c r="G193" s="165" t="s">
        <v>449</v>
      </c>
      <c r="H193" s="166">
        <v>39</v>
      </c>
      <c r="I193" s="167"/>
      <c r="J193" s="168">
        <f>ROUND(I193*H193,2)</f>
        <v>0</v>
      </c>
      <c r="K193" s="164"/>
      <c r="L193" s="169"/>
      <c r="M193" s="170"/>
      <c r="N193" s="171" t="s">
        <v>45</v>
      </c>
      <c r="P193" s="137">
        <f>O193*H193</f>
        <v>0</v>
      </c>
      <c r="Q193" s="137">
        <v>0.107</v>
      </c>
      <c r="R193" s="137">
        <f>Q193*H193</f>
        <v>4.173</v>
      </c>
      <c r="S193" s="137">
        <v>0</v>
      </c>
      <c r="T193" s="138">
        <f>S193*H193</f>
        <v>0</v>
      </c>
      <c r="AR193" s="139" t="s">
        <v>446</v>
      </c>
      <c r="AT193" s="139" t="s">
        <v>519</v>
      </c>
      <c r="AU193" s="139" t="s">
        <v>90</v>
      </c>
      <c r="AY193" s="2" t="s">
        <v>337</v>
      </c>
      <c r="BE193" s="140">
        <f>IF(N193="základní",J193,0)</f>
        <v>0</v>
      </c>
      <c r="BF193" s="140">
        <f>IF(N193="snížená",J193,0)</f>
        <v>0</v>
      </c>
      <c r="BG193" s="140">
        <f>IF(N193="zákl. přenesená",J193,0)</f>
        <v>0</v>
      </c>
      <c r="BH193" s="140">
        <f>IF(N193="sníž. přenesená",J193,0)</f>
        <v>0</v>
      </c>
      <c r="BI193" s="140">
        <f>IF(N193="nulová",J193,0)</f>
        <v>0</v>
      </c>
      <c r="BJ193" s="2" t="s">
        <v>87</v>
      </c>
      <c r="BK193" s="140">
        <f>ROUND(I193*H193,2)</f>
        <v>0</v>
      </c>
      <c r="BL193" s="2" t="s">
        <v>344</v>
      </c>
      <c r="BM193" s="139" t="s">
        <v>2509</v>
      </c>
    </row>
    <row r="194" spans="2:65" s="16" customFormat="1" ht="16.5" customHeight="1" x14ac:dyDescent="0.2">
      <c r="B194" s="17"/>
      <c r="C194" s="128">
        <v>12</v>
      </c>
      <c r="D194" s="128" t="s">
        <v>339</v>
      </c>
      <c r="E194" s="129" t="s">
        <v>2510</v>
      </c>
      <c r="F194" s="130" t="s">
        <v>2511</v>
      </c>
      <c r="G194" s="131" t="s">
        <v>342</v>
      </c>
      <c r="H194" s="132">
        <v>3.105</v>
      </c>
      <c r="I194" s="133"/>
      <c r="J194" s="134">
        <f>ROUND(I194*H194,2)</f>
        <v>0</v>
      </c>
      <c r="K194" s="130" t="s">
        <v>343</v>
      </c>
      <c r="L194" s="17"/>
      <c r="M194" s="135"/>
      <c r="N194" s="136" t="s">
        <v>45</v>
      </c>
      <c r="P194" s="137">
        <f>O194*H194</f>
        <v>0</v>
      </c>
      <c r="Q194" s="137">
        <v>2.5020099999999998</v>
      </c>
      <c r="R194" s="137">
        <f>Q194*H194</f>
        <v>7.7687410499999991</v>
      </c>
      <c r="S194" s="137">
        <v>0</v>
      </c>
      <c r="T194" s="138">
        <f>S194*H194</f>
        <v>0</v>
      </c>
      <c r="AR194" s="139" t="s">
        <v>344</v>
      </c>
      <c r="AT194" s="139" t="s">
        <v>339</v>
      </c>
      <c r="AU194" s="139" t="s">
        <v>90</v>
      </c>
      <c r="AY194" s="2" t="s">
        <v>337</v>
      </c>
      <c r="BE194" s="140">
        <f>IF(N194="základní",J194,0)</f>
        <v>0</v>
      </c>
      <c r="BF194" s="140">
        <f>IF(N194="snížená",J194,0)</f>
        <v>0</v>
      </c>
      <c r="BG194" s="140">
        <f>IF(N194="zákl. přenesená",J194,0)</f>
        <v>0</v>
      </c>
      <c r="BH194" s="140">
        <f>IF(N194="sníž. přenesená",J194,0)</f>
        <v>0</v>
      </c>
      <c r="BI194" s="140">
        <f>IF(N194="nulová",J194,0)</f>
        <v>0</v>
      </c>
      <c r="BJ194" s="2" t="s">
        <v>87</v>
      </c>
      <c r="BK194" s="140">
        <f>ROUND(I194*H194,2)</f>
        <v>0</v>
      </c>
      <c r="BL194" s="2" t="s">
        <v>344</v>
      </c>
      <c r="BM194" s="139" t="s">
        <v>2512</v>
      </c>
    </row>
    <row r="195" spans="2:65" s="141" customFormat="1" x14ac:dyDescent="0.2">
      <c r="B195" s="142"/>
      <c r="D195" s="143" t="s">
        <v>346</v>
      </c>
      <c r="E195" s="144"/>
      <c r="F195" s="145" t="s">
        <v>2513</v>
      </c>
      <c r="H195" s="144"/>
      <c r="L195" s="142"/>
      <c r="M195" s="146"/>
      <c r="T195" s="147"/>
      <c r="AT195" s="144" t="s">
        <v>346</v>
      </c>
      <c r="AU195" s="144" t="s">
        <v>90</v>
      </c>
      <c r="AV195" s="141" t="s">
        <v>87</v>
      </c>
      <c r="AW195" s="141" t="s">
        <v>33</v>
      </c>
      <c r="AX195" s="141" t="s">
        <v>80</v>
      </c>
      <c r="AY195" s="144" t="s">
        <v>337</v>
      </c>
    </row>
    <row r="196" spans="2:65" s="141" customFormat="1" x14ac:dyDescent="0.2">
      <c r="B196" s="142"/>
      <c r="D196" s="143" t="s">
        <v>346</v>
      </c>
      <c r="E196" s="144"/>
      <c r="F196" s="145" t="s">
        <v>2514</v>
      </c>
      <c r="H196" s="144"/>
      <c r="L196" s="142"/>
      <c r="M196" s="146"/>
      <c r="T196" s="147"/>
      <c r="AT196" s="144" t="s">
        <v>346</v>
      </c>
      <c r="AU196" s="144" t="s">
        <v>90</v>
      </c>
      <c r="AV196" s="141" t="s">
        <v>87</v>
      </c>
      <c r="AW196" s="141" t="s">
        <v>33</v>
      </c>
      <c r="AX196" s="141" t="s">
        <v>80</v>
      </c>
      <c r="AY196" s="144" t="s">
        <v>337</v>
      </c>
    </row>
    <row r="197" spans="2:65" s="148" customFormat="1" x14ac:dyDescent="0.2">
      <c r="B197" s="149"/>
      <c r="D197" s="143" t="s">
        <v>346</v>
      </c>
      <c r="E197" s="150"/>
      <c r="F197" s="151" t="s">
        <v>2515</v>
      </c>
      <c r="H197" s="152">
        <v>1.1919999999999999</v>
      </c>
      <c r="L197" s="149"/>
      <c r="M197" s="153"/>
      <c r="T197" s="154"/>
      <c r="AT197" s="150" t="s">
        <v>346</v>
      </c>
      <c r="AU197" s="150" t="s">
        <v>90</v>
      </c>
      <c r="AV197" s="148" t="s">
        <v>90</v>
      </c>
      <c r="AW197" s="148" t="s">
        <v>33</v>
      </c>
      <c r="AX197" s="148" t="s">
        <v>80</v>
      </c>
      <c r="AY197" s="150" t="s">
        <v>337</v>
      </c>
    </row>
    <row r="198" spans="2:65" s="141" customFormat="1" x14ac:dyDescent="0.2">
      <c r="B198" s="142"/>
      <c r="D198" s="143" t="s">
        <v>346</v>
      </c>
      <c r="E198" s="144"/>
      <c r="F198" s="145" t="s">
        <v>2516</v>
      </c>
      <c r="H198" s="144"/>
      <c r="L198" s="142"/>
      <c r="M198" s="146"/>
      <c r="T198" s="147"/>
      <c r="AT198" s="144" t="s">
        <v>346</v>
      </c>
      <c r="AU198" s="144" t="s">
        <v>90</v>
      </c>
      <c r="AV198" s="141" t="s">
        <v>87</v>
      </c>
      <c r="AW198" s="141" t="s">
        <v>33</v>
      </c>
      <c r="AX198" s="141" t="s">
        <v>80</v>
      </c>
      <c r="AY198" s="144" t="s">
        <v>337</v>
      </c>
    </row>
    <row r="199" spans="2:65" s="141" customFormat="1" x14ac:dyDescent="0.2">
      <c r="B199" s="142"/>
      <c r="D199" s="143" t="s">
        <v>346</v>
      </c>
      <c r="E199" s="144"/>
      <c r="F199" s="145" t="s">
        <v>2517</v>
      </c>
      <c r="H199" s="144"/>
      <c r="L199" s="142"/>
      <c r="M199" s="146"/>
      <c r="T199" s="147"/>
      <c r="AT199" s="144" t="s">
        <v>346</v>
      </c>
      <c r="AU199" s="144" t="s">
        <v>90</v>
      </c>
      <c r="AV199" s="141" t="s">
        <v>87</v>
      </c>
      <c r="AW199" s="141" t="s">
        <v>33</v>
      </c>
      <c r="AX199" s="141" t="s">
        <v>80</v>
      </c>
      <c r="AY199" s="144" t="s">
        <v>337</v>
      </c>
    </row>
    <row r="200" spans="2:65" s="148" customFormat="1" x14ac:dyDescent="0.2">
      <c r="B200" s="149"/>
      <c r="D200" s="143" t="s">
        <v>346</v>
      </c>
      <c r="E200" s="150"/>
      <c r="F200" s="151" t="s">
        <v>2518</v>
      </c>
      <c r="H200" s="152">
        <v>1.913</v>
      </c>
      <c r="L200" s="149"/>
      <c r="M200" s="153"/>
      <c r="T200" s="154"/>
      <c r="AT200" s="150" t="s">
        <v>346</v>
      </c>
      <c r="AU200" s="150" t="s">
        <v>90</v>
      </c>
      <c r="AV200" s="148" t="s">
        <v>90</v>
      </c>
      <c r="AW200" s="148" t="s">
        <v>33</v>
      </c>
      <c r="AX200" s="148" t="s">
        <v>80</v>
      </c>
      <c r="AY200" s="150" t="s">
        <v>337</v>
      </c>
    </row>
    <row r="201" spans="2:65" s="155" customFormat="1" x14ac:dyDescent="0.2">
      <c r="B201" s="156"/>
      <c r="D201" s="143" t="s">
        <v>346</v>
      </c>
      <c r="E201" s="157"/>
      <c r="F201" s="158" t="s">
        <v>351</v>
      </c>
      <c r="H201" s="159">
        <v>3.105</v>
      </c>
      <c r="L201" s="156"/>
      <c r="M201" s="160"/>
      <c r="T201" s="161"/>
      <c r="AT201" s="157" t="s">
        <v>346</v>
      </c>
      <c r="AU201" s="157" t="s">
        <v>90</v>
      </c>
      <c r="AV201" s="155" t="s">
        <v>344</v>
      </c>
      <c r="AW201" s="155" t="s">
        <v>33</v>
      </c>
      <c r="AX201" s="155" t="s">
        <v>87</v>
      </c>
      <c r="AY201" s="157" t="s">
        <v>337</v>
      </c>
    </row>
    <row r="202" spans="2:65" s="16" customFormat="1" ht="16.5" customHeight="1" x14ac:dyDescent="0.2">
      <c r="B202" s="17"/>
      <c r="C202" s="128">
        <v>13</v>
      </c>
      <c r="D202" s="128" t="s">
        <v>339</v>
      </c>
      <c r="E202" s="129" t="s">
        <v>2519</v>
      </c>
      <c r="F202" s="130" t="s">
        <v>2520</v>
      </c>
      <c r="G202" s="131" t="s">
        <v>342</v>
      </c>
      <c r="H202" s="132">
        <v>1.0029999999999999</v>
      </c>
      <c r="I202" s="133"/>
      <c r="J202" s="134">
        <f>ROUND(I202*H202,2)</f>
        <v>0</v>
      </c>
      <c r="K202" s="130" t="s">
        <v>343</v>
      </c>
      <c r="L202" s="17"/>
      <c r="M202" s="135"/>
      <c r="N202" s="136" t="s">
        <v>45</v>
      </c>
      <c r="P202" s="137">
        <f>O202*H202</f>
        <v>0</v>
      </c>
      <c r="Q202" s="137">
        <v>2.5020099999999998</v>
      </c>
      <c r="R202" s="137">
        <f>Q202*H202</f>
        <v>2.5095160299999995</v>
      </c>
      <c r="S202" s="137">
        <v>0</v>
      </c>
      <c r="T202" s="138">
        <f>S202*H202</f>
        <v>0</v>
      </c>
      <c r="AR202" s="139" t="s">
        <v>344</v>
      </c>
      <c r="AT202" s="139" t="s">
        <v>339</v>
      </c>
      <c r="AU202" s="139" t="s">
        <v>90</v>
      </c>
      <c r="AY202" s="2" t="s">
        <v>337</v>
      </c>
      <c r="BE202" s="140">
        <f>IF(N202="základní",J202,0)</f>
        <v>0</v>
      </c>
      <c r="BF202" s="140">
        <f>IF(N202="snížená",J202,0)</f>
        <v>0</v>
      </c>
      <c r="BG202" s="140">
        <f>IF(N202="zákl. přenesená",J202,0)</f>
        <v>0</v>
      </c>
      <c r="BH202" s="140">
        <f>IF(N202="sníž. přenesená",J202,0)</f>
        <v>0</v>
      </c>
      <c r="BI202" s="140">
        <f>IF(N202="nulová",J202,0)</f>
        <v>0</v>
      </c>
      <c r="BJ202" s="2" t="s">
        <v>87</v>
      </c>
      <c r="BK202" s="140">
        <f>ROUND(I202*H202,2)</f>
        <v>0</v>
      </c>
      <c r="BL202" s="2" t="s">
        <v>344</v>
      </c>
      <c r="BM202" s="139" t="s">
        <v>2521</v>
      </c>
    </row>
    <row r="203" spans="2:65" s="141" customFormat="1" x14ac:dyDescent="0.2">
      <c r="B203" s="142"/>
      <c r="D203" s="143" t="s">
        <v>346</v>
      </c>
      <c r="E203" s="144"/>
      <c r="F203" s="145" t="s">
        <v>2522</v>
      </c>
      <c r="H203" s="144"/>
      <c r="L203" s="142"/>
      <c r="M203" s="146"/>
      <c r="T203" s="147"/>
      <c r="AT203" s="144" t="s">
        <v>346</v>
      </c>
      <c r="AU203" s="144" t="s">
        <v>90</v>
      </c>
      <c r="AV203" s="141" t="s">
        <v>87</v>
      </c>
      <c r="AW203" s="141" t="s">
        <v>33</v>
      </c>
      <c r="AX203" s="141" t="s">
        <v>80</v>
      </c>
      <c r="AY203" s="144" t="s">
        <v>337</v>
      </c>
    </row>
    <row r="204" spans="2:65" s="141" customFormat="1" x14ac:dyDescent="0.2">
      <c r="B204" s="142"/>
      <c r="D204" s="143" t="s">
        <v>346</v>
      </c>
      <c r="E204" s="144"/>
      <c r="F204" s="145" t="s">
        <v>2523</v>
      </c>
      <c r="H204" s="144"/>
      <c r="L204" s="142"/>
      <c r="M204" s="146"/>
      <c r="T204" s="147"/>
      <c r="AT204" s="144" t="s">
        <v>346</v>
      </c>
      <c r="AU204" s="144" t="s">
        <v>90</v>
      </c>
      <c r="AV204" s="141" t="s">
        <v>87</v>
      </c>
      <c r="AW204" s="141" t="s">
        <v>33</v>
      </c>
      <c r="AX204" s="141" t="s">
        <v>80</v>
      </c>
      <c r="AY204" s="144" t="s">
        <v>337</v>
      </c>
    </row>
    <row r="205" spans="2:65" s="148" customFormat="1" x14ac:dyDescent="0.2">
      <c r="B205" s="149"/>
      <c r="D205" s="143" t="s">
        <v>346</v>
      </c>
      <c r="E205" s="150"/>
      <c r="F205" s="151" t="s">
        <v>2524</v>
      </c>
      <c r="H205" s="152">
        <v>1.0029999999999999</v>
      </c>
      <c r="L205" s="149"/>
      <c r="M205" s="153"/>
      <c r="T205" s="154"/>
      <c r="AT205" s="150" t="s">
        <v>346</v>
      </c>
      <c r="AU205" s="150" t="s">
        <v>90</v>
      </c>
      <c r="AV205" s="148" t="s">
        <v>90</v>
      </c>
      <c r="AW205" s="148" t="s">
        <v>33</v>
      </c>
      <c r="AX205" s="148" t="s">
        <v>87</v>
      </c>
      <c r="AY205" s="150" t="s">
        <v>337</v>
      </c>
    </row>
    <row r="206" spans="2:65" s="16" customFormat="1" ht="16.5" customHeight="1" x14ac:dyDescent="0.2">
      <c r="B206" s="17"/>
      <c r="C206" s="128">
        <v>14</v>
      </c>
      <c r="D206" s="128" t="s">
        <v>339</v>
      </c>
      <c r="E206" s="129" t="s">
        <v>2525</v>
      </c>
      <c r="F206" s="130" t="s">
        <v>2526</v>
      </c>
      <c r="G206" s="131" t="s">
        <v>425</v>
      </c>
      <c r="H206" s="132">
        <v>13.803000000000001</v>
      </c>
      <c r="I206" s="133"/>
      <c r="J206" s="134">
        <f>ROUND(I206*H206,2)</f>
        <v>0</v>
      </c>
      <c r="K206" s="130" t="s">
        <v>343</v>
      </c>
      <c r="L206" s="17"/>
      <c r="M206" s="135"/>
      <c r="N206" s="136" t="s">
        <v>45</v>
      </c>
      <c r="P206" s="137">
        <f>O206*H206</f>
        <v>0</v>
      </c>
      <c r="Q206" s="137">
        <v>5.3299999999999997E-3</v>
      </c>
      <c r="R206" s="137">
        <f>Q206*H206</f>
        <v>7.3569990000000002E-2</v>
      </c>
      <c r="S206" s="137">
        <v>0</v>
      </c>
      <c r="T206" s="138">
        <f>S206*H206</f>
        <v>0</v>
      </c>
      <c r="AR206" s="139" t="s">
        <v>344</v>
      </c>
      <c r="AT206" s="139" t="s">
        <v>339</v>
      </c>
      <c r="AU206" s="139" t="s">
        <v>90</v>
      </c>
      <c r="AY206" s="2" t="s">
        <v>337</v>
      </c>
      <c r="BE206" s="140">
        <f>IF(N206="základní",J206,0)</f>
        <v>0</v>
      </c>
      <c r="BF206" s="140">
        <f>IF(N206="snížená",J206,0)</f>
        <v>0</v>
      </c>
      <c r="BG206" s="140">
        <f>IF(N206="zákl. přenesená",J206,0)</f>
        <v>0</v>
      </c>
      <c r="BH206" s="140">
        <f>IF(N206="sníž. přenesená",J206,0)</f>
        <v>0</v>
      </c>
      <c r="BI206" s="140">
        <f>IF(N206="nulová",J206,0)</f>
        <v>0</v>
      </c>
      <c r="BJ206" s="2" t="s">
        <v>87</v>
      </c>
      <c r="BK206" s="140">
        <f>ROUND(I206*H206,2)</f>
        <v>0</v>
      </c>
      <c r="BL206" s="2" t="s">
        <v>344</v>
      </c>
      <c r="BM206" s="139" t="s">
        <v>2527</v>
      </c>
    </row>
    <row r="207" spans="2:65" s="141" customFormat="1" x14ac:dyDescent="0.2">
      <c r="B207" s="142"/>
      <c r="D207" s="143" t="s">
        <v>346</v>
      </c>
      <c r="E207" s="144"/>
      <c r="F207" s="145" t="s">
        <v>2513</v>
      </c>
      <c r="H207" s="144"/>
      <c r="L207" s="142"/>
      <c r="M207" s="146"/>
      <c r="T207" s="147"/>
      <c r="AT207" s="144" t="s">
        <v>346</v>
      </c>
      <c r="AU207" s="144" t="s">
        <v>90</v>
      </c>
      <c r="AV207" s="141" t="s">
        <v>87</v>
      </c>
      <c r="AW207" s="141" t="s">
        <v>33</v>
      </c>
      <c r="AX207" s="141" t="s">
        <v>80</v>
      </c>
      <c r="AY207" s="144" t="s">
        <v>337</v>
      </c>
    </row>
    <row r="208" spans="2:65" s="141" customFormat="1" x14ac:dyDescent="0.2">
      <c r="B208" s="142"/>
      <c r="D208" s="143" t="s">
        <v>346</v>
      </c>
      <c r="E208" s="144"/>
      <c r="F208" s="145" t="s">
        <v>2514</v>
      </c>
      <c r="H208" s="144"/>
      <c r="L208" s="142"/>
      <c r="M208" s="146"/>
      <c r="T208" s="147"/>
      <c r="AT208" s="144" t="s">
        <v>346</v>
      </c>
      <c r="AU208" s="144" t="s">
        <v>90</v>
      </c>
      <c r="AV208" s="141" t="s">
        <v>87</v>
      </c>
      <c r="AW208" s="141" t="s">
        <v>33</v>
      </c>
      <c r="AX208" s="141" t="s">
        <v>80</v>
      </c>
      <c r="AY208" s="144" t="s">
        <v>337</v>
      </c>
    </row>
    <row r="209" spans="2:65" s="148" customFormat="1" x14ac:dyDescent="0.2">
      <c r="B209" s="149"/>
      <c r="D209" s="143" t="s">
        <v>346</v>
      </c>
      <c r="E209" s="150"/>
      <c r="F209" s="151" t="s">
        <v>2528</v>
      </c>
      <c r="H209" s="152">
        <v>4.1280000000000001</v>
      </c>
      <c r="L209" s="149"/>
      <c r="M209" s="153"/>
      <c r="T209" s="154"/>
      <c r="AT209" s="150" t="s">
        <v>346</v>
      </c>
      <c r="AU209" s="150" t="s">
        <v>90</v>
      </c>
      <c r="AV209" s="148" t="s">
        <v>90</v>
      </c>
      <c r="AW209" s="148" t="s">
        <v>33</v>
      </c>
      <c r="AX209" s="148" t="s">
        <v>80</v>
      </c>
      <c r="AY209" s="150" t="s">
        <v>337</v>
      </c>
    </row>
    <row r="210" spans="2:65" s="141" customFormat="1" x14ac:dyDescent="0.2">
      <c r="B210" s="142"/>
      <c r="D210" s="143" t="s">
        <v>346</v>
      </c>
      <c r="E210" s="144"/>
      <c r="F210" s="145" t="s">
        <v>2516</v>
      </c>
      <c r="H210" s="144"/>
      <c r="L210" s="142"/>
      <c r="M210" s="146"/>
      <c r="T210" s="147"/>
      <c r="AT210" s="144" t="s">
        <v>346</v>
      </c>
      <c r="AU210" s="144" t="s">
        <v>90</v>
      </c>
      <c r="AV210" s="141" t="s">
        <v>87</v>
      </c>
      <c r="AW210" s="141" t="s">
        <v>33</v>
      </c>
      <c r="AX210" s="141" t="s">
        <v>80</v>
      </c>
      <c r="AY210" s="144" t="s">
        <v>337</v>
      </c>
    </row>
    <row r="211" spans="2:65" s="141" customFormat="1" x14ac:dyDescent="0.2">
      <c r="B211" s="142"/>
      <c r="D211" s="143" t="s">
        <v>346</v>
      </c>
      <c r="E211" s="144"/>
      <c r="F211" s="145" t="s">
        <v>2517</v>
      </c>
      <c r="H211" s="144"/>
      <c r="L211" s="142"/>
      <c r="M211" s="146"/>
      <c r="T211" s="147"/>
      <c r="AT211" s="144" t="s">
        <v>346</v>
      </c>
      <c r="AU211" s="144" t="s">
        <v>90</v>
      </c>
      <c r="AV211" s="141" t="s">
        <v>87</v>
      </c>
      <c r="AW211" s="141" t="s">
        <v>33</v>
      </c>
      <c r="AX211" s="141" t="s">
        <v>80</v>
      </c>
      <c r="AY211" s="144" t="s">
        <v>337</v>
      </c>
    </row>
    <row r="212" spans="2:65" s="148" customFormat="1" x14ac:dyDescent="0.2">
      <c r="B212" s="149"/>
      <c r="D212" s="143" t="s">
        <v>346</v>
      </c>
      <c r="E212" s="150"/>
      <c r="F212" s="151" t="s">
        <v>2529</v>
      </c>
      <c r="H212" s="152">
        <v>7.65</v>
      </c>
      <c r="L212" s="149"/>
      <c r="M212" s="153"/>
      <c r="T212" s="154"/>
      <c r="AT212" s="150" t="s">
        <v>346</v>
      </c>
      <c r="AU212" s="150" t="s">
        <v>90</v>
      </c>
      <c r="AV212" s="148" t="s">
        <v>90</v>
      </c>
      <c r="AW212" s="148" t="s">
        <v>33</v>
      </c>
      <c r="AX212" s="148" t="s">
        <v>80</v>
      </c>
      <c r="AY212" s="150" t="s">
        <v>337</v>
      </c>
    </row>
    <row r="213" spans="2:65" s="148" customFormat="1" x14ac:dyDescent="0.2">
      <c r="B213" s="149"/>
      <c r="D213" s="143" t="s">
        <v>346</v>
      </c>
      <c r="E213" s="150"/>
      <c r="F213" s="151" t="s">
        <v>2530</v>
      </c>
      <c r="H213" s="152">
        <v>2.0249999999999999</v>
      </c>
      <c r="L213" s="149"/>
      <c r="M213" s="153"/>
      <c r="T213" s="154"/>
      <c r="AT213" s="150" t="s">
        <v>346</v>
      </c>
      <c r="AU213" s="150" t="s">
        <v>90</v>
      </c>
      <c r="AV213" s="148" t="s">
        <v>90</v>
      </c>
      <c r="AW213" s="148" t="s">
        <v>33</v>
      </c>
      <c r="AX213" s="148" t="s">
        <v>80</v>
      </c>
      <c r="AY213" s="150" t="s">
        <v>337</v>
      </c>
    </row>
    <row r="214" spans="2:65" s="155" customFormat="1" x14ac:dyDescent="0.2">
      <c r="B214" s="156"/>
      <c r="D214" s="143" t="s">
        <v>346</v>
      </c>
      <c r="E214" s="157"/>
      <c r="F214" s="158" t="s">
        <v>351</v>
      </c>
      <c r="H214" s="159">
        <v>13.803000000000001</v>
      </c>
      <c r="L214" s="156"/>
      <c r="M214" s="160"/>
      <c r="T214" s="161"/>
      <c r="AT214" s="157" t="s">
        <v>346</v>
      </c>
      <c r="AU214" s="157" t="s">
        <v>90</v>
      </c>
      <c r="AV214" s="155" t="s">
        <v>344</v>
      </c>
      <c r="AW214" s="155" t="s">
        <v>33</v>
      </c>
      <c r="AX214" s="155" t="s">
        <v>87</v>
      </c>
      <c r="AY214" s="157" t="s">
        <v>337</v>
      </c>
    </row>
    <row r="215" spans="2:65" s="16" customFormat="1" ht="16.5" customHeight="1" x14ac:dyDescent="0.2">
      <c r="B215" s="17"/>
      <c r="C215" s="128">
        <v>15</v>
      </c>
      <c r="D215" s="128" t="s">
        <v>339</v>
      </c>
      <c r="E215" s="129" t="s">
        <v>2531</v>
      </c>
      <c r="F215" s="130" t="s">
        <v>2532</v>
      </c>
      <c r="G215" s="131" t="s">
        <v>425</v>
      </c>
      <c r="H215" s="132">
        <v>13.803000000000001</v>
      </c>
      <c r="I215" s="133"/>
      <c r="J215" s="134">
        <f>ROUND(I215*H215,2)</f>
        <v>0</v>
      </c>
      <c r="K215" s="130" t="s">
        <v>343</v>
      </c>
      <c r="L215" s="17"/>
      <c r="M215" s="135"/>
      <c r="N215" s="136" t="s">
        <v>45</v>
      </c>
      <c r="P215" s="137">
        <f>O215*H215</f>
        <v>0</v>
      </c>
      <c r="Q215" s="137">
        <v>0</v>
      </c>
      <c r="R215" s="137">
        <f>Q215*H215</f>
        <v>0</v>
      </c>
      <c r="S215" s="137">
        <v>0</v>
      </c>
      <c r="T215" s="138">
        <f>S215*H215</f>
        <v>0</v>
      </c>
      <c r="AR215" s="139" t="s">
        <v>344</v>
      </c>
      <c r="AT215" s="139" t="s">
        <v>339</v>
      </c>
      <c r="AU215" s="139" t="s">
        <v>90</v>
      </c>
      <c r="AY215" s="2" t="s">
        <v>337</v>
      </c>
      <c r="BE215" s="140">
        <f>IF(N215="základní",J215,0)</f>
        <v>0</v>
      </c>
      <c r="BF215" s="140">
        <f>IF(N215="snížená",J215,0)</f>
        <v>0</v>
      </c>
      <c r="BG215" s="140">
        <f>IF(N215="zákl. přenesená",J215,0)</f>
        <v>0</v>
      </c>
      <c r="BH215" s="140">
        <f>IF(N215="sníž. přenesená",J215,0)</f>
        <v>0</v>
      </c>
      <c r="BI215" s="140">
        <f>IF(N215="nulová",J215,0)</f>
        <v>0</v>
      </c>
      <c r="BJ215" s="2" t="s">
        <v>87</v>
      </c>
      <c r="BK215" s="140">
        <f>ROUND(I215*H215,2)</f>
        <v>0</v>
      </c>
      <c r="BL215" s="2" t="s">
        <v>344</v>
      </c>
      <c r="BM215" s="139" t="s">
        <v>2533</v>
      </c>
    </row>
    <row r="216" spans="2:65" s="16" customFormat="1" ht="16.5" customHeight="1" x14ac:dyDescent="0.2">
      <c r="B216" s="17"/>
      <c r="C216" s="128">
        <v>16</v>
      </c>
      <c r="D216" s="128" t="s">
        <v>339</v>
      </c>
      <c r="E216" s="129" t="s">
        <v>2534</v>
      </c>
      <c r="F216" s="130" t="s">
        <v>2535</v>
      </c>
      <c r="G216" s="131" t="s">
        <v>425</v>
      </c>
      <c r="H216" s="132">
        <v>12.035</v>
      </c>
      <c r="I216" s="133"/>
      <c r="J216" s="134">
        <f>ROUND(I216*H216,2)</f>
        <v>0</v>
      </c>
      <c r="K216" s="130" t="s">
        <v>343</v>
      </c>
      <c r="L216" s="17"/>
      <c r="M216" s="135"/>
      <c r="N216" s="136" t="s">
        <v>45</v>
      </c>
      <c r="P216" s="137">
        <f>O216*H216</f>
        <v>0</v>
      </c>
      <c r="Q216" s="137">
        <v>1.0529999999999999E-2</v>
      </c>
      <c r="R216" s="137">
        <f>Q216*H216</f>
        <v>0.12672855</v>
      </c>
      <c r="S216" s="137">
        <v>0</v>
      </c>
      <c r="T216" s="138">
        <f>S216*H216</f>
        <v>0</v>
      </c>
      <c r="AR216" s="139" t="s">
        <v>344</v>
      </c>
      <c r="AT216" s="139" t="s">
        <v>339</v>
      </c>
      <c r="AU216" s="139" t="s">
        <v>90</v>
      </c>
      <c r="AY216" s="2" t="s">
        <v>337</v>
      </c>
      <c r="BE216" s="140">
        <f>IF(N216="základní",J216,0)</f>
        <v>0</v>
      </c>
      <c r="BF216" s="140">
        <f>IF(N216="snížená",J216,0)</f>
        <v>0</v>
      </c>
      <c r="BG216" s="140">
        <f>IF(N216="zákl. přenesená",J216,0)</f>
        <v>0</v>
      </c>
      <c r="BH216" s="140">
        <f>IF(N216="sníž. přenesená",J216,0)</f>
        <v>0</v>
      </c>
      <c r="BI216" s="140">
        <f>IF(N216="nulová",J216,0)</f>
        <v>0</v>
      </c>
      <c r="BJ216" s="2" t="s">
        <v>87</v>
      </c>
      <c r="BK216" s="140">
        <f>ROUND(I216*H216,2)</f>
        <v>0</v>
      </c>
      <c r="BL216" s="2" t="s">
        <v>344</v>
      </c>
      <c r="BM216" s="139" t="s">
        <v>2536</v>
      </c>
    </row>
    <row r="217" spans="2:65" s="141" customFormat="1" x14ac:dyDescent="0.2">
      <c r="B217" s="142"/>
      <c r="D217" s="143" t="s">
        <v>346</v>
      </c>
      <c r="E217" s="144"/>
      <c r="F217" s="145" t="s">
        <v>2522</v>
      </c>
      <c r="H217" s="144"/>
      <c r="L217" s="142"/>
      <c r="M217" s="146"/>
      <c r="T217" s="147"/>
      <c r="AT217" s="144" t="s">
        <v>346</v>
      </c>
      <c r="AU217" s="144" t="s">
        <v>90</v>
      </c>
      <c r="AV217" s="141" t="s">
        <v>87</v>
      </c>
      <c r="AW217" s="141" t="s">
        <v>33</v>
      </c>
      <c r="AX217" s="141" t="s">
        <v>80</v>
      </c>
      <c r="AY217" s="144" t="s">
        <v>337</v>
      </c>
    </row>
    <row r="218" spans="2:65" s="148" customFormat="1" x14ac:dyDescent="0.2">
      <c r="B218" s="149"/>
      <c r="D218" s="143" t="s">
        <v>346</v>
      </c>
      <c r="E218" s="150"/>
      <c r="F218" s="151" t="s">
        <v>2537</v>
      </c>
      <c r="H218" s="152">
        <v>12.035</v>
      </c>
      <c r="L218" s="149"/>
      <c r="M218" s="153"/>
      <c r="T218" s="154"/>
      <c r="AT218" s="150" t="s">
        <v>346</v>
      </c>
      <c r="AU218" s="150" t="s">
        <v>90</v>
      </c>
      <c r="AV218" s="148" t="s">
        <v>90</v>
      </c>
      <c r="AW218" s="148" t="s">
        <v>33</v>
      </c>
      <c r="AX218" s="148" t="s">
        <v>87</v>
      </c>
      <c r="AY218" s="150" t="s">
        <v>337</v>
      </c>
    </row>
    <row r="219" spans="2:65" s="16" customFormat="1" ht="16.5" customHeight="1" x14ac:dyDescent="0.2">
      <c r="B219" s="17"/>
      <c r="C219" s="128">
        <v>17</v>
      </c>
      <c r="D219" s="128" t="s">
        <v>339</v>
      </c>
      <c r="E219" s="129" t="s">
        <v>2538</v>
      </c>
      <c r="F219" s="130" t="s">
        <v>2539</v>
      </c>
      <c r="G219" s="131" t="s">
        <v>425</v>
      </c>
      <c r="H219" s="132">
        <v>12.035</v>
      </c>
      <c r="I219" s="133"/>
      <c r="J219" s="134">
        <f>ROUND(I219*H219,2)</f>
        <v>0</v>
      </c>
      <c r="K219" s="130" t="s">
        <v>343</v>
      </c>
      <c r="L219" s="17"/>
      <c r="M219" s="135"/>
      <c r="N219" s="136" t="s">
        <v>45</v>
      </c>
      <c r="P219" s="137">
        <f>O219*H219</f>
        <v>0</v>
      </c>
      <c r="Q219" s="137">
        <v>8.0999999999999996E-4</v>
      </c>
      <c r="R219" s="137">
        <f>Q219*H219</f>
        <v>9.7483499999999994E-3</v>
      </c>
      <c r="S219" s="137">
        <v>0</v>
      </c>
      <c r="T219" s="138">
        <f>S219*H219</f>
        <v>0</v>
      </c>
      <c r="AR219" s="139" t="s">
        <v>344</v>
      </c>
      <c r="AT219" s="139" t="s">
        <v>339</v>
      </c>
      <c r="AU219" s="139" t="s">
        <v>90</v>
      </c>
      <c r="AY219" s="2" t="s">
        <v>337</v>
      </c>
      <c r="BE219" s="140">
        <f>IF(N219="základní",J219,0)</f>
        <v>0</v>
      </c>
      <c r="BF219" s="140">
        <f>IF(N219="snížená",J219,0)</f>
        <v>0</v>
      </c>
      <c r="BG219" s="140">
        <f>IF(N219="zákl. přenesená",J219,0)</f>
        <v>0</v>
      </c>
      <c r="BH219" s="140">
        <f>IF(N219="sníž. přenesená",J219,0)</f>
        <v>0</v>
      </c>
      <c r="BI219" s="140">
        <f>IF(N219="nulová",J219,0)</f>
        <v>0</v>
      </c>
      <c r="BJ219" s="2" t="s">
        <v>87</v>
      </c>
      <c r="BK219" s="140">
        <f>ROUND(I219*H219,2)</f>
        <v>0</v>
      </c>
      <c r="BL219" s="2" t="s">
        <v>344</v>
      </c>
      <c r="BM219" s="139" t="s">
        <v>2540</v>
      </c>
    </row>
    <row r="220" spans="2:65" s="141" customFormat="1" x14ac:dyDescent="0.2">
      <c r="B220" s="142"/>
      <c r="D220" s="143" t="s">
        <v>346</v>
      </c>
      <c r="E220" s="144"/>
      <c r="F220" s="145" t="s">
        <v>2522</v>
      </c>
      <c r="H220" s="144"/>
      <c r="L220" s="142"/>
      <c r="M220" s="146"/>
      <c r="T220" s="147"/>
      <c r="AT220" s="144" t="s">
        <v>346</v>
      </c>
      <c r="AU220" s="144" t="s">
        <v>90</v>
      </c>
      <c r="AV220" s="141" t="s">
        <v>87</v>
      </c>
      <c r="AW220" s="141" t="s">
        <v>33</v>
      </c>
      <c r="AX220" s="141" t="s">
        <v>80</v>
      </c>
      <c r="AY220" s="144" t="s">
        <v>337</v>
      </c>
    </row>
    <row r="221" spans="2:65" s="148" customFormat="1" x14ac:dyDescent="0.2">
      <c r="B221" s="149"/>
      <c r="D221" s="143" t="s">
        <v>346</v>
      </c>
      <c r="E221" s="150"/>
      <c r="F221" s="151" t="s">
        <v>2537</v>
      </c>
      <c r="H221" s="152">
        <v>12.035</v>
      </c>
      <c r="L221" s="149"/>
      <c r="M221" s="153"/>
      <c r="T221" s="154"/>
      <c r="AT221" s="150" t="s">
        <v>346</v>
      </c>
      <c r="AU221" s="150" t="s">
        <v>90</v>
      </c>
      <c r="AV221" s="148" t="s">
        <v>90</v>
      </c>
      <c r="AW221" s="148" t="s">
        <v>33</v>
      </c>
      <c r="AX221" s="148" t="s">
        <v>87</v>
      </c>
      <c r="AY221" s="150" t="s">
        <v>337</v>
      </c>
    </row>
    <row r="222" spans="2:65" s="16" customFormat="1" ht="16.5" customHeight="1" x14ac:dyDescent="0.2">
      <c r="B222" s="17"/>
      <c r="C222" s="128">
        <v>18</v>
      </c>
      <c r="D222" s="128" t="s">
        <v>339</v>
      </c>
      <c r="E222" s="129" t="s">
        <v>2541</v>
      </c>
      <c r="F222" s="130" t="s">
        <v>2542</v>
      </c>
      <c r="G222" s="131" t="s">
        <v>425</v>
      </c>
      <c r="H222" s="132">
        <v>12.035</v>
      </c>
      <c r="I222" s="133"/>
      <c r="J222" s="134">
        <f>ROUND(I222*H222,2)</f>
        <v>0</v>
      </c>
      <c r="K222" s="130" t="s">
        <v>343</v>
      </c>
      <c r="L222" s="17"/>
      <c r="M222" s="135"/>
      <c r="N222" s="136" t="s">
        <v>45</v>
      </c>
      <c r="P222" s="137">
        <f>O222*H222</f>
        <v>0</v>
      </c>
      <c r="Q222" s="137">
        <v>0</v>
      </c>
      <c r="R222" s="137">
        <f>Q222*H222</f>
        <v>0</v>
      </c>
      <c r="S222" s="137">
        <v>0</v>
      </c>
      <c r="T222" s="138">
        <f>S222*H222</f>
        <v>0</v>
      </c>
      <c r="AR222" s="139" t="s">
        <v>344</v>
      </c>
      <c r="AT222" s="139" t="s">
        <v>339</v>
      </c>
      <c r="AU222" s="139" t="s">
        <v>90</v>
      </c>
      <c r="AY222" s="2" t="s">
        <v>337</v>
      </c>
      <c r="BE222" s="140">
        <f>IF(N222="základní",J222,0)</f>
        <v>0</v>
      </c>
      <c r="BF222" s="140">
        <f>IF(N222="snížená",J222,0)</f>
        <v>0</v>
      </c>
      <c r="BG222" s="140">
        <f>IF(N222="zákl. přenesená",J222,0)</f>
        <v>0</v>
      </c>
      <c r="BH222" s="140">
        <f>IF(N222="sníž. přenesená",J222,0)</f>
        <v>0</v>
      </c>
      <c r="BI222" s="140">
        <f>IF(N222="nulová",J222,0)</f>
        <v>0</v>
      </c>
      <c r="BJ222" s="2" t="s">
        <v>87</v>
      </c>
      <c r="BK222" s="140">
        <f>ROUND(I222*H222,2)</f>
        <v>0</v>
      </c>
      <c r="BL222" s="2" t="s">
        <v>344</v>
      </c>
      <c r="BM222" s="139" t="s">
        <v>2543</v>
      </c>
    </row>
    <row r="223" spans="2:65" s="16" customFormat="1" ht="16.5" customHeight="1" x14ac:dyDescent="0.2">
      <c r="B223" s="17"/>
      <c r="C223" s="128">
        <v>19</v>
      </c>
      <c r="D223" s="128" t="s">
        <v>339</v>
      </c>
      <c r="E223" s="129" t="s">
        <v>2544</v>
      </c>
      <c r="F223" s="130" t="s">
        <v>2545</v>
      </c>
      <c r="G223" s="131" t="s">
        <v>425</v>
      </c>
      <c r="H223" s="132">
        <v>11.778</v>
      </c>
      <c r="I223" s="133"/>
      <c r="J223" s="134">
        <f>ROUND(I223*H223,2)</f>
        <v>0</v>
      </c>
      <c r="K223" s="130"/>
      <c r="L223" s="17"/>
      <c r="M223" s="135"/>
      <c r="N223" s="136" t="s">
        <v>45</v>
      </c>
      <c r="P223" s="137">
        <f>O223*H223</f>
        <v>0</v>
      </c>
      <c r="Q223" s="137">
        <v>9.2000000000000003E-4</v>
      </c>
      <c r="R223" s="137">
        <f>Q223*H223</f>
        <v>1.0835760000000002E-2</v>
      </c>
      <c r="S223" s="137">
        <v>0</v>
      </c>
      <c r="T223" s="138">
        <f>S223*H223</f>
        <v>0</v>
      </c>
      <c r="AR223" s="139" t="s">
        <v>344</v>
      </c>
      <c r="AT223" s="139" t="s">
        <v>339</v>
      </c>
      <c r="AU223" s="139" t="s">
        <v>90</v>
      </c>
      <c r="AY223" s="2" t="s">
        <v>337</v>
      </c>
      <c r="BE223" s="140">
        <f>IF(N223="základní",J223,0)</f>
        <v>0</v>
      </c>
      <c r="BF223" s="140">
        <f>IF(N223="snížená",J223,0)</f>
        <v>0</v>
      </c>
      <c r="BG223" s="140">
        <f>IF(N223="zákl. přenesená",J223,0)</f>
        <v>0</v>
      </c>
      <c r="BH223" s="140">
        <f>IF(N223="sníž. přenesená",J223,0)</f>
        <v>0</v>
      </c>
      <c r="BI223" s="140">
        <f>IF(N223="nulová",J223,0)</f>
        <v>0</v>
      </c>
      <c r="BJ223" s="2" t="s">
        <v>87</v>
      </c>
      <c r="BK223" s="140">
        <f>ROUND(I223*H223,2)</f>
        <v>0</v>
      </c>
      <c r="BL223" s="2" t="s">
        <v>344</v>
      </c>
      <c r="BM223" s="139" t="s">
        <v>2546</v>
      </c>
    </row>
    <row r="224" spans="2:65" s="141" customFormat="1" x14ac:dyDescent="0.2">
      <c r="B224" s="142"/>
      <c r="D224" s="143" t="s">
        <v>346</v>
      </c>
      <c r="E224" s="144"/>
      <c r="F224" s="145" t="s">
        <v>2513</v>
      </c>
      <c r="H224" s="144"/>
      <c r="L224" s="142"/>
      <c r="M224" s="146"/>
      <c r="T224" s="147"/>
      <c r="AT224" s="144" t="s">
        <v>346</v>
      </c>
      <c r="AU224" s="144" t="s">
        <v>90</v>
      </c>
      <c r="AV224" s="141" t="s">
        <v>87</v>
      </c>
      <c r="AW224" s="141" t="s">
        <v>33</v>
      </c>
      <c r="AX224" s="141" t="s">
        <v>80</v>
      </c>
      <c r="AY224" s="144" t="s">
        <v>337</v>
      </c>
    </row>
    <row r="225" spans="2:65" s="141" customFormat="1" x14ac:dyDescent="0.2">
      <c r="B225" s="142"/>
      <c r="D225" s="143" t="s">
        <v>346</v>
      </c>
      <c r="E225" s="144"/>
      <c r="F225" s="145" t="s">
        <v>2514</v>
      </c>
      <c r="H225" s="144"/>
      <c r="L225" s="142"/>
      <c r="M225" s="146"/>
      <c r="T225" s="147"/>
      <c r="AT225" s="144" t="s">
        <v>346</v>
      </c>
      <c r="AU225" s="144" t="s">
        <v>90</v>
      </c>
      <c r="AV225" s="141" t="s">
        <v>87</v>
      </c>
      <c r="AW225" s="141" t="s">
        <v>33</v>
      </c>
      <c r="AX225" s="141" t="s">
        <v>80</v>
      </c>
      <c r="AY225" s="144" t="s">
        <v>337</v>
      </c>
    </row>
    <row r="226" spans="2:65" s="148" customFormat="1" x14ac:dyDescent="0.2">
      <c r="B226" s="149"/>
      <c r="D226" s="143" t="s">
        <v>346</v>
      </c>
      <c r="E226" s="150"/>
      <c r="F226" s="151" t="s">
        <v>2528</v>
      </c>
      <c r="H226" s="152">
        <v>4.1280000000000001</v>
      </c>
      <c r="L226" s="149"/>
      <c r="M226" s="153"/>
      <c r="T226" s="154"/>
      <c r="AT226" s="150" t="s">
        <v>346</v>
      </c>
      <c r="AU226" s="150" t="s">
        <v>90</v>
      </c>
      <c r="AV226" s="148" t="s">
        <v>90</v>
      </c>
      <c r="AW226" s="148" t="s">
        <v>33</v>
      </c>
      <c r="AX226" s="148" t="s">
        <v>80</v>
      </c>
      <c r="AY226" s="150" t="s">
        <v>337</v>
      </c>
    </row>
    <row r="227" spans="2:65" s="141" customFormat="1" x14ac:dyDescent="0.2">
      <c r="B227" s="142"/>
      <c r="D227" s="143" t="s">
        <v>346</v>
      </c>
      <c r="E227" s="144"/>
      <c r="F227" s="145" t="s">
        <v>2516</v>
      </c>
      <c r="H227" s="144"/>
      <c r="L227" s="142"/>
      <c r="M227" s="146"/>
      <c r="T227" s="147"/>
      <c r="AT227" s="144" t="s">
        <v>346</v>
      </c>
      <c r="AU227" s="144" t="s">
        <v>90</v>
      </c>
      <c r="AV227" s="141" t="s">
        <v>87</v>
      </c>
      <c r="AW227" s="141" t="s">
        <v>33</v>
      </c>
      <c r="AX227" s="141" t="s">
        <v>80</v>
      </c>
      <c r="AY227" s="144" t="s">
        <v>337</v>
      </c>
    </row>
    <row r="228" spans="2:65" s="141" customFormat="1" x14ac:dyDescent="0.2">
      <c r="B228" s="142"/>
      <c r="D228" s="143" t="s">
        <v>346</v>
      </c>
      <c r="E228" s="144"/>
      <c r="F228" s="145" t="s">
        <v>2517</v>
      </c>
      <c r="H228" s="144"/>
      <c r="L228" s="142"/>
      <c r="M228" s="146"/>
      <c r="T228" s="147"/>
      <c r="AT228" s="144" t="s">
        <v>346</v>
      </c>
      <c r="AU228" s="144" t="s">
        <v>90</v>
      </c>
      <c r="AV228" s="141" t="s">
        <v>87</v>
      </c>
      <c r="AW228" s="141" t="s">
        <v>33</v>
      </c>
      <c r="AX228" s="141" t="s">
        <v>80</v>
      </c>
      <c r="AY228" s="144" t="s">
        <v>337</v>
      </c>
    </row>
    <row r="229" spans="2:65" s="148" customFormat="1" x14ac:dyDescent="0.2">
      <c r="B229" s="149"/>
      <c r="D229" s="143" t="s">
        <v>346</v>
      </c>
      <c r="E229" s="150"/>
      <c r="F229" s="151" t="s">
        <v>2529</v>
      </c>
      <c r="H229" s="152">
        <v>7.65</v>
      </c>
      <c r="L229" s="149"/>
      <c r="M229" s="153"/>
      <c r="T229" s="154"/>
      <c r="AT229" s="150" t="s">
        <v>346</v>
      </c>
      <c r="AU229" s="150" t="s">
        <v>90</v>
      </c>
      <c r="AV229" s="148" t="s">
        <v>90</v>
      </c>
      <c r="AW229" s="148" t="s">
        <v>33</v>
      </c>
      <c r="AX229" s="148" t="s">
        <v>80</v>
      </c>
      <c r="AY229" s="150" t="s">
        <v>337</v>
      </c>
    </row>
    <row r="230" spans="2:65" s="155" customFormat="1" x14ac:dyDescent="0.2">
      <c r="B230" s="156"/>
      <c r="D230" s="143" t="s">
        <v>346</v>
      </c>
      <c r="E230" s="157"/>
      <c r="F230" s="158" t="s">
        <v>351</v>
      </c>
      <c r="H230" s="159">
        <v>11.778</v>
      </c>
      <c r="L230" s="156"/>
      <c r="M230" s="160"/>
      <c r="T230" s="161"/>
      <c r="AT230" s="157" t="s">
        <v>346</v>
      </c>
      <c r="AU230" s="157" t="s">
        <v>90</v>
      </c>
      <c r="AV230" s="155" t="s">
        <v>344</v>
      </c>
      <c r="AW230" s="155" t="s">
        <v>33</v>
      </c>
      <c r="AX230" s="155" t="s">
        <v>87</v>
      </c>
      <c r="AY230" s="157" t="s">
        <v>337</v>
      </c>
    </row>
    <row r="231" spans="2:65" s="16" customFormat="1" ht="16.5" customHeight="1" x14ac:dyDescent="0.2">
      <c r="B231" s="17"/>
      <c r="C231" s="128">
        <v>20</v>
      </c>
      <c r="D231" s="128" t="s">
        <v>339</v>
      </c>
      <c r="E231" s="129" t="s">
        <v>2548</v>
      </c>
      <c r="F231" s="130" t="s">
        <v>2549</v>
      </c>
      <c r="G231" s="131" t="s">
        <v>425</v>
      </c>
      <c r="H231" s="132">
        <v>11.778</v>
      </c>
      <c r="I231" s="133"/>
      <c r="J231" s="134">
        <f>ROUND(I231*H231,2)</f>
        <v>0</v>
      </c>
      <c r="K231" s="130"/>
      <c r="L231" s="17"/>
      <c r="M231" s="135"/>
      <c r="N231" s="136" t="s">
        <v>45</v>
      </c>
      <c r="P231" s="137">
        <f>O231*H231</f>
        <v>0</v>
      </c>
      <c r="Q231" s="137">
        <v>0</v>
      </c>
      <c r="R231" s="137">
        <f>Q231*H231</f>
        <v>0</v>
      </c>
      <c r="S231" s="137">
        <v>0</v>
      </c>
      <c r="T231" s="138">
        <f>S231*H231</f>
        <v>0</v>
      </c>
      <c r="AR231" s="139" t="s">
        <v>344</v>
      </c>
      <c r="AT231" s="139" t="s">
        <v>339</v>
      </c>
      <c r="AU231" s="139" t="s">
        <v>90</v>
      </c>
      <c r="AY231" s="2" t="s">
        <v>337</v>
      </c>
      <c r="BE231" s="140">
        <f>IF(N231="základní",J231,0)</f>
        <v>0</v>
      </c>
      <c r="BF231" s="140">
        <f>IF(N231="snížená",J231,0)</f>
        <v>0</v>
      </c>
      <c r="BG231" s="140">
        <f>IF(N231="zákl. přenesená",J231,0)</f>
        <v>0</v>
      </c>
      <c r="BH231" s="140">
        <f>IF(N231="sníž. přenesená",J231,0)</f>
        <v>0</v>
      </c>
      <c r="BI231" s="140">
        <f>IF(N231="nulová",J231,0)</f>
        <v>0</v>
      </c>
      <c r="BJ231" s="2" t="s">
        <v>87</v>
      </c>
      <c r="BK231" s="140">
        <f>ROUND(I231*H231,2)</f>
        <v>0</v>
      </c>
      <c r="BL231" s="2" t="s">
        <v>344</v>
      </c>
      <c r="BM231" s="139" t="s">
        <v>2550</v>
      </c>
    </row>
    <row r="232" spans="2:65" s="16" customFormat="1" ht="16.5" customHeight="1" x14ac:dyDescent="0.2">
      <c r="B232" s="17"/>
      <c r="C232" s="128">
        <v>21</v>
      </c>
      <c r="D232" s="128" t="s">
        <v>339</v>
      </c>
      <c r="E232" s="129" t="s">
        <v>2551</v>
      </c>
      <c r="F232" s="130" t="s">
        <v>2552</v>
      </c>
      <c r="G232" s="131" t="s">
        <v>990</v>
      </c>
      <c r="H232" s="132">
        <v>0.31</v>
      </c>
      <c r="I232" s="133"/>
      <c r="J232" s="134">
        <f>ROUND(I232*H232,2)</f>
        <v>0</v>
      </c>
      <c r="K232" s="130" t="s">
        <v>343</v>
      </c>
      <c r="L232" s="17"/>
      <c r="M232" s="135"/>
      <c r="N232" s="136" t="s">
        <v>45</v>
      </c>
      <c r="P232" s="137">
        <f>O232*H232</f>
        <v>0</v>
      </c>
      <c r="Q232" s="137">
        <v>1.05555</v>
      </c>
      <c r="R232" s="137">
        <f>Q232*H232</f>
        <v>0.32722049999999997</v>
      </c>
      <c r="S232" s="137">
        <v>0</v>
      </c>
      <c r="T232" s="138">
        <f>S232*H232</f>
        <v>0</v>
      </c>
      <c r="AR232" s="139" t="s">
        <v>344</v>
      </c>
      <c r="AT232" s="139" t="s">
        <v>339</v>
      </c>
      <c r="AU232" s="139" t="s">
        <v>90</v>
      </c>
      <c r="AY232" s="2" t="s">
        <v>337</v>
      </c>
      <c r="BE232" s="140">
        <f>IF(N232="základní",J232,0)</f>
        <v>0</v>
      </c>
      <c r="BF232" s="140">
        <f>IF(N232="snížená",J232,0)</f>
        <v>0</v>
      </c>
      <c r="BG232" s="140">
        <f>IF(N232="zákl. přenesená",J232,0)</f>
        <v>0</v>
      </c>
      <c r="BH232" s="140">
        <f>IF(N232="sníž. přenesená",J232,0)</f>
        <v>0</v>
      </c>
      <c r="BI232" s="140">
        <f>IF(N232="nulová",J232,0)</f>
        <v>0</v>
      </c>
      <c r="BJ232" s="2" t="s">
        <v>87</v>
      </c>
      <c r="BK232" s="140">
        <f>ROUND(I232*H232,2)</f>
        <v>0</v>
      </c>
      <c r="BL232" s="2" t="s">
        <v>344</v>
      </c>
      <c r="BM232" s="139" t="s">
        <v>2553</v>
      </c>
    </row>
    <row r="233" spans="2:65" s="141" customFormat="1" x14ac:dyDescent="0.2">
      <c r="B233" s="142"/>
      <c r="D233" s="143" t="s">
        <v>346</v>
      </c>
      <c r="E233" s="144"/>
      <c r="F233" s="145" t="s">
        <v>2513</v>
      </c>
      <c r="H233" s="144"/>
      <c r="L233" s="142"/>
      <c r="M233" s="146"/>
      <c r="T233" s="147"/>
      <c r="AT233" s="144" t="s">
        <v>346</v>
      </c>
      <c r="AU233" s="144" t="s">
        <v>90</v>
      </c>
      <c r="AV233" s="141" t="s">
        <v>87</v>
      </c>
      <c r="AW233" s="141" t="s">
        <v>33</v>
      </c>
      <c r="AX233" s="141" t="s">
        <v>80</v>
      </c>
      <c r="AY233" s="144" t="s">
        <v>337</v>
      </c>
    </row>
    <row r="234" spans="2:65" s="141" customFormat="1" x14ac:dyDescent="0.2">
      <c r="B234" s="142"/>
      <c r="D234" s="143" t="s">
        <v>346</v>
      </c>
      <c r="E234" s="144"/>
      <c r="F234" s="145" t="s">
        <v>2554</v>
      </c>
      <c r="H234" s="144"/>
      <c r="L234" s="142"/>
      <c r="M234" s="146"/>
      <c r="T234" s="147"/>
      <c r="AT234" s="144" t="s">
        <v>346</v>
      </c>
      <c r="AU234" s="144" t="s">
        <v>90</v>
      </c>
      <c r="AV234" s="141" t="s">
        <v>87</v>
      </c>
      <c r="AW234" s="141" t="s">
        <v>33</v>
      </c>
      <c r="AX234" s="141" t="s">
        <v>80</v>
      </c>
      <c r="AY234" s="144" t="s">
        <v>337</v>
      </c>
    </row>
    <row r="235" spans="2:65" s="148" customFormat="1" x14ac:dyDescent="0.2">
      <c r="B235" s="149"/>
      <c r="D235" s="143" t="s">
        <v>346</v>
      </c>
      <c r="E235" s="150"/>
      <c r="F235" s="151" t="s">
        <v>2555</v>
      </c>
      <c r="H235" s="152">
        <v>0.11899999999999999</v>
      </c>
      <c r="L235" s="149"/>
      <c r="M235" s="153"/>
      <c r="T235" s="154"/>
      <c r="AT235" s="150" t="s">
        <v>346</v>
      </c>
      <c r="AU235" s="150" t="s">
        <v>90</v>
      </c>
      <c r="AV235" s="148" t="s">
        <v>90</v>
      </c>
      <c r="AW235" s="148" t="s">
        <v>33</v>
      </c>
      <c r="AX235" s="148" t="s">
        <v>80</v>
      </c>
      <c r="AY235" s="150" t="s">
        <v>337</v>
      </c>
    </row>
    <row r="236" spans="2:65" s="141" customFormat="1" x14ac:dyDescent="0.2">
      <c r="B236" s="142"/>
      <c r="D236" s="143" t="s">
        <v>346</v>
      </c>
      <c r="E236" s="144"/>
      <c r="F236" s="145" t="s">
        <v>2516</v>
      </c>
      <c r="H236" s="144"/>
      <c r="L236" s="142"/>
      <c r="M236" s="146"/>
      <c r="T236" s="147"/>
      <c r="AT236" s="144" t="s">
        <v>346</v>
      </c>
      <c r="AU236" s="144" t="s">
        <v>90</v>
      </c>
      <c r="AV236" s="141" t="s">
        <v>87</v>
      </c>
      <c r="AW236" s="141" t="s">
        <v>33</v>
      </c>
      <c r="AX236" s="141" t="s">
        <v>80</v>
      </c>
      <c r="AY236" s="144" t="s">
        <v>337</v>
      </c>
    </row>
    <row r="237" spans="2:65" s="141" customFormat="1" x14ac:dyDescent="0.2">
      <c r="B237" s="142"/>
      <c r="D237" s="143" t="s">
        <v>346</v>
      </c>
      <c r="E237" s="144"/>
      <c r="F237" s="145" t="s">
        <v>2517</v>
      </c>
      <c r="H237" s="144"/>
      <c r="L237" s="142"/>
      <c r="M237" s="146"/>
      <c r="T237" s="147"/>
      <c r="AT237" s="144" t="s">
        <v>346</v>
      </c>
      <c r="AU237" s="144" t="s">
        <v>90</v>
      </c>
      <c r="AV237" s="141" t="s">
        <v>87</v>
      </c>
      <c r="AW237" s="141" t="s">
        <v>33</v>
      </c>
      <c r="AX237" s="141" t="s">
        <v>80</v>
      </c>
      <c r="AY237" s="144" t="s">
        <v>337</v>
      </c>
    </row>
    <row r="238" spans="2:65" s="148" customFormat="1" x14ac:dyDescent="0.2">
      <c r="B238" s="149"/>
      <c r="D238" s="143" t="s">
        <v>346</v>
      </c>
      <c r="E238" s="150"/>
      <c r="F238" s="151" t="s">
        <v>2556</v>
      </c>
      <c r="H238" s="152">
        <v>0.191</v>
      </c>
      <c r="L238" s="149"/>
      <c r="M238" s="153"/>
      <c r="T238" s="154"/>
      <c r="AT238" s="150" t="s">
        <v>346</v>
      </c>
      <c r="AU238" s="150" t="s">
        <v>90</v>
      </c>
      <c r="AV238" s="148" t="s">
        <v>90</v>
      </c>
      <c r="AW238" s="148" t="s">
        <v>33</v>
      </c>
      <c r="AX238" s="148" t="s">
        <v>80</v>
      </c>
      <c r="AY238" s="150" t="s">
        <v>337</v>
      </c>
    </row>
    <row r="239" spans="2:65" s="155" customFormat="1" x14ac:dyDescent="0.2">
      <c r="B239" s="156"/>
      <c r="D239" s="143" t="s">
        <v>346</v>
      </c>
      <c r="E239" s="157"/>
      <c r="F239" s="158" t="s">
        <v>351</v>
      </c>
      <c r="H239" s="159">
        <v>0.31</v>
      </c>
      <c r="L239" s="156"/>
      <c r="M239" s="160"/>
      <c r="T239" s="161"/>
      <c r="AT239" s="157" t="s">
        <v>346</v>
      </c>
      <c r="AU239" s="157" t="s">
        <v>90</v>
      </c>
      <c r="AV239" s="155" t="s">
        <v>344</v>
      </c>
      <c r="AW239" s="155" t="s">
        <v>33</v>
      </c>
      <c r="AX239" s="155" t="s">
        <v>87</v>
      </c>
      <c r="AY239" s="157" t="s">
        <v>337</v>
      </c>
    </row>
    <row r="240" spans="2:65" s="16" customFormat="1" ht="16.5" customHeight="1" x14ac:dyDescent="0.2">
      <c r="B240" s="17"/>
      <c r="C240" s="128">
        <v>22</v>
      </c>
      <c r="D240" s="128" t="s">
        <v>339</v>
      </c>
      <c r="E240" s="129" t="s">
        <v>2557</v>
      </c>
      <c r="F240" s="130" t="s">
        <v>2558</v>
      </c>
      <c r="G240" s="131" t="s">
        <v>990</v>
      </c>
      <c r="H240" s="132">
        <v>5.0999999999999997E-2</v>
      </c>
      <c r="I240" s="133"/>
      <c r="J240" s="134">
        <f>ROUND(I240*H240,2)</f>
        <v>0</v>
      </c>
      <c r="K240" s="130" t="s">
        <v>343</v>
      </c>
      <c r="L240" s="17"/>
      <c r="M240" s="135"/>
      <c r="N240" s="136" t="s">
        <v>45</v>
      </c>
      <c r="P240" s="137">
        <f>O240*H240</f>
        <v>0</v>
      </c>
      <c r="Q240" s="137">
        <v>1.06277</v>
      </c>
      <c r="R240" s="137">
        <f>Q240*H240</f>
        <v>5.4201269999999996E-2</v>
      </c>
      <c r="S240" s="137">
        <v>0</v>
      </c>
      <c r="T240" s="138">
        <f>S240*H240</f>
        <v>0</v>
      </c>
      <c r="AR240" s="139" t="s">
        <v>344</v>
      </c>
      <c r="AT240" s="139" t="s">
        <v>339</v>
      </c>
      <c r="AU240" s="139" t="s">
        <v>90</v>
      </c>
      <c r="AY240" s="2" t="s">
        <v>337</v>
      </c>
      <c r="BE240" s="140">
        <f>IF(N240="základní",J240,0)</f>
        <v>0</v>
      </c>
      <c r="BF240" s="140">
        <f>IF(N240="snížená",J240,0)</f>
        <v>0</v>
      </c>
      <c r="BG240" s="140">
        <f>IF(N240="zákl. přenesená",J240,0)</f>
        <v>0</v>
      </c>
      <c r="BH240" s="140">
        <f>IF(N240="sníž. přenesená",J240,0)</f>
        <v>0</v>
      </c>
      <c r="BI240" s="140">
        <f>IF(N240="nulová",J240,0)</f>
        <v>0</v>
      </c>
      <c r="BJ240" s="2" t="s">
        <v>87</v>
      </c>
      <c r="BK240" s="140">
        <f>ROUND(I240*H240,2)</f>
        <v>0</v>
      </c>
      <c r="BL240" s="2" t="s">
        <v>344</v>
      </c>
      <c r="BM240" s="139" t="s">
        <v>2559</v>
      </c>
    </row>
    <row r="241" spans="2:65" s="141" customFormat="1" x14ac:dyDescent="0.2">
      <c r="B241" s="142"/>
      <c r="D241" s="143" t="s">
        <v>346</v>
      </c>
      <c r="E241" s="144"/>
      <c r="F241" s="145" t="s">
        <v>2560</v>
      </c>
      <c r="H241" s="144"/>
      <c r="L241" s="142"/>
      <c r="M241" s="146"/>
      <c r="T241" s="147"/>
      <c r="AT241" s="144" t="s">
        <v>346</v>
      </c>
      <c r="AU241" s="144" t="s">
        <v>90</v>
      </c>
      <c r="AV241" s="141" t="s">
        <v>87</v>
      </c>
      <c r="AW241" s="141" t="s">
        <v>33</v>
      </c>
      <c r="AX241" s="141" t="s">
        <v>80</v>
      </c>
      <c r="AY241" s="144" t="s">
        <v>337</v>
      </c>
    </row>
    <row r="242" spans="2:65" s="141" customFormat="1" x14ac:dyDescent="0.2">
      <c r="B242" s="142"/>
      <c r="D242" s="143" t="s">
        <v>346</v>
      </c>
      <c r="E242" s="144"/>
      <c r="F242" s="145" t="s">
        <v>2561</v>
      </c>
      <c r="H242" s="144"/>
      <c r="L242" s="142"/>
      <c r="M242" s="146"/>
      <c r="T242" s="147"/>
      <c r="AT242" s="144" t="s">
        <v>346</v>
      </c>
      <c r="AU242" s="144" t="s">
        <v>90</v>
      </c>
      <c r="AV242" s="141" t="s">
        <v>87</v>
      </c>
      <c r="AW242" s="141" t="s">
        <v>33</v>
      </c>
      <c r="AX242" s="141" t="s">
        <v>80</v>
      </c>
      <c r="AY242" s="144" t="s">
        <v>337</v>
      </c>
    </row>
    <row r="243" spans="2:65" s="141" customFormat="1" x14ac:dyDescent="0.2">
      <c r="B243" s="142"/>
      <c r="D243" s="143" t="s">
        <v>346</v>
      </c>
      <c r="E243" s="144"/>
      <c r="F243" s="145" t="s">
        <v>2562</v>
      </c>
      <c r="H243" s="144"/>
      <c r="L243" s="142"/>
      <c r="M243" s="146"/>
      <c r="T243" s="147"/>
      <c r="AT243" s="144" t="s">
        <v>346</v>
      </c>
      <c r="AU243" s="144" t="s">
        <v>90</v>
      </c>
      <c r="AV243" s="141" t="s">
        <v>87</v>
      </c>
      <c r="AW243" s="141" t="s">
        <v>33</v>
      </c>
      <c r="AX243" s="141" t="s">
        <v>80</v>
      </c>
      <c r="AY243" s="144" t="s">
        <v>337</v>
      </c>
    </row>
    <row r="244" spans="2:65" s="148" customFormat="1" x14ac:dyDescent="0.2">
      <c r="B244" s="149"/>
      <c r="D244" s="143" t="s">
        <v>346</v>
      </c>
      <c r="E244" s="150"/>
      <c r="F244" s="151" t="s">
        <v>2563</v>
      </c>
      <c r="H244" s="152">
        <v>5.0999999999999997E-2</v>
      </c>
      <c r="L244" s="149"/>
      <c r="M244" s="153"/>
      <c r="T244" s="154"/>
      <c r="AT244" s="150" t="s">
        <v>346</v>
      </c>
      <c r="AU244" s="150" t="s">
        <v>90</v>
      </c>
      <c r="AV244" s="148" t="s">
        <v>90</v>
      </c>
      <c r="AW244" s="148" t="s">
        <v>33</v>
      </c>
      <c r="AX244" s="148" t="s">
        <v>80</v>
      </c>
      <c r="AY244" s="150" t="s">
        <v>337</v>
      </c>
    </row>
    <row r="245" spans="2:65" s="141" customFormat="1" x14ac:dyDescent="0.2">
      <c r="B245" s="142"/>
      <c r="D245" s="143" t="s">
        <v>346</v>
      </c>
      <c r="E245" s="144"/>
      <c r="F245" s="145" t="s">
        <v>2564</v>
      </c>
      <c r="H245" s="144"/>
      <c r="L245" s="142"/>
      <c r="M245" s="146"/>
      <c r="T245" s="147"/>
      <c r="AT245" s="144" t="s">
        <v>346</v>
      </c>
      <c r="AU245" s="144" t="s">
        <v>90</v>
      </c>
      <c r="AV245" s="141" t="s">
        <v>87</v>
      </c>
      <c r="AW245" s="141" t="s">
        <v>33</v>
      </c>
      <c r="AX245" s="141" t="s">
        <v>80</v>
      </c>
      <c r="AY245" s="144" t="s">
        <v>337</v>
      </c>
    </row>
    <row r="246" spans="2:65" s="155" customFormat="1" x14ac:dyDescent="0.2">
      <c r="B246" s="156"/>
      <c r="D246" s="143" t="s">
        <v>346</v>
      </c>
      <c r="E246" s="157"/>
      <c r="F246" s="158" t="s">
        <v>351</v>
      </c>
      <c r="H246" s="159">
        <v>5.0999999999999997E-2</v>
      </c>
      <c r="L246" s="156"/>
      <c r="M246" s="160"/>
      <c r="T246" s="161"/>
      <c r="AT246" s="157" t="s">
        <v>346</v>
      </c>
      <c r="AU246" s="157" t="s">
        <v>90</v>
      </c>
      <c r="AV246" s="155" t="s">
        <v>344</v>
      </c>
      <c r="AW246" s="155" t="s">
        <v>33</v>
      </c>
      <c r="AX246" s="155" t="s">
        <v>87</v>
      </c>
      <c r="AY246" s="157" t="s">
        <v>337</v>
      </c>
    </row>
    <row r="247" spans="2:65" s="116" customFormat="1" ht="22.9" customHeight="1" x14ac:dyDescent="0.2">
      <c r="B247" s="117"/>
      <c r="D247" s="118" t="s">
        <v>79</v>
      </c>
      <c r="E247" s="126" t="s">
        <v>430</v>
      </c>
      <c r="F247" s="126" t="s">
        <v>565</v>
      </c>
      <c r="J247" s="127">
        <f>BK247</f>
        <v>0</v>
      </c>
      <c r="L247" s="117"/>
      <c r="M247" s="121"/>
      <c r="P247" s="122">
        <f>SUM(P248:P267)</f>
        <v>0</v>
      </c>
      <c r="R247" s="122">
        <f>SUM(R248:R267)</f>
        <v>5.9568208</v>
      </c>
      <c r="T247" s="123">
        <f>SUM(T248:T267)</f>
        <v>0</v>
      </c>
      <c r="AR247" s="118" t="s">
        <v>87</v>
      </c>
      <c r="AT247" s="124" t="s">
        <v>79</v>
      </c>
      <c r="AU247" s="124" t="s">
        <v>87</v>
      </c>
      <c r="AY247" s="118" t="s">
        <v>337</v>
      </c>
      <c r="BK247" s="125">
        <f>SUM(BK248:BK267)</f>
        <v>0</v>
      </c>
    </row>
    <row r="248" spans="2:65" s="16" customFormat="1" ht="16.5" customHeight="1" x14ac:dyDescent="0.2">
      <c r="B248" s="17"/>
      <c r="C248" s="128">
        <v>23</v>
      </c>
      <c r="D248" s="128" t="s">
        <v>339</v>
      </c>
      <c r="E248" s="129" t="s">
        <v>2565</v>
      </c>
      <c r="F248" s="130" t="s">
        <v>2566</v>
      </c>
      <c r="G248" s="131" t="s">
        <v>535</v>
      </c>
      <c r="H248" s="132">
        <v>0</v>
      </c>
      <c r="I248" s="133"/>
      <c r="J248" s="134">
        <f>ROUND(I248*H248,2)</f>
        <v>0</v>
      </c>
      <c r="K248" s="130" t="s">
        <v>343</v>
      </c>
      <c r="L248" s="17"/>
      <c r="M248" s="135"/>
      <c r="N248" s="136" t="s">
        <v>45</v>
      </c>
      <c r="P248" s="137">
        <f>O248*H248</f>
        <v>0</v>
      </c>
      <c r="Q248" s="137">
        <v>1.3999999999999999E-4</v>
      </c>
      <c r="R248" s="137">
        <f>Q248*H248</f>
        <v>0</v>
      </c>
      <c r="S248" s="137">
        <v>0</v>
      </c>
      <c r="T248" s="138">
        <f>S248*H248</f>
        <v>0</v>
      </c>
      <c r="AR248" s="139" t="s">
        <v>344</v>
      </c>
      <c r="AT248" s="139" t="s">
        <v>339</v>
      </c>
      <c r="AU248" s="139" t="s">
        <v>90</v>
      </c>
      <c r="AY248" s="2" t="s">
        <v>337</v>
      </c>
      <c r="BE248" s="140">
        <f>IF(N248="základní",J248,0)</f>
        <v>0</v>
      </c>
      <c r="BF248" s="140">
        <f>IF(N248="snížená",J248,0)</f>
        <v>0</v>
      </c>
      <c r="BG248" s="140">
        <f>IF(N248="zákl. přenesená",J248,0)</f>
        <v>0</v>
      </c>
      <c r="BH248" s="140">
        <f>IF(N248="sníž. přenesená",J248,0)</f>
        <v>0</v>
      </c>
      <c r="BI248" s="140">
        <f>IF(N248="nulová",J248,0)</f>
        <v>0</v>
      </c>
      <c r="BJ248" s="2" t="s">
        <v>87</v>
      </c>
      <c r="BK248" s="140">
        <f>ROUND(I248*H248,2)</f>
        <v>0</v>
      </c>
      <c r="BL248" s="2" t="s">
        <v>344</v>
      </c>
      <c r="BM248" s="139" t="s">
        <v>2567</v>
      </c>
    </row>
    <row r="249" spans="2:65" s="16" customFormat="1" ht="16.5" customHeight="1" x14ac:dyDescent="0.2">
      <c r="B249" s="17"/>
      <c r="C249" s="128">
        <v>24</v>
      </c>
      <c r="D249" s="128" t="s">
        <v>339</v>
      </c>
      <c r="E249" s="129" t="s">
        <v>2568</v>
      </c>
      <c r="F249" s="130" t="s">
        <v>2569</v>
      </c>
      <c r="G249" s="131" t="s">
        <v>535</v>
      </c>
      <c r="H249" s="132">
        <v>41491.4</v>
      </c>
      <c r="I249" s="133"/>
      <c r="J249" s="134">
        <f>ROUND(I249*H249,2)</f>
        <v>0</v>
      </c>
      <c r="K249" s="130"/>
      <c r="L249" s="17"/>
      <c r="M249" s="135"/>
      <c r="N249" s="136" t="s">
        <v>45</v>
      </c>
      <c r="P249" s="137">
        <f>O249*H249</f>
        <v>0</v>
      </c>
      <c r="Q249" s="137">
        <v>1.3999999999999999E-4</v>
      </c>
      <c r="R249" s="137">
        <f>Q249*H249</f>
        <v>5.8087960000000001</v>
      </c>
      <c r="S249" s="137">
        <v>0</v>
      </c>
      <c r="T249" s="138">
        <f>S249*H249</f>
        <v>0</v>
      </c>
      <c r="AR249" s="139" t="s">
        <v>344</v>
      </c>
      <c r="AT249" s="139" t="s">
        <v>339</v>
      </c>
      <c r="AU249" s="139" t="s">
        <v>90</v>
      </c>
      <c r="AY249" s="2" t="s">
        <v>337</v>
      </c>
      <c r="BE249" s="140">
        <f>IF(N249="základní",J249,0)</f>
        <v>0</v>
      </c>
      <c r="BF249" s="140">
        <f>IF(N249="snížená",J249,0)</f>
        <v>0</v>
      </c>
      <c r="BG249" s="140">
        <f>IF(N249="zákl. přenesená",J249,0)</f>
        <v>0</v>
      </c>
      <c r="BH249" s="140">
        <f>IF(N249="sníž. přenesená",J249,0)</f>
        <v>0</v>
      </c>
      <c r="BI249" s="140">
        <f>IF(N249="nulová",J249,0)</f>
        <v>0</v>
      </c>
      <c r="BJ249" s="2" t="s">
        <v>87</v>
      </c>
      <c r="BK249" s="140">
        <f>ROUND(I249*H249,2)</f>
        <v>0</v>
      </c>
      <c r="BL249" s="2" t="s">
        <v>344</v>
      </c>
      <c r="BM249" s="139" t="s">
        <v>2570</v>
      </c>
    </row>
    <row r="250" spans="2:65" s="141" customFormat="1" ht="22.5" x14ac:dyDescent="0.2">
      <c r="B250" s="142"/>
      <c r="D250" s="143" t="s">
        <v>346</v>
      </c>
      <c r="E250" s="144"/>
      <c r="F250" s="145" t="s">
        <v>2571</v>
      </c>
      <c r="H250" s="144"/>
      <c r="L250" s="142"/>
      <c r="M250" s="146"/>
      <c r="T250" s="147"/>
      <c r="AT250" s="144" t="s">
        <v>346</v>
      </c>
      <c r="AU250" s="144" t="s">
        <v>90</v>
      </c>
      <c r="AV250" s="141" t="s">
        <v>87</v>
      </c>
      <c r="AW250" s="141" t="s">
        <v>33</v>
      </c>
      <c r="AX250" s="141" t="s">
        <v>80</v>
      </c>
      <c r="AY250" s="144" t="s">
        <v>337</v>
      </c>
    </row>
    <row r="251" spans="2:65" s="141" customFormat="1" x14ac:dyDescent="0.2">
      <c r="B251" s="142"/>
      <c r="D251" s="143" t="s">
        <v>346</v>
      </c>
      <c r="E251" s="144"/>
      <c r="F251" s="145" t="s">
        <v>2572</v>
      </c>
      <c r="H251" s="144"/>
      <c r="L251" s="142"/>
      <c r="M251" s="146"/>
      <c r="T251" s="147"/>
      <c r="AT251" s="144" t="s">
        <v>346</v>
      </c>
      <c r="AU251" s="144" t="s">
        <v>90</v>
      </c>
      <c r="AV251" s="141" t="s">
        <v>87</v>
      </c>
      <c r="AW251" s="141" t="s">
        <v>33</v>
      </c>
      <c r="AX251" s="141" t="s">
        <v>80</v>
      </c>
      <c r="AY251" s="144" t="s">
        <v>337</v>
      </c>
    </row>
    <row r="252" spans="2:65" s="148" customFormat="1" x14ac:dyDescent="0.2">
      <c r="B252" s="149"/>
      <c r="D252" s="143" t="s">
        <v>346</v>
      </c>
      <c r="E252" s="150"/>
      <c r="F252" s="151" t="s">
        <v>2573</v>
      </c>
      <c r="H252" s="152">
        <v>9750</v>
      </c>
      <c r="L252" s="149"/>
      <c r="M252" s="153"/>
      <c r="T252" s="154"/>
      <c r="AT252" s="150" t="s">
        <v>346</v>
      </c>
      <c r="AU252" s="150" t="s">
        <v>90</v>
      </c>
      <c r="AV252" s="148" t="s">
        <v>90</v>
      </c>
      <c r="AW252" s="148" t="s">
        <v>33</v>
      </c>
      <c r="AX252" s="148" t="s">
        <v>80</v>
      </c>
      <c r="AY252" s="150" t="s">
        <v>337</v>
      </c>
    </row>
    <row r="253" spans="2:65" s="141" customFormat="1" x14ac:dyDescent="0.2">
      <c r="B253" s="142"/>
      <c r="D253" s="143" t="s">
        <v>346</v>
      </c>
      <c r="E253" s="144"/>
      <c r="F253" s="145" t="s">
        <v>2574</v>
      </c>
      <c r="H253" s="144"/>
      <c r="L253" s="142"/>
      <c r="M253" s="146"/>
      <c r="T253" s="147"/>
      <c r="AT253" s="144" t="s">
        <v>346</v>
      </c>
      <c r="AU253" s="144" t="s">
        <v>90</v>
      </c>
      <c r="AV253" s="141" t="s">
        <v>87</v>
      </c>
      <c r="AW253" s="141" t="s">
        <v>33</v>
      </c>
      <c r="AX253" s="141" t="s">
        <v>80</v>
      </c>
      <c r="AY253" s="144" t="s">
        <v>337</v>
      </c>
    </row>
    <row r="254" spans="2:65" s="141" customFormat="1" x14ac:dyDescent="0.2">
      <c r="B254" s="142"/>
      <c r="D254" s="143" t="s">
        <v>346</v>
      </c>
      <c r="E254" s="144"/>
      <c r="F254" s="145" t="s">
        <v>2575</v>
      </c>
      <c r="H254" s="144"/>
      <c r="L254" s="142"/>
      <c r="M254" s="146"/>
      <c r="T254" s="147"/>
      <c r="AT254" s="144" t="s">
        <v>346</v>
      </c>
      <c r="AU254" s="144" t="s">
        <v>90</v>
      </c>
      <c r="AV254" s="141" t="s">
        <v>87</v>
      </c>
      <c r="AW254" s="141" t="s">
        <v>33</v>
      </c>
      <c r="AX254" s="141" t="s">
        <v>80</v>
      </c>
      <c r="AY254" s="144" t="s">
        <v>337</v>
      </c>
    </row>
    <row r="255" spans="2:65" s="141" customFormat="1" x14ac:dyDescent="0.2">
      <c r="B255" s="142"/>
      <c r="D255" s="143" t="s">
        <v>346</v>
      </c>
      <c r="E255" s="144"/>
      <c r="F255" s="145" t="s">
        <v>2576</v>
      </c>
      <c r="H255" s="144"/>
      <c r="L255" s="142"/>
      <c r="M255" s="146"/>
      <c r="T255" s="147"/>
      <c r="AT255" s="144" t="s">
        <v>346</v>
      </c>
      <c r="AU255" s="144" t="s">
        <v>90</v>
      </c>
      <c r="AV255" s="141" t="s">
        <v>87</v>
      </c>
      <c r="AW255" s="141" t="s">
        <v>33</v>
      </c>
      <c r="AX255" s="141" t="s">
        <v>80</v>
      </c>
      <c r="AY255" s="144" t="s">
        <v>337</v>
      </c>
    </row>
    <row r="256" spans="2:65" s="148" customFormat="1" x14ac:dyDescent="0.2">
      <c r="B256" s="149"/>
      <c r="D256" s="143" t="s">
        <v>346</v>
      </c>
      <c r="E256" s="150"/>
      <c r="F256" s="151" t="s">
        <v>2577</v>
      </c>
      <c r="H256" s="152">
        <v>31441.4</v>
      </c>
      <c r="L256" s="149"/>
      <c r="M256" s="153"/>
      <c r="T256" s="154"/>
      <c r="AT256" s="150" t="s">
        <v>346</v>
      </c>
      <c r="AU256" s="150" t="s">
        <v>90</v>
      </c>
      <c r="AV256" s="148" t="s">
        <v>90</v>
      </c>
      <c r="AW256" s="148" t="s">
        <v>33</v>
      </c>
      <c r="AX256" s="148" t="s">
        <v>80</v>
      </c>
      <c r="AY256" s="150" t="s">
        <v>337</v>
      </c>
    </row>
    <row r="257" spans="2:65" s="141" customFormat="1" ht="22.5" x14ac:dyDescent="0.2">
      <c r="B257" s="142"/>
      <c r="D257" s="143" t="s">
        <v>346</v>
      </c>
      <c r="E257" s="144"/>
      <c r="F257" s="145" t="s">
        <v>2578</v>
      </c>
      <c r="H257" s="144"/>
      <c r="L257" s="142"/>
      <c r="M257" s="146"/>
      <c r="T257" s="147"/>
      <c r="AT257" s="144" t="s">
        <v>346</v>
      </c>
      <c r="AU257" s="144" t="s">
        <v>90</v>
      </c>
      <c r="AV257" s="141" t="s">
        <v>87</v>
      </c>
      <c r="AW257" s="141" t="s">
        <v>33</v>
      </c>
      <c r="AX257" s="141" t="s">
        <v>80</v>
      </c>
      <c r="AY257" s="144" t="s">
        <v>337</v>
      </c>
    </row>
    <row r="258" spans="2:65" s="141" customFormat="1" x14ac:dyDescent="0.2">
      <c r="B258" s="142"/>
      <c r="D258" s="143" t="s">
        <v>346</v>
      </c>
      <c r="E258" s="144"/>
      <c r="F258" s="145" t="s">
        <v>2579</v>
      </c>
      <c r="H258" s="144"/>
      <c r="L258" s="142"/>
      <c r="M258" s="146"/>
      <c r="T258" s="147"/>
      <c r="AT258" s="144" t="s">
        <v>346</v>
      </c>
      <c r="AU258" s="144" t="s">
        <v>90</v>
      </c>
      <c r="AV258" s="141" t="s">
        <v>87</v>
      </c>
      <c r="AW258" s="141" t="s">
        <v>33</v>
      </c>
      <c r="AX258" s="141" t="s">
        <v>80</v>
      </c>
      <c r="AY258" s="144" t="s">
        <v>337</v>
      </c>
    </row>
    <row r="259" spans="2:65" s="148" customFormat="1" x14ac:dyDescent="0.2">
      <c r="B259" s="149"/>
      <c r="D259" s="143" t="s">
        <v>346</v>
      </c>
      <c r="E259" s="150"/>
      <c r="F259" s="151" t="s">
        <v>2580</v>
      </c>
      <c r="H259" s="152">
        <v>300</v>
      </c>
      <c r="L259" s="149"/>
      <c r="M259" s="153"/>
      <c r="T259" s="154"/>
      <c r="AT259" s="150" t="s">
        <v>346</v>
      </c>
      <c r="AU259" s="150" t="s">
        <v>90</v>
      </c>
      <c r="AV259" s="148" t="s">
        <v>90</v>
      </c>
      <c r="AW259" s="148" t="s">
        <v>33</v>
      </c>
      <c r="AX259" s="148" t="s">
        <v>80</v>
      </c>
      <c r="AY259" s="150" t="s">
        <v>337</v>
      </c>
    </row>
    <row r="260" spans="2:65" s="155" customFormat="1" x14ac:dyDescent="0.2">
      <c r="B260" s="156"/>
      <c r="D260" s="143" t="s">
        <v>346</v>
      </c>
      <c r="E260" s="157" t="s">
        <v>2581</v>
      </c>
      <c r="F260" s="158" t="s">
        <v>351</v>
      </c>
      <c r="H260" s="159">
        <v>41491.4</v>
      </c>
      <c r="L260" s="156"/>
      <c r="M260" s="160"/>
      <c r="T260" s="161"/>
      <c r="AT260" s="157" t="s">
        <v>346</v>
      </c>
      <c r="AU260" s="157" t="s">
        <v>90</v>
      </c>
      <c r="AV260" s="155" t="s">
        <v>344</v>
      </c>
      <c r="AW260" s="155" t="s">
        <v>33</v>
      </c>
      <c r="AX260" s="155" t="s">
        <v>87</v>
      </c>
      <c r="AY260" s="157" t="s">
        <v>337</v>
      </c>
    </row>
    <row r="261" spans="2:65" s="16" customFormat="1" ht="16.5" customHeight="1" x14ac:dyDescent="0.2">
      <c r="B261" s="17"/>
      <c r="C261" s="128">
        <v>25</v>
      </c>
      <c r="D261" s="128" t="s">
        <v>339</v>
      </c>
      <c r="E261" s="129" t="s">
        <v>792</v>
      </c>
      <c r="F261" s="130" t="s">
        <v>793</v>
      </c>
      <c r="G261" s="131" t="s">
        <v>425</v>
      </c>
      <c r="H261" s="132">
        <v>2.97</v>
      </c>
      <c r="I261" s="133"/>
      <c r="J261" s="134">
        <f>ROUND(I261*H261,2)</f>
        <v>0</v>
      </c>
      <c r="K261" s="130" t="s">
        <v>343</v>
      </c>
      <c r="L261" s="17"/>
      <c r="M261" s="135"/>
      <c r="N261" s="136" t="s">
        <v>45</v>
      </c>
      <c r="P261" s="137">
        <f>O261*H261</f>
        <v>0</v>
      </c>
      <c r="Q261" s="137">
        <v>4.9840000000000002E-2</v>
      </c>
      <c r="R261" s="137">
        <f>Q261*H261</f>
        <v>0.14802480000000001</v>
      </c>
      <c r="S261" s="137">
        <v>0</v>
      </c>
      <c r="T261" s="138">
        <f>S261*H261</f>
        <v>0</v>
      </c>
      <c r="AR261" s="139" t="s">
        <v>344</v>
      </c>
      <c r="AT261" s="139" t="s">
        <v>339</v>
      </c>
      <c r="AU261" s="139" t="s">
        <v>90</v>
      </c>
      <c r="AY261" s="2" t="s">
        <v>337</v>
      </c>
      <c r="BE261" s="140">
        <f>IF(N261="základní",J261,0)</f>
        <v>0</v>
      </c>
      <c r="BF261" s="140">
        <f>IF(N261="snížená",J261,0)</f>
        <v>0</v>
      </c>
      <c r="BG261" s="140">
        <f>IF(N261="zákl. přenesená",J261,0)</f>
        <v>0</v>
      </c>
      <c r="BH261" s="140">
        <f>IF(N261="sníž. přenesená",J261,0)</f>
        <v>0</v>
      </c>
      <c r="BI261" s="140">
        <f>IF(N261="nulová",J261,0)</f>
        <v>0</v>
      </c>
      <c r="BJ261" s="2" t="s">
        <v>87</v>
      </c>
      <c r="BK261" s="140">
        <f>ROUND(I261*H261,2)</f>
        <v>0</v>
      </c>
      <c r="BL261" s="2" t="s">
        <v>344</v>
      </c>
      <c r="BM261" s="139" t="s">
        <v>2582</v>
      </c>
    </row>
    <row r="262" spans="2:65" s="141" customFormat="1" x14ac:dyDescent="0.2">
      <c r="B262" s="142"/>
      <c r="D262" s="143" t="s">
        <v>346</v>
      </c>
      <c r="E262" s="144"/>
      <c r="F262" s="145" t="s">
        <v>2583</v>
      </c>
      <c r="H262" s="144"/>
      <c r="L262" s="142"/>
      <c r="M262" s="146"/>
      <c r="T262" s="147"/>
      <c r="AT262" s="144" t="s">
        <v>346</v>
      </c>
      <c r="AU262" s="144" t="s">
        <v>90</v>
      </c>
      <c r="AV262" s="141" t="s">
        <v>87</v>
      </c>
      <c r="AW262" s="141" t="s">
        <v>33</v>
      </c>
      <c r="AX262" s="141" t="s">
        <v>80</v>
      </c>
      <c r="AY262" s="144" t="s">
        <v>337</v>
      </c>
    </row>
    <row r="263" spans="2:65" s="141" customFormat="1" x14ac:dyDescent="0.2">
      <c r="B263" s="142"/>
      <c r="D263" s="143" t="s">
        <v>346</v>
      </c>
      <c r="E263" s="144"/>
      <c r="F263" s="145" t="s">
        <v>2467</v>
      </c>
      <c r="H263" s="144"/>
      <c r="L263" s="142"/>
      <c r="M263" s="146"/>
      <c r="T263" s="147"/>
      <c r="AT263" s="144" t="s">
        <v>346</v>
      </c>
      <c r="AU263" s="144" t="s">
        <v>90</v>
      </c>
      <c r="AV263" s="141" t="s">
        <v>87</v>
      </c>
      <c r="AW263" s="141" t="s">
        <v>33</v>
      </c>
      <c r="AX263" s="141" t="s">
        <v>80</v>
      </c>
      <c r="AY263" s="144" t="s">
        <v>337</v>
      </c>
    </row>
    <row r="264" spans="2:65" s="148" customFormat="1" x14ac:dyDescent="0.2">
      <c r="B264" s="149"/>
      <c r="D264" s="143" t="s">
        <v>346</v>
      </c>
      <c r="E264" s="150"/>
      <c r="F264" s="151" t="s">
        <v>2584</v>
      </c>
      <c r="H264" s="152">
        <v>0.54</v>
      </c>
      <c r="L264" s="149"/>
      <c r="M264" s="153"/>
      <c r="T264" s="154"/>
      <c r="AT264" s="150" t="s">
        <v>346</v>
      </c>
      <c r="AU264" s="150" t="s">
        <v>90</v>
      </c>
      <c r="AV264" s="148" t="s">
        <v>90</v>
      </c>
      <c r="AW264" s="148" t="s">
        <v>33</v>
      </c>
      <c r="AX264" s="148" t="s">
        <v>80</v>
      </c>
      <c r="AY264" s="150" t="s">
        <v>337</v>
      </c>
    </row>
    <row r="265" spans="2:65" s="141" customFormat="1" x14ac:dyDescent="0.2">
      <c r="B265" s="142"/>
      <c r="D265" s="143" t="s">
        <v>346</v>
      </c>
      <c r="E265" s="144"/>
      <c r="F265" s="145" t="s">
        <v>2513</v>
      </c>
      <c r="H265" s="144"/>
      <c r="L265" s="142"/>
      <c r="M265" s="146"/>
      <c r="T265" s="147"/>
      <c r="AT265" s="144" t="s">
        <v>346</v>
      </c>
      <c r="AU265" s="144" t="s">
        <v>90</v>
      </c>
      <c r="AV265" s="141" t="s">
        <v>87</v>
      </c>
      <c r="AW265" s="141" t="s">
        <v>33</v>
      </c>
      <c r="AX265" s="141" t="s">
        <v>80</v>
      </c>
      <c r="AY265" s="144" t="s">
        <v>337</v>
      </c>
    </row>
    <row r="266" spans="2:65" s="148" customFormat="1" x14ac:dyDescent="0.2">
      <c r="B266" s="149"/>
      <c r="D266" s="143" t="s">
        <v>346</v>
      </c>
      <c r="E266" s="150"/>
      <c r="F266" s="151" t="s">
        <v>2585</v>
      </c>
      <c r="H266" s="152">
        <v>2.4300000000000002</v>
      </c>
      <c r="L266" s="149"/>
      <c r="M266" s="153"/>
      <c r="T266" s="154"/>
      <c r="AT266" s="150" t="s">
        <v>346</v>
      </c>
      <c r="AU266" s="150" t="s">
        <v>90</v>
      </c>
      <c r="AV266" s="148" t="s">
        <v>90</v>
      </c>
      <c r="AW266" s="148" t="s">
        <v>33</v>
      </c>
      <c r="AX266" s="148" t="s">
        <v>80</v>
      </c>
      <c r="AY266" s="150" t="s">
        <v>337</v>
      </c>
    </row>
    <row r="267" spans="2:65" s="155" customFormat="1" x14ac:dyDescent="0.2">
      <c r="B267" s="156"/>
      <c r="D267" s="143" t="s">
        <v>346</v>
      </c>
      <c r="E267" s="157"/>
      <c r="F267" s="158" t="s">
        <v>351</v>
      </c>
      <c r="H267" s="159">
        <v>2.97</v>
      </c>
      <c r="L267" s="156"/>
      <c r="M267" s="160"/>
      <c r="T267" s="161"/>
      <c r="AT267" s="157" t="s">
        <v>346</v>
      </c>
      <c r="AU267" s="157" t="s">
        <v>90</v>
      </c>
      <c r="AV267" s="155" t="s">
        <v>344</v>
      </c>
      <c r="AW267" s="155" t="s">
        <v>33</v>
      </c>
      <c r="AX267" s="155" t="s">
        <v>87</v>
      </c>
      <c r="AY267" s="157" t="s">
        <v>337</v>
      </c>
    </row>
    <row r="268" spans="2:65" s="116" customFormat="1" ht="22.9" customHeight="1" x14ac:dyDescent="0.2">
      <c r="B268" s="117"/>
      <c r="D268" s="118" t="s">
        <v>79</v>
      </c>
      <c r="E268" s="126" t="s">
        <v>452</v>
      </c>
      <c r="F268" s="126" t="s">
        <v>869</v>
      </c>
      <c r="J268" s="127">
        <f>BK268</f>
        <v>0</v>
      </c>
      <c r="L268" s="117"/>
      <c r="M268" s="121"/>
      <c r="P268" s="122">
        <f>SUM(P269:P272)</f>
        <v>0</v>
      </c>
      <c r="R268" s="122">
        <f>SUM(R269:R272)</f>
        <v>7.3200000000000001E-2</v>
      </c>
      <c r="T268" s="123">
        <f>SUM(T269:T272)</f>
        <v>0</v>
      </c>
      <c r="AR268" s="118" t="s">
        <v>87</v>
      </c>
      <c r="AT268" s="124" t="s">
        <v>79</v>
      </c>
      <c r="AU268" s="124" t="s">
        <v>87</v>
      </c>
      <c r="AY268" s="118" t="s">
        <v>337</v>
      </c>
      <c r="BK268" s="125">
        <f>SUM(BK269:BK272)</f>
        <v>0</v>
      </c>
    </row>
    <row r="269" spans="2:65" s="16" customFormat="1" ht="16.5" customHeight="1" x14ac:dyDescent="0.2">
      <c r="B269" s="17"/>
      <c r="C269" s="128">
        <v>26</v>
      </c>
      <c r="D269" s="128" t="s">
        <v>339</v>
      </c>
      <c r="E269" s="129" t="s">
        <v>2586</v>
      </c>
      <c r="F269" s="130" t="s">
        <v>2587</v>
      </c>
      <c r="G269" s="131" t="s">
        <v>724</v>
      </c>
      <c r="H269" s="132">
        <v>12</v>
      </c>
      <c r="I269" s="133"/>
      <c r="J269" s="134">
        <f>ROUND(I269*H269,2)</f>
        <v>0</v>
      </c>
      <c r="K269" s="130"/>
      <c r="L269" s="17"/>
      <c r="M269" s="135"/>
      <c r="N269" s="136" t="s">
        <v>45</v>
      </c>
      <c r="P269" s="137">
        <f>O269*H269</f>
        <v>0</v>
      </c>
      <c r="Q269" s="137">
        <v>6.1000000000000004E-3</v>
      </c>
      <c r="R269" s="137">
        <f>Q269*H269</f>
        <v>7.3200000000000001E-2</v>
      </c>
      <c r="S269" s="137">
        <v>0</v>
      </c>
      <c r="T269" s="138">
        <f>S269*H269</f>
        <v>0</v>
      </c>
      <c r="AR269" s="139" t="s">
        <v>344</v>
      </c>
      <c r="AT269" s="139" t="s">
        <v>339</v>
      </c>
      <c r="AU269" s="139" t="s">
        <v>90</v>
      </c>
      <c r="AY269" s="2" t="s">
        <v>337</v>
      </c>
      <c r="BE269" s="140">
        <f>IF(N269="základní",J269,0)</f>
        <v>0</v>
      </c>
      <c r="BF269" s="140">
        <f>IF(N269="snížená",J269,0)</f>
        <v>0</v>
      </c>
      <c r="BG269" s="140">
        <f>IF(N269="zákl. přenesená",J269,0)</f>
        <v>0</v>
      </c>
      <c r="BH269" s="140">
        <f>IF(N269="sníž. přenesená",J269,0)</f>
        <v>0</v>
      </c>
      <c r="BI269" s="140">
        <f>IF(N269="nulová",J269,0)</f>
        <v>0</v>
      </c>
      <c r="BJ269" s="2" t="s">
        <v>87</v>
      </c>
      <c r="BK269" s="140">
        <f>ROUND(I269*H269,2)</f>
        <v>0</v>
      </c>
      <c r="BL269" s="2" t="s">
        <v>344</v>
      </c>
      <c r="BM269" s="139" t="s">
        <v>2588</v>
      </c>
    </row>
    <row r="270" spans="2:65" s="141" customFormat="1" ht="22.5" x14ac:dyDescent="0.2">
      <c r="B270" s="142"/>
      <c r="D270" s="143" t="s">
        <v>346</v>
      </c>
      <c r="E270" s="144"/>
      <c r="F270" s="145" t="s">
        <v>2589</v>
      </c>
      <c r="H270" s="144"/>
      <c r="L270" s="142"/>
      <c r="M270" s="146"/>
      <c r="T270" s="147"/>
      <c r="AT270" s="144" t="s">
        <v>346</v>
      </c>
      <c r="AU270" s="144" t="s">
        <v>90</v>
      </c>
      <c r="AV270" s="141" t="s">
        <v>87</v>
      </c>
      <c r="AW270" s="141" t="s">
        <v>33</v>
      </c>
      <c r="AX270" s="141" t="s">
        <v>80</v>
      </c>
      <c r="AY270" s="144" t="s">
        <v>337</v>
      </c>
    </row>
    <row r="271" spans="2:65" s="141" customFormat="1" x14ac:dyDescent="0.2">
      <c r="B271" s="142"/>
      <c r="D271" s="143" t="s">
        <v>346</v>
      </c>
      <c r="E271" s="144"/>
      <c r="F271" s="145" t="s">
        <v>2590</v>
      </c>
      <c r="H271" s="144"/>
      <c r="L271" s="142"/>
      <c r="M271" s="146"/>
      <c r="T271" s="147"/>
      <c r="AT271" s="144" t="s">
        <v>346</v>
      </c>
      <c r="AU271" s="144" t="s">
        <v>90</v>
      </c>
      <c r="AV271" s="141" t="s">
        <v>87</v>
      </c>
      <c r="AW271" s="141" t="s">
        <v>33</v>
      </c>
      <c r="AX271" s="141" t="s">
        <v>80</v>
      </c>
      <c r="AY271" s="144" t="s">
        <v>337</v>
      </c>
    </row>
    <row r="272" spans="2:65" s="148" customFormat="1" x14ac:dyDescent="0.2">
      <c r="B272" s="149"/>
      <c r="D272" s="143" t="s">
        <v>346</v>
      </c>
      <c r="E272" s="150"/>
      <c r="F272" s="151" t="s">
        <v>2591</v>
      </c>
      <c r="H272" s="152">
        <v>12</v>
      </c>
      <c r="L272" s="149"/>
      <c r="M272" s="153"/>
      <c r="T272" s="154"/>
      <c r="AT272" s="150" t="s">
        <v>346</v>
      </c>
      <c r="AU272" s="150" t="s">
        <v>90</v>
      </c>
      <c r="AV272" s="148" t="s">
        <v>90</v>
      </c>
      <c r="AW272" s="148" t="s">
        <v>33</v>
      </c>
      <c r="AX272" s="148" t="s">
        <v>87</v>
      </c>
      <c r="AY272" s="150" t="s">
        <v>337</v>
      </c>
    </row>
    <row r="273" spans="2:65" s="116" customFormat="1" ht="22.9" customHeight="1" x14ac:dyDescent="0.2">
      <c r="B273" s="117"/>
      <c r="D273" s="118" t="s">
        <v>79</v>
      </c>
      <c r="E273" s="126" t="s">
        <v>986</v>
      </c>
      <c r="F273" s="126" t="s">
        <v>987</v>
      </c>
      <c r="J273" s="127">
        <f>BK273</f>
        <v>0</v>
      </c>
      <c r="L273" s="117"/>
      <c r="M273" s="121"/>
      <c r="P273" s="122">
        <f>P274</f>
        <v>0</v>
      </c>
      <c r="R273" s="122">
        <f>R274</f>
        <v>0</v>
      </c>
      <c r="T273" s="123">
        <f>T274</f>
        <v>0</v>
      </c>
      <c r="AR273" s="118" t="s">
        <v>87</v>
      </c>
      <c r="AT273" s="124" t="s">
        <v>79</v>
      </c>
      <c r="AU273" s="124" t="s">
        <v>87</v>
      </c>
      <c r="AY273" s="118" t="s">
        <v>337</v>
      </c>
      <c r="BK273" s="125">
        <f>BK274</f>
        <v>0</v>
      </c>
    </row>
    <row r="274" spans="2:65" s="16" customFormat="1" ht="16.5" customHeight="1" x14ac:dyDescent="0.2">
      <c r="B274" s="17"/>
      <c r="C274" s="128">
        <v>27</v>
      </c>
      <c r="D274" s="128" t="s">
        <v>339</v>
      </c>
      <c r="E274" s="129" t="s">
        <v>988</v>
      </c>
      <c r="F274" s="130" t="s">
        <v>989</v>
      </c>
      <c r="G274" s="131" t="s">
        <v>990</v>
      </c>
      <c r="H274" s="132">
        <v>160.89099999999999</v>
      </c>
      <c r="I274" s="133"/>
      <c r="J274" s="134">
        <f>ROUND(I274*H274,2)</f>
        <v>0</v>
      </c>
      <c r="K274" s="130" t="s">
        <v>343</v>
      </c>
      <c r="L274" s="17"/>
      <c r="M274" s="135"/>
      <c r="N274" s="136" t="s">
        <v>45</v>
      </c>
      <c r="P274" s="137">
        <f>O274*H274</f>
        <v>0</v>
      </c>
      <c r="Q274" s="137">
        <v>0</v>
      </c>
      <c r="R274" s="137">
        <f>Q274*H274</f>
        <v>0</v>
      </c>
      <c r="S274" s="137">
        <v>0</v>
      </c>
      <c r="T274" s="138">
        <f>S274*H274</f>
        <v>0</v>
      </c>
      <c r="AR274" s="139" t="s">
        <v>344</v>
      </c>
      <c r="AT274" s="139" t="s">
        <v>339</v>
      </c>
      <c r="AU274" s="139" t="s">
        <v>90</v>
      </c>
      <c r="AY274" s="2" t="s">
        <v>337</v>
      </c>
      <c r="BE274" s="140">
        <f>IF(N274="základní",J274,0)</f>
        <v>0</v>
      </c>
      <c r="BF274" s="140">
        <f>IF(N274="snížená",J274,0)</f>
        <v>0</v>
      </c>
      <c r="BG274" s="140">
        <f>IF(N274="zákl. přenesená",J274,0)</f>
        <v>0</v>
      </c>
      <c r="BH274" s="140">
        <f>IF(N274="sníž. přenesená",J274,0)</f>
        <v>0</v>
      </c>
      <c r="BI274" s="140">
        <f>IF(N274="nulová",J274,0)</f>
        <v>0</v>
      </c>
      <c r="BJ274" s="2" t="s">
        <v>87</v>
      </c>
      <c r="BK274" s="140">
        <f>ROUND(I274*H274,2)</f>
        <v>0</v>
      </c>
      <c r="BL274" s="2" t="s">
        <v>344</v>
      </c>
      <c r="BM274" s="139" t="s">
        <v>2592</v>
      </c>
    </row>
    <row r="275" spans="2:65" s="116" customFormat="1" ht="25.9" customHeight="1" x14ac:dyDescent="0.2">
      <c r="B275" s="117"/>
      <c r="D275" s="118" t="s">
        <v>79</v>
      </c>
      <c r="E275" s="119" t="s">
        <v>992</v>
      </c>
      <c r="F275" s="119" t="s">
        <v>993</v>
      </c>
      <c r="J275" s="120">
        <f>BK275</f>
        <v>0</v>
      </c>
      <c r="L275" s="117"/>
      <c r="M275" s="121"/>
      <c r="P275" s="122">
        <f>P276+P742</f>
        <v>0</v>
      </c>
      <c r="R275" s="122">
        <f>R276+R742</f>
        <v>69.756983879999993</v>
      </c>
      <c r="T275" s="123">
        <f>T276+T742</f>
        <v>0</v>
      </c>
      <c r="AR275" s="118" t="s">
        <v>90</v>
      </c>
      <c r="AT275" s="124" t="s">
        <v>79</v>
      </c>
      <c r="AU275" s="124" t="s">
        <v>80</v>
      </c>
      <c r="AY275" s="118" t="s">
        <v>337</v>
      </c>
      <c r="BK275" s="125">
        <f>BK276+BK742</f>
        <v>0</v>
      </c>
    </row>
    <row r="276" spans="2:65" s="116" customFormat="1" ht="22.9" customHeight="1" x14ac:dyDescent="0.2">
      <c r="B276" s="117"/>
      <c r="D276" s="118" t="s">
        <v>79</v>
      </c>
      <c r="E276" s="126" t="s">
        <v>2593</v>
      </c>
      <c r="F276" s="126" t="s">
        <v>2594</v>
      </c>
      <c r="J276" s="127">
        <f>BK276</f>
        <v>0</v>
      </c>
      <c r="L276" s="117"/>
      <c r="M276" s="121"/>
      <c r="P276" s="122">
        <f>SUM(P277:P741)</f>
        <v>0</v>
      </c>
      <c r="R276" s="122">
        <f>SUM(R277:R741)</f>
        <v>69.049806249999989</v>
      </c>
      <c r="T276" s="123">
        <f>SUM(T277:T741)</f>
        <v>0</v>
      </c>
      <c r="AR276" s="118" t="s">
        <v>90</v>
      </c>
      <c r="AT276" s="124" t="s">
        <v>79</v>
      </c>
      <c r="AU276" s="124" t="s">
        <v>87</v>
      </c>
      <c r="AY276" s="118" t="s">
        <v>337</v>
      </c>
      <c r="BK276" s="125">
        <f>SUM(BK277:BK741)</f>
        <v>0</v>
      </c>
    </row>
    <row r="277" spans="2:65" s="16" customFormat="1" ht="16.5" customHeight="1" x14ac:dyDescent="0.2">
      <c r="B277" s="17"/>
      <c r="C277" s="128">
        <v>28</v>
      </c>
      <c r="D277" s="128" t="s">
        <v>339</v>
      </c>
      <c r="E277" s="129" t="s">
        <v>2595</v>
      </c>
      <c r="F277" s="130" t="s">
        <v>2596</v>
      </c>
      <c r="G277" s="131" t="s">
        <v>535</v>
      </c>
      <c r="H277" s="132">
        <v>1148.75</v>
      </c>
      <c r="I277" s="133"/>
      <c r="J277" s="134">
        <f>ROUND(I277*H277,2)</f>
        <v>0</v>
      </c>
      <c r="K277" s="130"/>
      <c r="L277" s="17"/>
      <c r="M277" s="135"/>
      <c r="N277" s="136" t="s">
        <v>45</v>
      </c>
      <c r="P277" s="137">
        <f>O277*H277</f>
        <v>0</v>
      </c>
      <c r="Q277" s="137">
        <v>1E-3</v>
      </c>
      <c r="R277" s="137">
        <f>Q277*H277</f>
        <v>1.1487499999999999</v>
      </c>
      <c r="S277" s="137">
        <v>0</v>
      </c>
      <c r="T277" s="138">
        <f>S277*H277</f>
        <v>0</v>
      </c>
      <c r="AR277" s="139" t="s">
        <v>496</v>
      </c>
      <c r="AT277" s="139" t="s">
        <v>339</v>
      </c>
      <c r="AU277" s="139" t="s">
        <v>90</v>
      </c>
      <c r="AY277" s="2" t="s">
        <v>337</v>
      </c>
      <c r="BE277" s="140">
        <f>IF(N277="základní",J277,0)</f>
        <v>0</v>
      </c>
      <c r="BF277" s="140">
        <f>IF(N277="snížená",J277,0)</f>
        <v>0</v>
      </c>
      <c r="BG277" s="140">
        <f>IF(N277="zákl. přenesená",J277,0)</f>
        <v>0</v>
      </c>
      <c r="BH277" s="140">
        <f>IF(N277="sníž. přenesená",J277,0)</f>
        <v>0</v>
      </c>
      <c r="BI277" s="140">
        <f>IF(N277="nulová",J277,0)</f>
        <v>0</v>
      </c>
      <c r="BJ277" s="2" t="s">
        <v>87</v>
      </c>
      <c r="BK277" s="140">
        <f>ROUND(I277*H277,2)</f>
        <v>0</v>
      </c>
      <c r="BL277" s="2" t="s">
        <v>496</v>
      </c>
      <c r="BM277" s="139" t="s">
        <v>2597</v>
      </c>
    </row>
    <row r="278" spans="2:65" s="141" customFormat="1" x14ac:dyDescent="0.2">
      <c r="B278" s="142"/>
      <c r="D278" s="143" t="s">
        <v>346</v>
      </c>
      <c r="E278" s="144"/>
      <c r="F278" s="145" t="s">
        <v>2598</v>
      </c>
      <c r="H278" s="144"/>
      <c r="L278" s="142"/>
      <c r="M278" s="146"/>
      <c r="T278" s="147"/>
      <c r="AT278" s="144" t="s">
        <v>346</v>
      </c>
      <c r="AU278" s="144" t="s">
        <v>90</v>
      </c>
      <c r="AV278" s="141" t="s">
        <v>87</v>
      </c>
      <c r="AW278" s="141" t="s">
        <v>33</v>
      </c>
      <c r="AX278" s="141" t="s">
        <v>80</v>
      </c>
      <c r="AY278" s="144" t="s">
        <v>337</v>
      </c>
    </row>
    <row r="279" spans="2:65" s="141" customFormat="1" x14ac:dyDescent="0.2">
      <c r="B279" s="142"/>
      <c r="D279" s="143" t="s">
        <v>346</v>
      </c>
      <c r="E279" s="144"/>
      <c r="F279" s="145" t="s">
        <v>2599</v>
      </c>
      <c r="H279" s="144"/>
      <c r="L279" s="142"/>
      <c r="M279" s="146"/>
      <c r="T279" s="147"/>
      <c r="AT279" s="144" t="s">
        <v>346</v>
      </c>
      <c r="AU279" s="144" t="s">
        <v>90</v>
      </c>
      <c r="AV279" s="141" t="s">
        <v>87</v>
      </c>
      <c r="AW279" s="141" t="s">
        <v>33</v>
      </c>
      <c r="AX279" s="141" t="s">
        <v>80</v>
      </c>
      <c r="AY279" s="144" t="s">
        <v>337</v>
      </c>
    </row>
    <row r="280" spans="2:65" s="148" customFormat="1" x14ac:dyDescent="0.2">
      <c r="B280" s="149"/>
      <c r="D280" s="143" t="s">
        <v>346</v>
      </c>
      <c r="E280" s="150"/>
      <c r="F280" s="151" t="s">
        <v>2600</v>
      </c>
      <c r="H280" s="152">
        <v>25.2</v>
      </c>
      <c r="L280" s="149"/>
      <c r="M280" s="153"/>
      <c r="T280" s="154"/>
      <c r="AT280" s="150" t="s">
        <v>346</v>
      </c>
      <c r="AU280" s="150" t="s">
        <v>90</v>
      </c>
      <c r="AV280" s="148" t="s">
        <v>90</v>
      </c>
      <c r="AW280" s="148" t="s">
        <v>33</v>
      </c>
      <c r="AX280" s="148" t="s">
        <v>80</v>
      </c>
      <c r="AY280" s="150" t="s">
        <v>337</v>
      </c>
    </row>
    <row r="281" spans="2:65" s="141" customFormat="1" x14ac:dyDescent="0.2">
      <c r="B281" s="142"/>
      <c r="D281" s="143" t="s">
        <v>346</v>
      </c>
      <c r="E281" s="144"/>
      <c r="F281" s="145" t="s">
        <v>2601</v>
      </c>
      <c r="H281" s="144"/>
      <c r="L281" s="142"/>
      <c r="M281" s="146"/>
      <c r="T281" s="147"/>
      <c r="AT281" s="144" t="s">
        <v>346</v>
      </c>
      <c r="AU281" s="144" t="s">
        <v>90</v>
      </c>
      <c r="AV281" s="141" t="s">
        <v>87</v>
      </c>
      <c r="AW281" s="141" t="s">
        <v>33</v>
      </c>
      <c r="AX281" s="141" t="s">
        <v>80</v>
      </c>
      <c r="AY281" s="144" t="s">
        <v>337</v>
      </c>
    </row>
    <row r="282" spans="2:65" s="148" customFormat="1" x14ac:dyDescent="0.2">
      <c r="B282" s="149"/>
      <c r="D282" s="143" t="s">
        <v>346</v>
      </c>
      <c r="E282" s="150"/>
      <c r="F282" s="151" t="s">
        <v>2602</v>
      </c>
      <c r="H282" s="152">
        <v>41.5</v>
      </c>
      <c r="L282" s="149"/>
      <c r="M282" s="153"/>
      <c r="T282" s="154"/>
      <c r="AT282" s="150" t="s">
        <v>346</v>
      </c>
      <c r="AU282" s="150" t="s">
        <v>90</v>
      </c>
      <c r="AV282" s="148" t="s">
        <v>90</v>
      </c>
      <c r="AW282" s="148" t="s">
        <v>33</v>
      </c>
      <c r="AX282" s="148" t="s">
        <v>80</v>
      </c>
      <c r="AY282" s="150" t="s">
        <v>337</v>
      </c>
    </row>
    <row r="283" spans="2:65" s="141" customFormat="1" x14ac:dyDescent="0.2">
      <c r="B283" s="142"/>
      <c r="D283" s="143" t="s">
        <v>346</v>
      </c>
      <c r="E283" s="144"/>
      <c r="F283" s="145" t="s">
        <v>2603</v>
      </c>
      <c r="H283" s="144"/>
      <c r="L283" s="142"/>
      <c r="M283" s="146"/>
      <c r="T283" s="147"/>
      <c r="AT283" s="144" t="s">
        <v>346</v>
      </c>
      <c r="AU283" s="144" t="s">
        <v>90</v>
      </c>
      <c r="AV283" s="141" t="s">
        <v>87</v>
      </c>
      <c r="AW283" s="141" t="s">
        <v>33</v>
      </c>
      <c r="AX283" s="141" t="s">
        <v>80</v>
      </c>
      <c r="AY283" s="144" t="s">
        <v>337</v>
      </c>
    </row>
    <row r="284" spans="2:65" s="148" customFormat="1" x14ac:dyDescent="0.2">
      <c r="B284" s="149"/>
      <c r="D284" s="143" t="s">
        <v>346</v>
      </c>
      <c r="E284" s="150"/>
      <c r="F284" s="151" t="s">
        <v>2604</v>
      </c>
      <c r="H284" s="152">
        <v>20.399999999999999</v>
      </c>
      <c r="L284" s="149"/>
      <c r="M284" s="153"/>
      <c r="T284" s="154"/>
      <c r="AT284" s="150" t="s">
        <v>346</v>
      </c>
      <c r="AU284" s="150" t="s">
        <v>90</v>
      </c>
      <c r="AV284" s="148" t="s">
        <v>90</v>
      </c>
      <c r="AW284" s="148" t="s">
        <v>33</v>
      </c>
      <c r="AX284" s="148" t="s">
        <v>80</v>
      </c>
      <c r="AY284" s="150" t="s">
        <v>337</v>
      </c>
    </row>
    <row r="285" spans="2:65" s="141" customFormat="1" x14ac:dyDescent="0.2">
      <c r="B285" s="142"/>
      <c r="D285" s="143" t="s">
        <v>346</v>
      </c>
      <c r="E285" s="144"/>
      <c r="F285" s="145" t="s">
        <v>2605</v>
      </c>
      <c r="H285" s="144"/>
      <c r="L285" s="142"/>
      <c r="M285" s="146"/>
      <c r="T285" s="147"/>
      <c r="AT285" s="144" t="s">
        <v>346</v>
      </c>
      <c r="AU285" s="144" t="s">
        <v>90</v>
      </c>
      <c r="AV285" s="141" t="s">
        <v>87</v>
      </c>
      <c r="AW285" s="141" t="s">
        <v>33</v>
      </c>
      <c r="AX285" s="141" t="s">
        <v>80</v>
      </c>
      <c r="AY285" s="144" t="s">
        <v>337</v>
      </c>
    </row>
    <row r="286" spans="2:65" s="148" customFormat="1" x14ac:dyDescent="0.2">
      <c r="B286" s="149"/>
      <c r="D286" s="143" t="s">
        <v>346</v>
      </c>
      <c r="E286" s="150"/>
      <c r="F286" s="151" t="s">
        <v>2606</v>
      </c>
      <c r="H286" s="152">
        <v>44</v>
      </c>
      <c r="L286" s="149"/>
      <c r="M286" s="153"/>
      <c r="T286" s="154"/>
      <c r="AT286" s="150" t="s">
        <v>346</v>
      </c>
      <c r="AU286" s="150" t="s">
        <v>90</v>
      </c>
      <c r="AV286" s="148" t="s">
        <v>90</v>
      </c>
      <c r="AW286" s="148" t="s">
        <v>33</v>
      </c>
      <c r="AX286" s="148" t="s">
        <v>80</v>
      </c>
      <c r="AY286" s="150" t="s">
        <v>337</v>
      </c>
    </row>
    <row r="287" spans="2:65" s="141" customFormat="1" x14ac:dyDescent="0.2">
      <c r="B287" s="142"/>
      <c r="D287" s="143" t="s">
        <v>346</v>
      </c>
      <c r="E287" s="144"/>
      <c r="F287" s="145" t="s">
        <v>2607</v>
      </c>
      <c r="H287" s="144"/>
      <c r="L287" s="142"/>
      <c r="M287" s="146"/>
      <c r="T287" s="147"/>
      <c r="AT287" s="144" t="s">
        <v>346</v>
      </c>
      <c r="AU287" s="144" t="s">
        <v>90</v>
      </c>
      <c r="AV287" s="141" t="s">
        <v>87</v>
      </c>
      <c r="AW287" s="141" t="s">
        <v>33</v>
      </c>
      <c r="AX287" s="141" t="s">
        <v>80</v>
      </c>
      <c r="AY287" s="144" t="s">
        <v>337</v>
      </c>
    </row>
    <row r="288" spans="2:65" s="148" customFormat="1" x14ac:dyDescent="0.2">
      <c r="B288" s="149"/>
      <c r="D288" s="143" t="s">
        <v>346</v>
      </c>
      <c r="E288" s="150"/>
      <c r="F288" s="151" t="s">
        <v>2604</v>
      </c>
      <c r="H288" s="152">
        <v>20.399999999999999</v>
      </c>
      <c r="L288" s="149"/>
      <c r="M288" s="153"/>
      <c r="T288" s="154"/>
      <c r="AT288" s="150" t="s">
        <v>346</v>
      </c>
      <c r="AU288" s="150" t="s">
        <v>90</v>
      </c>
      <c r="AV288" s="148" t="s">
        <v>90</v>
      </c>
      <c r="AW288" s="148" t="s">
        <v>33</v>
      </c>
      <c r="AX288" s="148" t="s">
        <v>80</v>
      </c>
      <c r="AY288" s="150" t="s">
        <v>337</v>
      </c>
    </row>
    <row r="289" spans="2:51" s="141" customFormat="1" x14ac:dyDescent="0.2">
      <c r="B289" s="142"/>
      <c r="D289" s="143" t="s">
        <v>346</v>
      </c>
      <c r="E289" s="144"/>
      <c r="F289" s="145" t="s">
        <v>2608</v>
      </c>
      <c r="H289" s="144"/>
      <c r="L289" s="142"/>
      <c r="M289" s="146"/>
      <c r="T289" s="147"/>
      <c r="AT289" s="144" t="s">
        <v>346</v>
      </c>
      <c r="AU289" s="144" t="s">
        <v>90</v>
      </c>
      <c r="AV289" s="141" t="s">
        <v>87</v>
      </c>
      <c r="AW289" s="141" t="s">
        <v>33</v>
      </c>
      <c r="AX289" s="141" t="s">
        <v>80</v>
      </c>
      <c r="AY289" s="144" t="s">
        <v>337</v>
      </c>
    </row>
    <row r="290" spans="2:51" s="148" customFormat="1" x14ac:dyDescent="0.2">
      <c r="B290" s="149"/>
      <c r="D290" s="143" t="s">
        <v>346</v>
      </c>
      <c r="E290" s="150"/>
      <c r="F290" s="151" t="s">
        <v>2604</v>
      </c>
      <c r="H290" s="152">
        <v>20.399999999999999</v>
      </c>
      <c r="L290" s="149"/>
      <c r="M290" s="153"/>
      <c r="T290" s="154"/>
      <c r="AT290" s="150" t="s">
        <v>346</v>
      </c>
      <c r="AU290" s="150" t="s">
        <v>90</v>
      </c>
      <c r="AV290" s="148" t="s">
        <v>90</v>
      </c>
      <c r="AW290" s="148" t="s">
        <v>33</v>
      </c>
      <c r="AX290" s="148" t="s">
        <v>80</v>
      </c>
      <c r="AY290" s="150" t="s">
        <v>337</v>
      </c>
    </row>
    <row r="291" spans="2:51" s="141" customFormat="1" x14ac:dyDescent="0.2">
      <c r="B291" s="142"/>
      <c r="D291" s="143" t="s">
        <v>346</v>
      </c>
      <c r="E291" s="144"/>
      <c r="F291" s="145" t="s">
        <v>2609</v>
      </c>
      <c r="H291" s="144"/>
      <c r="L291" s="142"/>
      <c r="M291" s="146"/>
      <c r="T291" s="147"/>
      <c r="AT291" s="144" t="s">
        <v>346</v>
      </c>
      <c r="AU291" s="144" t="s">
        <v>90</v>
      </c>
      <c r="AV291" s="141" t="s">
        <v>87</v>
      </c>
      <c r="AW291" s="141" t="s">
        <v>33</v>
      </c>
      <c r="AX291" s="141" t="s">
        <v>80</v>
      </c>
      <c r="AY291" s="144" t="s">
        <v>337</v>
      </c>
    </row>
    <row r="292" spans="2:51" s="148" customFormat="1" x14ac:dyDescent="0.2">
      <c r="B292" s="149"/>
      <c r="D292" s="143" t="s">
        <v>346</v>
      </c>
      <c r="E292" s="150"/>
      <c r="F292" s="151" t="s">
        <v>2610</v>
      </c>
      <c r="H292" s="152">
        <v>42.9</v>
      </c>
      <c r="L292" s="149"/>
      <c r="M292" s="153"/>
      <c r="T292" s="154"/>
      <c r="AT292" s="150" t="s">
        <v>346</v>
      </c>
      <c r="AU292" s="150" t="s">
        <v>90</v>
      </c>
      <c r="AV292" s="148" t="s">
        <v>90</v>
      </c>
      <c r="AW292" s="148" t="s">
        <v>33</v>
      </c>
      <c r="AX292" s="148" t="s">
        <v>80</v>
      </c>
      <c r="AY292" s="150" t="s">
        <v>337</v>
      </c>
    </row>
    <row r="293" spans="2:51" s="141" customFormat="1" x14ac:dyDescent="0.2">
      <c r="B293" s="142"/>
      <c r="D293" s="143" t="s">
        <v>346</v>
      </c>
      <c r="E293" s="144"/>
      <c r="F293" s="145" t="s">
        <v>2611</v>
      </c>
      <c r="H293" s="144"/>
      <c r="L293" s="142"/>
      <c r="M293" s="146"/>
      <c r="T293" s="147"/>
      <c r="AT293" s="144" t="s">
        <v>346</v>
      </c>
      <c r="AU293" s="144" t="s">
        <v>90</v>
      </c>
      <c r="AV293" s="141" t="s">
        <v>87</v>
      </c>
      <c r="AW293" s="141" t="s">
        <v>33</v>
      </c>
      <c r="AX293" s="141" t="s">
        <v>80</v>
      </c>
      <c r="AY293" s="144" t="s">
        <v>337</v>
      </c>
    </row>
    <row r="294" spans="2:51" s="148" customFormat="1" x14ac:dyDescent="0.2">
      <c r="B294" s="149"/>
      <c r="D294" s="143" t="s">
        <v>346</v>
      </c>
      <c r="E294" s="150"/>
      <c r="F294" s="151" t="s">
        <v>2612</v>
      </c>
      <c r="H294" s="152">
        <v>26</v>
      </c>
      <c r="L294" s="149"/>
      <c r="M294" s="153"/>
      <c r="T294" s="154"/>
      <c r="AT294" s="150" t="s">
        <v>346</v>
      </c>
      <c r="AU294" s="150" t="s">
        <v>90</v>
      </c>
      <c r="AV294" s="148" t="s">
        <v>90</v>
      </c>
      <c r="AW294" s="148" t="s">
        <v>33</v>
      </c>
      <c r="AX294" s="148" t="s">
        <v>80</v>
      </c>
      <c r="AY294" s="150" t="s">
        <v>337</v>
      </c>
    </row>
    <row r="295" spans="2:51" s="141" customFormat="1" x14ac:dyDescent="0.2">
      <c r="B295" s="142"/>
      <c r="D295" s="143" t="s">
        <v>346</v>
      </c>
      <c r="E295" s="144"/>
      <c r="F295" s="145" t="s">
        <v>2613</v>
      </c>
      <c r="H295" s="144"/>
      <c r="L295" s="142"/>
      <c r="M295" s="146"/>
      <c r="T295" s="147"/>
      <c r="AT295" s="144" t="s">
        <v>346</v>
      </c>
      <c r="AU295" s="144" t="s">
        <v>90</v>
      </c>
      <c r="AV295" s="141" t="s">
        <v>87</v>
      </c>
      <c r="AW295" s="141" t="s">
        <v>33</v>
      </c>
      <c r="AX295" s="141" t="s">
        <v>80</v>
      </c>
      <c r="AY295" s="144" t="s">
        <v>337</v>
      </c>
    </row>
    <row r="296" spans="2:51" s="148" customFormat="1" x14ac:dyDescent="0.2">
      <c r="B296" s="149"/>
      <c r="D296" s="143" t="s">
        <v>346</v>
      </c>
      <c r="E296" s="150"/>
      <c r="F296" s="151" t="s">
        <v>2614</v>
      </c>
      <c r="H296" s="152">
        <v>167.5</v>
      </c>
      <c r="L296" s="149"/>
      <c r="M296" s="153"/>
      <c r="T296" s="154"/>
      <c r="AT296" s="150" t="s">
        <v>346</v>
      </c>
      <c r="AU296" s="150" t="s">
        <v>90</v>
      </c>
      <c r="AV296" s="148" t="s">
        <v>90</v>
      </c>
      <c r="AW296" s="148" t="s">
        <v>33</v>
      </c>
      <c r="AX296" s="148" t="s">
        <v>80</v>
      </c>
      <c r="AY296" s="150" t="s">
        <v>337</v>
      </c>
    </row>
    <row r="297" spans="2:51" s="141" customFormat="1" x14ac:dyDescent="0.2">
      <c r="B297" s="142"/>
      <c r="D297" s="143" t="s">
        <v>346</v>
      </c>
      <c r="E297" s="144"/>
      <c r="F297" s="145" t="s">
        <v>2615</v>
      </c>
      <c r="H297" s="144"/>
      <c r="L297" s="142"/>
      <c r="M297" s="146"/>
      <c r="T297" s="147"/>
      <c r="AT297" s="144" t="s">
        <v>346</v>
      </c>
      <c r="AU297" s="144" t="s">
        <v>90</v>
      </c>
      <c r="AV297" s="141" t="s">
        <v>87</v>
      </c>
      <c r="AW297" s="141" t="s">
        <v>33</v>
      </c>
      <c r="AX297" s="141" t="s">
        <v>80</v>
      </c>
      <c r="AY297" s="144" t="s">
        <v>337</v>
      </c>
    </row>
    <row r="298" spans="2:51" s="148" customFormat="1" x14ac:dyDescent="0.2">
      <c r="B298" s="149"/>
      <c r="D298" s="143" t="s">
        <v>346</v>
      </c>
      <c r="E298" s="150"/>
      <c r="F298" s="151" t="s">
        <v>2616</v>
      </c>
      <c r="H298" s="152">
        <v>113.7</v>
      </c>
      <c r="L298" s="149"/>
      <c r="M298" s="153"/>
      <c r="T298" s="154"/>
      <c r="AT298" s="150" t="s">
        <v>346</v>
      </c>
      <c r="AU298" s="150" t="s">
        <v>90</v>
      </c>
      <c r="AV298" s="148" t="s">
        <v>90</v>
      </c>
      <c r="AW298" s="148" t="s">
        <v>33</v>
      </c>
      <c r="AX298" s="148" t="s">
        <v>80</v>
      </c>
      <c r="AY298" s="150" t="s">
        <v>337</v>
      </c>
    </row>
    <row r="299" spans="2:51" s="141" customFormat="1" x14ac:dyDescent="0.2">
      <c r="B299" s="142"/>
      <c r="D299" s="143" t="s">
        <v>346</v>
      </c>
      <c r="E299" s="144"/>
      <c r="F299" s="145" t="s">
        <v>2617</v>
      </c>
      <c r="H299" s="144"/>
      <c r="L299" s="142"/>
      <c r="M299" s="146"/>
      <c r="T299" s="147"/>
      <c r="AT299" s="144" t="s">
        <v>346</v>
      </c>
      <c r="AU299" s="144" t="s">
        <v>90</v>
      </c>
      <c r="AV299" s="141" t="s">
        <v>87</v>
      </c>
      <c r="AW299" s="141" t="s">
        <v>33</v>
      </c>
      <c r="AX299" s="141" t="s">
        <v>80</v>
      </c>
      <c r="AY299" s="144" t="s">
        <v>337</v>
      </c>
    </row>
    <row r="300" spans="2:51" s="148" customFormat="1" x14ac:dyDescent="0.2">
      <c r="B300" s="149"/>
      <c r="D300" s="143" t="s">
        <v>346</v>
      </c>
      <c r="E300" s="150"/>
      <c r="F300" s="151" t="s">
        <v>2618</v>
      </c>
      <c r="H300" s="152">
        <v>103.5</v>
      </c>
      <c r="L300" s="149"/>
      <c r="M300" s="153"/>
      <c r="T300" s="154"/>
      <c r="AT300" s="150" t="s">
        <v>346</v>
      </c>
      <c r="AU300" s="150" t="s">
        <v>90</v>
      </c>
      <c r="AV300" s="148" t="s">
        <v>90</v>
      </c>
      <c r="AW300" s="148" t="s">
        <v>33</v>
      </c>
      <c r="AX300" s="148" t="s">
        <v>80</v>
      </c>
      <c r="AY300" s="150" t="s">
        <v>337</v>
      </c>
    </row>
    <row r="301" spans="2:51" s="141" customFormat="1" x14ac:dyDescent="0.2">
      <c r="B301" s="142"/>
      <c r="D301" s="143" t="s">
        <v>346</v>
      </c>
      <c r="E301" s="144"/>
      <c r="F301" s="145" t="s">
        <v>2619</v>
      </c>
      <c r="H301" s="144"/>
      <c r="L301" s="142"/>
      <c r="M301" s="146"/>
      <c r="T301" s="147"/>
      <c r="AT301" s="144" t="s">
        <v>346</v>
      </c>
      <c r="AU301" s="144" t="s">
        <v>90</v>
      </c>
      <c r="AV301" s="141" t="s">
        <v>87</v>
      </c>
      <c r="AW301" s="141" t="s">
        <v>33</v>
      </c>
      <c r="AX301" s="141" t="s">
        <v>80</v>
      </c>
      <c r="AY301" s="144" t="s">
        <v>337</v>
      </c>
    </row>
    <row r="302" spans="2:51" s="148" customFormat="1" x14ac:dyDescent="0.2">
      <c r="B302" s="149"/>
      <c r="D302" s="143" t="s">
        <v>346</v>
      </c>
      <c r="E302" s="150"/>
      <c r="F302" s="151" t="s">
        <v>2620</v>
      </c>
      <c r="H302" s="152">
        <v>9.6</v>
      </c>
      <c r="L302" s="149"/>
      <c r="M302" s="153"/>
      <c r="T302" s="154"/>
      <c r="AT302" s="150" t="s">
        <v>346</v>
      </c>
      <c r="AU302" s="150" t="s">
        <v>90</v>
      </c>
      <c r="AV302" s="148" t="s">
        <v>90</v>
      </c>
      <c r="AW302" s="148" t="s">
        <v>33</v>
      </c>
      <c r="AX302" s="148" t="s">
        <v>80</v>
      </c>
      <c r="AY302" s="150" t="s">
        <v>337</v>
      </c>
    </row>
    <row r="303" spans="2:51" s="141" customFormat="1" x14ac:dyDescent="0.2">
      <c r="B303" s="142"/>
      <c r="D303" s="143" t="s">
        <v>346</v>
      </c>
      <c r="E303" s="144"/>
      <c r="F303" s="145" t="s">
        <v>2621</v>
      </c>
      <c r="H303" s="144"/>
      <c r="L303" s="142"/>
      <c r="M303" s="146"/>
      <c r="T303" s="147"/>
      <c r="AT303" s="144" t="s">
        <v>346</v>
      </c>
      <c r="AU303" s="144" t="s">
        <v>90</v>
      </c>
      <c r="AV303" s="141" t="s">
        <v>87</v>
      </c>
      <c r="AW303" s="141" t="s">
        <v>33</v>
      </c>
      <c r="AX303" s="141" t="s">
        <v>80</v>
      </c>
      <c r="AY303" s="144" t="s">
        <v>337</v>
      </c>
    </row>
    <row r="304" spans="2:51" s="148" customFormat="1" x14ac:dyDescent="0.2">
      <c r="B304" s="149"/>
      <c r="D304" s="143" t="s">
        <v>346</v>
      </c>
      <c r="E304" s="150"/>
      <c r="F304" s="151" t="s">
        <v>2622</v>
      </c>
      <c r="H304" s="152">
        <v>63</v>
      </c>
      <c r="L304" s="149"/>
      <c r="M304" s="153"/>
      <c r="T304" s="154"/>
      <c r="AT304" s="150" t="s">
        <v>346</v>
      </c>
      <c r="AU304" s="150" t="s">
        <v>90</v>
      </c>
      <c r="AV304" s="148" t="s">
        <v>90</v>
      </c>
      <c r="AW304" s="148" t="s">
        <v>33</v>
      </c>
      <c r="AX304" s="148" t="s">
        <v>80</v>
      </c>
      <c r="AY304" s="150" t="s">
        <v>337</v>
      </c>
    </row>
    <row r="305" spans="2:65" s="141" customFormat="1" x14ac:dyDescent="0.2">
      <c r="B305" s="142"/>
      <c r="D305" s="143" t="s">
        <v>346</v>
      </c>
      <c r="E305" s="144"/>
      <c r="F305" s="145" t="s">
        <v>2623</v>
      </c>
      <c r="H305" s="144"/>
      <c r="L305" s="142"/>
      <c r="M305" s="146"/>
      <c r="T305" s="147"/>
      <c r="AT305" s="144" t="s">
        <v>346</v>
      </c>
      <c r="AU305" s="144" t="s">
        <v>90</v>
      </c>
      <c r="AV305" s="141" t="s">
        <v>87</v>
      </c>
      <c r="AW305" s="141" t="s">
        <v>33</v>
      </c>
      <c r="AX305" s="141" t="s">
        <v>80</v>
      </c>
      <c r="AY305" s="144" t="s">
        <v>337</v>
      </c>
    </row>
    <row r="306" spans="2:65" s="148" customFormat="1" x14ac:dyDescent="0.2">
      <c r="B306" s="149"/>
      <c r="D306" s="143" t="s">
        <v>346</v>
      </c>
      <c r="E306" s="150"/>
      <c r="F306" s="151" t="s">
        <v>2624</v>
      </c>
      <c r="H306" s="152">
        <v>48.4</v>
      </c>
      <c r="L306" s="149"/>
      <c r="M306" s="153"/>
      <c r="T306" s="154"/>
      <c r="AT306" s="150" t="s">
        <v>346</v>
      </c>
      <c r="AU306" s="150" t="s">
        <v>90</v>
      </c>
      <c r="AV306" s="148" t="s">
        <v>90</v>
      </c>
      <c r="AW306" s="148" t="s">
        <v>33</v>
      </c>
      <c r="AX306" s="148" t="s">
        <v>80</v>
      </c>
      <c r="AY306" s="150" t="s">
        <v>337</v>
      </c>
    </row>
    <row r="307" spans="2:65" s="141" customFormat="1" x14ac:dyDescent="0.2">
      <c r="B307" s="142"/>
      <c r="D307" s="143" t="s">
        <v>346</v>
      </c>
      <c r="E307" s="144"/>
      <c r="F307" s="145" t="s">
        <v>2625</v>
      </c>
      <c r="H307" s="144"/>
      <c r="L307" s="142"/>
      <c r="M307" s="146"/>
      <c r="T307" s="147"/>
      <c r="AT307" s="144" t="s">
        <v>346</v>
      </c>
      <c r="AU307" s="144" t="s">
        <v>90</v>
      </c>
      <c r="AV307" s="141" t="s">
        <v>87</v>
      </c>
      <c r="AW307" s="141" t="s">
        <v>33</v>
      </c>
      <c r="AX307" s="141" t="s">
        <v>80</v>
      </c>
      <c r="AY307" s="144" t="s">
        <v>337</v>
      </c>
    </row>
    <row r="308" spans="2:65" s="148" customFormat="1" x14ac:dyDescent="0.2">
      <c r="B308" s="149"/>
      <c r="D308" s="143" t="s">
        <v>346</v>
      </c>
      <c r="E308" s="150"/>
      <c r="F308" s="151" t="s">
        <v>2626</v>
      </c>
      <c r="H308" s="152">
        <v>5.5</v>
      </c>
      <c r="L308" s="149"/>
      <c r="M308" s="153"/>
      <c r="T308" s="154"/>
      <c r="AT308" s="150" t="s">
        <v>346</v>
      </c>
      <c r="AU308" s="150" t="s">
        <v>90</v>
      </c>
      <c r="AV308" s="148" t="s">
        <v>90</v>
      </c>
      <c r="AW308" s="148" t="s">
        <v>33</v>
      </c>
      <c r="AX308" s="148" t="s">
        <v>80</v>
      </c>
      <c r="AY308" s="150" t="s">
        <v>337</v>
      </c>
    </row>
    <row r="309" spans="2:65" s="141" customFormat="1" x14ac:dyDescent="0.2">
      <c r="B309" s="142"/>
      <c r="D309" s="143" t="s">
        <v>346</v>
      </c>
      <c r="E309" s="144"/>
      <c r="F309" s="145" t="s">
        <v>2627</v>
      </c>
      <c r="H309" s="144"/>
      <c r="L309" s="142"/>
      <c r="M309" s="146"/>
      <c r="T309" s="147"/>
      <c r="AT309" s="144" t="s">
        <v>346</v>
      </c>
      <c r="AU309" s="144" t="s">
        <v>90</v>
      </c>
      <c r="AV309" s="141" t="s">
        <v>87</v>
      </c>
      <c r="AW309" s="141" t="s">
        <v>33</v>
      </c>
      <c r="AX309" s="141" t="s">
        <v>80</v>
      </c>
      <c r="AY309" s="144" t="s">
        <v>337</v>
      </c>
    </row>
    <row r="310" spans="2:65" s="148" customFormat="1" x14ac:dyDescent="0.2">
      <c r="B310" s="149"/>
      <c r="D310" s="143" t="s">
        <v>346</v>
      </c>
      <c r="E310" s="150"/>
      <c r="F310" s="151" t="s">
        <v>2628</v>
      </c>
      <c r="H310" s="152">
        <v>167</v>
      </c>
      <c r="L310" s="149"/>
      <c r="M310" s="153"/>
      <c r="T310" s="154"/>
      <c r="AT310" s="150" t="s">
        <v>346</v>
      </c>
      <c r="AU310" s="150" t="s">
        <v>90</v>
      </c>
      <c r="AV310" s="148" t="s">
        <v>90</v>
      </c>
      <c r="AW310" s="148" t="s">
        <v>33</v>
      </c>
      <c r="AX310" s="148" t="s">
        <v>80</v>
      </c>
      <c r="AY310" s="150" t="s">
        <v>337</v>
      </c>
    </row>
    <row r="311" spans="2:65" s="172" customFormat="1" x14ac:dyDescent="0.2">
      <c r="B311" s="173"/>
      <c r="D311" s="143" t="s">
        <v>346</v>
      </c>
      <c r="E311" s="174"/>
      <c r="F311" s="175" t="s">
        <v>609</v>
      </c>
      <c r="H311" s="176">
        <v>919</v>
      </c>
      <c r="L311" s="173"/>
      <c r="M311" s="177"/>
      <c r="T311" s="178"/>
      <c r="AT311" s="174" t="s">
        <v>346</v>
      </c>
      <c r="AU311" s="174" t="s">
        <v>90</v>
      </c>
      <c r="AV311" s="172" t="s">
        <v>113</v>
      </c>
      <c r="AW311" s="172" t="s">
        <v>33</v>
      </c>
      <c r="AX311" s="172" t="s">
        <v>80</v>
      </c>
      <c r="AY311" s="174" t="s">
        <v>337</v>
      </c>
    </row>
    <row r="312" spans="2:65" s="141" customFormat="1" x14ac:dyDescent="0.2">
      <c r="B312" s="142"/>
      <c r="D312" s="143" t="s">
        <v>346</v>
      </c>
      <c r="E312" s="144"/>
      <c r="F312" s="145" t="s">
        <v>2629</v>
      </c>
      <c r="H312" s="144"/>
      <c r="L312" s="142"/>
      <c r="M312" s="146"/>
      <c r="T312" s="147"/>
      <c r="AT312" s="144" t="s">
        <v>346</v>
      </c>
      <c r="AU312" s="144" t="s">
        <v>90</v>
      </c>
      <c r="AV312" s="141" t="s">
        <v>87</v>
      </c>
      <c r="AW312" s="141" t="s">
        <v>33</v>
      </c>
      <c r="AX312" s="141" t="s">
        <v>80</v>
      </c>
      <c r="AY312" s="144" t="s">
        <v>337</v>
      </c>
    </row>
    <row r="313" spans="2:65" s="148" customFormat="1" x14ac:dyDescent="0.2">
      <c r="B313" s="149"/>
      <c r="D313" s="143" t="s">
        <v>346</v>
      </c>
      <c r="E313" s="150"/>
      <c r="F313" s="151" t="s">
        <v>2630</v>
      </c>
      <c r="H313" s="152">
        <v>229.75</v>
      </c>
      <c r="L313" s="149"/>
      <c r="M313" s="153"/>
      <c r="T313" s="154"/>
      <c r="AT313" s="150" t="s">
        <v>346</v>
      </c>
      <c r="AU313" s="150" t="s">
        <v>90</v>
      </c>
      <c r="AV313" s="148" t="s">
        <v>90</v>
      </c>
      <c r="AW313" s="148" t="s">
        <v>33</v>
      </c>
      <c r="AX313" s="148" t="s">
        <v>80</v>
      </c>
      <c r="AY313" s="150" t="s">
        <v>337</v>
      </c>
    </row>
    <row r="314" spans="2:65" s="155" customFormat="1" x14ac:dyDescent="0.2">
      <c r="B314" s="156"/>
      <c r="D314" s="143" t="s">
        <v>346</v>
      </c>
      <c r="E314" s="157"/>
      <c r="F314" s="158" t="s">
        <v>351</v>
      </c>
      <c r="H314" s="159">
        <v>1148.75</v>
      </c>
      <c r="L314" s="156"/>
      <c r="M314" s="160"/>
      <c r="T314" s="161"/>
      <c r="AT314" s="157" t="s">
        <v>346</v>
      </c>
      <c r="AU314" s="157" t="s">
        <v>90</v>
      </c>
      <c r="AV314" s="155" t="s">
        <v>344</v>
      </c>
      <c r="AW314" s="155" t="s">
        <v>33</v>
      </c>
      <c r="AX314" s="155" t="s">
        <v>87</v>
      </c>
      <c r="AY314" s="157" t="s">
        <v>337</v>
      </c>
    </row>
    <row r="315" spans="2:65" s="16" customFormat="1" ht="16.5" customHeight="1" x14ac:dyDescent="0.2">
      <c r="B315" s="17"/>
      <c r="C315" s="128">
        <v>29</v>
      </c>
      <c r="D315" s="128" t="s">
        <v>339</v>
      </c>
      <c r="E315" s="129" t="s">
        <v>2631</v>
      </c>
      <c r="F315" s="130" t="s">
        <v>2632</v>
      </c>
      <c r="G315" s="131" t="s">
        <v>535</v>
      </c>
      <c r="H315" s="132">
        <v>150</v>
      </c>
      <c r="I315" s="133"/>
      <c r="J315" s="134">
        <f>ROUND(I315*H315,2)</f>
        <v>0</v>
      </c>
      <c r="K315" s="130"/>
      <c r="L315" s="17"/>
      <c r="M315" s="135"/>
      <c r="N315" s="136" t="s">
        <v>45</v>
      </c>
      <c r="P315" s="137">
        <f>O315*H315</f>
        <v>0</v>
      </c>
      <c r="Q315" s="137">
        <v>1.4999999999999999E-4</v>
      </c>
      <c r="R315" s="137">
        <f>Q315*H315</f>
        <v>2.2499999999999999E-2</v>
      </c>
      <c r="S315" s="137">
        <v>0</v>
      </c>
      <c r="T315" s="138">
        <f>S315*H315</f>
        <v>0</v>
      </c>
      <c r="AR315" s="139" t="s">
        <v>496</v>
      </c>
      <c r="AT315" s="139" t="s">
        <v>339</v>
      </c>
      <c r="AU315" s="139" t="s">
        <v>90</v>
      </c>
      <c r="AY315" s="2" t="s">
        <v>337</v>
      </c>
      <c r="BE315" s="140">
        <f>IF(N315="základní",J315,0)</f>
        <v>0</v>
      </c>
      <c r="BF315" s="140">
        <f>IF(N315="snížená",J315,0)</f>
        <v>0</v>
      </c>
      <c r="BG315" s="140">
        <f>IF(N315="zákl. přenesená",J315,0)</f>
        <v>0</v>
      </c>
      <c r="BH315" s="140">
        <f>IF(N315="sníž. přenesená",J315,0)</f>
        <v>0</v>
      </c>
      <c r="BI315" s="140">
        <f>IF(N315="nulová",J315,0)</f>
        <v>0</v>
      </c>
      <c r="BJ315" s="2" t="s">
        <v>87</v>
      </c>
      <c r="BK315" s="140">
        <f>ROUND(I315*H315,2)</f>
        <v>0</v>
      </c>
      <c r="BL315" s="2" t="s">
        <v>496</v>
      </c>
      <c r="BM315" s="139" t="s">
        <v>2633</v>
      </c>
    </row>
    <row r="316" spans="2:65" s="141" customFormat="1" x14ac:dyDescent="0.2">
      <c r="B316" s="142"/>
      <c r="D316" s="143" t="s">
        <v>346</v>
      </c>
      <c r="E316" s="144"/>
      <c r="F316" s="145" t="s">
        <v>2634</v>
      </c>
      <c r="H316" s="144"/>
      <c r="L316" s="142"/>
      <c r="M316" s="146"/>
      <c r="T316" s="147"/>
      <c r="AT316" s="144" t="s">
        <v>346</v>
      </c>
      <c r="AU316" s="144" t="s">
        <v>90</v>
      </c>
      <c r="AV316" s="141" t="s">
        <v>87</v>
      </c>
      <c r="AW316" s="141" t="s">
        <v>33</v>
      </c>
      <c r="AX316" s="141" t="s">
        <v>80</v>
      </c>
      <c r="AY316" s="144" t="s">
        <v>337</v>
      </c>
    </row>
    <row r="317" spans="2:65" s="141" customFormat="1" x14ac:dyDescent="0.2">
      <c r="B317" s="142"/>
      <c r="D317" s="143" t="s">
        <v>346</v>
      </c>
      <c r="E317" s="144"/>
      <c r="F317" s="145" t="s">
        <v>2635</v>
      </c>
      <c r="H317" s="144"/>
      <c r="L317" s="142"/>
      <c r="M317" s="146"/>
      <c r="T317" s="147"/>
      <c r="AT317" s="144" t="s">
        <v>346</v>
      </c>
      <c r="AU317" s="144" t="s">
        <v>90</v>
      </c>
      <c r="AV317" s="141" t="s">
        <v>87</v>
      </c>
      <c r="AW317" s="141" t="s">
        <v>33</v>
      </c>
      <c r="AX317" s="141" t="s">
        <v>80</v>
      </c>
      <c r="AY317" s="144" t="s">
        <v>337</v>
      </c>
    </row>
    <row r="318" spans="2:65" s="148" customFormat="1" x14ac:dyDescent="0.2">
      <c r="B318" s="149"/>
      <c r="D318" s="143" t="s">
        <v>346</v>
      </c>
      <c r="E318" s="150"/>
      <c r="F318" s="151" t="s">
        <v>2636</v>
      </c>
      <c r="H318" s="152">
        <v>150</v>
      </c>
      <c r="L318" s="149"/>
      <c r="M318" s="153"/>
      <c r="T318" s="154"/>
      <c r="AT318" s="150" t="s">
        <v>346</v>
      </c>
      <c r="AU318" s="150" t="s">
        <v>90</v>
      </c>
      <c r="AV318" s="148" t="s">
        <v>90</v>
      </c>
      <c r="AW318" s="148" t="s">
        <v>33</v>
      </c>
      <c r="AX318" s="148" t="s">
        <v>87</v>
      </c>
      <c r="AY318" s="150" t="s">
        <v>337</v>
      </c>
    </row>
    <row r="319" spans="2:65" s="16" customFormat="1" ht="16.5" customHeight="1" x14ac:dyDescent="0.2">
      <c r="B319" s="17"/>
      <c r="C319" s="128">
        <v>30</v>
      </c>
      <c r="D319" s="128" t="s">
        <v>339</v>
      </c>
      <c r="E319" s="129" t="s">
        <v>2637</v>
      </c>
      <c r="F319" s="130" t="s">
        <v>2638</v>
      </c>
      <c r="G319" s="131" t="s">
        <v>535</v>
      </c>
      <c r="H319" s="132">
        <v>2931.625</v>
      </c>
      <c r="I319" s="133"/>
      <c r="J319" s="134">
        <f>ROUND(I319*H319,2)</f>
        <v>0</v>
      </c>
      <c r="K319" s="130"/>
      <c r="L319" s="17"/>
      <c r="M319" s="135"/>
      <c r="N319" s="136" t="s">
        <v>45</v>
      </c>
      <c r="P319" s="137">
        <f>O319*H319</f>
        <v>0</v>
      </c>
      <c r="Q319" s="137">
        <v>5.0000000000000002E-5</v>
      </c>
      <c r="R319" s="137">
        <f>Q319*H319</f>
        <v>0.14658125</v>
      </c>
      <c r="S319" s="137">
        <v>0</v>
      </c>
      <c r="T319" s="138">
        <f>S319*H319</f>
        <v>0</v>
      </c>
      <c r="AR319" s="139" t="s">
        <v>496</v>
      </c>
      <c r="AT319" s="139" t="s">
        <v>339</v>
      </c>
      <c r="AU319" s="139" t="s">
        <v>90</v>
      </c>
      <c r="AY319" s="2" t="s">
        <v>337</v>
      </c>
      <c r="BE319" s="140">
        <f>IF(N319="základní",J319,0)</f>
        <v>0</v>
      </c>
      <c r="BF319" s="140">
        <f>IF(N319="snížená",J319,0)</f>
        <v>0</v>
      </c>
      <c r="BG319" s="140">
        <f>IF(N319="zákl. přenesená",J319,0)</f>
        <v>0</v>
      </c>
      <c r="BH319" s="140">
        <f>IF(N319="sníž. přenesená",J319,0)</f>
        <v>0</v>
      </c>
      <c r="BI319" s="140">
        <f>IF(N319="nulová",J319,0)</f>
        <v>0</v>
      </c>
      <c r="BJ319" s="2" t="s">
        <v>87</v>
      </c>
      <c r="BK319" s="140">
        <f>ROUND(I319*H319,2)</f>
        <v>0</v>
      </c>
      <c r="BL319" s="2" t="s">
        <v>496</v>
      </c>
      <c r="BM319" s="139" t="s">
        <v>2639</v>
      </c>
    </row>
    <row r="320" spans="2:65" s="141" customFormat="1" x14ac:dyDescent="0.2">
      <c r="B320" s="142"/>
      <c r="D320" s="143" t="s">
        <v>346</v>
      </c>
      <c r="E320" s="144"/>
      <c r="F320" s="145" t="s">
        <v>2640</v>
      </c>
      <c r="H320" s="144"/>
      <c r="L320" s="142"/>
      <c r="M320" s="146"/>
      <c r="T320" s="147"/>
      <c r="AT320" s="144" t="s">
        <v>346</v>
      </c>
      <c r="AU320" s="144" t="s">
        <v>90</v>
      </c>
      <c r="AV320" s="141" t="s">
        <v>87</v>
      </c>
      <c r="AW320" s="141" t="s">
        <v>33</v>
      </c>
      <c r="AX320" s="141" t="s">
        <v>80</v>
      </c>
      <c r="AY320" s="144" t="s">
        <v>337</v>
      </c>
    </row>
    <row r="321" spans="2:51" s="141" customFormat="1" x14ac:dyDescent="0.2">
      <c r="B321" s="142"/>
      <c r="D321" s="143" t="s">
        <v>346</v>
      </c>
      <c r="E321" s="144"/>
      <c r="F321" s="145" t="s">
        <v>2522</v>
      </c>
      <c r="H321" s="144"/>
      <c r="L321" s="142"/>
      <c r="M321" s="146"/>
      <c r="T321" s="147"/>
      <c r="AT321" s="144" t="s">
        <v>346</v>
      </c>
      <c r="AU321" s="144" t="s">
        <v>90</v>
      </c>
      <c r="AV321" s="141" t="s">
        <v>87</v>
      </c>
      <c r="AW321" s="141" t="s">
        <v>33</v>
      </c>
      <c r="AX321" s="141" t="s">
        <v>80</v>
      </c>
      <c r="AY321" s="144" t="s">
        <v>337</v>
      </c>
    </row>
    <row r="322" spans="2:51" s="148" customFormat="1" x14ac:dyDescent="0.2">
      <c r="B322" s="149"/>
      <c r="D322" s="143" t="s">
        <v>346</v>
      </c>
      <c r="E322" s="150"/>
      <c r="F322" s="151" t="s">
        <v>2641</v>
      </c>
      <c r="H322" s="152">
        <v>251.3</v>
      </c>
      <c r="L322" s="149"/>
      <c r="M322" s="153"/>
      <c r="T322" s="154"/>
      <c r="AT322" s="150" t="s">
        <v>346</v>
      </c>
      <c r="AU322" s="150" t="s">
        <v>90</v>
      </c>
      <c r="AV322" s="148" t="s">
        <v>90</v>
      </c>
      <c r="AW322" s="148" t="s">
        <v>33</v>
      </c>
      <c r="AX322" s="148" t="s">
        <v>80</v>
      </c>
      <c r="AY322" s="150" t="s">
        <v>337</v>
      </c>
    </row>
    <row r="323" spans="2:51" s="141" customFormat="1" x14ac:dyDescent="0.2">
      <c r="B323" s="142"/>
      <c r="D323" s="143" t="s">
        <v>346</v>
      </c>
      <c r="E323" s="144"/>
      <c r="F323" s="145" t="s">
        <v>2642</v>
      </c>
      <c r="H323" s="144"/>
      <c r="L323" s="142"/>
      <c r="M323" s="146"/>
      <c r="T323" s="147"/>
      <c r="AT323" s="144" t="s">
        <v>346</v>
      </c>
      <c r="AU323" s="144" t="s">
        <v>90</v>
      </c>
      <c r="AV323" s="141" t="s">
        <v>87</v>
      </c>
      <c r="AW323" s="141" t="s">
        <v>33</v>
      </c>
      <c r="AX323" s="141" t="s">
        <v>80</v>
      </c>
      <c r="AY323" s="144" t="s">
        <v>337</v>
      </c>
    </row>
    <row r="324" spans="2:51" s="141" customFormat="1" x14ac:dyDescent="0.2">
      <c r="B324" s="142"/>
      <c r="D324" s="143" t="s">
        <v>346</v>
      </c>
      <c r="E324" s="144"/>
      <c r="F324" s="145" t="s">
        <v>2598</v>
      </c>
      <c r="H324" s="144"/>
      <c r="L324" s="142"/>
      <c r="M324" s="146"/>
      <c r="T324" s="147"/>
      <c r="AT324" s="144" t="s">
        <v>346</v>
      </c>
      <c r="AU324" s="144" t="s">
        <v>90</v>
      </c>
      <c r="AV324" s="141" t="s">
        <v>87</v>
      </c>
      <c r="AW324" s="141" t="s">
        <v>33</v>
      </c>
      <c r="AX324" s="141" t="s">
        <v>80</v>
      </c>
      <c r="AY324" s="144" t="s">
        <v>337</v>
      </c>
    </row>
    <row r="325" spans="2:51" s="141" customFormat="1" x14ac:dyDescent="0.2">
      <c r="B325" s="142"/>
      <c r="D325" s="143" t="s">
        <v>346</v>
      </c>
      <c r="E325" s="144"/>
      <c r="F325" s="145" t="s">
        <v>2643</v>
      </c>
      <c r="H325" s="144"/>
      <c r="L325" s="142"/>
      <c r="M325" s="146"/>
      <c r="T325" s="147"/>
      <c r="AT325" s="144" t="s">
        <v>346</v>
      </c>
      <c r="AU325" s="144" t="s">
        <v>90</v>
      </c>
      <c r="AV325" s="141" t="s">
        <v>87</v>
      </c>
      <c r="AW325" s="141" t="s">
        <v>33</v>
      </c>
      <c r="AX325" s="141" t="s">
        <v>80</v>
      </c>
      <c r="AY325" s="144" t="s">
        <v>337</v>
      </c>
    </row>
    <row r="326" spans="2:51" s="148" customFormat="1" x14ac:dyDescent="0.2">
      <c r="B326" s="149"/>
      <c r="D326" s="143" t="s">
        <v>346</v>
      </c>
      <c r="E326" s="150"/>
      <c r="F326" s="151" t="s">
        <v>2644</v>
      </c>
      <c r="H326" s="152">
        <v>418.8</v>
      </c>
      <c r="L326" s="149"/>
      <c r="M326" s="153"/>
      <c r="T326" s="154"/>
      <c r="AT326" s="150" t="s">
        <v>346</v>
      </c>
      <c r="AU326" s="150" t="s">
        <v>90</v>
      </c>
      <c r="AV326" s="148" t="s">
        <v>90</v>
      </c>
      <c r="AW326" s="148" t="s">
        <v>33</v>
      </c>
      <c r="AX326" s="148" t="s">
        <v>80</v>
      </c>
      <c r="AY326" s="150" t="s">
        <v>337</v>
      </c>
    </row>
    <row r="327" spans="2:51" s="141" customFormat="1" x14ac:dyDescent="0.2">
      <c r="B327" s="142"/>
      <c r="D327" s="143" t="s">
        <v>346</v>
      </c>
      <c r="E327" s="144"/>
      <c r="F327" s="145" t="s">
        <v>2645</v>
      </c>
      <c r="H327" s="144"/>
      <c r="L327" s="142"/>
      <c r="M327" s="146"/>
      <c r="T327" s="147"/>
      <c r="AT327" s="144" t="s">
        <v>346</v>
      </c>
      <c r="AU327" s="144" t="s">
        <v>90</v>
      </c>
      <c r="AV327" s="141" t="s">
        <v>87</v>
      </c>
      <c r="AW327" s="141" t="s">
        <v>33</v>
      </c>
      <c r="AX327" s="141" t="s">
        <v>80</v>
      </c>
      <c r="AY327" s="144" t="s">
        <v>337</v>
      </c>
    </row>
    <row r="328" spans="2:51" s="148" customFormat="1" x14ac:dyDescent="0.2">
      <c r="B328" s="149"/>
      <c r="D328" s="143" t="s">
        <v>346</v>
      </c>
      <c r="E328" s="150"/>
      <c r="F328" s="151" t="s">
        <v>2644</v>
      </c>
      <c r="H328" s="152">
        <v>418.8</v>
      </c>
      <c r="L328" s="149"/>
      <c r="M328" s="153"/>
      <c r="T328" s="154"/>
      <c r="AT328" s="150" t="s">
        <v>346</v>
      </c>
      <c r="AU328" s="150" t="s">
        <v>90</v>
      </c>
      <c r="AV328" s="148" t="s">
        <v>90</v>
      </c>
      <c r="AW328" s="148" t="s">
        <v>33</v>
      </c>
      <c r="AX328" s="148" t="s">
        <v>80</v>
      </c>
      <c r="AY328" s="150" t="s">
        <v>337</v>
      </c>
    </row>
    <row r="329" spans="2:51" s="141" customFormat="1" x14ac:dyDescent="0.2">
      <c r="B329" s="142"/>
      <c r="D329" s="143" t="s">
        <v>346</v>
      </c>
      <c r="E329" s="144"/>
      <c r="F329" s="145" t="s">
        <v>2646</v>
      </c>
      <c r="H329" s="144"/>
      <c r="L329" s="142"/>
      <c r="M329" s="146"/>
      <c r="T329" s="147"/>
      <c r="AT329" s="144" t="s">
        <v>346</v>
      </c>
      <c r="AU329" s="144" t="s">
        <v>90</v>
      </c>
      <c r="AV329" s="141" t="s">
        <v>87</v>
      </c>
      <c r="AW329" s="141" t="s">
        <v>33</v>
      </c>
      <c r="AX329" s="141" t="s">
        <v>80</v>
      </c>
      <c r="AY329" s="144" t="s">
        <v>337</v>
      </c>
    </row>
    <row r="330" spans="2:51" s="148" customFormat="1" x14ac:dyDescent="0.2">
      <c r="B330" s="149"/>
      <c r="D330" s="143" t="s">
        <v>346</v>
      </c>
      <c r="E330" s="150"/>
      <c r="F330" s="151" t="s">
        <v>2644</v>
      </c>
      <c r="H330" s="152">
        <v>418.8</v>
      </c>
      <c r="L330" s="149"/>
      <c r="M330" s="153"/>
      <c r="T330" s="154"/>
      <c r="AT330" s="150" t="s">
        <v>346</v>
      </c>
      <c r="AU330" s="150" t="s">
        <v>90</v>
      </c>
      <c r="AV330" s="148" t="s">
        <v>90</v>
      </c>
      <c r="AW330" s="148" t="s">
        <v>33</v>
      </c>
      <c r="AX330" s="148" t="s">
        <v>80</v>
      </c>
      <c r="AY330" s="150" t="s">
        <v>337</v>
      </c>
    </row>
    <row r="331" spans="2:51" s="141" customFormat="1" x14ac:dyDescent="0.2">
      <c r="B331" s="142"/>
      <c r="D331" s="143" t="s">
        <v>346</v>
      </c>
      <c r="E331" s="144"/>
      <c r="F331" s="145" t="s">
        <v>2647</v>
      </c>
      <c r="H331" s="144"/>
      <c r="L331" s="142"/>
      <c r="M331" s="146"/>
      <c r="T331" s="147"/>
      <c r="AT331" s="144" t="s">
        <v>346</v>
      </c>
      <c r="AU331" s="144" t="s">
        <v>90</v>
      </c>
      <c r="AV331" s="141" t="s">
        <v>87</v>
      </c>
      <c r="AW331" s="141" t="s">
        <v>33</v>
      </c>
      <c r="AX331" s="141" t="s">
        <v>80</v>
      </c>
      <c r="AY331" s="144" t="s">
        <v>337</v>
      </c>
    </row>
    <row r="332" spans="2:51" s="148" customFormat="1" x14ac:dyDescent="0.2">
      <c r="B332" s="149"/>
      <c r="D332" s="143" t="s">
        <v>346</v>
      </c>
      <c r="E332" s="150"/>
      <c r="F332" s="151" t="s">
        <v>2644</v>
      </c>
      <c r="H332" s="152">
        <v>418.8</v>
      </c>
      <c r="L332" s="149"/>
      <c r="M332" s="153"/>
      <c r="T332" s="154"/>
      <c r="AT332" s="150" t="s">
        <v>346</v>
      </c>
      <c r="AU332" s="150" t="s">
        <v>90</v>
      </c>
      <c r="AV332" s="148" t="s">
        <v>90</v>
      </c>
      <c r="AW332" s="148" t="s">
        <v>33</v>
      </c>
      <c r="AX332" s="148" t="s">
        <v>80</v>
      </c>
      <c r="AY332" s="150" t="s">
        <v>337</v>
      </c>
    </row>
    <row r="333" spans="2:51" s="141" customFormat="1" x14ac:dyDescent="0.2">
      <c r="B333" s="142"/>
      <c r="D333" s="143" t="s">
        <v>346</v>
      </c>
      <c r="E333" s="144"/>
      <c r="F333" s="145" t="s">
        <v>2648</v>
      </c>
      <c r="H333" s="144"/>
      <c r="L333" s="142"/>
      <c r="M333" s="146"/>
      <c r="T333" s="147"/>
      <c r="AT333" s="144" t="s">
        <v>346</v>
      </c>
      <c r="AU333" s="144" t="s">
        <v>90</v>
      </c>
      <c r="AV333" s="141" t="s">
        <v>87</v>
      </c>
      <c r="AW333" s="141" t="s">
        <v>33</v>
      </c>
      <c r="AX333" s="141" t="s">
        <v>80</v>
      </c>
      <c r="AY333" s="144" t="s">
        <v>337</v>
      </c>
    </row>
    <row r="334" spans="2:51" s="148" customFormat="1" x14ac:dyDescent="0.2">
      <c r="B334" s="149"/>
      <c r="D334" s="143" t="s">
        <v>346</v>
      </c>
      <c r="E334" s="150"/>
      <c r="F334" s="151" t="s">
        <v>2644</v>
      </c>
      <c r="H334" s="152">
        <v>418.8</v>
      </c>
      <c r="L334" s="149"/>
      <c r="M334" s="153"/>
      <c r="T334" s="154"/>
      <c r="AT334" s="150" t="s">
        <v>346</v>
      </c>
      <c r="AU334" s="150" t="s">
        <v>90</v>
      </c>
      <c r="AV334" s="148" t="s">
        <v>90</v>
      </c>
      <c r="AW334" s="148" t="s">
        <v>33</v>
      </c>
      <c r="AX334" s="148" t="s">
        <v>80</v>
      </c>
      <c r="AY334" s="150" t="s">
        <v>337</v>
      </c>
    </row>
    <row r="335" spans="2:51" s="172" customFormat="1" x14ac:dyDescent="0.2">
      <c r="B335" s="173"/>
      <c r="D335" s="143" t="s">
        <v>346</v>
      </c>
      <c r="E335" s="174"/>
      <c r="F335" s="175" t="s">
        <v>609</v>
      </c>
      <c r="H335" s="176">
        <v>2345.3000000000002</v>
      </c>
      <c r="L335" s="173"/>
      <c r="M335" s="177"/>
      <c r="T335" s="178"/>
      <c r="AT335" s="174" t="s">
        <v>346</v>
      </c>
      <c r="AU335" s="174" t="s">
        <v>90</v>
      </c>
      <c r="AV335" s="172" t="s">
        <v>113</v>
      </c>
      <c r="AW335" s="172" t="s">
        <v>33</v>
      </c>
      <c r="AX335" s="172" t="s">
        <v>80</v>
      </c>
      <c r="AY335" s="174" t="s">
        <v>337</v>
      </c>
    </row>
    <row r="336" spans="2:51" s="141" customFormat="1" x14ac:dyDescent="0.2">
      <c r="B336" s="142"/>
      <c r="D336" s="143" t="s">
        <v>346</v>
      </c>
      <c r="E336" s="144"/>
      <c r="F336" s="145" t="s">
        <v>2649</v>
      </c>
      <c r="H336" s="144"/>
      <c r="L336" s="142"/>
      <c r="M336" s="146"/>
      <c r="T336" s="147"/>
      <c r="AT336" s="144" t="s">
        <v>346</v>
      </c>
      <c r="AU336" s="144" t="s">
        <v>90</v>
      </c>
      <c r="AV336" s="141" t="s">
        <v>87</v>
      </c>
      <c r="AW336" s="141" t="s">
        <v>33</v>
      </c>
      <c r="AX336" s="141" t="s">
        <v>80</v>
      </c>
      <c r="AY336" s="144" t="s">
        <v>337</v>
      </c>
    </row>
    <row r="337" spans="2:65" s="148" customFormat="1" x14ac:dyDescent="0.2">
      <c r="B337" s="149"/>
      <c r="D337" s="143" t="s">
        <v>346</v>
      </c>
      <c r="E337" s="150"/>
      <c r="F337" s="151" t="s">
        <v>2650</v>
      </c>
      <c r="H337" s="152">
        <v>586.32500000000005</v>
      </c>
      <c r="L337" s="149"/>
      <c r="M337" s="153"/>
      <c r="T337" s="154"/>
      <c r="AT337" s="150" t="s">
        <v>346</v>
      </c>
      <c r="AU337" s="150" t="s">
        <v>90</v>
      </c>
      <c r="AV337" s="148" t="s">
        <v>90</v>
      </c>
      <c r="AW337" s="148" t="s">
        <v>33</v>
      </c>
      <c r="AX337" s="148" t="s">
        <v>80</v>
      </c>
      <c r="AY337" s="150" t="s">
        <v>337</v>
      </c>
    </row>
    <row r="338" spans="2:65" s="155" customFormat="1" x14ac:dyDescent="0.2">
      <c r="B338" s="156"/>
      <c r="D338" s="143" t="s">
        <v>346</v>
      </c>
      <c r="E338" s="157"/>
      <c r="F338" s="158" t="s">
        <v>351</v>
      </c>
      <c r="H338" s="159">
        <v>2931.625</v>
      </c>
      <c r="L338" s="156"/>
      <c r="M338" s="160"/>
      <c r="T338" s="161"/>
      <c r="AT338" s="157" t="s">
        <v>346</v>
      </c>
      <c r="AU338" s="157" t="s">
        <v>90</v>
      </c>
      <c r="AV338" s="155" t="s">
        <v>344</v>
      </c>
      <c r="AW338" s="155" t="s">
        <v>33</v>
      </c>
      <c r="AX338" s="155" t="s">
        <v>87</v>
      </c>
      <c r="AY338" s="157" t="s">
        <v>337</v>
      </c>
    </row>
    <row r="339" spans="2:65" s="16" customFormat="1" ht="16.5" customHeight="1" x14ac:dyDescent="0.2">
      <c r="B339" s="17"/>
      <c r="C339" s="162">
        <v>31</v>
      </c>
      <c r="D339" s="162" t="s">
        <v>519</v>
      </c>
      <c r="E339" s="163" t="s">
        <v>2651</v>
      </c>
      <c r="F339" s="164" t="s">
        <v>2652</v>
      </c>
      <c r="G339" s="165" t="s">
        <v>425</v>
      </c>
      <c r="H339" s="166">
        <v>123.2</v>
      </c>
      <c r="I339" s="167"/>
      <c r="J339" s="168">
        <f>ROUND(I339*H339,2)</f>
        <v>0</v>
      </c>
      <c r="K339" s="164"/>
      <c r="L339" s="169"/>
      <c r="M339" s="170"/>
      <c r="N339" s="171" t="s">
        <v>45</v>
      </c>
      <c r="P339" s="137">
        <f>O339*H339</f>
        <v>0</v>
      </c>
      <c r="Q339" s="137">
        <v>2.3E-2</v>
      </c>
      <c r="R339" s="137">
        <f>Q339*H339</f>
        <v>2.8336000000000001</v>
      </c>
      <c r="S339" s="137">
        <v>0</v>
      </c>
      <c r="T339" s="138">
        <f>S339*H339</f>
        <v>0</v>
      </c>
      <c r="AR339" s="139" t="s">
        <v>621</v>
      </c>
      <c r="AT339" s="139" t="s">
        <v>519</v>
      </c>
      <c r="AU339" s="139" t="s">
        <v>90</v>
      </c>
      <c r="AY339" s="2" t="s">
        <v>337</v>
      </c>
      <c r="BE339" s="140">
        <f>IF(N339="základní",J339,0)</f>
        <v>0</v>
      </c>
      <c r="BF339" s="140">
        <f>IF(N339="snížená",J339,0)</f>
        <v>0</v>
      </c>
      <c r="BG339" s="140">
        <f>IF(N339="zákl. přenesená",J339,0)</f>
        <v>0</v>
      </c>
      <c r="BH339" s="140">
        <f>IF(N339="sníž. přenesená",J339,0)</f>
        <v>0</v>
      </c>
      <c r="BI339" s="140">
        <f>IF(N339="nulová",J339,0)</f>
        <v>0</v>
      </c>
      <c r="BJ339" s="2" t="s">
        <v>87</v>
      </c>
      <c r="BK339" s="140">
        <f>ROUND(I339*H339,2)</f>
        <v>0</v>
      </c>
      <c r="BL339" s="2" t="s">
        <v>496</v>
      </c>
      <c r="BM339" s="139" t="s">
        <v>2653</v>
      </c>
    </row>
    <row r="340" spans="2:65" s="141" customFormat="1" x14ac:dyDescent="0.2">
      <c r="B340" s="142"/>
      <c r="D340" s="143" t="s">
        <v>346</v>
      </c>
      <c r="E340" s="144"/>
      <c r="F340" s="145" t="s">
        <v>2640</v>
      </c>
      <c r="H340" s="144"/>
      <c r="L340" s="142"/>
      <c r="M340" s="146"/>
      <c r="T340" s="147"/>
      <c r="AT340" s="144" t="s">
        <v>346</v>
      </c>
      <c r="AU340" s="144" t="s">
        <v>90</v>
      </c>
      <c r="AV340" s="141" t="s">
        <v>87</v>
      </c>
      <c r="AW340" s="141" t="s">
        <v>33</v>
      </c>
      <c r="AX340" s="141" t="s">
        <v>80</v>
      </c>
      <c r="AY340" s="144" t="s">
        <v>337</v>
      </c>
    </row>
    <row r="341" spans="2:65" s="141" customFormat="1" x14ac:dyDescent="0.2">
      <c r="B341" s="142"/>
      <c r="D341" s="143" t="s">
        <v>346</v>
      </c>
      <c r="E341" s="144"/>
      <c r="F341" s="145" t="s">
        <v>2522</v>
      </c>
      <c r="H341" s="144"/>
      <c r="L341" s="142"/>
      <c r="M341" s="146"/>
      <c r="T341" s="147"/>
      <c r="AT341" s="144" t="s">
        <v>346</v>
      </c>
      <c r="AU341" s="144" t="s">
        <v>90</v>
      </c>
      <c r="AV341" s="141" t="s">
        <v>87</v>
      </c>
      <c r="AW341" s="141" t="s">
        <v>33</v>
      </c>
      <c r="AX341" s="141" t="s">
        <v>80</v>
      </c>
      <c r="AY341" s="144" t="s">
        <v>337</v>
      </c>
    </row>
    <row r="342" spans="2:65" s="148" customFormat="1" x14ac:dyDescent="0.2">
      <c r="B342" s="149"/>
      <c r="D342" s="143" t="s">
        <v>346</v>
      </c>
      <c r="E342" s="150"/>
      <c r="F342" s="151" t="s">
        <v>2654</v>
      </c>
      <c r="H342" s="152">
        <v>12</v>
      </c>
      <c r="L342" s="149"/>
      <c r="M342" s="153"/>
      <c r="T342" s="154"/>
      <c r="AT342" s="150" t="s">
        <v>346</v>
      </c>
      <c r="AU342" s="150" t="s">
        <v>90</v>
      </c>
      <c r="AV342" s="148" t="s">
        <v>90</v>
      </c>
      <c r="AW342" s="148" t="s">
        <v>33</v>
      </c>
      <c r="AX342" s="148" t="s">
        <v>80</v>
      </c>
      <c r="AY342" s="150" t="s">
        <v>337</v>
      </c>
    </row>
    <row r="343" spans="2:65" s="141" customFormat="1" x14ac:dyDescent="0.2">
      <c r="B343" s="142"/>
      <c r="D343" s="143" t="s">
        <v>346</v>
      </c>
      <c r="E343" s="144"/>
      <c r="F343" s="145" t="s">
        <v>2642</v>
      </c>
      <c r="H343" s="144"/>
      <c r="L343" s="142"/>
      <c r="M343" s="146"/>
      <c r="T343" s="147"/>
      <c r="AT343" s="144" t="s">
        <v>346</v>
      </c>
      <c r="AU343" s="144" t="s">
        <v>90</v>
      </c>
      <c r="AV343" s="141" t="s">
        <v>87</v>
      </c>
      <c r="AW343" s="141" t="s">
        <v>33</v>
      </c>
      <c r="AX343" s="141" t="s">
        <v>80</v>
      </c>
      <c r="AY343" s="144" t="s">
        <v>337</v>
      </c>
    </row>
    <row r="344" spans="2:65" s="141" customFormat="1" x14ac:dyDescent="0.2">
      <c r="B344" s="142"/>
      <c r="D344" s="143" t="s">
        <v>346</v>
      </c>
      <c r="E344" s="144"/>
      <c r="F344" s="145" t="s">
        <v>2598</v>
      </c>
      <c r="H344" s="144"/>
      <c r="L344" s="142"/>
      <c r="M344" s="146"/>
      <c r="T344" s="147"/>
      <c r="AT344" s="144" t="s">
        <v>346</v>
      </c>
      <c r="AU344" s="144" t="s">
        <v>90</v>
      </c>
      <c r="AV344" s="141" t="s">
        <v>87</v>
      </c>
      <c r="AW344" s="141" t="s">
        <v>33</v>
      </c>
      <c r="AX344" s="141" t="s">
        <v>80</v>
      </c>
      <c r="AY344" s="144" t="s">
        <v>337</v>
      </c>
    </row>
    <row r="345" spans="2:65" s="141" customFormat="1" x14ac:dyDescent="0.2">
      <c r="B345" s="142"/>
      <c r="D345" s="143" t="s">
        <v>346</v>
      </c>
      <c r="E345" s="144"/>
      <c r="F345" s="145" t="s">
        <v>2643</v>
      </c>
      <c r="H345" s="144"/>
      <c r="L345" s="142"/>
      <c r="M345" s="146"/>
      <c r="T345" s="147"/>
      <c r="AT345" s="144" t="s">
        <v>346</v>
      </c>
      <c r="AU345" s="144" t="s">
        <v>90</v>
      </c>
      <c r="AV345" s="141" t="s">
        <v>87</v>
      </c>
      <c r="AW345" s="141" t="s">
        <v>33</v>
      </c>
      <c r="AX345" s="141" t="s">
        <v>80</v>
      </c>
      <c r="AY345" s="144" t="s">
        <v>337</v>
      </c>
    </row>
    <row r="346" spans="2:65" s="148" customFormat="1" x14ac:dyDescent="0.2">
      <c r="B346" s="149"/>
      <c r="D346" s="143" t="s">
        <v>346</v>
      </c>
      <c r="E346" s="150"/>
      <c r="F346" s="151" t="s">
        <v>980</v>
      </c>
      <c r="H346" s="152">
        <v>20</v>
      </c>
      <c r="L346" s="149"/>
      <c r="M346" s="153"/>
      <c r="T346" s="154"/>
      <c r="AT346" s="150" t="s">
        <v>346</v>
      </c>
      <c r="AU346" s="150" t="s">
        <v>90</v>
      </c>
      <c r="AV346" s="148" t="s">
        <v>90</v>
      </c>
      <c r="AW346" s="148" t="s">
        <v>33</v>
      </c>
      <c r="AX346" s="148" t="s">
        <v>80</v>
      </c>
      <c r="AY346" s="150" t="s">
        <v>337</v>
      </c>
    </row>
    <row r="347" spans="2:65" s="141" customFormat="1" x14ac:dyDescent="0.2">
      <c r="B347" s="142"/>
      <c r="D347" s="143" t="s">
        <v>346</v>
      </c>
      <c r="E347" s="144"/>
      <c r="F347" s="145" t="s">
        <v>2645</v>
      </c>
      <c r="H347" s="144"/>
      <c r="L347" s="142"/>
      <c r="M347" s="146"/>
      <c r="T347" s="147"/>
      <c r="AT347" s="144" t="s">
        <v>346</v>
      </c>
      <c r="AU347" s="144" t="s">
        <v>90</v>
      </c>
      <c r="AV347" s="141" t="s">
        <v>87</v>
      </c>
      <c r="AW347" s="141" t="s">
        <v>33</v>
      </c>
      <c r="AX347" s="141" t="s">
        <v>80</v>
      </c>
      <c r="AY347" s="144" t="s">
        <v>337</v>
      </c>
    </row>
    <row r="348" spans="2:65" s="148" customFormat="1" x14ac:dyDescent="0.2">
      <c r="B348" s="149"/>
      <c r="D348" s="143" t="s">
        <v>346</v>
      </c>
      <c r="E348" s="150"/>
      <c r="F348" s="151" t="s">
        <v>980</v>
      </c>
      <c r="H348" s="152">
        <v>20</v>
      </c>
      <c r="L348" s="149"/>
      <c r="M348" s="153"/>
      <c r="T348" s="154"/>
      <c r="AT348" s="150" t="s">
        <v>346</v>
      </c>
      <c r="AU348" s="150" t="s">
        <v>90</v>
      </c>
      <c r="AV348" s="148" t="s">
        <v>90</v>
      </c>
      <c r="AW348" s="148" t="s">
        <v>33</v>
      </c>
      <c r="AX348" s="148" t="s">
        <v>80</v>
      </c>
      <c r="AY348" s="150" t="s">
        <v>337</v>
      </c>
    </row>
    <row r="349" spans="2:65" s="141" customFormat="1" x14ac:dyDescent="0.2">
      <c r="B349" s="142"/>
      <c r="D349" s="143" t="s">
        <v>346</v>
      </c>
      <c r="E349" s="144"/>
      <c r="F349" s="145" t="s">
        <v>2646</v>
      </c>
      <c r="H349" s="144"/>
      <c r="L349" s="142"/>
      <c r="M349" s="146"/>
      <c r="T349" s="147"/>
      <c r="AT349" s="144" t="s">
        <v>346</v>
      </c>
      <c r="AU349" s="144" t="s">
        <v>90</v>
      </c>
      <c r="AV349" s="141" t="s">
        <v>87</v>
      </c>
      <c r="AW349" s="141" t="s">
        <v>33</v>
      </c>
      <c r="AX349" s="141" t="s">
        <v>80</v>
      </c>
      <c r="AY349" s="144" t="s">
        <v>337</v>
      </c>
    </row>
    <row r="350" spans="2:65" s="148" customFormat="1" x14ac:dyDescent="0.2">
      <c r="B350" s="149"/>
      <c r="D350" s="143" t="s">
        <v>346</v>
      </c>
      <c r="E350" s="150"/>
      <c r="F350" s="151" t="s">
        <v>980</v>
      </c>
      <c r="H350" s="152">
        <v>20</v>
      </c>
      <c r="L350" s="149"/>
      <c r="M350" s="153"/>
      <c r="T350" s="154"/>
      <c r="AT350" s="150" t="s">
        <v>346</v>
      </c>
      <c r="AU350" s="150" t="s">
        <v>90</v>
      </c>
      <c r="AV350" s="148" t="s">
        <v>90</v>
      </c>
      <c r="AW350" s="148" t="s">
        <v>33</v>
      </c>
      <c r="AX350" s="148" t="s">
        <v>80</v>
      </c>
      <c r="AY350" s="150" t="s">
        <v>337</v>
      </c>
    </row>
    <row r="351" spans="2:65" s="141" customFormat="1" x14ac:dyDescent="0.2">
      <c r="B351" s="142"/>
      <c r="D351" s="143" t="s">
        <v>346</v>
      </c>
      <c r="E351" s="144"/>
      <c r="F351" s="145" t="s">
        <v>2647</v>
      </c>
      <c r="H351" s="144"/>
      <c r="L351" s="142"/>
      <c r="M351" s="146"/>
      <c r="T351" s="147"/>
      <c r="AT351" s="144" t="s">
        <v>346</v>
      </c>
      <c r="AU351" s="144" t="s">
        <v>90</v>
      </c>
      <c r="AV351" s="141" t="s">
        <v>87</v>
      </c>
      <c r="AW351" s="141" t="s">
        <v>33</v>
      </c>
      <c r="AX351" s="141" t="s">
        <v>80</v>
      </c>
      <c r="AY351" s="144" t="s">
        <v>337</v>
      </c>
    </row>
    <row r="352" spans="2:65" s="148" customFormat="1" x14ac:dyDescent="0.2">
      <c r="B352" s="149"/>
      <c r="D352" s="143" t="s">
        <v>346</v>
      </c>
      <c r="E352" s="150"/>
      <c r="F352" s="151" t="s">
        <v>980</v>
      </c>
      <c r="H352" s="152">
        <v>20</v>
      </c>
      <c r="L352" s="149"/>
      <c r="M352" s="153"/>
      <c r="T352" s="154"/>
      <c r="AT352" s="150" t="s">
        <v>346</v>
      </c>
      <c r="AU352" s="150" t="s">
        <v>90</v>
      </c>
      <c r="AV352" s="148" t="s">
        <v>90</v>
      </c>
      <c r="AW352" s="148" t="s">
        <v>33</v>
      </c>
      <c r="AX352" s="148" t="s">
        <v>80</v>
      </c>
      <c r="AY352" s="150" t="s">
        <v>337</v>
      </c>
    </row>
    <row r="353" spans="2:65" s="141" customFormat="1" x14ac:dyDescent="0.2">
      <c r="B353" s="142"/>
      <c r="D353" s="143" t="s">
        <v>346</v>
      </c>
      <c r="E353" s="144"/>
      <c r="F353" s="145" t="s">
        <v>2655</v>
      </c>
      <c r="H353" s="144"/>
      <c r="L353" s="142"/>
      <c r="M353" s="146"/>
      <c r="T353" s="147"/>
      <c r="AT353" s="144" t="s">
        <v>346</v>
      </c>
      <c r="AU353" s="144" t="s">
        <v>90</v>
      </c>
      <c r="AV353" s="141" t="s">
        <v>87</v>
      </c>
      <c r="AW353" s="141" t="s">
        <v>33</v>
      </c>
      <c r="AX353" s="141" t="s">
        <v>80</v>
      </c>
      <c r="AY353" s="144" t="s">
        <v>337</v>
      </c>
    </row>
    <row r="354" spans="2:65" s="148" customFormat="1" x14ac:dyDescent="0.2">
      <c r="B354" s="149"/>
      <c r="D354" s="143" t="s">
        <v>346</v>
      </c>
      <c r="E354" s="150"/>
      <c r="F354" s="151" t="s">
        <v>980</v>
      </c>
      <c r="H354" s="152">
        <v>20</v>
      </c>
      <c r="L354" s="149"/>
      <c r="M354" s="153"/>
      <c r="T354" s="154"/>
      <c r="AT354" s="150" t="s">
        <v>346</v>
      </c>
      <c r="AU354" s="150" t="s">
        <v>90</v>
      </c>
      <c r="AV354" s="148" t="s">
        <v>90</v>
      </c>
      <c r="AW354" s="148" t="s">
        <v>33</v>
      </c>
      <c r="AX354" s="148" t="s">
        <v>80</v>
      </c>
      <c r="AY354" s="150" t="s">
        <v>337</v>
      </c>
    </row>
    <row r="355" spans="2:65" s="155" customFormat="1" x14ac:dyDescent="0.2">
      <c r="B355" s="156"/>
      <c r="D355" s="143" t="s">
        <v>346</v>
      </c>
      <c r="E355" s="157"/>
      <c r="F355" s="158" t="s">
        <v>351</v>
      </c>
      <c r="H355" s="159">
        <v>112</v>
      </c>
      <c r="L355" s="156"/>
      <c r="M355" s="160"/>
      <c r="T355" s="161"/>
      <c r="AT355" s="157" t="s">
        <v>346</v>
      </c>
      <c r="AU355" s="157" t="s">
        <v>90</v>
      </c>
      <c r="AV355" s="155" t="s">
        <v>344</v>
      </c>
      <c r="AW355" s="155" t="s">
        <v>33</v>
      </c>
      <c r="AX355" s="155" t="s">
        <v>87</v>
      </c>
      <c r="AY355" s="157" t="s">
        <v>337</v>
      </c>
    </row>
    <row r="356" spans="2:65" s="148" customFormat="1" x14ac:dyDescent="0.2">
      <c r="B356" s="149"/>
      <c r="D356" s="143" t="s">
        <v>346</v>
      </c>
      <c r="F356" s="151" t="s">
        <v>2656</v>
      </c>
      <c r="H356" s="152">
        <v>123.2</v>
      </c>
      <c r="L356" s="149"/>
      <c r="M356" s="153"/>
      <c r="T356" s="154"/>
      <c r="AT356" s="150" t="s">
        <v>346</v>
      </c>
      <c r="AU356" s="150" t="s">
        <v>90</v>
      </c>
      <c r="AV356" s="148" t="s">
        <v>90</v>
      </c>
      <c r="AW356" s="148" t="s">
        <v>3</v>
      </c>
      <c r="AX356" s="148" t="s">
        <v>87</v>
      </c>
      <c r="AY356" s="150" t="s">
        <v>337</v>
      </c>
    </row>
    <row r="357" spans="2:65" s="16" customFormat="1" ht="16.5" customHeight="1" x14ac:dyDescent="0.2">
      <c r="B357" s="17"/>
      <c r="C357" s="128">
        <v>32</v>
      </c>
      <c r="D357" s="128" t="s">
        <v>339</v>
      </c>
      <c r="E357" s="129" t="s">
        <v>2657</v>
      </c>
      <c r="F357" s="130" t="s">
        <v>2658</v>
      </c>
      <c r="G357" s="131" t="s">
        <v>535</v>
      </c>
      <c r="H357" s="132">
        <v>9750</v>
      </c>
      <c r="I357" s="133"/>
      <c r="J357" s="134">
        <f>ROUND(I357*H357,2)</f>
        <v>0</v>
      </c>
      <c r="K357" s="130"/>
      <c r="L357" s="17"/>
      <c r="M357" s="135"/>
      <c r="N357" s="136" t="s">
        <v>45</v>
      </c>
      <c r="P357" s="137">
        <f>O357*H357</f>
        <v>0</v>
      </c>
      <c r="Q357" s="137">
        <v>1E-3</v>
      </c>
      <c r="R357" s="137">
        <f>Q357*H357</f>
        <v>9.75</v>
      </c>
      <c r="S357" s="137">
        <v>0</v>
      </c>
      <c r="T357" s="138">
        <f>S357*H357</f>
        <v>0</v>
      </c>
      <c r="AR357" s="139" t="s">
        <v>496</v>
      </c>
      <c r="AT357" s="139" t="s">
        <v>339</v>
      </c>
      <c r="AU357" s="139" t="s">
        <v>90</v>
      </c>
      <c r="AY357" s="2" t="s">
        <v>337</v>
      </c>
      <c r="BE357" s="140">
        <f>IF(N357="základní",J357,0)</f>
        <v>0</v>
      </c>
      <c r="BF357" s="140">
        <f>IF(N357="snížená",J357,0)</f>
        <v>0</v>
      </c>
      <c r="BG357" s="140">
        <f>IF(N357="zákl. přenesená",J357,0)</f>
        <v>0</v>
      </c>
      <c r="BH357" s="140">
        <f>IF(N357="sníž. přenesená",J357,0)</f>
        <v>0</v>
      </c>
      <c r="BI357" s="140">
        <f>IF(N357="nulová",J357,0)</f>
        <v>0</v>
      </c>
      <c r="BJ357" s="2" t="s">
        <v>87</v>
      </c>
      <c r="BK357" s="140">
        <f>ROUND(I357*H357,2)</f>
        <v>0</v>
      </c>
      <c r="BL357" s="2" t="s">
        <v>496</v>
      </c>
      <c r="BM357" s="139" t="s">
        <v>2659</v>
      </c>
    </row>
    <row r="358" spans="2:65" s="141" customFormat="1" ht="22.5" x14ac:dyDescent="0.2">
      <c r="B358" s="142"/>
      <c r="D358" s="143" t="s">
        <v>346</v>
      </c>
      <c r="E358" s="144"/>
      <c r="F358" s="145" t="s">
        <v>2660</v>
      </c>
      <c r="H358" s="144"/>
      <c r="L358" s="142"/>
      <c r="M358" s="146"/>
      <c r="T358" s="147"/>
      <c r="AT358" s="144" t="s">
        <v>346</v>
      </c>
      <c r="AU358" s="144" t="s">
        <v>90</v>
      </c>
      <c r="AV358" s="141" t="s">
        <v>87</v>
      </c>
      <c r="AW358" s="141" t="s">
        <v>33</v>
      </c>
      <c r="AX358" s="141" t="s">
        <v>80</v>
      </c>
      <c r="AY358" s="144" t="s">
        <v>337</v>
      </c>
    </row>
    <row r="359" spans="2:65" s="141" customFormat="1" x14ac:dyDescent="0.2">
      <c r="B359" s="142"/>
      <c r="D359" s="143" t="s">
        <v>346</v>
      </c>
      <c r="E359" s="144"/>
      <c r="F359" s="145" t="s">
        <v>2661</v>
      </c>
      <c r="H359" s="144"/>
      <c r="L359" s="142"/>
      <c r="M359" s="146"/>
      <c r="T359" s="147"/>
      <c r="AT359" s="144" t="s">
        <v>346</v>
      </c>
      <c r="AU359" s="144" t="s">
        <v>90</v>
      </c>
      <c r="AV359" s="141" t="s">
        <v>87</v>
      </c>
      <c r="AW359" s="141" t="s">
        <v>33</v>
      </c>
      <c r="AX359" s="141" t="s">
        <v>80</v>
      </c>
      <c r="AY359" s="144" t="s">
        <v>337</v>
      </c>
    </row>
    <row r="360" spans="2:65" s="141" customFormat="1" x14ac:dyDescent="0.2">
      <c r="B360" s="142"/>
      <c r="D360" s="143" t="s">
        <v>346</v>
      </c>
      <c r="E360" s="144"/>
      <c r="F360" s="145" t="s">
        <v>2662</v>
      </c>
      <c r="H360" s="144"/>
      <c r="L360" s="142"/>
      <c r="M360" s="146"/>
      <c r="T360" s="147"/>
      <c r="AT360" s="144" t="s">
        <v>346</v>
      </c>
      <c r="AU360" s="144" t="s">
        <v>90</v>
      </c>
      <c r="AV360" s="141" t="s">
        <v>87</v>
      </c>
      <c r="AW360" s="141" t="s">
        <v>33</v>
      </c>
      <c r="AX360" s="141" t="s">
        <v>80</v>
      </c>
      <c r="AY360" s="144" t="s">
        <v>337</v>
      </c>
    </row>
    <row r="361" spans="2:65" s="141" customFormat="1" x14ac:dyDescent="0.2">
      <c r="B361" s="142"/>
      <c r="D361" s="143" t="s">
        <v>346</v>
      </c>
      <c r="E361" s="144"/>
      <c r="F361" s="145" t="s">
        <v>2663</v>
      </c>
      <c r="H361" s="144"/>
      <c r="L361" s="142"/>
      <c r="M361" s="146"/>
      <c r="T361" s="147"/>
      <c r="AT361" s="144" t="s">
        <v>346</v>
      </c>
      <c r="AU361" s="144" t="s">
        <v>90</v>
      </c>
      <c r="AV361" s="141" t="s">
        <v>87</v>
      </c>
      <c r="AW361" s="141" t="s">
        <v>33</v>
      </c>
      <c r="AX361" s="141" t="s">
        <v>80</v>
      </c>
      <c r="AY361" s="144" t="s">
        <v>337</v>
      </c>
    </row>
    <row r="362" spans="2:65" s="141" customFormat="1" x14ac:dyDescent="0.2">
      <c r="B362" s="142"/>
      <c r="D362" s="143" t="s">
        <v>346</v>
      </c>
      <c r="E362" s="144"/>
      <c r="F362" s="145" t="s">
        <v>2664</v>
      </c>
      <c r="H362" s="144"/>
      <c r="L362" s="142"/>
      <c r="M362" s="146"/>
      <c r="T362" s="147"/>
      <c r="AT362" s="144" t="s">
        <v>346</v>
      </c>
      <c r="AU362" s="144" t="s">
        <v>90</v>
      </c>
      <c r="AV362" s="141" t="s">
        <v>87</v>
      </c>
      <c r="AW362" s="141" t="s">
        <v>33</v>
      </c>
      <c r="AX362" s="141" t="s">
        <v>80</v>
      </c>
      <c r="AY362" s="144" t="s">
        <v>337</v>
      </c>
    </row>
    <row r="363" spans="2:65" s="141" customFormat="1" x14ac:dyDescent="0.2">
      <c r="B363" s="142"/>
      <c r="D363" s="143" t="s">
        <v>346</v>
      </c>
      <c r="E363" s="144"/>
      <c r="F363" s="145" t="s">
        <v>2665</v>
      </c>
      <c r="H363" s="144"/>
      <c r="L363" s="142"/>
      <c r="M363" s="146"/>
      <c r="T363" s="147"/>
      <c r="AT363" s="144" t="s">
        <v>346</v>
      </c>
      <c r="AU363" s="144" t="s">
        <v>90</v>
      </c>
      <c r="AV363" s="141" t="s">
        <v>87</v>
      </c>
      <c r="AW363" s="141" t="s">
        <v>33</v>
      </c>
      <c r="AX363" s="141" t="s">
        <v>80</v>
      </c>
      <c r="AY363" s="144" t="s">
        <v>337</v>
      </c>
    </row>
    <row r="364" spans="2:65" s="148" customFormat="1" x14ac:dyDescent="0.2">
      <c r="B364" s="149"/>
      <c r="D364" s="143" t="s">
        <v>346</v>
      </c>
      <c r="E364" s="150"/>
      <c r="F364" s="151" t="s">
        <v>2666</v>
      </c>
      <c r="H364" s="152">
        <v>159.5</v>
      </c>
      <c r="L364" s="149"/>
      <c r="M364" s="153"/>
      <c r="T364" s="154"/>
      <c r="AT364" s="150" t="s">
        <v>346</v>
      </c>
      <c r="AU364" s="150" t="s">
        <v>90</v>
      </c>
      <c r="AV364" s="148" t="s">
        <v>90</v>
      </c>
      <c r="AW364" s="148" t="s">
        <v>33</v>
      </c>
      <c r="AX364" s="148" t="s">
        <v>80</v>
      </c>
      <c r="AY364" s="150" t="s">
        <v>337</v>
      </c>
    </row>
    <row r="365" spans="2:65" s="141" customFormat="1" x14ac:dyDescent="0.2">
      <c r="B365" s="142"/>
      <c r="D365" s="143" t="s">
        <v>346</v>
      </c>
      <c r="E365" s="144"/>
      <c r="F365" s="145" t="s">
        <v>2667</v>
      </c>
      <c r="H365" s="144"/>
      <c r="L365" s="142"/>
      <c r="M365" s="146"/>
      <c r="T365" s="147"/>
      <c r="AT365" s="144" t="s">
        <v>346</v>
      </c>
      <c r="AU365" s="144" t="s">
        <v>90</v>
      </c>
      <c r="AV365" s="141" t="s">
        <v>87</v>
      </c>
      <c r="AW365" s="141" t="s">
        <v>33</v>
      </c>
      <c r="AX365" s="141" t="s">
        <v>80</v>
      </c>
      <c r="AY365" s="144" t="s">
        <v>337</v>
      </c>
    </row>
    <row r="366" spans="2:65" s="148" customFormat="1" x14ac:dyDescent="0.2">
      <c r="B366" s="149"/>
      <c r="D366" s="143" t="s">
        <v>346</v>
      </c>
      <c r="E366" s="150"/>
      <c r="F366" s="151" t="s">
        <v>2668</v>
      </c>
      <c r="H366" s="152">
        <v>259.3</v>
      </c>
      <c r="L366" s="149"/>
      <c r="M366" s="153"/>
      <c r="T366" s="154"/>
      <c r="AT366" s="150" t="s">
        <v>346</v>
      </c>
      <c r="AU366" s="150" t="s">
        <v>90</v>
      </c>
      <c r="AV366" s="148" t="s">
        <v>90</v>
      </c>
      <c r="AW366" s="148" t="s">
        <v>33</v>
      </c>
      <c r="AX366" s="148" t="s">
        <v>80</v>
      </c>
      <c r="AY366" s="150" t="s">
        <v>337</v>
      </c>
    </row>
    <row r="367" spans="2:65" s="141" customFormat="1" x14ac:dyDescent="0.2">
      <c r="B367" s="142"/>
      <c r="D367" s="143" t="s">
        <v>346</v>
      </c>
      <c r="E367" s="144"/>
      <c r="F367" s="145" t="s">
        <v>2669</v>
      </c>
      <c r="H367" s="144"/>
      <c r="L367" s="142"/>
      <c r="M367" s="146"/>
      <c r="T367" s="147"/>
      <c r="AT367" s="144" t="s">
        <v>346</v>
      </c>
      <c r="AU367" s="144" t="s">
        <v>90</v>
      </c>
      <c r="AV367" s="141" t="s">
        <v>87</v>
      </c>
      <c r="AW367" s="141" t="s">
        <v>33</v>
      </c>
      <c r="AX367" s="141" t="s">
        <v>80</v>
      </c>
      <c r="AY367" s="144" t="s">
        <v>337</v>
      </c>
    </row>
    <row r="368" spans="2:65" s="148" customFormat="1" x14ac:dyDescent="0.2">
      <c r="B368" s="149"/>
      <c r="D368" s="143" t="s">
        <v>346</v>
      </c>
      <c r="E368" s="150"/>
      <c r="F368" s="151" t="s">
        <v>2670</v>
      </c>
      <c r="H368" s="152">
        <v>131.9</v>
      </c>
      <c r="L368" s="149"/>
      <c r="M368" s="153"/>
      <c r="T368" s="154"/>
      <c r="AT368" s="150" t="s">
        <v>346</v>
      </c>
      <c r="AU368" s="150" t="s">
        <v>90</v>
      </c>
      <c r="AV368" s="148" t="s">
        <v>90</v>
      </c>
      <c r="AW368" s="148" t="s">
        <v>33</v>
      </c>
      <c r="AX368" s="148" t="s">
        <v>80</v>
      </c>
      <c r="AY368" s="150" t="s">
        <v>337</v>
      </c>
    </row>
    <row r="369" spans="2:51" s="141" customFormat="1" x14ac:dyDescent="0.2">
      <c r="B369" s="142"/>
      <c r="D369" s="143" t="s">
        <v>346</v>
      </c>
      <c r="E369" s="144"/>
      <c r="F369" s="145" t="s">
        <v>2671</v>
      </c>
      <c r="H369" s="144"/>
      <c r="L369" s="142"/>
      <c r="M369" s="146"/>
      <c r="T369" s="147"/>
      <c r="AT369" s="144" t="s">
        <v>346</v>
      </c>
      <c r="AU369" s="144" t="s">
        <v>90</v>
      </c>
      <c r="AV369" s="141" t="s">
        <v>87</v>
      </c>
      <c r="AW369" s="141" t="s">
        <v>33</v>
      </c>
      <c r="AX369" s="141" t="s">
        <v>80</v>
      </c>
      <c r="AY369" s="144" t="s">
        <v>337</v>
      </c>
    </row>
    <row r="370" spans="2:51" s="148" customFormat="1" x14ac:dyDescent="0.2">
      <c r="B370" s="149"/>
      <c r="D370" s="143" t="s">
        <v>346</v>
      </c>
      <c r="E370" s="150"/>
      <c r="F370" s="151" t="s">
        <v>2672</v>
      </c>
      <c r="H370" s="152">
        <v>171.3</v>
      </c>
      <c r="L370" s="149"/>
      <c r="M370" s="153"/>
      <c r="T370" s="154"/>
      <c r="AT370" s="150" t="s">
        <v>346</v>
      </c>
      <c r="AU370" s="150" t="s">
        <v>90</v>
      </c>
      <c r="AV370" s="148" t="s">
        <v>90</v>
      </c>
      <c r="AW370" s="148" t="s">
        <v>33</v>
      </c>
      <c r="AX370" s="148" t="s">
        <v>80</v>
      </c>
      <c r="AY370" s="150" t="s">
        <v>337</v>
      </c>
    </row>
    <row r="371" spans="2:51" s="141" customFormat="1" x14ac:dyDescent="0.2">
      <c r="B371" s="142"/>
      <c r="D371" s="143" t="s">
        <v>346</v>
      </c>
      <c r="E371" s="144"/>
      <c r="F371" s="145" t="s">
        <v>2673</v>
      </c>
      <c r="H371" s="144"/>
      <c r="L371" s="142"/>
      <c r="M371" s="146"/>
      <c r="T371" s="147"/>
      <c r="AT371" s="144" t="s">
        <v>346</v>
      </c>
      <c r="AU371" s="144" t="s">
        <v>90</v>
      </c>
      <c r="AV371" s="141" t="s">
        <v>87</v>
      </c>
      <c r="AW371" s="141" t="s">
        <v>33</v>
      </c>
      <c r="AX371" s="141" t="s">
        <v>80</v>
      </c>
      <c r="AY371" s="144" t="s">
        <v>337</v>
      </c>
    </row>
    <row r="372" spans="2:51" s="148" customFormat="1" x14ac:dyDescent="0.2">
      <c r="B372" s="149"/>
      <c r="D372" s="143" t="s">
        <v>346</v>
      </c>
      <c r="E372" s="150"/>
      <c r="F372" s="151" t="s">
        <v>2674</v>
      </c>
      <c r="H372" s="152">
        <v>42.4</v>
      </c>
      <c r="L372" s="149"/>
      <c r="M372" s="153"/>
      <c r="T372" s="154"/>
      <c r="AT372" s="150" t="s">
        <v>346</v>
      </c>
      <c r="AU372" s="150" t="s">
        <v>90</v>
      </c>
      <c r="AV372" s="148" t="s">
        <v>90</v>
      </c>
      <c r="AW372" s="148" t="s">
        <v>33</v>
      </c>
      <c r="AX372" s="148" t="s">
        <v>80</v>
      </c>
      <c r="AY372" s="150" t="s">
        <v>337</v>
      </c>
    </row>
    <row r="373" spans="2:51" s="141" customFormat="1" x14ac:dyDescent="0.2">
      <c r="B373" s="142"/>
      <c r="D373" s="143" t="s">
        <v>346</v>
      </c>
      <c r="E373" s="144"/>
      <c r="F373" s="145" t="s">
        <v>2675</v>
      </c>
      <c r="H373" s="144"/>
      <c r="L373" s="142"/>
      <c r="M373" s="146"/>
      <c r="T373" s="147"/>
      <c r="AT373" s="144" t="s">
        <v>346</v>
      </c>
      <c r="AU373" s="144" t="s">
        <v>90</v>
      </c>
      <c r="AV373" s="141" t="s">
        <v>87</v>
      </c>
      <c r="AW373" s="141" t="s">
        <v>33</v>
      </c>
      <c r="AX373" s="141" t="s">
        <v>80</v>
      </c>
      <c r="AY373" s="144" t="s">
        <v>337</v>
      </c>
    </row>
    <row r="374" spans="2:51" s="148" customFormat="1" x14ac:dyDescent="0.2">
      <c r="B374" s="149"/>
      <c r="D374" s="143" t="s">
        <v>346</v>
      </c>
      <c r="E374" s="150"/>
      <c r="F374" s="151" t="s">
        <v>2676</v>
      </c>
      <c r="H374" s="152">
        <v>28.8</v>
      </c>
      <c r="L374" s="149"/>
      <c r="M374" s="153"/>
      <c r="T374" s="154"/>
      <c r="AT374" s="150" t="s">
        <v>346</v>
      </c>
      <c r="AU374" s="150" t="s">
        <v>90</v>
      </c>
      <c r="AV374" s="148" t="s">
        <v>90</v>
      </c>
      <c r="AW374" s="148" t="s">
        <v>33</v>
      </c>
      <c r="AX374" s="148" t="s">
        <v>80</v>
      </c>
      <c r="AY374" s="150" t="s">
        <v>337</v>
      </c>
    </row>
    <row r="375" spans="2:51" s="141" customFormat="1" x14ac:dyDescent="0.2">
      <c r="B375" s="142"/>
      <c r="D375" s="143" t="s">
        <v>346</v>
      </c>
      <c r="E375" s="144"/>
      <c r="F375" s="145" t="s">
        <v>2677</v>
      </c>
      <c r="H375" s="144"/>
      <c r="L375" s="142"/>
      <c r="M375" s="146"/>
      <c r="T375" s="147"/>
      <c r="AT375" s="144" t="s">
        <v>346</v>
      </c>
      <c r="AU375" s="144" t="s">
        <v>90</v>
      </c>
      <c r="AV375" s="141" t="s">
        <v>87</v>
      </c>
      <c r="AW375" s="141" t="s">
        <v>33</v>
      </c>
      <c r="AX375" s="141" t="s">
        <v>80</v>
      </c>
      <c r="AY375" s="144" t="s">
        <v>337</v>
      </c>
    </row>
    <row r="376" spans="2:51" s="148" customFormat="1" x14ac:dyDescent="0.2">
      <c r="B376" s="149"/>
      <c r="D376" s="143" t="s">
        <v>346</v>
      </c>
      <c r="E376" s="150"/>
      <c r="F376" s="151" t="s">
        <v>2678</v>
      </c>
      <c r="H376" s="152">
        <v>78.5</v>
      </c>
      <c r="L376" s="149"/>
      <c r="M376" s="153"/>
      <c r="T376" s="154"/>
      <c r="AT376" s="150" t="s">
        <v>346</v>
      </c>
      <c r="AU376" s="150" t="s">
        <v>90</v>
      </c>
      <c r="AV376" s="148" t="s">
        <v>90</v>
      </c>
      <c r="AW376" s="148" t="s">
        <v>33</v>
      </c>
      <c r="AX376" s="148" t="s">
        <v>80</v>
      </c>
      <c r="AY376" s="150" t="s">
        <v>337</v>
      </c>
    </row>
    <row r="377" spans="2:51" s="141" customFormat="1" x14ac:dyDescent="0.2">
      <c r="B377" s="142"/>
      <c r="D377" s="143" t="s">
        <v>346</v>
      </c>
      <c r="E377" s="144"/>
      <c r="F377" s="145" t="s">
        <v>2679</v>
      </c>
      <c r="H377" s="144"/>
      <c r="L377" s="142"/>
      <c r="M377" s="146"/>
      <c r="T377" s="147"/>
      <c r="AT377" s="144" t="s">
        <v>346</v>
      </c>
      <c r="AU377" s="144" t="s">
        <v>90</v>
      </c>
      <c r="AV377" s="141" t="s">
        <v>87</v>
      </c>
      <c r="AW377" s="141" t="s">
        <v>33</v>
      </c>
      <c r="AX377" s="141" t="s">
        <v>80</v>
      </c>
      <c r="AY377" s="144" t="s">
        <v>337</v>
      </c>
    </row>
    <row r="378" spans="2:51" s="148" customFormat="1" x14ac:dyDescent="0.2">
      <c r="B378" s="149"/>
      <c r="D378" s="143" t="s">
        <v>346</v>
      </c>
      <c r="E378" s="150"/>
      <c r="F378" s="151" t="s">
        <v>2680</v>
      </c>
      <c r="H378" s="152">
        <v>157.5</v>
      </c>
      <c r="L378" s="149"/>
      <c r="M378" s="153"/>
      <c r="T378" s="154"/>
      <c r="AT378" s="150" t="s">
        <v>346</v>
      </c>
      <c r="AU378" s="150" t="s">
        <v>90</v>
      </c>
      <c r="AV378" s="148" t="s">
        <v>90</v>
      </c>
      <c r="AW378" s="148" t="s">
        <v>33</v>
      </c>
      <c r="AX378" s="148" t="s">
        <v>80</v>
      </c>
      <c r="AY378" s="150" t="s">
        <v>337</v>
      </c>
    </row>
    <row r="379" spans="2:51" s="141" customFormat="1" x14ac:dyDescent="0.2">
      <c r="B379" s="142"/>
      <c r="D379" s="143" t="s">
        <v>346</v>
      </c>
      <c r="E379" s="144"/>
      <c r="F379" s="145" t="s">
        <v>2681</v>
      </c>
      <c r="H379" s="144"/>
      <c r="L379" s="142"/>
      <c r="M379" s="146"/>
      <c r="T379" s="147"/>
      <c r="AT379" s="144" t="s">
        <v>346</v>
      </c>
      <c r="AU379" s="144" t="s">
        <v>90</v>
      </c>
      <c r="AV379" s="141" t="s">
        <v>87</v>
      </c>
      <c r="AW379" s="141" t="s">
        <v>33</v>
      </c>
      <c r="AX379" s="141" t="s">
        <v>80</v>
      </c>
      <c r="AY379" s="144" t="s">
        <v>337</v>
      </c>
    </row>
    <row r="380" spans="2:51" s="148" customFormat="1" x14ac:dyDescent="0.2">
      <c r="B380" s="149"/>
      <c r="D380" s="143" t="s">
        <v>346</v>
      </c>
      <c r="E380" s="150"/>
      <c r="F380" s="151" t="s">
        <v>2682</v>
      </c>
      <c r="H380" s="152">
        <v>117.8</v>
      </c>
      <c r="L380" s="149"/>
      <c r="M380" s="153"/>
      <c r="T380" s="154"/>
      <c r="AT380" s="150" t="s">
        <v>346</v>
      </c>
      <c r="AU380" s="150" t="s">
        <v>90</v>
      </c>
      <c r="AV380" s="148" t="s">
        <v>90</v>
      </c>
      <c r="AW380" s="148" t="s">
        <v>33</v>
      </c>
      <c r="AX380" s="148" t="s">
        <v>80</v>
      </c>
      <c r="AY380" s="150" t="s">
        <v>337</v>
      </c>
    </row>
    <row r="381" spans="2:51" s="141" customFormat="1" x14ac:dyDescent="0.2">
      <c r="B381" s="142"/>
      <c r="D381" s="143" t="s">
        <v>346</v>
      </c>
      <c r="E381" s="144"/>
      <c r="F381" s="145" t="s">
        <v>2683</v>
      </c>
      <c r="H381" s="144"/>
      <c r="L381" s="142"/>
      <c r="M381" s="146"/>
      <c r="T381" s="147"/>
      <c r="AT381" s="144" t="s">
        <v>346</v>
      </c>
      <c r="AU381" s="144" t="s">
        <v>90</v>
      </c>
      <c r="AV381" s="141" t="s">
        <v>87</v>
      </c>
      <c r="AW381" s="141" t="s">
        <v>33</v>
      </c>
      <c r="AX381" s="141" t="s">
        <v>80</v>
      </c>
      <c r="AY381" s="144" t="s">
        <v>337</v>
      </c>
    </row>
    <row r="382" spans="2:51" s="148" customFormat="1" x14ac:dyDescent="0.2">
      <c r="B382" s="149"/>
      <c r="D382" s="143" t="s">
        <v>346</v>
      </c>
      <c r="E382" s="150"/>
      <c r="F382" s="151" t="s">
        <v>2684</v>
      </c>
      <c r="H382" s="152">
        <v>2.4</v>
      </c>
      <c r="L382" s="149"/>
      <c r="M382" s="153"/>
      <c r="T382" s="154"/>
      <c r="AT382" s="150" t="s">
        <v>346</v>
      </c>
      <c r="AU382" s="150" t="s">
        <v>90</v>
      </c>
      <c r="AV382" s="148" t="s">
        <v>90</v>
      </c>
      <c r="AW382" s="148" t="s">
        <v>33</v>
      </c>
      <c r="AX382" s="148" t="s">
        <v>80</v>
      </c>
      <c r="AY382" s="150" t="s">
        <v>337</v>
      </c>
    </row>
    <row r="383" spans="2:51" s="141" customFormat="1" x14ac:dyDescent="0.2">
      <c r="B383" s="142"/>
      <c r="D383" s="143" t="s">
        <v>346</v>
      </c>
      <c r="E383" s="144"/>
      <c r="F383" s="145" t="s">
        <v>2685</v>
      </c>
      <c r="H383" s="144"/>
      <c r="L383" s="142"/>
      <c r="M383" s="146"/>
      <c r="T383" s="147"/>
      <c r="AT383" s="144" t="s">
        <v>346</v>
      </c>
      <c r="AU383" s="144" t="s">
        <v>90</v>
      </c>
      <c r="AV383" s="141" t="s">
        <v>87</v>
      </c>
      <c r="AW383" s="141" t="s">
        <v>33</v>
      </c>
      <c r="AX383" s="141" t="s">
        <v>80</v>
      </c>
      <c r="AY383" s="144" t="s">
        <v>337</v>
      </c>
    </row>
    <row r="384" spans="2:51" s="148" customFormat="1" x14ac:dyDescent="0.2">
      <c r="B384" s="149"/>
      <c r="D384" s="143" t="s">
        <v>346</v>
      </c>
      <c r="E384" s="150"/>
      <c r="F384" s="151" t="s">
        <v>2686</v>
      </c>
      <c r="H384" s="152">
        <v>4.9000000000000004</v>
      </c>
      <c r="L384" s="149"/>
      <c r="M384" s="153"/>
      <c r="T384" s="154"/>
      <c r="AT384" s="150" t="s">
        <v>346</v>
      </c>
      <c r="AU384" s="150" t="s">
        <v>90</v>
      </c>
      <c r="AV384" s="148" t="s">
        <v>90</v>
      </c>
      <c r="AW384" s="148" t="s">
        <v>33</v>
      </c>
      <c r="AX384" s="148" t="s">
        <v>80</v>
      </c>
      <c r="AY384" s="150" t="s">
        <v>337</v>
      </c>
    </row>
    <row r="385" spans="2:51" s="141" customFormat="1" x14ac:dyDescent="0.2">
      <c r="B385" s="142"/>
      <c r="D385" s="143" t="s">
        <v>346</v>
      </c>
      <c r="E385" s="144"/>
      <c r="F385" s="145" t="s">
        <v>2687</v>
      </c>
      <c r="H385" s="144"/>
      <c r="L385" s="142"/>
      <c r="M385" s="146"/>
      <c r="T385" s="147"/>
      <c r="AT385" s="144" t="s">
        <v>346</v>
      </c>
      <c r="AU385" s="144" t="s">
        <v>90</v>
      </c>
      <c r="AV385" s="141" t="s">
        <v>87</v>
      </c>
      <c r="AW385" s="141" t="s">
        <v>33</v>
      </c>
      <c r="AX385" s="141" t="s">
        <v>80</v>
      </c>
      <c r="AY385" s="144" t="s">
        <v>337</v>
      </c>
    </row>
    <row r="386" spans="2:51" s="148" customFormat="1" x14ac:dyDescent="0.2">
      <c r="B386" s="149"/>
      <c r="D386" s="143" t="s">
        <v>346</v>
      </c>
      <c r="E386" s="150"/>
      <c r="F386" s="151" t="s">
        <v>2688</v>
      </c>
      <c r="H386" s="152">
        <v>10</v>
      </c>
      <c r="L386" s="149"/>
      <c r="M386" s="153"/>
      <c r="T386" s="154"/>
      <c r="AT386" s="150" t="s">
        <v>346</v>
      </c>
      <c r="AU386" s="150" t="s">
        <v>90</v>
      </c>
      <c r="AV386" s="148" t="s">
        <v>90</v>
      </c>
      <c r="AW386" s="148" t="s">
        <v>33</v>
      </c>
      <c r="AX386" s="148" t="s">
        <v>80</v>
      </c>
      <c r="AY386" s="150" t="s">
        <v>337</v>
      </c>
    </row>
    <row r="387" spans="2:51" s="141" customFormat="1" x14ac:dyDescent="0.2">
      <c r="B387" s="142"/>
      <c r="D387" s="143" t="s">
        <v>346</v>
      </c>
      <c r="E387" s="144"/>
      <c r="F387" s="145" t="s">
        <v>2689</v>
      </c>
      <c r="H387" s="144"/>
      <c r="L387" s="142"/>
      <c r="M387" s="146"/>
      <c r="T387" s="147"/>
      <c r="AT387" s="144" t="s">
        <v>346</v>
      </c>
      <c r="AU387" s="144" t="s">
        <v>90</v>
      </c>
      <c r="AV387" s="141" t="s">
        <v>87</v>
      </c>
      <c r="AW387" s="141" t="s">
        <v>33</v>
      </c>
      <c r="AX387" s="141" t="s">
        <v>80</v>
      </c>
      <c r="AY387" s="144" t="s">
        <v>337</v>
      </c>
    </row>
    <row r="388" spans="2:51" s="148" customFormat="1" x14ac:dyDescent="0.2">
      <c r="B388" s="149"/>
      <c r="D388" s="143" t="s">
        <v>346</v>
      </c>
      <c r="E388" s="150"/>
      <c r="F388" s="151" t="s">
        <v>2690</v>
      </c>
      <c r="H388" s="152">
        <v>6.8</v>
      </c>
      <c r="L388" s="149"/>
      <c r="M388" s="153"/>
      <c r="T388" s="154"/>
      <c r="AT388" s="150" t="s">
        <v>346</v>
      </c>
      <c r="AU388" s="150" t="s">
        <v>90</v>
      </c>
      <c r="AV388" s="148" t="s">
        <v>90</v>
      </c>
      <c r="AW388" s="148" t="s">
        <v>33</v>
      </c>
      <c r="AX388" s="148" t="s">
        <v>80</v>
      </c>
      <c r="AY388" s="150" t="s">
        <v>337</v>
      </c>
    </row>
    <row r="389" spans="2:51" s="141" customFormat="1" x14ac:dyDescent="0.2">
      <c r="B389" s="142"/>
      <c r="D389" s="143" t="s">
        <v>346</v>
      </c>
      <c r="E389" s="144"/>
      <c r="F389" s="145" t="s">
        <v>2691</v>
      </c>
      <c r="H389" s="144"/>
      <c r="L389" s="142"/>
      <c r="M389" s="146"/>
      <c r="T389" s="147"/>
      <c r="AT389" s="144" t="s">
        <v>346</v>
      </c>
      <c r="AU389" s="144" t="s">
        <v>90</v>
      </c>
      <c r="AV389" s="141" t="s">
        <v>87</v>
      </c>
      <c r="AW389" s="141" t="s">
        <v>33</v>
      </c>
      <c r="AX389" s="141" t="s">
        <v>80</v>
      </c>
      <c r="AY389" s="144" t="s">
        <v>337</v>
      </c>
    </row>
    <row r="390" spans="2:51" s="148" customFormat="1" x14ac:dyDescent="0.2">
      <c r="B390" s="149"/>
      <c r="D390" s="143" t="s">
        <v>346</v>
      </c>
      <c r="E390" s="150"/>
      <c r="F390" s="151" t="s">
        <v>2692</v>
      </c>
      <c r="H390" s="152">
        <v>14.1</v>
      </c>
      <c r="L390" s="149"/>
      <c r="M390" s="153"/>
      <c r="T390" s="154"/>
      <c r="AT390" s="150" t="s">
        <v>346</v>
      </c>
      <c r="AU390" s="150" t="s">
        <v>90</v>
      </c>
      <c r="AV390" s="148" t="s">
        <v>90</v>
      </c>
      <c r="AW390" s="148" t="s">
        <v>33</v>
      </c>
      <c r="AX390" s="148" t="s">
        <v>80</v>
      </c>
      <c r="AY390" s="150" t="s">
        <v>337</v>
      </c>
    </row>
    <row r="391" spans="2:51" s="141" customFormat="1" x14ac:dyDescent="0.2">
      <c r="B391" s="142"/>
      <c r="D391" s="143" t="s">
        <v>346</v>
      </c>
      <c r="E391" s="144"/>
      <c r="F391" s="145" t="s">
        <v>2693</v>
      </c>
      <c r="H391" s="144"/>
      <c r="L391" s="142"/>
      <c r="M391" s="146"/>
      <c r="T391" s="147"/>
      <c r="AT391" s="144" t="s">
        <v>346</v>
      </c>
      <c r="AU391" s="144" t="s">
        <v>90</v>
      </c>
      <c r="AV391" s="141" t="s">
        <v>87</v>
      </c>
      <c r="AW391" s="141" t="s">
        <v>33</v>
      </c>
      <c r="AX391" s="141" t="s">
        <v>80</v>
      </c>
      <c r="AY391" s="144" t="s">
        <v>337</v>
      </c>
    </row>
    <row r="392" spans="2:51" s="148" customFormat="1" x14ac:dyDescent="0.2">
      <c r="B392" s="149"/>
      <c r="D392" s="143" t="s">
        <v>346</v>
      </c>
      <c r="E392" s="150"/>
      <c r="F392" s="151" t="s">
        <v>2694</v>
      </c>
      <c r="H392" s="152">
        <v>75.400000000000006</v>
      </c>
      <c r="L392" s="149"/>
      <c r="M392" s="153"/>
      <c r="T392" s="154"/>
      <c r="AT392" s="150" t="s">
        <v>346</v>
      </c>
      <c r="AU392" s="150" t="s">
        <v>90</v>
      </c>
      <c r="AV392" s="148" t="s">
        <v>90</v>
      </c>
      <c r="AW392" s="148" t="s">
        <v>33</v>
      </c>
      <c r="AX392" s="148" t="s">
        <v>80</v>
      </c>
      <c r="AY392" s="150" t="s">
        <v>337</v>
      </c>
    </row>
    <row r="393" spans="2:51" s="141" customFormat="1" x14ac:dyDescent="0.2">
      <c r="B393" s="142"/>
      <c r="D393" s="143" t="s">
        <v>346</v>
      </c>
      <c r="E393" s="144"/>
      <c r="F393" s="145" t="s">
        <v>2695</v>
      </c>
      <c r="H393" s="144"/>
      <c r="L393" s="142"/>
      <c r="M393" s="146"/>
      <c r="T393" s="147"/>
      <c r="AT393" s="144" t="s">
        <v>346</v>
      </c>
      <c r="AU393" s="144" t="s">
        <v>90</v>
      </c>
      <c r="AV393" s="141" t="s">
        <v>87</v>
      </c>
      <c r="AW393" s="141" t="s">
        <v>33</v>
      </c>
      <c r="AX393" s="141" t="s">
        <v>80</v>
      </c>
      <c r="AY393" s="144" t="s">
        <v>337</v>
      </c>
    </row>
    <row r="394" spans="2:51" s="141" customFormat="1" x14ac:dyDescent="0.2">
      <c r="B394" s="142"/>
      <c r="D394" s="143" t="s">
        <v>346</v>
      </c>
      <c r="E394" s="144"/>
      <c r="F394" s="145" t="s">
        <v>2696</v>
      </c>
      <c r="H394" s="144"/>
      <c r="L394" s="142"/>
      <c r="M394" s="146"/>
      <c r="T394" s="147"/>
      <c r="AT394" s="144" t="s">
        <v>346</v>
      </c>
      <c r="AU394" s="144" t="s">
        <v>90</v>
      </c>
      <c r="AV394" s="141" t="s">
        <v>87</v>
      </c>
      <c r="AW394" s="141" t="s">
        <v>33</v>
      </c>
      <c r="AX394" s="141" t="s">
        <v>80</v>
      </c>
      <c r="AY394" s="144" t="s">
        <v>337</v>
      </c>
    </row>
    <row r="395" spans="2:51" s="148" customFormat="1" x14ac:dyDescent="0.2">
      <c r="B395" s="149"/>
      <c r="D395" s="143" t="s">
        <v>346</v>
      </c>
      <c r="E395" s="150"/>
      <c r="F395" s="151" t="s">
        <v>2697</v>
      </c>
      <c r="H395" s="152">
        <v>200.9</v>
      </c>
      <c r="L395" s="149"/>
      <c r="M395" s="153"/>
      <c r="T395" s="154"/>
      <c r="AT395" s="150" t="s">
        <v>346</v>
      </c>
      <c r="AU395" s="150" t="s">
        <v>90</v>
      </c>
      <c r="AV395" s="148" t="s">
        <v>90</v>
      </c>
      <c r="AW395" s="148" t="s">
        <v>33</v>
      </c>
      <c r="AX395" s="148" t="s">
        <v>80</v>
      </c>
      <c r="AY395" s="150" t="s">
        <v>337</v>
      </c>
    </row>
    <row r="396" spans="2:51" s="141" customFormat="1" x14ac:dyDescent="0.2">
      <c r="B396" s="142"/>
      <c r="D396" s="143" t="s">
        <v>346</v>
      </c>
      <c r="E396" s="144"/>
      <c r="F396" s="145" t="s">
        <v>2698</v>
      </c>
      <c r="H396" s="144"/>
      <c r="L396" s="142"/>
      <c r="M396" s="146"/>
      <c r="T396" s="147"/>
      <c r="AT396" s="144" t="s">
        <v>346</v>
      </c>
      <c r="AU396" s="144" t="s">
        <v>90</v>
      </c>
      <c r="AV396" s="141" t="s">
        <v>87</v>
      </c>
      <c r="AW396" s="141" t="s">
        <v>33</v>
      </c>
      <c r="AX396" s="141" t="s">
        <v>80</v>
      </c>
      <c r="AY396" s="144" t="s">
        <v>337</v>
      </c>
    </row>
    <row r="397" spans="2:51" s="148" customFormat="1" x14ac:dyDescent="0.2">
      <c r="B397" s="149"/>
      <c r="D397" s="143" t="s">
        <v>346</v>
      </c>
      <c r="E397" s="150"/>
      <c r="F397" s="151" t="s">
        <v>2670</v>
      </c>
      <c r="H397" s="152">
        <v>131.9</v>
      </c>
      <c r="L397" s="149"/>
      <c r="M397" s="153"/>
      <c r="T397" s="154"/>
      <c r="AT397" s="150" t="s">
        <v>346</v>
      </c>
      <c r="AU397" s="150" t="s">
        <v>90</v>
      </c>
      <c r="AV397" s="148" t="s">
        <v>90</v>
      </c>
      <c r="AW397" s="148" t="s">
        <v>33</v>
      </c>
      <c r="AX397" s="148" t="s">
        <v>80</v>
      </c>
      <c r="AY397" s="150" t="s">
        <v>337</v>
      </c>
    </row>
    <row r="398" spans="2:51" s="141" customFormat="1" x14ac:dyDescent="0.2">
      <c r="B398" s="142"/>
      <c r="D398" s="143" t="s">
        <v>346</v>
      </c>
      <c r="E398" s="144"/>
      <c r="F398" s="145" t="s">
        <v>2699</v>
      </c>
      <c r="H398" s="144"/>
      <c r="L398" s="142"/>
      <c r="M398" s="146"/>
      <c r="T398" s="147"/>
      <c r="AT398" s="144" t="s">
        <v>346</v>
      </c>
      <c r="AU398" s="144" t="s">
        <v>90</v>
      </c>
      <c r="AV398" s="141" t="s">
        <v>87</v>
      </c>
      <c r="AW398" s="141" t="s">
        <v>33</v>
      </c>
      <c r="AX398" s="141" t="s">
        <v>80</v>
      </c>
      <c r="AY398" s="144" t="s">
        <v>337</v>
      </c>
    </row>
    <row r="399" spans="2:51" s="148" customFormat="1" x14ac:dyDescent="0.2">
      <c r="B399" s="149"/>
      <c r="D399" s="143" t="s">
        <v>346</v>
      </c>
      <c r="E399" s="150"/>
      <c r="F399" s="151" t="s">
        <v>2618</v>
      </c>
      <c r="H399" s="152">
        <v>103.5</v>
      </c>
      <c r="L399" s="149"/>
      <c r="M399" s="153"/>
      <c r="T399" s="154"/>
      <c r="AT399" s="150" t="s">
        <v>346</v>
      </c>
      <c r="AU399" s="150" t="s">
        <v>90</v>
      </c>
      <c r="AV399" s="148" t="s">
        <v>90</v>
      </c>
      <c r="AW399" s="148" t="s">
        <v>33</v>
      </c>
      <c r="AX399" s="148" t="s">
        <v>80</v>
      </c>
      <c r="AY399" s="150" t="s">
        <v>337</v>
      </c>
    </row>
    <row r="400" spans="2:51" s="141" customFormat="1" x14ac:dyDescent="0.2">
      <c r="B400" s="142"/>
      <c r="D400" s="143" t="s">
        <v>346</v>
      </c>
      <c r="E400" s="144"/>
      <c r="F400" s="145" t="s">
        <v>2700</v>
      </c>
      <c r="H400" s="144"/>
      <c r="L400" s="142"/>
      <c r="M400" s="146"/>
      <c r="T400" s="147"/>
      <c r="AT400" s="144" t="s">
        <v>346</v>
      </c>
      <c r="AU400" s="144" t="s">
        <v>90</v>
      </c>
      <c r="AV400" s="141" t="s">
        <v>87</v>
      </c>
      <c r="AW400" s="141" t="s">
        <v>33</v>
      </c>
      <c r="AX400" s="141" t="s">
        <v>80</v>
      </c>
      <c r="AY400" s="144" t="s">
        <v>337</v>
      </c>
    </row>
    <row r="401" spans="2:51" s="148" customFormat="1" x14ac:dyDescent="0.2">
      <c r="B401" s="149"/>
      <c r="D401" s="143" t="s">
        <v>346</v>
      </c>
      <c r="E401" s="150"/>
      <c r="F401" s="151" t="s">
        <v>2701</v>
      </c>
      <c r="H401" s="152">
        <v>189.4</v>
      </c>
      <c r="L401" s="149"/>
      <c r="M401" s="153"/>
      <c r="T401" s="154"/>
      <c r="AT401" s="150" t="s">
        <v>346</v>
      </c>
      <c r="AU401" s="150" t="s">
        <v>90</v>
      </c>
      <c r="AV401" s="148" t="s">
        <v>90</v>
      </c>
      <c r="AW401" s="148" t="s">
        <v>33</v>
      </c>
      <c r="AX401" s="148" t="s">
        <v>80</v>
      </c>
      <c r="AY401" s="150" t="s">
        <v>337</v>
      </c>
    </row>
    <row r="402" spans="2:51" s="141" customFormat="1" x14ac:dyDescent="0.2">
      <c r="B402" s="142"/>
      <c r="D402" s="143" t="s">
        <v>346</v>
      </c>
      <c r="E402" s="144"/>
      <c r="F402" s="145" t="s">
        <v>2702</v>
      </c>
      <c r="H402" s="144"/>
      <c r="L402" s="142"/>
      <c r="M402" s="146"/>
      <c r="T402" s="147"/>
      <c r="AT402" s="144" t="s">
        <v>346</v>
      </c>
      <c r="AU402" s="144" t="s">
        <v>90</v>
      </c>
      <c r="AV402" s="141" t="s">
        <v>87</v>
      </c>
      <c r="AW402" s="141" t="s">
        <v>33</v>
      </c>
      <c r="AX402" s="141" t="s">
        <v>80</v>
      </c>
      <c r="AY402" s="144" t="s">
        <v>337</v>
      </c>
    </row>
    <row r="403" spans="2:51" s="148" customFormat="1" x14ac:dyDescent="0.2">
      <c r="B403" s="149"/>
      <c r="D403" s="143" t="s">
        <v>346</v>
      </c>
      <c r="E403" s="150"/>
      <c r="F403" s="151" t="s">
        <v>2703</v>
      </c>
      <c r="H403" s="152">
        <v>67</v>
      </c>
      <c r="L403" s="149"/>
      <c r="M403" s="153"/>
      <c r="T403" s="154"/>
      <c r="AT403" s="150" t="s">
        <v>346</v>
      </c>
      <c r="AU403" s="150" t="s">
        <v>90</v>
      </c>
      <c r="AV403" s="148" t="s">
        <v>90</v>
      </c>
      <c r="AW403" s="148" t="s">
        <v>33</v>
      </c>
      <c r="AX403" s="148" t="s">
        <v>80</v>
      </c>
      <c r="AY403" s="150" t="s">
        <v>337</v>
      </c>
    </row>
    <row r="404" spans="2:51" s="141" customFormat="1" x14ac:dyDescent="0.2">
      <c r="B404" s="142"/>
      <c r="D404" s="143" t="s">
        <v>346</v>
      </c>
      <c r="E404" s="144"/>
      <c r="F404" s="145" t="s">
        <v>2704</v>
      </c>
      <c r="H404" s="144"/>
      <c r="L404" s="142"/>
      <c r="M404" s="146"/>
      <c r="T404" s="147"/>
      <c r="AT404" s="144" t="s">
        <v>346</v>
      </c>
      <c r="AU404" s="144" t="s">
        <v>90</v>
      </c>
      <c r="AV404" s="141" t="s">
        <v>87</v>
      </c>
      <c r="AW404" s="141" t="s">
        <v>33</v>
      </c>
      <c r="AX404" s="141" t="s">
        <v>80</v>
      </c>
      <c r="AY404" s="144" t="s">
        <v>337</v>
      </c>
    </row>
    <row r="405" spans="2:51" s="148" customFormat="1" x14ac:dyDescent="0.2">
      <c r="B405" s="149"/>
      <c r="D405" s="143" t="s">
        <v>346</v>
      </c>
      <c r="E405" s="150"/>
      <c r="F405" s="151" t="s">
        <v>2705</v>
      </c>
      <c r="H405" s="152">
        <v>38.4</v>
      </c>
      <c r="L405" s="149"/>
      <c r="M405" s="153"/>
      <c r="T405" s="154"/>
      <c r="AT405" s="150" t="s">
        <v>346</v>
      </c>
      <c r="AU405" s="150" t="s">
        <v>90</v>
      </c>
      <c r="AV405" s="148" t="s">
        <v>90</v>
      </c>
      <c r="AW405" s="148" t="s">
        <v>33</v>
      </c>
      <c r="AX405" s="148" t="s">
        <v>80</v>
      </c>
      <c r="AY405" s="150" t="s">
        <v>337</v>
      </c>
    </row>
    <row r="406" spans="2:51" s="141" customFormat="1" x14ac:dyDescent="0.2">
      <c r="B406" s="142"/>
      <c r="D406" s="143" t="s">
        <v>346</v>
      </c>
      <c r="E406" s="144"/>
      <c r="F406" s="145" t="s">
        <v>2706</v>
      </c>
      <c r="H406" s="144"/>
      <c r="L406" s="142"/>
      <c r="M406" s="146"/>
      <c r="T406" s="147"/>
      <c r="AT406" s="144" t="s">
        <v>346</v>
      </c>
      <c r="AU406" s="144" t="s">
        <v>90</v>
      </c>
      <c r="AV406" s="141" t="s">
        <v>87</v>
      </c>
      <c r="AW406" s="141" t="s">
        <v>33</v>
      </c>
      <c r="AX406" s="141" t="s">
        <v>80</v>
      </c>
      <c r="AY406" s="144" t="s">
        <v>337</v>
      </c>
    </row>
    <row r="407" spans="2:51" s="148" customFormat="1" x14ac:dyDescent="0.2">
      <c r="B407" s="149"/>
      <c r="D407" s="143" t="s">
        <v>346</v>
      </c>
      <c r="E407" s="150"/>
      <c r="F407" s="151" t="s">
        <v>2707</v>
      </c>
      <c r="H407" s="152">
        <v>72.099999999999994</v>
      </c>
      <c r="L407" s="149"/>
      <c r="M407" s="153"/>
      <c r="T407" s="154"/>
      <c r="AT407" s="150" t="s">
        <v>346</v>
      </c>
      <c r="AU407" s="150" t="s">
        <v>90</v>
      </c>
      <c r="AV407" s="148" t="s">
        <v>90</v>
      </c>
      <c r="AW407" s="148" t="s">
        <v>33</v>
      </c>
      <c r="AX407" s="148" t="s">
        <v>80</v>
      </c>
      <c r="AY407" s="150" t="s">
        <v>337</v>
      </c>
    </row>
    <row r="408" spans="2:51" s="141" customFormat="1" x14ac:dyDescent="0.2">
      <c r="B408" s="142"/>
      <c r="D408" s="143" t="s">
        <v>346</v>
      </c>
      <c r="E408" s="144"/>
      <c r="F408" s="145" t="s">
        <v>2708</v>
      </c>
      <c r="H408" s="144"/>
      <c r="L408" s="142"/>
      <c r="M408" s="146"/>
      <c r="T408" s="147"/>
      <c r="AT408" s="144" t="s">
        <v>346</v>
      </c>
      <c r="AU408" s="144" t="s">
        <v>90</v>
      </c>
      <c r="AV408" s="141" t="s">
        <v>87</v>
      </c>
      <c r="AW408" s="141" t="s">
        <v>33</v>
      </c>
      <c r="AX408" s="141" t="s">
        <v>80</v>
      </c>
      <c r="AY408" s="144" t="s">
        <v>337</v>
      </c>
    </row>
    <row r="409" spans="2:51" s="148" customFormat="1" x14ac:dyDescent="0.2">
      <c r="B409" s="149"/>
      <c r="D409" s="143" t="s">
        <v>346</v>
      </c>
      <c r="E409" s="150"/>
      <c r="F409" s="151" t="s">
        <v>2709</v>
      </c>
      <c r="H409" s="152">
        <v>186.7</v>
      </c>
      <c r="L409" s="149"/>
      <c r="M409" s="153"/>
      <c r="T409" s="154"/>
      <c r="AT409" s="150" t="s">
        <v>346</v>
      </c>
      <c r="AU409" s="150" t="s">
        <v>90</v>
      </c>
      <c r="AV409" s="148" t="s">
        <v>90</v>
      </c>
      <c r="AW409" s="148" t="s">
        <v>33</v>
      </c>
      <c r="AX409" s="148" t="s">
        <v>80</v>
      </c>
      <c r="AY409" s="150" t="s">
        <v>337</v>
      </c>
    </row>
    <row r="410" spans="2:51" s="141" customFormat="1" x14ac:dyDescent="0.2">
      <c r="B410" s="142"/>
      <c r="D410" s="143" t="s">
        <v>346</v>
      </c>
      <c r="E410" s="144"/>
      <c r="F410" s="145" t="s">
        <v>2710</v>
      </c>
      <c r="H410" s="144"/>
      <c r="L410" s="142"/>
      <c r="M410" s="146"/>
      <c r="T410" s="147"/>
      <c r="AT410" s="144" t="s">
        <v>346</v>
      </c>
      <c r="AU410" s="144" t="s">
        <v>90</v>
      </c>
      <c r="AV410" s="141" t="s">
        <v>87</v>
      </c>
      <c r="AW410" s="141" t="s">
        <v>33</v>
      </c>
      <c r="AX410" s="141" t="s">
        <v>80</v>
      </c>
      <c r="AY410" s="144" t="s">
        <v>337</v>
      </c>
    </row>
    <row r="411" spans="2:51" s="148" customFormat="1" x14ac:dyDescent="0.2">
      <c r="B411" s="149"/>
      <c r="D411" s="143" t="s">
        <v>346</v>
      </c>
      <c r="E411" s="150"/>
      <c r="F411" s="151" t="s">
        <v>2711</v>
      </c>
      <c r="H411" s="152">
        <v>102.4</v>
      </c>
      <c r="L411" s="149"/>
      <c r="M411" s="153"/>
      <c r="T411" s="154"/>
      <c r="AT411" s="150" t="s">
        <v>346</v>
      </c>
      <c r="AU411" s="150" t="s">
        <v>90</v>
      </c>
      <c r="AV411" s="148" t="s">
        <v>90</v>
      </c>
      <c r="AW411" s="148" t="s">
        <v>33</v>
      </c>
      <c r="AX411" s="148" t="s">
        <v>80</v>
      </c>
      <c r="AY411" s="150" t="s">
        <v>337</v>
      </c>
    </row>
    <row r="412" spans="2:51" s="141" customFormat="1" x14ac:dyDescent="0.2">
      <c r="B412" s="142"/>
      <c r="D412" s="143" t="s">
        <v>346</v>
      </c>
      <c r="E412" s="144"/>
      <c r="F412" s="145" t="s">
        <v>2712</v>
      </c>
      <c r="H412" s="144"/>
      <c r="L412" s="142"/>
      <c r="M412" s="146"/>
      <c r="T412" s="147"/>
      <c r="AT412" s="144" t="s">
        <v>346</v>
      </c>
      <c r="AU412" s="144" t="s">
        <v>90</v>
      </c>
      <c r="AV412" s="141" t="s">
        <v>87</v>
      </c>
      <c r="AW412" s="141" t="s">
        <v>33</v>
      </c>
      <c r="AX412" s="141" t="s">
        <v>80</v>
      </c>
      <c r="AY412" s="144" t="s">
        <v>337</v>
      </c>
    </row>
    <row r="413" spans="2:51" s="148" customFormat="1" x14ac:dyDescent="0.2">
      <c r="B413" s="149"/>
      <c r="D413" s="143" t="s">
        <v>346</v>
      </c>
      <c r="E413" s="150"/>
      <c r="F413" s="151" t="s">
        <v>2713</v>
      </c>
      <c r="H413" s="152">
        <v>3.1</v>
      </c>
      <c r="L413" s="149"/>
      <c r="M413" s="153"/>
      <c r="T413" s="154"/>
      <c r="AT413" s="150" t="s">
        <v>346</v>
      </c>
      <c r="AU413" s="150" t="s">
        <v>90</v>
      </c>
      <c r="AV413" s="148" t="s">
        <v>90</v>
      </c>
      <c r="AW413" s="148" t="s">
        <v>33</v>
      </c>
      <c r="AX413" s="148" t="s">
        <v>80</v>
      </c>
      <c r="AY413" s="150" t="s">
        <v>337</v>
      </c>
    </row>
    <row r="414" spans="2:51" s="141" customFormat="1" x14ac:dyDescent="0.2">
      <c r="B414" s="142"/>
      <c r="D414" s="143" t="s">
        <v>346</v>
      </c>
      <c r="E414" s="144"/>
      <c r="F414" s="145" t="s">
        <v>2714</v>
      </c>
      <c r="H414" s="144"/>
      <c r="L414" s="142"/>
      <c r="M414" s="146"/>
      <c r="T414" s="147"/>
      <c r="AT414" s="144" t="s">
        <v>346</v>
      </c>
      <c r="AU414" s="144" t="s">
        <v>90</v>
      </c>
      <c r="AV414" s="141" t="s">
        <v>87</v>
      </c>
      <c r="AW414" s="141" t="s">
        <v>33</v>
      </c>
      <c r="AX414" s="141" t="s">
        <v>80</v>
      </c>
      <c r="AY414" s="144" t="s">
        <v>337</v>
      </c>
    </row>
    <row r="415" spans="2:51" s="148" customFormat="1" x14ac:dyDescent="0.2">
      <c r="B415" s="149"/>
      <c r="D415" s="143" t="s">
        <v>346</v>
      </c>
      <c r="E415" s="150"/>
      <c r="F415" s="151" t="s">
        <v>2715</v>
      </c>
      <c r="H415" s="152">
        <v>6.6</v>
      </c>
      <c r="L415" s="149"/>
      <c r="M415" s="153"/>
      <c r="T415" s="154"/>
      <c r="AT415" s="150" t="s">
        <v>346</v>
      </c>
      <c r="AU415" s="150" t="s">
        <v>90</v>
      </c>
      <c r="AV415" s="148" t="s">
        <v>90</v>
      </c>
      <c r="AW415" s="148" t="s">
        <v>33</v>
      </c>
      <c r="AX415" s="148" t="s">
        <v>80</v>
      </c>
      <c r="AY415" s="150" t="s">
        <v>337</v>
      </c>
    </row>
    <row r="416" spans="2:51" s="141" customFormat="1" x14ac:dyDescent="0.2">
      <c r="B416" s="142"/>
      <c r="D416" s="143" t="s">
        <v>346</v>
      </c>
      <c r="E416" s="144"/>
      <c r="F416" s="145" t="s">
        <v>2716</v>
      </c>
      <c r="H416" s="144"/>
      <c r="L416" s="142"/>
      <c r="M416" s="146"/>
      <c r="T416" s="147"/>
      <c r="AT416" s="144" t="s">
        <v>346</v>
      </c>
      <c r="AU416" s="144" t="s">
        <v>90</v>
      </c>
      <c r="AV416" s="141" t="s">
        <v>87</v>
      </c>
      <c r="AW416" s="141" t="s">
        <v>33</v>
      </c>
      <c r="AX416" s="141" t="s">
        <v>80</v>
      </c>
      <c r="AY416" s="144" t="s">
        <v>337</v>
      </c>
    </row>
    <row r="417" spans="2:51" s="148" customFormat="1" x14ac:dyDescent="0.2">
      <c r="B417" s="149"/>
      <c r="D417" s="143" t="s">
        <v>346</v>
      </c>
      <c r="E417" s="150"/>
      <c r="F417" s="151" t="s">
        <v>2688</v>
      </c>
      <c r="H417" s="152">
        <v>10</v>
      </c>
      <c r="L417" s="149"/>
      <c r="M417" s="153"/>
      <c r="T417" s="154"/>
      <c r="AT417" s="150" t="s">
        <v>346</v>
      </c>
      <c r="AU417" s="150" t="s">
        <v>90</v>
      </c>
      <c r="AV417" s="148" t="s">
        <v>90</v>
      </c>
      <c r="AW417" s="148" t="s">
        <v>33</v>
      </c>
      <c r="AX417" s="148" t="s">
        <v>80</v>
      </c>
      <c r="AY417" s="150" t="s">
        <v>337</v>
      </c>
    </row>
    <row r="418" spans="2:51" s="141" customFormat="1" x14ac:dyDescent="0.2">
      <c r="B418" s="142"/>
      <c r="D418" s="143" t="s">
        <v>346</v>
      </c>
      <c r="E418" s="144"/>
      <c r="F418" s="145" t="s">
        <v>2717</v>
      </c>
      <c r="H418" s="144"/>
      <c r="L418" s="142"/>
      <c r="M418" s="146"/>
      <c r="T418" s="147"/>
      <c r="AT418" s="144" t="s">
        <v>346</v>
      </c>
      <c r="AU418" s="144" t="s">
        <v>90</v>
      </c>
      <c r="AV418" s="141" t="s">
        <v>87</v>
      </c>
      <c r="AW418" s="141" t="s">
        <v>33</v>
      </c>
      <c r="AX418" s="141" t="s">
        <v>80</v>
      </c>
      <c r="AY418" s="144" t="s">
        <v>337</v>
      </c>
    </row>
    <row r="419" spans="2:51" s="148" customFormat="1" x14ac:dyDescent="0.2">
      <c r="B419" s="149"/>
      <c r="D419" s="143" t="s">
        <v>346</v>
      </c>
      <c r="E419" s="150"/>
      <c r="F419" s="151" t="s">
        <v>2718</v>
      </c>
      <c r="H419" s="152">
        <v>9</v>
      </c>
      <c r="L419" s="149"/>
      <c r="M419" s="153"/>
      <c r="T419" s="154"/>
      <c r="AT419" s="150" t="s">
        <v>346</v>
      </c>
      <c r="AU419" s="150" t="s">
        <v>90</v>
      </c>
      <c r="AV419" s="148" t="s">
        <v>90</v>
      </c>
      <c r="AW419" s="148" t="s">
        <v>33</v>
      </c>
      <c r="AX419" s="148" t="s">
        <v>80</v>
      </c>
      <c r="AY419" s="150" t="s">
        <v>337</v>
      </c>
    </row>
    <row r="420" spans="2:51" s="141" customFormat="1" x14ac:dyDescent="0.2">
      <c r="B420" s="142"/>
      <c r="D420" s="143" t="s">
        <v>346</v>
      </c>
      <c r="E420" s="144"/>
      <c r="F420" s="145" t="s">
        <v>2719</v>
      </c>
      <c r="H420" s="144"/>
      <c r="L420" s="142"/>
      <c r="M420" s="146"/>
      <c r="T420" s="147"/>
      <c r="AT420" s="144" t="s">
        <v>346</v>
      </c>
      <c r="AU420" s="144" t="s">
        <v>90</v>
      </c>
      <c r="AV420" s="141" t="s">
        <v>87</v>
      </c>
      <c r="AW420" s="141" t="s">
        <v>33</v>
      </c>
      <c r="AX420" s="141" t="s">
        <v>80</v>
      </c>
      <c r="AY420" s="144" t="s">
        <v>337</v>
      </c>
    </row>
    <row r="421" spans="2:51" s="148" customFormat="1" x14ac:dyDescent="0.2">
      <c r="B421" s="149"/>
      <c r="D421" s="143" t="s">
        <v>346</v>
      </c>
      <c r="E421" s="150"/>
      <c r="F421" s="151" t="s">
        <v>2720</v>
      </c>
      <c r="H421" s="152">
        <v>7.1</v>
      </c>
      <c r="L421" s="149"/>
      <c r="M421" s="153"/>
      <c r="T421" s="154"/>
      <c r="AT421" s="150" t="s">
        <v>346</v>
      </c>
      <c r="AU421" s="150" t="s">
        <v>90</v>
      </c>
      <c r="AV421" s="148" t="s">
        <v>90</v>
      </c>
      <c r="AW421" s="148" t="s">
        <v>33</v>
      </c>
      <c r="AX421" s="148" t="s">
        <v>80</v>
      </c>
      <c r="AY421" s="150" t="s">
        <v>337</v>
      </c>
    </row>
    <row r="422" spans="2:51" s="141" customFormat="1" x14ac:dyDescent="0.2">
      <c r="B422" s="142"/>
      <c r="D422" s="143" t="s">
        <v>346</v>
      </c>
      <c r="E422" s="144"/>
      <c r="F422" s="145" t="s">
        <v>2721</v>
      </c>
      <c r="H422" s="144"/>
      <c r="L422" s="142"/>
      <c r="M422" s="146"/>
      <c r="T422" s="147"/>
      <c r="AT422" s="144" t="s">
        <v>346</v>
      </c>
      <c r="AU422" s="144" t="s">
        <v>90</v>
      </c>
      <c r="AV422" s="141" t="s">
        <v>87</v>
      </c>
      <c r="AW422" s="141" t="s">
        <v>33</v>
      </c>
      <c r="AX422" s="141" t="s">
        <v>80</v>
      </c>
      <c r="AY422" s="144" t="s">
        <v>337</v>
      </c>
    </row>
    <row r="423" spans="2:51" s="148" customFormat="1" x14ac:dyDescent="0.2">
      <c r="B423" s="149"/>
      <c r="D423" s="143" t="s">
        <v>346</v>
      </c>
      <c r="E423" s="150"/>
      <c r="F423" s="151" t="s">
        <v>2694</v>
      </c>
      <c r="H423" s="152">
        <v>75.400000000000006</v>
      </c>
      <c r="L423" s="149"/>
      <c r="M423" s="153"/>
      <c r="T423" s="154"/>
      <c r="AT423" s="150" t="s">
        <v>346</v>
      </c>
      <c r="AU423" s="150" t="s">
        <v>90</v>
      </c>
      <c r="AV423" s="148" t="s">
        <v>90</v>
      </c>
      <c r="AW423" s="148" t="s">
        <v>33</v>
      </c>
      <c r="AX423" s="148" t="s">
        <v>80</v>
      </c>
      <c r="AY423" s="150" t="s">
        <v>337</v>
      </c>
    </row>
    <row r="424" spans="2:51" s="141" customFormat="1" x14ac:dyDescent="0.2">
      <c r="B424" s="142"/>
      <c r="D424" s="143" t="s">
        <v>346</v>
      </c>
      <c r="E424" s="144"/>
      <c r="F424" s="145" t="s">
        <v>2722</v>
      </c>
      <c r="H424" s="144"/>
      <c r="L424" s="142"/>
      <c r="M424" s="146"/>
      <c r="T424" s="147"/>
      <c r="AT424" s="144" t="s">
        <v>346</v>
      </c>
      <c r="AU424" s="144" t="s">
        <v>90</v>
      </c>
      <c r="AV424" s="141" t="s">
        <v>87</v>
      </c>
      <c r="AW424" s="141" t="s">
        <v>33</v>
      </c>
      <c r="AX424" s="141" t="s">
        <v>80</v>
      </c>
      <c r="AY424" s="144" t="s">
        <v>337</v>
      </c>
    </row>
    <row r="425" spans="2:51" s="141" customFormat="1" x14ac:dyDescent="0.2">
      <c r="B425" s="142"/>
      <c r="D425" s="143" t="s">
        <v>346</v>
      </c>
      <c r="E425" s="144"/>
      <c r="F425" s="145" t="s">
        <v>2723</v>
      </c>
      <c r="H425" s="144"/>
      <c r="L425" s="142"/>
      <c r="M425" s="146"/>
      <c r="T425" s="147"/>
      <c r="AT425" s="144" t="s">
        <v>346</v>
      </c>
      <c r="AU425" s="144" t="s">
        <v>90</v>
      </c>
      <c r="AV425" s="141" t="s">
        <v>87</v>
      </c>
      <c r="AW425" s="141" t="s">
        <v>33</v>
      </c>
      <c r="AX425" s="141" t="s">
        <v>80</v>
      </c>
      <c r="AY425" s="144" t="s">
        <v>337</v>
      </c>
    </row>
    <row r="426" spans="2:51" s="148" customFormat="1" x14ac:dyDescent="0.2">
      <c r="B426" s="149"/>
      <c r="D426" s="143" t="s">
        <v>346</v>
      </c>
      <c r="E426" s="150"/>
      <c r="F426" s="151" t="s">
        <v>2697</v>
      </c>
      <c r="H426" s="152">
        <v>200.9</v>
      </c>
      <c r="L426" s="149"/>
      <c r="M426" s="153"/>
      <c r="T426" s="154"/>
      <c r="AT426" s="150" t="s">
        <v>346</v>
      </c>
      <c r="AU426" s="150" t="s">
        <v>90</v>
      </c>
      <c r="AV426" s="148" t="s">
        <v>90</v>
      </c>
      <c r="AW426" s="148" t="s">
        <v>33</v>
      </c>
      <c r="AX426" s="148" t="s">
        <v>80</v>
      </c>
      <c r="AY426" s="150" t="s">
        <v>337</v>
      </c>
    </row>
    <row r="427" spans="2:51" s="141" customFormat="1" x14ac:dyDescent="0.2">
      <c r="B427" s="142"/>
      <c r="D427" s="143" t="s">
        <v>346</v>
      </c>
      <c r="E427" s="144"/>
      <c r="F427" s="145" t="s">
        <v>2724</v>
      </c>
      <c r="H427" s="144"/>
      <c r="L427" s="142"/>
      <c r="M427" s="146"/>
      <c r="T427" s="147"/>
      <c r="AT427" s="144" t="s">
        <v>346</v>
      </c>
      <c r="AU427" s="144" t="s">
        <v>90</v>
      </c>
      <c r="AV427" s="141" t="s">
        <v>87</v>
      </c>
      <c r="AW427" s="141" t="s">
        <v>33</v>
      </c>
      <c r="AX427" s="141" t="s">
        <v>80</v>
      </c>
      <c r="AY427" s="144" t="s">
        <v>337</v>
      </c>
    </row>
    <row r="428" spans="2:51" s="148" customFormat="1" x14ac:dyDescent="0.2">
      <c r="B428" s="149"/>
      <c r="D428" s="143" t="s">
        <v>346</v>
      </c>
      <c r="E428" s="150"/>
      <c r="F428" s="151" t="s">
        <v>2725</v>
      </c>
      <c r="H428" s="152">
        <v>401.7</v>
      </c>
      <c r="L428" s="149"/>
      <c r="M428" s="153"/>
      <c r="T428" s="154"/>
      <c r="AT428" s="150" t="s">
        <v>346</v>
      </c>
      <c r="AU428" s="150" t="s">
        <v>90</v>
      </c>
      <c r="AV428" s="148" t="s">
        <v>90</v>
      </c>
      <c r="AW428" s="148" t="s">
        <v>33</v>
      </c>
      <c r="AX428" s="148" t="s">
        <v>80</v>
      </c>
      <c r="AY428" s="150" t="s">
        <v>337</v>
      </c>
    </row>
    <row r="429" spans="2:51" s="141" customFormat="1" x14ac:dyDescent="0.2">
      <c r="B429" s="142"/>
      <c r="D429" s="143" t="s">
        <v>346</v>
      </c>
      <c r="E429" s="144"/>
      <c r="F429" s="145" t="s">
        <v>2726</v>
      </c>
      <c r="H429" s="144"/>
      <c r="L429" s="142"/>
      <c r="M429" s="146"/>
      <c r="T429" s="147"/>
      <c r="AT429" s="144" t="s">
        <v>346</v>
      </c>
      <c r="AU429" s="144" t="s">
        <v>90</v>
      </c>
      <c r="AV429" s="141" t="s">
        <v>87</v>
      </c>
      <c r="AW429" s="141" t="s">
        <v>33</v>
      </c>
      <c r="AX429" s="141" t="s">
        <v>80</v>
      </c>
      <c r="AY429" s="144" t="s">
        <v>337</v>
      </c>
    </row>
    <row r="430" spans="2:51" s="148" customFormat="1" x14ac:dyDescent="0.2">
      <c r="B430" s="149"/>
      <c r="D430" s="143" t="s">
        <v>346</v>
      </c>
      <c r="E430" s="150"/>
      <c r="F430" s="151" t="s">
        <v>2670</v>
      </c>
      <c r="H430" s="152">
        <v>131.9</v>
      </c>
      <c r="L430" s="149"/>
      <c r="M430" s="153"/>
      <c r="T430" s="154"/>
      <c r="AT430" s="150" t="s">
        <v>346</v>
      </c>
      <c r="AU430" s="150" t="s">
        <v>90</v>
      </c>
      <c r="AV430" s="148" t="s">
        <v>90</v>
      </c>
      <c r="AW430" s="148" t="s">
        <v>33</v>
      </c>
      <c r="AX430" s="148" t="s">
        <v>80</v>
      </c>
      <c r="AY430" s="150" t="s">
        <v>337</v>
      </c>
    </row>
    <row r="431" spans="2:51" s="141" customFormat="1" x14ac:dyDescent="0.2">
      <c r="B431" s="142"/>
      <c r="D431" s="143" t="s">
        <v>346</v>
      </c>
      <c r="E431" s="144"/>
      <c r="F431" s="145" t="s">
        <v>2727</v>
      </c>
      <c r="H431" s="144"/>
      <c r="L431" s="142"/>
      <c r="M431" s="146"/>
      <c r="T431" s="147"/>
      <c r="AT431" s="144" t="s">
        <v>346</v>
      </c>
      <c r="AU431" s="144" t="s">
        <v>90</v>
      </c>
      <c r="AV431" s="141" t="s">
        <v>87</v>
      </c>
      <c r="AW431" s="141" t="s">
        <v>33</v>
      </c>
      <c r="AX431" s="141" t="s">
        <v>80</v>
      </c>
      <c r="AY431" s="144" t="s">
        <v>337</v>
      </c>
    </row>
    <row r="432" spans="2:51" s="148" customFormat="1" x14ac:dyDescent="0.2">
      <c r="B432" s="149"/>
      <c r="D432" s="143" t="s">
        <v>346</v>
      </c>
      <c r="E432" s="150"/>
      <c r="F432" s="151" t="s">
        <v>2618</v>
      </c>
      <c r="H432" s="152">
        <v>103.5</v>
      </c>
      <c r="L432" s="149"/>
      <c r="M432" s="153"/>
      <c r="T432" s="154"/>
      <c r="AT432" s="150" t="s">
        <v>346</v>
      </c>
      <c r="AU432" s="150" t="s">
        <v>90</v>
      </c>
      <c r="AV432" s="148" t="s">
        <v>90</v>
      </c>
      <c r="AW432" s="148" t="s">
        <v>33</v>
      </c>
      <c r="AX432" s="148" t="s">
        <v>80</v>
      </c>
      <c r="AY432" s="150" t="s">
        <v>337</v>
      </c>
    </row>
    <row r="433" spans="2:51" s="141" customFormat="1" x14ac:dyDescent="0.2">
      <c r="B433" s="142"/>
      <c r="D433" s="143" t="s">
        <v>346</v>
      </c>
      <c r="E433" s="144"/>
      <c r="F433" s="145" t="s">
        <v>2728</v>
      </c>
      <c r="H433" s="144"/>
      <c r="L433" s="142"/>
      <c r="M433" s="146"/>
      <c r="T433" s="147"/>
      <c r="AT433" s="144" t="s">
        <v>346</v>
      </c>
      <c r="AU433" s="144" t="s">
        <v>90</v>
      </c>
      <c r="AV433" s="141" t="s">
        <v>87</v>
      </c>
      <c r="AW433" s="141" t="s">
        <v>33</v>
      </c>
      <c r="AX433" s="141" t="s">
        <v>80</v>
      </c>
      <c r="AY433" s="144" t="s">
        <v>337</v>
      </c>
    </row>
    <row r="434" spans="2:51" s="148" customFormat="1" x14ac:dyDescent="0.2">
      <c r="B434" s="149"/>
      <c r="D434" s="143" t="s">
        <v>346</v>
      </c>
      <c r="E434" s="150"/>
      <c r="F434" s="151" t="s">
        <v>2729</v>
      </c>
      <c r="H434" s="152">
        <v>188.1</v>
      </c>
      <c r="L434" s="149"/>
      <c r="M434" s="153"/>
      <c r="T434" s="154"/>
      <c r="AT434" s="150" t="s">
        <v>346</v>
      </c>
      <c r="AU434" s="150" t="s">
        <v>90</v>
      </c>
      <c r="AV434" s="148" t="s">
        <v>90</v>
      </c>
      <c r="AW434" s="148" t="s">
        <v>33</v>
      </c>
      <c r="AX434" s="148" t="s">
        <v>80</v>
      </c>
      <c r="AY434" s="150" t="s">
        <v>337</v>
      </c>
    </row>
    <row r="435" spans="2:51" s="141" customFormat="1" x14ac:dyDescent="0.2">
      <c r="B435" s="142"/>
      <c r="D435" s="143" t="s">
        <v>346</v>
      </c>
      <c r="E435" s="144"/>
      <c r="F435" s="145" t="s">
        <v>2730</v>
      </c>
      <c r="H435" s="144"/>
      <c r="L435" s="142"/>
      <c r="M435" s="146"/>
      <c r="T435" s="147"/>
      <c r="AT435" s="144" t="s">
        <v>346</v>
      </c>
      <c r="AU435" s="144" t="s">
        <v>90</v>
      </c>
      <c r="AV435" s="141" t="s">
        <v>87</v>
      </c>
      <c r="AW435" s="141" t="s">
        <v>33</v>
      </c>
      <c r="AX435" s="141" t="s">
        <v>80</v>
      </c>
      <c r="AY435" s="144" t="s">
        <v>337</v>
      </c>
    </row>
    <row r="436" spans="2:51" s="148" customFormat="1" x14ac:dyDescent="0.2">
      <c r="B436" s="149"/>
      <c r="D436" s="143" t="s">
        <v>346</v>
      </c>
      <c r="E436" s="150"/>
      <c r="F436" s="151" t="s">
        <v>2731</v>
      </c>
      <c r="H436" s="152">
        <v>68.900000000000006</v>
      </c>
      <c r="L436" s="149"/>
      <c r="M436" s="153"/>
      <c r="T436" s="154"/>
      <c r="AT436" s="150" t="s">
        <v>346</v>
      </c>
      <c r="AU436" s="150" t="s">
        <v>90</v>
      </c>
      <c r="AV436" s="148" t="s">
        <v>90</v>
      </c>
      <c r="AW436" s="148" t="s">
        <v>33</v>
      </c>
      <c r="AX436" s="148" t="s">
        <v>80</v>
      </c>
      <c r="AY436" s="150" t="s">
        <v>337</v>
      </c>
    </row>
    <row r="437" spans="2:51" s="141" customFormat="1" x14ac:dyDescent="0.2">
      <c r="B437" s="142"/>
      <c r="D437" s="143" t="s">
        <v>346</v>
      </c>
      <c r="E437" s="144"/>
      <c r="F437" s="145" t="s">
        <v>2732</v>
      </c>
      <c r="H437" s="144"/>
      <c r="L437" s="142"/>
      <c r="M437" s="146"/>
      <c r="T437" s="147"/>
      <c r="AT437" s="144" t="s">
        <v>346</v>
      </c>
      <c r="AU437" s="144" t="s">
        <v>90</v>
      </c>
      <c r="AV437" s="141" t="s">
        <v>87</v>
      </c>
      <c r="AW437" s="141" t="s">
        <v>33</v>
      </c>
      <c r="AX437" s="141" t="s">
        <v>80</v>
      </c>
      <c r="AY437" s="144" t="s">
        <v>337</v>
      </c>
    </row>
    <row r="438" spans="2:51" s="148" customFormat="1" x14ac:dyDescent="0.2">
      <c r="B438" s="149"/>
      <c r="D438" s="143" t="s">
        <v>346</v>
      </c>
      <c r="E438" s="150"/>
      <c r="F438" s="151" t="s">
        <v>2705</v>
      </c>
      <c r="H438" s="152">
        <v>38.4</v>
      </c>
      <c r="L438" s="149"/>
      <c r="M438" s="153"/>
      <c r="T438" s="154"/>
      <c r="AT438" s="150" t="s">
        <v>346</v>
      </c>
      <c r="AU438" s="150" t="s">
        <v>90</v>
      </c>
      <c r="AV438" s="148" t="s">
        <v>90</v>
      </c>
      <c r="AW438" s="148" t="s">
        <v>33</v>
      </c>
      <c r="AX438" s="148" t="s">
        <v>80</v>
      </c>
      <c r="AY438" s="150" t="s">
        <v>337</v>
      </c>
    </row>
    <row r="439" spans="2:51" s="141" customFormat="1" x14ac:dyDescent="0.2">
      <c r="B439" s="142"/>
      <c r="D439" s="143" t="s">
        <v>346</v>
      </c>
      <c r="E439" s="144"/>
      <c r="F439" s="145" t="s">
        <v>2733</v>
      </c>
      <c r="H439" s="144"/>
      <c r="L439" s="142"/>
      <c r="M439" s="146"/>
      <c r="T439" s="147"/>
      <c r="AT439" s="144" t="s">
        <v>346</v>
      </c>
      <c r="AU439" s="144" t="s">
        <v>90</v>
      </c>
      <c r="AV439" s="141" t="s">
        <v>87</v>
      </c>
      <c r="AW439" s="141" t="s">
        <v>33</v>
      </c>
      <c r="AX439" s="141" t="s">
        <v>80</v>
      </c>
      <c r="AY439" s="144" t="s">
        <v>337</v>
      </c>
    </row>
    <row r="440" spans="2:51" s="148" customFormat="1" x14ac:dyDescent="0.2">
      <c r="B440" s="149"/>
      <c r="D440" s="143" t="s">
        <v>346</v>
      </c>
      <c r="E440" s="150"/>
      <c r="F440" s="151" t="s">
        <v>2707</v>
      </c>
      <c r="H440" s="152">
        <v>72.099999999999994</v>
      </c>
      <c r="L440" s="149"/>
      <c r="M440" s="153"/>
      <c r="T440" s="154"/>
      <c r="AT440" s="150" t="s">
        <v>346</v>
      </c>
      <c r="AU440" s="150" t="s">
        <v>90</v>
      </c>
      <c r="AV440" s="148" t="s">
        <v>90</v>
      </c>
      <c r="AW440" s="148" t="s">
        <v>33</v>
      </c>
      <c r="AX440" s="148" t="s">
        <v>80</v>
      </c>
      <c r="AY440" s="150" t="s">
        <v>337</v>
      </c>
    </row>
    <row r="441" spans="2:51" s="141" customFormat="1" x14ac:dyDescent="0.2">
      <c r="B441" s="142"/>
      <c r="D441" s="143" t="s">
        <v>346</v>
      </c>
      <c r="E441" s="144"/>
      <c r="F441" s="145" t="s">
        <v>2734</v>
      </c>
      <c r="H441" s="144"/>
      <c r="L441" s="142"/>
      <c r="M441" s="146"/>
      <c r="T441" s="147"/>
      <c r="AT441" s="144" t="s">
        <v>346</v>
      </c>
      <c r="AU441" s="144" t="s">
        <v>90</v>
      </c>
      <c r="AV441" s="141" t="s">
        <v>87</v>
      </c>
      <c r="AW441" s="141" t="s">
        <v>33</v>
      </c>
      <c r="AX441" s="141" t="s">
        <v>80</v>
      </c>
      <c r="AY441" s="144" t="s">
        <v>337</v>
      </c>
    </row>
    <row r="442" spans="2:51" s="148" customFormat="1" x14ac:dyDescent="0.2">
      <c r="B442" s="149"/>
      <c r="D442" s="143" t="s">
        <v>346</v>
      </c>
      <c r="E442" s="150"/>
      <c r="F442" s="151" t="s">
        <v>2709</v>
      </c>
      <c r="H442" s="152">
        <v>186.7</v>
      </c>
      <c r="L442" s="149"/>
      <c r="M442" s="153"/>
      <c r="T442" s="154"/>
      <c r="AT442" s="150" t="s">
        <v>346</v>
      </c>
      <c r="AU442" s="150" t="s">
        <v>90</v>
      </c>
      <c r="AV442" s="148" t="s">
        <v>90</v>
      </c>
      <c r="AW442" s="148" t="s">
        <v>33</v>
      </c>
      <c r="AX442" s="148" t="s">
        <v>80</v>
      </c>
      <c r="AY442" s="150" t="s">
        <v>337</v>
      </c>
    </row>
    <row r="443" spans="2:51" s="141" customFormat="1" x14ac:dyDescent="0.2">
      <c r="B443" s="142"/>
      <c r="D443" s="143" t="s">
        <v>346</v>
      </c>
      <c r="E443" s="144"/>
      <c r="F443" s="145" t="s">
        <v>2735</v>
      </c>
      <c r="H443" s="144"/>
      <c r="L443" s="142"/>
      <c r="M443" s="146"/>
      <c r="T443" s="147"/>
      <c r="AT443" s="144" t="s">
        <v>346</v>
      </c>
      <c r="AU443" s="144" t="s">
        <v>90</v>
      </c>
      <c r="AV443" s="141" t="s">
        <v>87</v>
      </c>
      <c r="AW443" s="141" t="s">
        <v>33</v>
      </c>
      <c r="AX443" s="141" t="s">
        <v>80</v>
      </c>
      <c r="AY443" s="144" t="s">
        <v>337</v>
      </c>
    </row>
    <row r="444" spans="2:51" s="148" customFormat="1" x14ac:dyDescent="0.2">
      <c r="B444" s="149"/>
      <c r="D444" s="143" t="s">
        <v>346</v>
      </c>
      <c r="E444" s="150"/>
      <c r="F444" s="151" t="s">
        <v>2711</v>
      </c>
      <c r="H444" s="152">
        <v>102.4</v>
      </c>
      <c r="L444" s="149"/>
      <c r="M444" s="153"/>
      <c r="T444" s="154"/>
      <c r="AT444" s="150" t="s">
        <v>346</v>
      </c>
      <c r="AU444" s="150" t="s">
        <v>90</v>
      </c>
      <c r="AV444" s="148" t="s">
        <v>90</v>
      </c>
      <c r="AW444" s="148" t="s">
        <v>33</v>
      </c>
      <c r="AX444" s="148" t="s">
        <v>80</v>
      </c>
      <c r="AY444" s="150" t="s">
        <v>337</v>
      </c>
    </row>
    <row r="445" spans="2:51" s="141" customFormat="1" x14ac:dyDescent="0.2">
      <c r="B445" s="142"/>
      <c r="D445" s="143" t="s">
        <v>346</v>
      </c>
      <c r="E445" s="144"/>
      <c r="F445" s="145" t="s">
        <v>2736</v>
      </c>
      <c r="H445" s="144"/>
      <c r="L445" s="142"/>
      <c r="M445" s="146"/>
      <c r="T445" s="147"/>
      <c r="AT445" s="144" t="s">
        <v>346</v>
      </c>
      <c r="AU445" s="144" t="s">
        <v>90</v>
      </c>
      <c r="AV445" s="141" t="s">
        <v>87</v>
      </c>
      <c r="AW445" s="141" t="s">
        <v>33</v>
      </c>
      <c r="AX445" s="141" t="s">
        <v>80</v>
      </c>
      <c r="AY445" s="144" t="s">
        <v>337</v>
      </c>
    </row>
    <row r="446" spans="2:51" s="148" customFormat="1" x14ac:dyDescent="0.2">
      <c r="B446" s="149"/>
      <c r="D446" s="143" t="s">
        <v>346</v>
      </c>
      <c r="E446" s="150"/>
      <c r="F446" s="151" t="s">
        <v>2713</v>
      </c>
      <c r="H446" s="152">
        <v>3.1</v>
      </c>
      <c r="L446" s="149"/>
      <c r="M446" s="153"/>
      <c r="T446" s="154"/>
      <c r="AT446" s="150" t="s">
        <v>346</v>
      </c>
      <c r="AU446" s="150" t="s">
        <v>90</v>
      </c>
      <c r="AV446" s="148" t="s">
        <v>90</v>
      </c>
      <c r="AW446" s="148" t="s">
        <v>33</v>
      </c>
      <c r="AX446" s="148" t="s">
        <v>80</v>
      </c>
      <c r="AY446" s="150" t="s">
        <v>337</v>
      </c>
    </row>
    <row r="447" spans="2:51" s="141" customFormat="1" x14ac:dyDescent="0.2">
      <c r="B447" s="142"/>
      <c r="D447" s="143" t="s">
        <v>346</v>
      </c>
      <c r="E447" s="144"/>
      <c r="F447" s="145" t="s">
        <v>2737</v>
      </c>
      <c r="H447" s="144"/>
      <c r="L447" s="142"/>
      <c r="M447" s="146"/>
      <c r="T447" s="147"/>
      <c r="AT447" s="144" t="s">
        <v>346</v>
      </c>
      <c r="AU447" s="144" t="s">
        <v>90</v>
      </c>
      <c r="AV447" s="141" t="s">
        <v>87</v>
      </c>
      <c r="AW447" s="141" t="s">
        <v>33</v>
      </c>
      <c r="AX447" s="141" t="s">
        <v>80</v>
      </c>
      <c r="AY447" s="144" t="s">
        <v>337</v>
      </c>
    </row>
    <row r="448" spans="2:51" s="148" customFormat="1" x14ac:dyDescent="0.2">
      <c r="B448" s="149"/>
      <c r="D448" s="143" t="s">
        <v>346</v>
      </c>
      <c r="E448" s="150"/>
      <c r="F448" s="151" t="s">
        <v>2715</v>
      </c>
      <c r="H448" s="152">
        <v>6.6</v>
      </c>
      <c r="L448" s="149"/>
      <c r="M448" s="153"/>
      <c r="T448" s="154"/>
      <c r="AT448" s="150" t="s">
        <v>346</v>
      </c>
      <c r="AU448" s="150" t="s">
        <v>90</v>
      </c>
      <c r="AV448" s="148" t="s">
        <v>90</v>
      </c>
      <c r="AW448" s="148" t="s">
        <v>33</v>
      </c>
      <c r="AX448" s="148" t="s">
        <v>80</v>
      </c>
      <c r="AY448" s="150" t="s">
        <v>337</v>
      </c>
    </row>
    <row r="449" spans="2:51" s="141" customFormat="1" x14ac:dyDescent="0.2">
      <c r="B449" s="142"/>
      <c r="D449" s="143" t="s">
        <v>346</v>
      </c>
      <c r="E449" s="144"/>
      <c r="F449" s="145" t="s">
        <v>2738</v>
      </c>
      <c r="H449" s="144"/>
      <c r="L449" s="142"/>
      <c r="M449" s="146"/>
      <c r="T449" s="147"/>
      <c r="AT449" s="144" t="s">
        <v>346</v>
      </c>
      <c r="AU449" s="144" t="s">
        <v>90</v>
      </c>
      <c r="AV449" s="141" t="s">
        <v>87</v>
      </c>
      <c r="AW449" s="141" t="s">
        <v>33</v>
      </c>
      <c r="AX449" s="141" t="s">
        <v>80</v>
      </c>
      <c r="AY449" s="144" t="s">
        <v>337</v>
      </c>
    </row>
    <row r="450" spans="2:51" s="148" customFormat="1" x14ac:dyDescent="0.2">
      <c r="B450" s="149"/>
      <c r="D450" s="143" t="s">
        <v>346</v>
      </c>
      <c r="E450" s="150"/>
      <c r="F450" s="151" t="s">
        <v>2688</v>
      </c>
      <c r="H450" s="152">
        <v>10</v>
      </c>
      <c r="L450" s="149"/>
      <c r="M450" s="153"/>
      <c r="T450" s="154"/>
      <c r="AT450" s="150" t="s">
        <v>346</v>
      </c>
      <c r="AU450" s="150" t="s">
        <v>90</v>
      </c>
      <c r="AV450" s="148" t="s">
        <v>90</v>
      </c>
      <c r="AW450" s="148" t="s">
        <v>33</v>
      </c>
      <c r="AX450" s="148" t="s">
        <v>80</v>
      </c>
      <c r="AY450" s="150" t="s">
        <v>337</v>
      </c>
    </row>
    <row r="451" spans="2:51" s="141" customFormat="1" x14ac:dyDescent="0.2">
      <c r="B451" s="142"/>
      <c r="D451" s="143" t="s">
        <v>346</v>
      </c>
      <c r="E451" s="144"/>
      <c r="F451" s="145" t="s">
        <v>2739</v>
      </c>
      <c r="H451" s="144"/>
      <c r="L451" s="142"/>
      <c r="M451" s="146"/>
      <c r="T451" s="147"/>
      <c r="AT451" s="144" t="s">
        <v>346</v>
      </c>
      <c r="AU451" s="144" t="s">
        <v>90</v>
      </c>
      <c r="AV451" s="141" t="s">
        <v>87</v>
      </c>
      <c r="AW451" s="141" t="s">
        <v>33</v>
      </c>
      <c r="AX451" s="141" t="s">
        <v>80</v>
      </c>
      <c r="AY451" s="144" t="s">
        <v>337</v>
      </c>
    </row>
    <row r="452" spans="2:51" s="148" customFormat="1" x14ac:dyDescent="0.2">
      <c r="B452" s="149"/>
      <c r="D452" s="143" t="s">
        <v>346</v>
      </c>
      <c r="E452" s="150"/>
      <c r="F452" s="151" t="s">
        <v>2718</v>
      </c>
      <c r="H452" s="152">
        <v>9</v>
      </c>
      <c r="L452" s="149"/>
      <c r="M452" s="153"/>
      <c r="T452" s="154"/>
      <c r="AT452" s="150" t="s">
        <v>346</v>
      </c>
      <c r="AU452" s="150" t="s">
        <v>90</v>
      </c>
      <c r="AV452" s="148" t="s">
        <v>90</v>
      </c>
      <c r="AW452" s="148" t="s">
        <v>33</v>
      </c>
      <c r="AX452" s="148" t="s">
        <v>80</v>
      </c>
      <c r="AY452" s="150" t="s">
        <v>337</v>
      </c>
    </row>
    <row r="453" spans="2:51" s="141" customFormat="1" x14ac:dyDescent="0.2">
      <c r="B453" s="142"/>
      <c r="D453" s="143" t="s">
        <v>346</v>
      </c>
      <c r="E453" s="144"/>
      <c r="F453" s="145" t="s">
        <v>2740</v>
      </c>
      <c r="H453" s="144"/>
      <c r="L453" s="142"/>
      <c r="M453" s="146"/>
      <c r="T453" s="147"/>
      <c r="AT453" s="144" t="s">
        <v>346</v>
      </c>
      <c r="AU453" s="144" t="s">
        <v>90</v>
      </c>
      <c r="AV453" s="141" t="s">
        <v>87</v>
      </c>
      <c r="AW453" s="141" t="s">
        <v>33</v>
      </c>
      <c r="AX453" s="141" t="s">
        <v>80</v>
      </c>
      <c r="AY453" s="144" t="s">
        <v>337</v>
      </c>
    </row>
    <row r="454" spans="2:51" s="148" customFormat="1" x14ac:dyDescent="0.2">
      <c r="B454" s="149"/>
      <c r="D454" s="143" t="s">
        <v>346</v>
      </c>
      <c r="E454" s="150"/>
      <c r="F454" s="151" t="s">
        <v>2692</v>
      </c>
      <c r="H454" s="152">
        <v>14.1</v>
      </c>
      <c r="L454" s="149"/>
      <c r="M454" s="153"/>
      <c r="T454" s="154"/>
      <c r="AT454" s="150" t="s">
        <v>346</v>
      </c>
      <c r="AU454" s="150" t="s">
        <v>90</v>
      </c>
      <c r="AV454" s="148" t="s">
        <v>90</v>
      </c>
      <c r="AW454" s="148" t="s">
        <v>33</v>
      </c>
      <c r="AX454" s="148" t="s">
        <v>80</v>
      </c>
      <c r="AY454" s="150" t="s">
        <v>337</v>
      </c>
    </row>
    <row r="455" spans="2:51" s="141" customFormat="1" x14ac:dyDescent="0.2">
      <c r="B455" s="142"/>
      <c r="D455" s="143" t="s">
        <v>346</v>
      </c>
      <c r="E455" s="144"/>
      <c r="F455" s="145" t="s">
        <v>2741</v>
      </c>
      <c r="H455" s="144"/>
      <c r="L455" s="142"/>
      <c r="M455" s="146"/>
      <c r="T455" s="147"/>
      <c r="AT455" s="144" t="s">
        <v>346</v>
      </c>
      <c r="AU455" s="144" t="s">
        <v>90</v>
      </c>
      <c r="AV455" s="141" t="s">
        <v>87</v>
      </c>
      <c r="AW455" s="141" t="s">
        <v>33</v>
      </c>
      <c r="AX455" s="141" t="s">
        <v>80</v>
      </c>
      <c r="AY455" s="144" t="s">
        <v>337</v>
      </c>
    </row>
    <row r="456" spans="2:51" s="148" customFormat="1" x14ac:dyDescent="0.2">
      <c r="B456" s="149"/>
      <c r="D456" s="143" t="s">
        <v>346</v>
      </c>
      <c r="E456" s="150"/>
      <c r="F456" s="151" t="s">
        <v>2694</v>
      </c>
      <c r="H456" s="152">
        <v>75.400000000000006</v>
      </c>
      <c r="L456" s="149"/>
      <c r="M456" s="153"/>
      <c r="T456" s="154"/>
      <c r="AT456" s="150" t="s">
        <v>346</v>
      </c>
      <c r="AU456" s="150" t="s">
        <v>90</v>
      </c>
      <c r="AV456" s="148" t="s">
        <v>90</v>
      </c>
      <c r="AW456" s="148" t="s">
        <v>33</v>
      </c>
      <c r="AX456" s="148" t="s">
        <v>80</v>
      </c>
      <c r="AY456" s="150" t="s">
        <v>337</v>
      </c>
    </row>
    <row r="457" spans="2:51" s="141" customFormat="1" x14ac:dyDescent="0.2">
      <c r="B457" s="142"/>
      <c r="D457" s="143" t="s">
        <v>346</v>
      </c>
      <c r="E457" s="144"/>
      <c r="F457" s="145" t="s">
        <v>2742</v>
      </c>
      <c r="H457" s="144"/>
      <c r="L457" s="142"/>
      <c r="M457" s="146"/>
      <c r="T457" s="147"/>
      <c r="AT457" s="144" t="s">
        <v>346</v>
      </c>
      <c r="AU457" s="144" t="s">
        <v>90</v>
      </c>
      <c r="AV457" s="141" t="s">
        <v>87</v>
      </c>
      <c r="AW457" s="141" t="s">
        <v>33</v>
      </c>
      <c r="AX457" s="141" t="s">
        <v>80</v>
      </c>
      <c r="AY457" s="144" t="s">
        <v>337</v>
      </c>
    </row>
    <row r="458" spans="2:51" s="141" customFormat="1" x14ac:dyDescent="0.2">
      <c r="B458" s="142"/>
      <c r="D458" s="143" t="s">
        <v>346</v>
      </c>
      <c r="E458" s="144"/>
      <c r="F458" s="145" t="s">
        <v>2743</v>
      </c>
      <c r="H458" s="144"/>
      <c r="L458" s="142"/>
      <c r="M458" s="146"/>
      <c r="T458" s="147"/>
      <c r="AT458" s="144" t="s">
        <v>346</v>
      </c>
      <c r="AU458" s="144" t="s">
        <v>90</v>
      </c>
      <c r="AV458" s="141" t="s">
        <v>87</v>
      </c>
      <c r="AW458" s="141" t="s">
        <v>33</v>
      </c>
      <c r="AX458" s="141" t="s">
        <v>80</v>
      </c>
      <c r="AY458" s="144" t="s">
        <v>337</v>
      </c>
    </row>
    <row r="459" spans="2:51" s="148" customFormat="1" x14ac:dyDescent="0.2">
      <c r="B459" s="149"/>
      <c r="D459" s="143" t="s">
        <v>346</v>
      </c>
      <c r="E459" s="150"/>
      <c r="F459" s="151" t="s">
        <v>2694</v>
      </c>
      <c r="H459" s="152">
        <v>75.400000000000006</v>
      </c>
      <c r="L459" s="149"/>
      <c r="M459" s="153"/>
      <c r="T459" s="154"/>
      <c r="AT459" s="150" t="s">
        <v>346</v>
      </c>
      <c r="AU459" s="150" t="s">
        <v>90</v>
      </c>
      <c r="AV459" s="148" t="s">
        <v>90</v>
      </c>
      <c r="AW459" s="148" t="s">
        <v>33</v>
      </c>
      <c r="AX459" s="148" t="s">
        <v>80</v>
      </c>
      <c r="AY459" s="150" t="s">
        <v>337</v>
      </c>
    </row>
    <row r="460" spans="2:51" s="141" customFormat="1" x14ac:dyDescent="0.2">
      <c r="B460" s="142"/>
      <c r="D460" s="143" t="s">
        <v>346</v>
      </c>
      <c r="E460" s="144"/>
      <c r="F460" s="145" t="s">
        <v>2744</v>
      </c>
      <c r="H460" s="144"/>
      <c r="L460" s="142"/>
      <c r="M460" s="146"/>
      <c r="T460" s="147"/>
      <c r="AT460" s="144" t="s">
        <v>346</v>
      </c>
      <c r="AU460" s="144" t="s">
        <v>90</v>
      </c>
      <c r="AV460" s="141" t="s">
        <v>87</v>
      </c>
      <c r="AW460" s="141" t="s">
        <v>33</v>
      </c>
      <c r="AX460" s="141" t="s">
        <v>80</v>
      </c>
      <c r="AY460" s="144" t="s">
        <v>337</v>
      </c>
    </row>
    <row r="461" spans="2:51" s="148" customFormat="1" x14ac:dyDescent="0.2">
      <c r="B461" s="149"/>
      <c r="D461" s="143" t="s">
        <v>346</v>
      </c>
      <c r="E461" s="150"/>
      <c r="F461" s="151" t="s">
        <v>2670</v>
      </c>
      <c r="H461" s="152">
        <v>131.9</v>
      </c>
      <c r="L461" s="149"/>
      <c r="M461" s="153"/>
      <c r="T461" s="154"/>
      <c r="AT461" s="150" t="s">
        <v>346</v>
      </c>
      <c r="AU461" s="150" t="s">
        <v>90</v>
      </c>
      <c r="AV461" s="148" t="s">
        <v>90</v>
      </c>
      <c r="AW461" s="148" t="s">
        <v>33</v>
      </c>
      <c r="AX461" s="148" t="s">
        <v>80</v>
      </c>
      <c r="AY461" s="150" t="s">
        <v>337</v>
      </c>
    </row>
    <row r="462" spans="2:51" s="141" customFormat="1" x14ac:dyDescent="0.2">
      <c r="B462" s="142"/>
      <c r="D462" s="143" t="s">
        <v>346</v>
      </c>
      <c r="E462" s="144"/>
      <c r="F462" s="145" t="s">
        <v>2745</v>
      </c>
      <c r="H462" s="144"/>
      <c r="L462" s="142"/>
      <c r="M462" s="146"/>
      <c r="T462" s="147"/>
      <c r="AT462" s="144" t="s">
        <v>346</v>
      </c>
      <c r="AU462" s="144" t="s">
        <v>90</v>
      </c>
      <c r="AV462" s="141" t="s">
        <v>87</v>
      </c>
      <c r="AW462" s="141" t="s">
        <v>33</v>
      </c>
      <c r="AX462" s="141" t="s">
        <v>80</v>
      </c>
      <c r="AY462" s="144" t="s">
        <v>337</v>
      </c>
    </row>
    <row r="463" spans="2:51" s="148" customFormat="1" x14ac:dyDescent="0.2">
      <c r="B463" s="149"/>
      <c r="D463" s="143" t="s">
        <v>346</v>
      </c>
      <c r="E463" s="150"/>
      <c r="F463" s="151" t="s">
        <v>2618</v>
      </c>
      <c r="H463" s="152">
        <v>103.5</v>
      </c>
      <c r="L463" s="149"/>
      <c r="M463" s="153"/>
      <c r="T463" s="154"/>
      <c r="AT463" s="150" t="s">
        <v>346</v>
      </c>
      <c r="AU463" s="150" t="s">
        <v>90</v>
      </c>
      <c r="AV463" s="148" t="s">
        <v>90</v>
      </c>
      <c r="AW463" s="148" t="s">
        <v>33</v>
      </c>
      <c r="AX463" s="148" t="s">
        <v>80</v>
      </c>
      <c r="AY463" s="150" t="s">
        <v>337</v>
      </c>
    </row>
    <row r="464" spans="2:51" s="141" customFormat="1" x14ac:dyDescent="0.2">
      <c r="B464" s="142"/>
      <c r="D464" s="143" t="s">
        <v>346</v>
      </c>
      <c r="E464" s="144"/>
      <c r="F464" s="145" t="s">
        <v>2746</v>
      </c>
      <c r="H464" s="144"/>
      <c r="L464" s="142"/>
      <c r="M464" s="146"/>
      <c r="T464" s="147"/>
      <c r="AT464" s="144" t="s">
        <v>346</v>
      </c>
      <c r="AU464" s="144" t="s">
        <v>90</v>
      </c>
      <c r="AV464" s="141" t="s">
        <v>87</v>
      </c>
      <c r="AW464" s="141" t="s">
        <v>33</v>
      </c>
      <c r="AX464" s="141" t="s">
        <v>80</v>
      </c>
      <c r="AY464" s="144" t="s">
        <v>337</v>
      </c>
    </row>
    <row r="465" spans="2:51" s="148" customFormat="1" x14ac:dyDescent="0.2">
      <c r="B465" s="149"/>
      <c r="D465" s="143" t="s">
        <v>346</v>
      </c>
      <c r="E465" s="150"/>
      <c r="F465" s="151" t="s">
        <v>2729</v>
      </c>
      <c r="H465" s="152">
        <v>188.1</v>
      </c>
      <c r="L465" s="149"/>
      <c r="M465" s="153"/>
      <c r="T465" s="154"/>
      <c r="AT465" s="150" t="s">
        <v>346</v>
      </c>
      <c r="AU465" s="150" t="s">
        <v>90</v>
      </c>
      <c r="AV465" s="148" t="s">
        <v>90</v>
      </c>
      <c r="AW465" s="148" t="s">
        <v>33</v>
      </c>
      <c r="AX465" s="148" t="s">
        <v>80</v>
      </c>
      <c r="AY465" s="150" t="s">
        <v>337</v>
      </c>
    </row>
    <row r="466" spans="2:51" s="141" customFormat="1" x14ac:dyDescent="0.2">
      <c r="B466" s="142"/>
      <c r="D466" s="143" t="s">
        <v>346</v>
      </c>
      <c r="E466" s="144"/>
      <c r="F466" s="145" t="s">
        <v>2747</v>
      </c>
      <c r="H466" s="144"/>
      <c r="L466" s="142"/>
      <c r="M466" s="146"/>
      <c r="T466" s="147"/>
      <c r="AT466" s="144" t="s">
        <v>346</v>
      </c>
      <c r="AU466" s="144" t="s">
        <v>90</v>
      </c>
      <c r="AV466" s="141" t="s">
        <v>87</v>
      </c>
      <c r="AW466" s="141" t="s">
        <v>33</v>
      </c>
      <c r="AX466" s="141" t="s">
        <v>80</v>
      </c>
      <c r="AY466" s="144" t="s">
        <v>337</v>
      </c>
    </row>
    <row r="467" spans="2:51" s="148" customFormat="1" x14ac:dyDescent="0.2">
      <c r="B467" s="149"/>
      <c r="D467" s="143" t="s">
        <v>346</v>
      </c>
      <c r="E467" s="150"/>
      <c r="F467" s="151" t="s">
        <v>2731</v>
      </c>
      <c r="H467" s="152">
        <v>68.900000000000006</v>
      </c>
      <c r="L467" s="149"/>
      <c r="M467" s="153"/>
      <c r="T467" s="154"/>
      <c r="AT467" s="150" t="s">
        <v>346</v>
      </c>
      <c r="AU467" s="150" t="s">
        <v>90</v>
      </c>
      <c r="AV467" s="148" t="s">
        <v>90</v>
      </c>
      <c r="AW467" s="148" t="s">
        <v>33</v>
      </c>
      <c r="AX467" s="148" t="s">
        <v>80</v>
      </c>
      <c r="AY467" s="150" t="s">
        <v>337</v>
      </c>
    </row>
    <row r="468" spans="2:51" s="141" customFormat="1" x14ac:dyDescent="0.2">
      <c r="B468" s="142"/>
      <c r="D468" s="143" t="s">
        <v>346</v>
      </c>
      <c r="E468" s="144"/>
      <c r="F468" s="145" t="s">
        <v>2748</v>
      </c>
      <c r="H468" s="144"/>
      <c r="L468" s="142"/>
      <c r="M468" s="146"/>
      <c r="T468" s="147"/>
      <c r="AT468" s="144" t="s">
        <v>346</v>
      </c>
      <c r="AU468" s="144" t="s">
        <v>90</v>
      </c>
      <c r="AV468" s="141" t="s">
        <v>87</v>
      </c>
      <c r="AW468" s="141" t="s">
        <v>33</v>
      </c>
      <c r="AX468" s="141" t="s">
        <v>80</v>
      </c>
      <c r="AY468" s="144" t="s">
        <v>337</v>
      </c>
    </row>
    <row r="469" spans="2:51" s="148" customFormat="1" x14ac:dyDescent="0.2">
      <c r="B469" s="149"/>
      <c r="D469" s="143" t="s">
        <v>346</v>
      </c>
      <c r="E469" s="150"/>
      <c r="F469" s="151" t="s">
        <v>2705</v>
      </c>
      <c r="H469" s="152">
        <v>38.4</v>
      </c>
      <c r="L469" s="149"/>
      <c r="M469" s="153"/>
      <c r="T469" s="154"/>
      <c r="AT469" s="150" t="s">
        <v>346</v>
      </c>
      <c r="AU469" s="150" t="s">
        <v>90</v>
      </c>
      <c r="AV469" s="148" t="s">
        <v>90</v>
      </c>
      <c r="AW469" s="148" t="s">
        <v>33</v>
      </c>
      <c r="AX469" s="148" t="s">
        <v>80</v>
      </c>
      <c r="AY469" s="150" t="s">
        <v>337</v>
      </c>
    </row>
    <row r="470" spans="2:51" s="141" customFormat="1" x14ac:dyDescent="0.2">
      <c r="B470" s="142"/>
      <c r="D470" s="143" t="s">
        <v>346</v>
      </c>
      <c r="E470" s="144"/>
      <c r="F470" s="145" t="s">
        <v>2749</v>
      </c>
      <c r="H470" s="144"/>
      <c r="L470" s="142"/>
      <c r="M470" s="146"/>
      <c r="T470" s="147"/>
      <c r="AT470" s="144" t="s">
        <v>346</v>
      </c>
      <c r="AU470" s="144" t="s">
        <v>90</v>
      </c>
      <c r="AV470" s="141" t="s">
        <v>87</v>
      </c>
      <c r="AW470" s="141" t="s">
        <v>33</v>
      </c>
      <c r="AX470" s="141" t="s">
        <v>80</v>
      </c>
      <c r="AY470" s="144" t="s">
        <v>337</v>
      </c>
    </row>
    <row r="471" spans="2:51" s="148" customFormat="1" x14ac:dyDescent="0.2">
      <c r="B471" s="149"/>
      <c r="D471" s="143" t="s">
        <v>346</v>
      </c>
      <c r="E471" s="150"/>
      <c r="F471" s="151" t="s">
        <v>2707</v>
      </c>
      <c r="H471" s="152">
        <v>72.099999999999994</v>
      </c>
      <c r="L471" s="149"/>
      <c r="M471" s="153"/>
      <c r="T471" s="154"/>
      <c r="AT471" s="150" t="s">
        <v>346</v>
      </c>
      <c r="AU471" s="150" t="s">
        <v>90</v>
      </c>
      <c r="AV471" s="148" t="s">
        <v>90</v>
      </c>
      <c r="AW471" s="148" t="s">
        <v>33</v>
      </c>
      <c r="AX471" s="148" t="s">
        <v>80</v>
      </c>
      <c r="AY471" s="150" t="s">
        <v>337</v>
      </c>
    </row>
    <row r="472" spans="2:51" s="141" customFormat="1" x14ac:dyDescent="0.2">
      <c r="B472" s="142"/>
      <c r="D472" s="143" t="s">
        <v>346</v>
      </c>
      <c r="E472" s="144"/>
      <c r="F472" s="145" t="s">
        <v>2750</v>
      </c>
      <c r="H472" s="144"/>
      <c r="L472" s="142"/>
      <c r="M472" s="146"/>
      <c r="T472" s="147"/>
      <c r="AT472" s="144" t="s">
        <v>346</v>
      </c>
      <c r="AU472" s="144" t="s">
        <v>90</v>
      </c>
      <c r="AV472" s="141" t="s">
        <v>87</v>
      </c>
      <c r="AW472" s="141" t="s">
        <v>33</v>
      </c>
      <c r="AX472" s="141" t="s">
        <v>80</v>
      </c>
      <c r="AY472" s="144" t="s">
        <v>337</v>
      </c>
    </row>
    <row r="473" spans="2:51" s="148" customFormat="1" x14ac:dyDescent="0.2">
      <c r="B473" s="149"/>
      <c r="D473" s="143" t="s">
        <v>346</v>
      </c>
      <c r="E473" s="150"/>
      <c r="F473" s="151" t="s">
        <v>2709</v>
      </c>
      <c r="H473" s="152">
        <v>186.7</v>
      </c>
      <c r="L473" s="149"/>
      <c r="M473" s="153"/>
      <c r="T473" s="154"/>
      <c r="AT473" s="150" t="s">
        <v>346</v>
      </c>
      <c r="AU473" s="150" t="s">
        <v>90</v>
      </c>
      <c r="AV473" s="148" t="s">
        <v>90</v>
      </c>
      <c r="AW473" s="148" t="s">
        <v>33</v>
      </c>
      <c r="AX473" s="148" t="s">
        <v>80</v>
      </c>
      <c r="AY473" s="150" t="s">
        <v>337</v>
      </c>
    </row>
    <row r="474" spans="2:51" s="141" customFormat="1" x14ac:dyDescent="0.2">
      <c r="B474" s="142"/>
      <c r="D474" s="143" t="s">
        <v>346</v>
      </c>
      <c r="E474" s="144"/>
      <c r="F474" s="145" t="s">
        <v>2751</v>
      </c>
      <c r="H474" s="144"/>
      <c r="L474" s="142"/>
      <c r="M474" s="146"/>
      <c r="T474" s="147"/>
      <c r="AT474" s="144" t="s">
        <v>346</v>
      </c>
      <c r="AU474" s="144" t="s">
        <v>90</v>
      </c>
      <c r="AV474" s="141" t="s">
        <v>87</v>
      </c>
      <c r="AW474" s="141" t="s">
        <v>33</v>
      </c>
      <c r="AX474" s="141" t="s">
        <v>80</v>
      </c>
      <c r="AY474" s="144" t="s">
        <v>337</v>
      </c>
    </row>
    <row r="475" spans="2:51" s="148" customFormat="1" x14ac:dyDescent="0.2">
      <c r="B475" s="149"/>
      <c r="D475" s="143" t="s">
        <v>346</v>
      </c>
      <c r="E475" s="150"/>
      <c r="F475" s="151" t="s">
        <v>2711</v>
      </c>
      <c r="H475" s="152">
        <v>102.4</v>
      </c>
      <c r="L475" s="149"/>
      <c r="M475" s="153"/>
      <c r="T475" s="154"/>
      <c r="AT475" s="150" t="s">
        <v>346</v>
      </c>
      <c r="AU475" s="150" t="s">
        <v>90</v>
      </c>
      <c r="AV475" s="148" t="s">
        <v>90</v>
      </c>
      <c r="AW475" s="148" t="s">
        <v>33</v>
      </c>
      <c r="AX475" s="148" t="s">
        <v>80</v>
      </c>
      <c r="AY475" s="150" t="s">
        <v>337</v>
      </c>
    </row>
    <row r="476" spans="2:51" s="141" customFormat="1" x14ac:dyDescent="0.2">
      <c r="B476" s="142"/>
      <c r="D476" s="143" t="s">
        <v>346</v>
      </c>
      <c r="E476" s="144"/>
      <c r="F476" s="145" t="s">
        <v>2752</v>
      </c>
      <c r="H476" s="144"/>
      <c r="L476" s="142"/>
      <c r="M476" s="146"/>
      <c r="T476" s="147"/>
      <c r="AT476" s="144" t="s">
        <v>346</v>
      </c>
      <c r="AU476" s="144" t="s">
        <v>90</v>
      </c>
      <c r="AV476" s="141" t="s">
        <v>87</v>
      </c>
      <c r="AW476" s="141" t="s">
        <v>33</v>
      </c>
      <c r="AX476" s="141" t="s">
        <v>80</v>
      </c>
      <c r="AY476" s="144" t="s">
        <v>337</v>
      </c>
    </row>
    <row r="477" spans="2:51" s="148" customFormat="1" x14ac:dyDescent="0.2">
      <c r="B477" s="149"/>
      <c r="D477" s="143" t="s">
        <v>346</v>
      </c>
      <c r="E477" s="150"/>
      <c r="F477" s="151" t="s">
        <v>2713</v>
      </c>
      <c r="H477" s="152">
        <v>3.1</v>
      </c>
      <c r="L477" s="149"/>
      <c r="M477" s="153"/>
      <c r="T477" s="154"/>
      <c r="AT477" s="150" t="s">
        <v>346</v>
      </c>
      <c r="AU477" s="150" t="s">
        <v>90</v>
      </c>
      <c r="AV477" s="148" t="s">
        <v>90</v>
      </c>
      <c r="AW477" s="148" t="s">
        <v>33</v>
      </c>
      <c r="AX477" s="148" t="s">
        <v>80</v>
      </c>
      <c r="AY477" s="150" t="s">
        <v>337</v>
      </c>
    </row>
    <row r="478" spans="2:51" s="141" customFormat="1" x14ac:dyDescent="0.2">
      <c r="B478" s="142"/>
      <c r="D478" s="143" t="s">
        <v>346</v>
      </c>
      <c r="E478" s="144"/>
      <c r="F478" s="145" t="s">
        <v>2753</v>
      </c>
      <c r="H478" s="144"/>
      <c r="L478" s="142"/>
      <c r="M478" s="146"/>
      <c r="T478" s="147"/>
      <c r="AT478" s="144" t="s">
        <v>346</v>
      </c>
      <c r="AU478" s="144" t="s">
        <v>90</v>
      </c>
      <c r="AV478" s="141" t="s">
        <v>87</v>
      </c>
      <c r="AW478" s="141" t="s">
        <v>33</v>
      </c>
      <c r="AX478" s="141" t="s">
        <v>80</v>
      </c>
      <c r="AY478" s="144" t="s">
        <v>337</v>
      </c>
    </row>
    <row r="479" spans="2:51" s="148" customFormat="1" x14ac:dyDescent="0.2">
      <c r="B479" s="149"/>
      <c r="D479" s="143" t="s">
        <v>346</v>
      </c>
      <c r="E479" s="150"/>
      <c r="F479" s="151" t="s">
        <v>2715</v>
      </c>
      <c r="H479" s="152">
        <v>6.6</v>
      </c>
      <c r="L479" s="149"/>
      <c r="M479" s="153"/>
      <c r="T479" s="154"/>
      <c r="AT479" s="150" t="s">
        <v>346</v>
      </c>
      <c r="AU479" s="150" t="s">
        <v>90</v>
      </c>
      <c r="AV479" s="148" t="s">
        <v>90</v>
      </c>
      <c r="AW479" s="148" t="s">
        <v>33</v>
      </c>
      <c r="AX479" s="148" t="s">
        <v>80</v>
      </c>
      <c r="AY479" s="150" t="s">
        <v>337</v>
      </c>
    </row>
    <row r="480" spans="2:51" s="141" customFormat="1" x14ac:dyDescent="0.2">
      <c r="B480" s="142"/>
      <c r="D480" s="143" t="s">
        <v>346</v>
      </c>
      <c r="E480" s="144"/>
      <c r="F480" s="145" t="s">
        <v>2754</v>
      </c>
      <c r="H480" s="144"/>
      <c r="L480" s="142"/>
      <c r="M480" s="146"/>
      <c r="T480" s="147"/>
      <c r="AT480" s="144" t="s">
        <v>346</v>
      </c>
      <c r="AU480" s="144" t="s">
        <v>90</v>
      </c>
      <c r="AV480" s="141" t="s">
        <v>87</v>
      </c>
      <c r="AW480" s="141" t="s">
        <v>33</v>
      </c>
      <c r="AX480" s="141" t="s">
        <v>80</v>
      </c>
      <c r="AY480" s="144" t="s">
        <v>337</v>
      </c>
    </row>
    <row r="481" spans="2:51" s="148" customFormat="1" x14ac:dyDescent="0.2">
      <c r="B481" s="149"/>
      <c r="D481" s="143" t="s">
        <v>346</v>
      </c>
      <c r="E481" s="150"/>
      <c r="F481" s="151" t="s">
        <v>2688</v>
      </c>
      <c r="H481" s="152">
        <v>10</v>
      </c>
      <c r="L481" s="149"/>
      <c r="M481" s="153"/>
      <c r="T481" s="154"/>
      <c r="AT481" s="150" t="s">
        <v>346</v>
      </c>
      <c r="AU481" s="150" t="s">
        <v>90</v>
      </c>
      <c r="AV481" s="148" t="s">
        <v>90</v>
      </c>
      <c r="AW481" s="148" t="s">
        <v>33</v>
      </c>
      <c r="AX481" s="148" t="s">
        <v>80</v>
      </c>
      <c r="AY481" s="150" t="s">
        <v>337</v>
      </c>
    </row>
    <row r="482" spans="2:51" s="141" customFormat="1" x14ac:dyDescent="0.2">
      <c r="B482" s="142"/>
      <c r="D482" s="143" t="s">
        <v>346</v>
      </c>
      <c r="E482" s="144"/>
      <c r="F482" s="145" t="s">
        <v>2755</v>
      </c>
      <c r="H482" s="144"/>
      <c r="L482" s="142"/>
      <c r="M482" s="146"/>
      <c r="T482" s="147"/>
      <c r="AT482" s="144" t="s">
        <v>346</v>
      </c>
      <c r="AU482" s="144" t="s">
        <v>90</v>
      </c>
      <c r="AV482" s="141" t="s">
        <v>87</v>
      </c>
      <c r="AW482" s="141" t="s">
        <v>33</v>
      </c>
      <c r="AX482" s="141" t="s">
        <v>80</v>
      </c>
      <c r="AY482" s="144" t="s">
        <v>337</v>
      </c>
    </row>
    <row r="483" spans="2:51" s="148" customFormat="1" x14ac:dyDescent="0.2">
      <c r="B483" s="149"/>
      <c r="D483" s="143" t="s">
        <v>346</v>
      </c>
      <c r="E483" s="150"/>
      <c r="F483" s="151" t="s">
        <v>2718</v>
      </c>
      <c r="H483" s="152">
        <v>9</v>
      </c>
      <c r="L483" s="149"/>
      <c r="M483" s="153"/>
      <c r="T483" s="154"/>
      <c r="AT483" s="150" t="s">
        <v>346</v>
      </c>
      <c r="AU483" s="150" t="s">
        <v>90</v>
      </c>
      <c r="AV483" s="148" t="s">
        <v>90</v>
      </c>
      <c r="AW483" s="148" t="s">
        <v>33</v>
      </c>
      <c r="AX483" s="148" t="s">
        <v>80</v>
      </c>
      <c r="AY483" s="150" t="s">
        <v>337</v>
      </c>
    </row>
    <row r="484" spans="2:51" s="141" customFormat="1" x14ac:dyDescent="0.2">
      <c r="B484" s="142"/>
      <c r="D484" s="143" t="s">
        <v>346</v>
      </c>
      <c r="E484" s="144"/>
      <c r="F484" s="145" t="s">
        <v>2756</v>
      </c>
      <c r="H484" s="144"/>
      <c r="L484" s="142"/>
      <c r="M484" s="146"/>
      <c r="T484" s="147"/>
      <c r="AT484" s="144" t="s">
        <v>346</v>
      </c>
      <c r="AU484" s="144" t="s">
        <v>90</v>
      </c>
      <c r="AV484" s="141" t="s">
        <v>87</v>
      </c>
      <c r="AW484" s="141" t="s">
        <v>33</v>
      </c>
      <c r="AX484" s="141" t="s">
        <v>80</v>
      </c>
      <c r="AY484" s="144" t="s">
        <v>337</v>
      </c>
    </row>
    <row r="485" spans="2:51" s="148" customFormat="1" x14ac:dyDescent="0.2">
      <c r="B485" s="149"/>
      <c r="D485" s="143" t="s">
        <v>346</v>
      </c>
      <c r="E485" s="150"/>
      <c r="F485" s="151" t="s">
        <v>2720</v>
      </c>
      <c r="H485" s="152">
        <v>7.1</v>
      </c>
      <c r="L485" s="149"/>
      <c r="M485" s="153"/>
      <c r="T485" s="154"/>
      <c r="AT485" s="150" t="s">
        <v>346</v>
      </c>
      <c r="AU485" s="150" t="s">
        <v>90</v>
      </c>
      <c r="AV485" s="148" t="s">
        <v>90</v>
      </c>
      <c r="AW485" s="148" t="s">
        <v>33</v>
      </c>
      <c r="AX485" s="148" t="s">
        <v>80</v>
      </c>
      <c r="AY485" s="150" t="s">
        <v>337</v>
      </c>
    </row>
    <row r="486" spans="2:51" s="141" customFormat="1" x14ac:dyDescent="0.2">
      <c r="B486" s="142"/>
      <c r="D486" s="143" t="s">
        <v>346</v>
      </c>
      <c r="E486" s="144"/>
      <c r="F486" s="145" t="s">
        <v>2757</v>
      </c>
      <c r="H486" s="144"/>
      <c r="L486" s="142"/>
      <c r="M486" s="146"/>
      <c r="T486" s="147"/>
      <c r="AT486" s="144" t="s">
        <v>346</v>
      </c>
      <c r="AU486" s="144" t="s">
        <v>90</v>
      </c>
      <c r="AV486" s="141" t="s">
        <v>87</v>
      </c>
      <c r="AW486" s="141" t="s">
        <v>33</v>
      </c>
      <c r="AX486" s="141" t="s">
        <v>80</v>
      </c>
      <c r="AY486" s="144" t="s">
        <v>337</v>
      </c>
    </row>
    <row r="487" spans="2:51" s="141" customFormat="1" x14ac:dyDescent="0.2">
      <c r="B487" s="142"/>
      <c r="D487" s="143" t="s">
        <v>346</v>
      </c>
      <c r="E487" s="144"/>
      <c r="F487" s="145" t="s">
        <v>2758</v>
      </c>
      <c r="H487" s="144"/>
      <c r="L487" s="142"/>
      <c r="M487" s="146"/>
      <c r="T487" s="147"/>
      <c r="AT487" s="144" t="s">
        <v>346</v>
      </c>
      <c r="AU487" s="144" t="s">
        <v>90</v>
      </c>
      <c r="AV487" s="141" t="s">
        <v>87</v>
      </c>
      <c r="AW487" s="141" t="s">
        <v>33</v>
      </c>
      <c r="AX487" s="141" t="s">
        <v>80</v>
      </c>
      <c r="AY487" s="144" t="s">
        <v>337</v>
      </c>
    </row>
    <row r="488" spans="2:51" s="148" customFormat="1" x14ac:dyDescent="0.2">
      <c r="B488" s="149"/>
      <c r="D488" s="143" t="s">
        <v>346</v>
      </c>
      <c r="E488" s="150"/>
      <c r="F488" s="151" t="s">
        <v>2759</v>
      </c>
      <c r="H488" s="152">
        <v>405.4</v>
      </c>
      <c r="L488" s="149"/>
      <c r="M488" s="153"/>
      <c r="T488" s="154"/>
      <c r="AT488" s="150" t="s">
        <v>346</v>
      </c>
      <c r="AU488" s="150" t="s">
        <v>90</v>
      </c>
      <c r="AV488" s="148" t="s">
        <v>90</v>
      </c>
      <c r="AW488" s="148" t="s">
        <v>33</v>
      </c>
      <c r="AX488" s="148" t="s">
        <v>80</v>
      </c>
      <c r="AY488" s="150" t="s">
        <v>337</v>
      </c>
    </row>
    <row r="489" spans="2:51" s="141" customFormat="1" x14ac:dyDescent="0.2">
      <c r="B489" s="142"/>
      <c r="D489" s="143" t="s">
        <v>346</v>
      </c>
      <c r="E489" s="144"/>
      <c r="F489" s="145" t="s">
        <v>2760</v>
      </c>
      <c r="H489" s="144"/>
      <c r="L489" s="142"/>
      <c r="M489" s="146"/>
      <c r="T489" s="147"/>
      <c r="AT489" s="144" t="s">
        <v>346</v>
      </c>
      <c r="AU489" s="144" t="s">
        <v>90</v>
      </c>
      <c r="AV489" s="141" t="s">
        <v>87</v>
      </c>
      <c r="AW489" s="141" t="s">
        <v>33</v>
      </c>
      <c r="AX489" s="141" t="s">
        <v>80</v>
      </c>
      <c r="AY489" s="144" t="s">
        <v>337</v>
      </c>
    </row>
    <row r="490" spans="2:51" s="148" customFormat="1" x14ac:dyDescent="0.2">
      <c r="B490" s="149"/>
      <c r="D490" s="143" t="s">
        <v>346</v>
      </c>
      <c r="E490" s="150"/>
      <c r="F490" s="151" t="s">
        <v>2761</v>
      </c>
      <c r="H490" s="152">
        <v>122.4</v>
      </c>
      <c r="L490" s="149"/>
      <c r="M490" s="153"/>
      <c r="T490" s="154"/>
      <c r="AT490" s="150" t="s">
        <v>346</v>
      </c>
      <c r="AU490" s="150" t="s">
        <v>90</v>
      </c>
      <c r="AV490" s="148" t="s">
        <v>90</v>
      </c>
      <c r="AW490" s="148" t="s">
        <v>33</v>
      </c>
      <c r="AX490" s="148" t="s">
        <v>80</v>
      </c>
      <c r="AY490" s="150" t="s">
        <v>337</v>
      </c>
    </row>
    <row r="491" spans="2:51" s="141" customFormat="1" x14ac:dyDescent="0.2">
      <c r="B491" s="142"/>
      <c r="D491" s="143" t="s">
        <v>346</v>
      </c>
      <c r="E491" s="144"/>
      <c r="F491" s="145" t="s">
        <v>2762</v>
      </c>
      <c r="H491" s="144"/>
      <c r="L491" s="142"/>
      <c r="M491" s="146"/>
      <c r="T491" s="147"/>
      <c r="AT491" s="144" t="s">
        <v>346</v>
      </c>
      <c r="AU491" s="144" t="s">
        <v>90</v>
      </c>
      <c r="AV491" s="141" t="s">
        <v>87</v>
      </c>
      <c r="AW491" s="141" t="s">
        <v>33</v>
      </c>
      <c r="AX491" s="141" t="s">
        <v>80</v>
      </c>
      <c r="AY491" s="144" t="s">
        <v>337</v>
      </c>
    </row>
    <row r="492" spans="2:51" s="148" customFormat="1" x14ac:dyDescent="0.2">
      <c r="B492" s="149"/>
      <c r="D492" s="143" t="s">
        <v>346</v>
      </c>
      <c r="E492" s="150"/>
      <c r="F492" s="151" t="s">
        <v>2670</v>
      </c>
      <c r="H492" s="152">
        <v>131.9</v>
      </c>
      <c r="L492" s="149"/>
      <c r="M492" s="153"/>
      <c r="T492" s="154"/>
      <c r="AT492" s="150" t="s">
        <v>346</v>
      </c>
      <c r="AU492" s="150" t="s">
        <v>90</v>
      </c>
      <c r="AV492" s="148" t="s">
        <v>90</v>
      </c>
      <c r="AW492" s="148" t="s">
        <v>33</v>
      </c>
      <c r="AX492" s="148" t="s">
        <v>80</v>
      </c>
      <c r="AY492" s="150" t="s">
        <v>337</v>
      </c>
    </row>
    <row r="493" spans="2:51" s="141" customFormat="1" x14ac:dyDescent="0.2">
      <c r="B493" s="142"/>
      <c r="D493" s="143" t="s">
        <v>346</v>
      </c>
      <c r="E493" s="144"/>
      <c r="F493" s="145" t="s">
        <v>2763</v>
      </c>
      <c r="H493" s="144"/>
      <c r="L493" s="142"/>
      <c r="M493" s="146"/>
      <c r="T493" s="147"/>
      <c r="AT493" s="144" t="s">
        <v>346</v>
      </c>
      <c r="AU493" s="144" t="s">
        <v>90</v>
      </c>
      <c r="AV493" s="141" t="s">
        <v>87</v>
      </c>
      <c r="AW493" s="141" t="s">
        <v>33</v>
      </c>
      <c r="AX493" s="141" t="s">
        <v>80</v>
      </c>
      <c r="AY493" s="144" t="s">
        <v>337</v>
      </c>
    </row>
    <row r="494" spans="2:51" s="148" customFormat="1" x14ac:dyDescent="0.2">
      <c r="B494" s="149"/>
      <c r="D494" s="143" t="s">
        <v>346</v>
      </c>
      <c r="E494" s="150"/>
      <c r="F494" s="151" t="s">
        <v>2618</v>
      </c>
      <c r="H494" s="152">
        <v>103.5</v>
      </c>
      <c r="L494" s="149"/>
      <c r="M494" s="153"/>
      <c r="T494" s="154"/>
      <c r="AT494" s="150" t="s">
        <v>346</v>
      </c>
      <c r="AU494" s="150" t="s">
        <v>90</v>
      </c>
      <c r="AV494" s="148" t="s">
        <v>90</v>
      </c>
      <c r="AW494" s="148" t="s">
        <v>33</v>
      </c>
      <c r="AX494" s="148" t="s">
        <v>80</v>
      </c>
      <c r="AY494" s="150" t="s">
        <v>337</v>
      </c>
    </row>
    <row r="495" spans="2:51" s="141" customFormat="1" x14ac:dyDescent="0.2">
      <c r="B495" s="142"/>
      <c r="D495" s="143" t="s">
        <v>346</v>
      </c>
      <c r="E495" s="144"/>
      <c r="F495" s="145" t="s">
        <v>2764</v>
      </c>
      <c r="H495" s="144"/>
      <c r="L495" s="142"/>
      <c r="M495" s="146"/>
      <c r="T495" s="147"/>
      <c r="AT495" s="144" t="s">
        <v>346</v>
      </c>
      <c r="AU495" s="144" t="s">
        <v>90</v>
      </c>
      <c r="AV495" s="141" t="s">
        <v>87</v>
      </c>
      <c r="AW495" s="141" t="s">
        <v>33</v>
      </c>
      <c r="AX495" s="141" t="s">
        <v>80</v>
      </c>
      <c r="AY495" s="144" t="s">
        <v>337</v>
      </c>
    </row>
    <row r="496" spans="2:51" s="148" customFormat="1" x14ac:dyDescent="0.2">
      <c r="B496" s="149"/>
      <c r="D496" s="143" t="s">
        <v>346</v>
      </c>
      <c r="E496" s="150"/>
      <c r="F496" s="151" t="s">
        <v>2729</v>
      </c>
      <c r="H496" s="152">
        <v>188.1</v>
      </c>
      <c r="L496" s="149"/>
      <c r="M496" s="153"/>
      <c r="T496" s="154"/>
      <c r="AT496" s="150" t="s">
        <v>346</v>
      </c>
      <c r="AU496" s="150" t="s">
        <v>90</v>
      </c>
      <c r="AV496" s="148" t="s">
        <v>90</v>
      </c>
      <c r="AW496" s="148" t="s">
        <v>33</v>
      </c>
      <c r="AX496" s="148" t="s">
        <v>80</v>
      </c>
      <c r="AY496" s="150" t="s">
        <v>337</v>
      </c>
    </row>
    <row r="497" spans="2:51" s="141" customFormat="1" x14ac:dyDescent="0.2">
      <c r="B497" s="142"/>
      <c r="D497" s="143" t="s">
        <v>346</v>
      </c>
      <c r="E497" s="144"/>
      <c r="F497" s="145" t="s">
        <v>2765</v>
      </c>
      <c r="H497" s="144"/>
      <c r="L497" s="142"/>
      <c r="M497" s="146"/>
      <c r="T497" s="147"/>
      <c r="AT497" s="144" t="s">
        <v>346</v>
      </c>
      <c r="AU497" s="144" t="s">
        <v>90</v>
      </c>
      <c r="AV497" s="141" t="s">
        <v>87</v>
      </c>
      <c r="AW497" s="141" t="s">
        <v>33</v>
      </c>
      <c r="AX497" s="141" t="s">
        <v>80</v>
      </c>
      <c r="AY497" s="144" t="s">
        <v>337</v>
      </c>
    </row>
    <row r="498" spans="2:51" s="148" customFormat="1" x14ac:dyDescent="0.2">
      <c r="B498" s="149"/>
      <c r="D498" s="143" t="s">
        <v>346</v>
      </c>
      <c r="E498" s="150"/>
      <c r="F498" s="151" t="s">
        <v>2731</v>
      </c>
      <c r="H498" s="152">
        <v>68.900000000000006</v>
      </c>
      <c r="L498" s="149"/>
      <c r="M498" s="153"/>
      <c r="T498" s="154"/>
      <c r="AT498" s="150" t="s">
        <v>346</v>
      </c>
      <c r="AU498" s="150" t="s">
        <v>90</v>
      </c>
      <c r="AV498" s="148" t="s">
        <v>90</v>
      </c>
      <c r="AW498" s="148" t="s">
        <v>33</v>
      </c>
      <c r="AX498" s="148" t="s">
        <v>80</v>
      </c>
      <c r="AY498" s="150" t="s">
        <v>337</v>
      </c>
    </row>
    <row r="499" spans="2:51" s="141" customFormat="1" x14ac:dyDescent="0.2">
      <c r="B499" s="142"/>
      <c r="D499" s="143" t="s">
        <v>346</v>
      </c>
      <c r="E499" s="144"/>
      <c r="F499" s="145" t="s">
        <v>2766</v>
      </c>
      <c r="H499" s="144"/>
      <c r="L499" s="142"/>
      <c r="M499" s="146"/>
      <c r="T499" s="147"/>
      <c r="AT499" s="144" t="s">
        <v>346</v>
      </c>
      <c r="AU499" s="144" t="s">
        <v>90</v>
      </c>
      <c r="AV499" s="141" t="s">
        <v>87</v>
      </c>
      <c r="AW499" s="141" t="s">
        <v>33</v>
      </c>
      <c r="AX499" s="141" t="s">
        <v>80</v>
      </c>
      <c r="AY499" s="144" t="s">
        <v>337</v>
      </c>
    </row>
    <row r="500" spans="2:51" s="148" customFormat="1" x14ac:dyDescent="0.2">
      <c r="B500" s="149"/>
      <c r="D500" s="143" t="s">
        <v>346</v>
      </c>
      <c r="E500" s="150"/>
      <c r="F500" s="151" t="s">
        <v>2705</v>
      </c>
      <c r="H500" s="152">
        <v>38.4</v>
      </c>
      <c r="L500" s="149"/>
      <c r="M500" s="153"/>
      <c r="T500" s="154"/>
      <c r="AT500" s="150" t="s">
        <v>346</v>
      </c>
      <c r="AU500" s="150" t="s">
        <v>90</v>
      </c>
      <c r="AV500" s="148" t="s">
        <v>90</v>
      </c>
      <c r="AW500" s="148" t="s">
        <v>33</v>
      </c>
      <c r="AX500" s="148" t="s">
        <v>80</v>
      </c>
      <c r="AY500" s="150" t="s">
        <v>337</v>
      </c>
    </row>
    <row r="501" spans="2:51" s="141" customFormat="1" x14ac:dyDescent="0.2">
      <c r="B501" s="142"/>
      <c r="D501" s="143" t="s">
        <v>346</v>
      </c>
      <c r="E501" s="144"/>
      <c r="F501" s="145" t="s">
        <v>2767</v>
      </c>
      <c r="H501" s="144"/>
      <c r="L501" s="142"/>
      <c r="M501" s="146"/>
      <c r="T501" s="147"/>
      <c r="AT501" s="144" t="s">
        <v>346</v>
      </c>
      <c r="AU501" s="144" t="s">
        <v>90</v>
      </c>
      <c r="AV501" s="141" t="s">
        <v>87</v>
      </c>
      <c r="AW501" s="141" t="s">
        <v>33</v>
      </c>
      <c r="AX501" s="141" t="s">
        <v>80</v>
      </c>
      <c r="AY501" s="144" t="s">
        <v>337</v>
      </c>
    </row>
    <row r="502" spans="2:51" s="148" customFormat="1" x14ac:dyDescent="0.2">
      <c r="B502" s="149"/>
      <c r="D502" s="143" t="s">
        <v>346</v>
      </c>
      <c r="E502" s="150"/>
      <c r="F502" s="151" t="s">
        <v>2768</v>
      </c>
      <c r="H502" s="152">
        <v>72.900000000000006</v>
      </c>
      <c r="L502" s="149"/>
      <c r="M502" s="153"/>
      <c r="T502" s="154"/>
      <c r="AT502" s="150" t="s">
        <v>346</v>
      </c>
      <c r="AU502" s="150" t="s">
        <v>90</v>
      </c>
      <c r="AV502" s="148" t="s">
        <v>90</v>
      </c>
      <c r="AW502" s="148" t="s">
        <v>33</v>
      </c>
      <c r="AX502" s="148" t="s">
        <v>80</v>
      </c>
      <c r="AY502" s="150" t="s">
        <v>337</v>
      </c>
    </row>
    <row r="503" spans="2:51" s="141" customFormat="1" x14ac:dyDescent="0.2">
      <c r="B503" s="142"/>
      <c r="D503" s="143" t="s">
        <v>346</v>
      </c>
      <c r="E503" s="144"/>
      <c r="F503" s="145" t="s">
        <v>2769</v>
      </c>
      <c r="H503" s="144"/>
      <c r="L503" s="142"/>
      <c r="M503" s="146"/>
      <c r="T503" s="147"/>
      <c r="AT503" s="144" t="s">
        <v>346</v>
      </c>
      <c r="AU503" s="144" t="s">
        <v>90</v>
      </c>
      <c r="AV503" s="141" t="s">
        <v>87</v>
      </c>
      <c r="AW503" s="141" t="s">
        <v>33</v>
      </c>
      <c r="AX503" s="141" t="s">
        <v>80</v>
      </c>
      <c r="AY503" s="144" t="s">
        <v>337</v>
      </c>
    </row>
    <row r="504" spans="2:51" s="148" customFormat="1" x14ac:dyDescent="0.2">
      <c r="B504" s="149"/>
      <c r="D504" s="143" t="s">
        <v>346</v>
      </c>
      <c r="E504" s="150"/>
      <c r="F504" s="151" t="s">
        <v>2709</v>
      </c>
      <c r="H504" s="152">
        <v>186.7</v>
      </c>
      <c r="L504" s="149"/>
      <c r="M504" s="153"/>
      <c r="T504" s="154"/>
      <c r="AT504" s="150" t="s">
        <v>346</v>
      </c>
      <c r="AU504" s="150" t="s">
        <v>90</v>
      </c>
      <c r="AV504" s="148" t="s">
        <v>90</v>
      </c>
      <c r="AW504" s="148" t="s">
        <v>33</v>
      </c>
      <c r="AX504" s="148" t="s">
        <v>80</v>
      </c>
      <c r="AY504" s="150" t="s">
        <v>337</v>
      </c>
    </row>
    <row r="505" spans="2:51" s="141" customFormat="1" x14ac:dyDescent="0.2">
      <c r="B505" s="142"/>
      <c r="D505" s="143" t="s">
        <v>346</v>
      </c>
      <c r="E505" s="144"/>
      <c r="F505" s="145" t="s">
        <v>2770</v>
      </c>
      <c r="H505" s="144"/>
      <c r="L505" s="142"/>
      <c r="M505" s="146"/>
      <c r="T505" s="147"/>
      <c r="AT505" s="144" t="s">
        <v>346</v>
      </c>
      <c r="AU505" s="144" t="s">
        <v>90</v>
      </c>
      <c r="AV505" s="141" t="s">
        <v>87</v>
      </c>
      <c r="AW505" s="141" t="s">
        <v>33</v>
      </c>
      <c r="AX505" s="141" t="s">
        <v>80</v>
      </c>
      <c r="AY505" s="144" t="s">
        <v>337</v>
      </c>
    </row>
    <row r="506" spans="2:51" s="148" customFormat="1" x14ac:dyDescent="0.2">
      <c r="B506" s="149"/>
      <c r="D506" s="143" t="s">
        <v>346</v>
      </c>
      <c r="E506" s="150"/>
      <c r="F506" s="151" t="s">
        <v>2771</v>
      </c>
      <c r="H506" s="152">
        <v>101.9</v>
      </c>
      <c r="L506" s="149"/>
      <c r="M506" s="153"/>
      <c r="T506" s="154"/>
      <c r="AT506" s="150" t="s">
        <v>346</v>
      </c>
      <c r="AU506" s="150" t="s">
        <v>90</v>
      </c>
      <c r="AV506" s="148" t="s">
        <v>90</v>
      </c>
      <c r="AW506" s="148" t="s">
        <v>33</v>
      </c>
      <c r="AX506" s="148" t="s">
        <v>80</v>
      </c>
      <c r="AY506" s="150" t="s">
        <v>337</v>
      </c>
    </row>
    <row r="507" spans="2:51" s="141" customFormat="1" x14ac:dyDescent="0.2">
      <c r="B507" s="142"/>
      <c r="D507" s="143" t="s">
        <v>346</v>
      </c>
      <c r="E507" s="144"/>
      <c r="F507" s="145" t="s">
        <v>2772</v>
      </c>
      <c r="H507" s="144"/>
      <c r="L507" s="142"/>
      <c r="M507" s="146"/>
      <c r="T507" s="147"/>
      <c r="AT507" s="144" t="s">
        <v>346</v>
      </c>
      <c r="AU507" s="144" t="s">
        <v>90</v>
      </c>
      <c r="AV507" s="141" t="s">
        <v>87</v>
      </c>
      <c r="AW507" s="141" t="s">
        <v>33</v>
      </c>
      <c r="AX507" s="141" t="s">
        <v>80</v>
      </c>
      <c r="AY507" s="144" t="s">
        <v>337</v>
      </c>
    </row>
    <row r="508" spans="2:51" s="148" customFormat="1" x14ac:dyDescent="0.2">
      <c r="B508" s="149"/>
      <c r="D508" s="143" t="s">
        <v>346</v>
      </c>
      <c r="E508" s="150"/>
      <c r="F508" s="151" t="s">
        <v>2713</v>
      </c>
      <c r="H508" s="152">
        <v>3.1</v>
      </c>
      <c r="L508" s="149"/>
      <c r="M508" s="153"/>
      <c r="T508" s="154"/>
      <c r="AT508" s="150" t="s">
        <v>346</v>
      </c>
      <c r="AU508" s="150" t="s">
        <v>90</v>
      </c>
      <c r="AV508" s="148" t="s">
        <v>90</v>
      </c>
      <c r="AW508" s="148" t="s">
        <v>33</v>
      </c>
      <c r="AX508" s="148" t="s">
        <v>80</v>
      </c>
      <c r="AY508" s="150" t="s">
        <v>337</v>
      </c>
    </row>
    <row r="509" spans="2:51" s="141" customFormat="1" x14ac:dyDescent="0.2">
      <c r="B509" s="142"/>
      <c r="D509" s="143" t="s">
        <v>346</v>
      </c>
      <c r="E509" s="144"/>
      <c r="F509" s="145" t="s">
        <v>2773</v>
      </c>
      <c r="H509" s="144"/>
      <c r="L509" s="142"/>
      <c r="M509" s="146"/>
      <c r="T509" s="147"/>
      <c r="AT509" s="144" t="s">
        <v>346</v>
      </c>
      <c r="AU509" s="144" t="s">
        <v>90</v>
      </c>
      <c r="AV509" s="141" t="s">
        <v>87</v>
      </c>
      <c r="AW509" s="141" t="s">
        <v>33</v>
      </c>
      <c r="AX509" s="141" t="s">
        <v>80</v>
      </c>
      <c r="AY509" s="144" t="s">
        <v>337</v>
      </c>
    </row>
    <row r="510" spans="2:51" s="148" customFormat="1" x14ac:dyDescent="0.2">
      <c r="B510" s="149"/>
      <c r="D510" s="143" t="s">
        <v>346</v>
      </c>
      <c r="E510" s="150"/>
      <c r="F510" s="151" t="s">
        <v>2715</v>
      </c>
      <c r="H510" s="152">
        <v>6.6</v>
      </c>
      <c r="L510" s="149"/>
      <c r="M510" s="153"/>
      <c r="T510" s="154"/>
      <c r="AT510" s="150" t="s">
        <v>346</v>
      </c>
      <c r="AU510" s="150" t="s">
        <v>90</v>
      </c>
      <c r="AV510" s="148" t="s">
        <v>90</v>
      </c>
      <c r="AW510" s="148" t="s">
        <v>33</v>
      </c>
      <c r="AX510" s="148" t="s">
        <v>80</v>
      </c>
      <c r="AY510" s="150" t="s">
        <v>337</v>
      </c>
    </row>
    <row r="511" spans="2:51" s="141" customFormat="1" x14ac:dyDescent="0.2">
      <c r="B511" s="142"/>
      <c r="D511" s="143" t="s">
        <v>346</v>
      </c>
      <c r="E511" s="144"/>
      <c r="F511" s="145" t="s">
        <v>2774</v>
      </c>
      <c r="H511" s="144"/>
      <c r="L511" s="142"/>
      <c r="M511" s="146"/>
      <c r="T511" s="147"/>
      <c r="AT511" s="144" t="s">
        <v>346</v>
      </c>
      <c r="AU511" s="144" t="s">
        <v>90</v>
      </c>
      <c r="AV511" s="141" t="s">
        <v>87</v>
      </c>
      <c r="AW511" s="141" t="s">
        <v>33</v>
      </c>
      <c r="AX511" s="141" t="s">
        <v>80</v>
      </c>
      <c r="AY511" s="144" t="s">
        <v>337</v>
      </c>
    </row>
    <row r="512" spans="2:51" s="148" customFormat="1" x14ac:dyDescent="0.2">
      <c r="B512" s="149"/>
      <c r="D512" s="143" t="s">
        <v>346</v>
      </c>
      <c r="E512" s="150"/>
      <c r="F512" s="151" t="s">
        <v>2688</v>
      </c>
      <c r="H512" s="152">
        <v>10</v>
      </c>
      <c r="L512" s="149"/>
      <c r="M512" s="153"/>
      <c r="T512" s="154"/>
      <c r="AT512" s="150" t="s">
        <v>346</v>
      </c>
      <c r="AU512" s="150" t="s">
        <v>90</v>
      </c>
      <c r="AV512" s="148" t="s">
        <v>90</v>
      </c>
      <c r="AW512" s="148" t="s">
        <v>33</v>
      </c>
      <c r="AX512" s="148" t="s">
        <v>80</v>
      </c>
      <c r="AY512" s="150" t="s">
        <v>337</v>
      </c>
    </row>
    <row r="513" spans="2:51" s="141" customFormat="1" x14ac:dyDescent="0.2">
      <c r="B513" s="142"/>
      <c r="D513" s="143" t="s">
        <v>346</v>
      </c>
      <c r="E513" s="144"/>
      <c r="F513" s="145" t="s">
        <v>2775</v>
      </c>
      <c r="H513" s="144"/>
      <c r="L513" s="142"/>
      <c r="M513" s="146"/>
      <c r="T513" s="147"/>
      <c r="AT513" s="144" t="s">
        <v>346</v>
      </c>
      <c r="AU513" s="144" t="s">
        <v>90</v>
      </c>
      <c r="AV513" s="141" t="s">
        <v>87</v>
      </c>
      <c r="AW513" s="141" t="s">
        <v>33</v>
      </c>
      <c r="AX513" s="141" t="s">
        <v>80</v>
      </c>
      <c r="AY513" s="144" t="s">
        <v>337</v>
      </c>
    </row>
    <row r="514" spans="2:51" s="148" customFormat="1" x14ac:dyDescent="0.2">
      <c r="B514" s="149"/>
      <c r="D514" s="143" t="s">
        <v>346</v>
      </c>
      <c r="E514" s="150"/>
      <c r="F514" s="151" t="s">
        <v>2718</v>
      </c>
      <c r="H514" s="152">
        <v>9</v>
      </c>
      <c r="L514" s="149"/>
      <c r="M514" s="153"/>
      <c r="T514" s="154"/>
      <c r="AT514" s="150" t="s">
        <v>346</v>
      </c>
      <c r="AU514" s="150" t="s">
        <v>90</v>
      </c>
      <c r="AV514" s="148" t="s">
        <v>90</v>
      </c>
      <c r="AW514" s="148" t="s">
        <v>33</v>
      </c>
      <c r="AX514" s="148" t="s">
        <v>80</v>
      </c>
      <c r="AY514" s="150" t="s">
        <v>337</v>
      </c>
    </row>
    <row r="515" spans="2:51" s="141" customFormat="1" x14ac:dyDescent="0.2">
      <c r="B515" s="142"/>
      <c r="D515" s="143" t="s">
        <v>346</v>
      </c>
      <c r="E515" s="144"/>
      <c r="F515" s="145" t="s">
        <v>2776</v>
      </c>
      <c r="H515" s="144"/>
      <c r="L515" s="142"/>
      <c r="M515" s="146"/>
      <c r="T515" s="147"/>
      <c r="AT515" s="144" t="s">
        <v>346</v>
      </c>
      <c r="AU515" s="144" t="s">
        <v>90</v>
      </c>
      <c r="AV515" s="141" t="s">
        <v>87</v>
      </c>
      <c r="AW515" s="141" t="s">
        <v>33</v>
      </c>
      <c r="AX515" s="141" t="s">
        <v>80</v>
      </c>
      <c r="AY515" s="144" t="s">
        <v>337</v>
      </c>
    </row>
    <row r="516" spans="2:51" s="148" customFormat="1" x14ac:dyDescent="0.2">
      <c r="B516" s="149"/>
      <c r="D516" s="143" t="s">
        <v>346</v>
      </c>
      <c r="E516" s="150"/>
      <c r="F516" s="151" t="s">
        <v>2692</v>
      </c>
      <c r="H516" s="152">
        <v>14.1</v>
      </c>
      <c r="L516" s="149"/>
      <c r="M516" s="153"/>
      <c r="T516" s="154"/>
      <c r="AT516" s="150" t="s">
        <v>346</v>
      </c>
      <c r="AU516" s="150" t="s">
        <v>90</v>
      </c>
      <c r="AV516" s="148" t="s">
        <v>90</v>
      </c>
      <c r="AW516" s="148" t="s">
        <v>33</v>
      </c>
      <c r="AX516" s="148" t="s">
        <v>80</v>
      </c>
      <c r="AY516" s="150" t="s">
        <v>337</v>
      </c>
    </row>
    <row r="517" spans="2:51" s="141" customFormat="1" x14ac:dyDescent="0.2">
      <c r="B517" s="142"/>
      <c r="D517" s="143" t="s">
        <v>346</v>
      </c>
      <c r="E517" s="144"/>
      <c r="F517" s="145" t="s">
        <v>2777</v>
      </c>
      <c r="H517" s="144"/>
      <c r="L517" s="142"/>
      <c r="M517" s="146"/>
      <c r="T517" s="147"/>
      <c r="AT517" s="144" t="s">
        <v>346</v>
      </c>
      <c r="AU517" s="144" t="s">
        <v>90</v>
      </c>
      <c r="AV517" s="141" t="s">
        <v>87</v>
      </c>
      <c r="AW517" s="141" t="s">
        <v>33</v>
      </c>
      <c r="AX517" s="141" t="s">
        <v>80</v>
      </c>
      <c r="AY517" s="144" t="s">
        <v>337</v>
      </c>
    </row>
    <row r="518" spans="2:51" s="148" customFormat="1" x14ac:dyDescent="0.2">
      <c r="B518" s="149"/>
      <c r="D518" s="143" t="s">
        <v>346</v>
      </c>
      <c r="E518" s="150"/>
      <c r="F518" s="151" t="s">
        <v>2778</v>
      </c>
      <c r="H518" s="152">
        <v>317.89999999999998</v>
      </c>
      <c r="L518" s="149"/>
      <c r="M518" s="153"/>
      <c r="T518" s="154"/>
      <c r="AT518" s="150" t="s">
        <v>346</v>
      </c>
      <c r="AU518" s="150" t="s">
        <v>90</v>
      </c>
      <c r="AV518" s="148" t="s">
        <v>90</v>
      </c>
      <c r="AW518" s="148" t="s">
        <v>33</v>
      </c>
      <c r="AX518" s="148" t="s">
        <v>80</v>
      </c>
      <c r="AY518" s="150" t="s">
        <v>337</v>
      </c>
    </row>
    <row r="519" spans="2:51" s="141" customFormat="1" x14ac:dyDescent="0.2">
      <c r="B519" s="142"/>
      <c r="D519" s="143" t="s">
        <v>346</v>
      </c>
      <c r="E519" s="144"/>
      <c r="F519" s="145" t="s">
        <v>2779</v>
      </c>
      <c r="H519" s="144"/>
      <c r="L519" s="142"/>
      <c r="M519" s="146"/>
      <c r="T519" s="147"/>
      <c r="AT519" s="144" t="s">
        <v>346</v>
      </c>
      <c r="AU519" s="144" t="s">
        <v>90</v>
      </c>
      <c r="AV519" s="141" t="s">
        <v>87</v>
      </c>
      <c r="AW519" s="141" t="s">
        <v>33</v>
      </c>
      <c r="AX519" s="141" t="s">
        <v>80</v>
      </c>
      <c r="AY519" s="144" t="s">
        <v>337</v>
      </c>
    </row>
    <row r="520" spans="2:51" s="148" customFormat="1" x14ac:dyDescent="0.2">
      <c r="B520" s="149"/>
      <c r="D520" s="143" t="s">
        <v>346</v>
      </c>
      <c r="E520" s="150"/>
      <c r="F520" s="151" t="s">
        <v>2780</v>
      </c>
      <c r="H520" s="152">
        <v>12.1</v>
      </c>
      <c r="L520" s="149"/>
      <c r="M520" s="153"/>
      <c r="T520" s="154"/>
      <c r="AT520" s="150" t="s">
        <v>346</v>
      </c>
      <c r="AU520" s="150" t="s">
        <v>90</v>
      </c>
      <c r="AV520" s="148" t="s">
        <v>90</v>
      </c>
      <c r="AW520" s="148" t="s">
        <v>33</v>
      </c>
      <c r="AX520" s="148" t="s">
        <v>80</v>
      </c>
      <c r="AY520" s="150" t="s">
        <v>337</v>
      </c>
    </row>
    <row r="521" spans="2:51" s="141" customFormat="1" x14ac:dyDescent="0.2">
      <c r="B521" s="142"/>
      <c r="D521" s="143" t="s">
        <v>346</v>
      </c>
      <c r="E521" s="144"/>
      <c r="F521" s="145" t="s">
        <v>2781</v>
      </c>
      <c r="H521" s="144"/>
      <c r="L521" s="142"/>
      <c r="M521" s="146"/>
      <c r="T521" s="147"/>
      <c r="AT521" s="144" t="s">
        <v>346</v>
      </c>
      <c r="AU521" s="144" t="s">
        <v>90</v>
      </c>
      <c r="AV521" s="141" t="s">
        <v>87</v>
      </c>
      <c r="AW521" s="141" t="s">
        <v>33</v>
      </c>
      <c r="AX521" s="141" t="s">
        <v>80</v>
      </c>
      <c r="AY521" s="144" t="s">
        <v>337</v>
      </c>
    </row>
    <row r="522" spans="2:51" s="148" customFormat="1" x14ac:dyDescent="0.2">
      <c r="B522" s="149"/>
      <c r="D522" s="143" t="s">
        <v>346</v>
      </c>
      <c r="E522" s="150"/>
      <c r="F522" s="151" t="s">
        <v>2694</v>
      </c>
      <c r="H522" s="152">
        <v>75.400000000000006</v>
      </c>
      <c r="L522" s="149"/>
      <c r="M522" s="153"/>
      <c r="T522" s="154"/>
      <c r="AT522" s="150" t="s">
        <v>346</v>
      </c>
      <c r="AU522" s="150" t="s">
        <v>90</v>
      </c>
      <c r="AV522" s="148" t="s">
        <v>90</v>
      </c>
      <c r="AW522" s="148" t="s">
        <v>33</v>
      </c>
      <c r="AX522" s="148" t="s">
        <v>80</v>
      </c>
      <c r="AY522" s="150" t="s">
        <v>337</v>
      </c>
    </row>
    <row r="523" spans="2:51" s="141" customFormat="1" x14ac:dyDescent="0.2">
      <c r="B523" s="142"/>
      <c r="D523" s="143" t="s">
        <v>346</v>
      </c>
      <c r="E523" s="144"/>
      <c r="F523" s="145" t="s">
        <v>2513</v>
      </c>
      <c r="H523" s="144"/>
      <c r="L523" s="142"/>
      <c r="M523" s="146"/>
      <c r="T523" s="147"/>
      <c r="AT523" s="144" t="s">
        <v>346</v>
      </c>
      <c r="AU523" s="144" t="s">
        <v>90</v>
      </c>
      <c r="AV523" s="141" t="s">
        <v>87</v>
      </c>
      <c r="AW523" s="141" t="s">
        <v>33</v>
      </c>
      <c r="AX523" s="141" t="s">
        <v>80</v>
      </c>
      <c r="AY523" s="144" t="s">
        <v>337</v>
      </c>
    </row>
    <row r="524" spans="2:51" s="141" customFormat="1" x14ac:dyDescent="0.2">
      <c r="B524" s="142"/>
      <c r="D524" s="143" t="s">
        <v>346</v>
      </c>
      <c r="E524" s="144"/>
      <c r="F524" s="145" t="s">
        <v>2782</v>
      </c>
      <c r="H524" s="144"/>
      <c r="L524" s="142"/>
      <c r="M524" s="146"/>
      <c r="T524" s="147"/>
      <c r="AT524" s="144" t="s">
        <v>346</v>
      </c>
      <c r="AU524" s="144" t="s">
        <v>90</v>
      </c>
      <c r="AV524" s="141" t="s">
        <v>87</v>
      </c>
      <c r="AW524" s="141" t="s">
        <v>33</v>
      </c>
      <c r="AX524" s="141" t="s">
        <v>80</v>
      </c>
      <c r="AY524" s="144" t="s">
        <v>337</v>
      </c>
    </row>
    <row r="525" spans="2:51" s="148" customFormat="1" x14ac:dyDescent="0.2">
      <c r="B525" s="149"/>
      <c r="D525" s="143" t="s">
        <v>346</v>
      </c>
      <c r="E525" s="150"/>
      <c r="F525" s="151" t="s">
        <v>2783</v>
      </c>
      <c r="H525" s="152">
        <v>186.3</v>
      </c>
      <c r="L525" s="149"/>
      <c r="M525" s="153"/>
      <c r="T525" s="154"/>
      <c r="AT525" s="150" t="s">
        <v>346</v>
      </c>
      <c r="AU525" s="150" t="s">
        <v>90</v>
      </c>
      <c r="AV525" s="148" t="s">
        <v>90</v>
      </c>
      <c r="AW525" s="148" t="s">
        <v>33</v>
      </c>
      <c r="AX525" s="148" t="s">
        <v>80</v>
      </c>
      <c r="AY525" s="150" t="s">
        <v>337</v>
      </c>
    </row>
    <row r="526" spans="2:51" s="141" customFormat="1" x14ac:dyDescent="0.2">
      <c r="B526" s="142"/>
      <c r="D526" s="143" t="s">
        <v>346</v>
      </c>
      <c r="E526" s="144"/>
      <c r="F526" s="145" t="s">
        <v>2784</v>
      </c>
      <c r="H526" s="144"/>
      <c r="L526" s="142"/>
      <c r="M526" s="146"/>
      <c r="T526" s="147"/>
      <c r="AT526" s="144" t="s">
        <v>346</v>
      </c>
      <c r="AU526" s="144" t="s">
        <v>90</v>
      </c>
      <c r="AV526" s="141" t="s">
        <v>87</v>
      </c>
      <c r="AW526" s="141" t="s">
        <v>33</v>
      </c>
      <c r="AX526" s="141" t="s">
        <v>80</v>
      </c>
      <c r="AY526" s="144" t="s">
        <v>337</v>
      </c>
    </row>
    <row r="527" spans="2:51" s="148" customFormat="1" x14ac:dyDescent="0.2">
      <c r="B527" s="149"/>
      <c r="D527" s="143" t="s">
        <v>346</v>
      </c>
      <c r="E527" s="150"/>
      <c r="F527" s="151" t="s">
        <v>2783</v>
      </c>
      <c r="H527" s="152">
        <v>186.3</v>
      </c>
      <c r="L527" s="149"/>
      <c r="M527" s="153"/>
      <c r="T527" s="154"/>
      <c r="AT527" s="150" t="s">
        <v>346</v>
      </c>
      <c r="AU527" s="150" t="s">
        <v>90</v>
      </c>
      <c r="AV527" s="148" t="s">
        <v>90</v>
      </c>
      <c r="AW527" s="148" t="s">
        <v>33</v>
      </c>
      <c r="AX527" s="148" t="s">
        <v>80</v>
      </c>
      <c r="AY527" s="150" t="s">
        <v>337</v>
      </c>
    </row>
    <row r="528" spans="2:51" s="141" customFormat="1" x14ac:dyDescent="0.2">
      <c r="B528" s="142"/>
      <c r="D528" s="143" t="s">
        <v>346</v>
      </c>
      <c r="E528" s="144"/>
      <c r="F528" s="145" t="s">
        <v>2785</v>
      </c>
      <c r="H528" s="144"/>
      <c r="L528" s="142"/>
      <c r="M528" s="146"/>
      <c r="T528" s="147"/>
      <c r="AT528" s="144" t="s">
        <v>346</v>
      </c>
      <c r="AU528" s="144" t="s">
        <v>90</v>
      </c>
      <c r="AV528" s="141" t="s">
        <v>87</v>
      </c>
      <c r="AW528" s="141" t="s">
        <v>33</v>
      </c>
      <c r="AX528" s="141" t="s">
        <v>80</v>
      </c>
      <c r="AY528" s="144" t="s">
        <v>337</v>
      </c>
    </row>
    <row r="529" spans="2:65" s="148" customFormat="1" x14ac:dyDescent="0.2">
      <c r="B529" s="149"/>
      <c r="D529" s="143" t="s">
        <v>346</v>
      </c>
      <c r="E529" s="150"/>
      <c r="F529" s="151" t="s">
        <v>2786</v>
      </c>
      <c r="H529" s="152">
        <v>84.7</v>
      </c>
      <c r="L529" s="149"/>
      <c r="M529" s="153"/>
      <c r="T529" s="154"/>
      <c r="AT529" s="150" t="s">
        <v>346</v>
      </c>
      <c r="AU529" s="150" t="s">
        <v>90</v>
      </c>
      <c r="AV529" s="148" t="s">
        <v>90</v>
      </c>
      <c r="AW529" s="148" t="s">
        <v>33</v>
      </c>
      <c r="AX529" s="148" t="s">
        <v>80</v>
      </c>
      <c r="AY529" s="150" t="s">
        <v>337</v>
      </c>
    </row>
    <row r="530" spans="2:65" s="141" customFormat="1" x14ac:dyDescent="0.2">
      <c r="B530" s="142"/>
      <c r="D530" s="143" t="s">
        <v>346</v>
      </c>
      <c r="E530" s="144"/>
      <c r="F530" s="145" t="s">
        <v>2787</v>
      </c>
      <c r="H530" s="144"/>
      <c r="L530" s="142"/>
      <c r="M530" s="146"/>
      <c r="T530" s="147"/>
      <c r="AT530" s="144" t="s">
        <v>346</v>
      </c>
      <c r="AU530" s="144" t="s">
        <v>90</v>
      </c>
      <c r="AV530" s="141" t="s">
        <v>87</v>
      </c>
      <c r="AW530" s="141" t="s">
        <v>33</v>
      </c>
      <c r="AX530" s="141" t="s">
        <v>80</v>
      </c>
      <c r="AY530" s="144" t="s">
        <v>337</v>
      </c>
    </row>
    <row r="531" spans="2:65" s="148" customFormat="1" x14ac:dyDescent="0.2">
      <c r="B531" s="149"/>
      <c r="D531" s="143" t="s">
        <v>346</v>
      </c>
      <c r="E531" s="150"/>
      <c r="F531" s="151" t="s">
        <v>2788</v>
      </c>
      <c r="H531" s="152">
        <v>150.9</v>
      </c>
      <c r="L531" s="149"/>
      <c r="M531" s="153"/>
      <c r="T531" s="154"/>
      <c r="AT531" s="150" t="s">
        <v>346</v>
      </c>
      <c r="AU531" s="150" t="s">
        <v>90</v>
      </c>
      <c r="AV531" s="148" t="s">
        <v>90</v>
      </c>
      <c r="AW531" s="148" t="s">
        <v>33</v>
      </c>
      <c r="AX531" s="148" t="s">
        <v>80</v>
      </c>
      <c r="AY531" s="150" t="s">
        <v>337</v>
      </c>
    </row>
    <row r="532" spans="2:65" s="141" customFormat="1" x14ac:dyDescent="0.2">
      <c r="B532" s="142"/>
      <c r="D532" s="143" t="s">
        <v>346</v>
      </c>
      <c r="E532" s="144"/>
      <c r="F532" s="145" t="s">
        <v>2789</v>
      </c>
      <c r="H532" s="144"/>
      <c r="L532" s="142"/>
      <c r="M532" s="146"/>
      <c r="T532" s="147"/>
      <c r="AT532" s="144" t="s">
        <v>346</v>
      </c>
      <c r="AU532" s="144" t="s">
        <v>90</v>
      </c>
      <c r="AV532" s="141" t="s">
        <v>87</v>
      </c>
      <c r="AW532" s="141" t="s">
        <v>33</v>
      </c>
      <c r="AX532" s="141" t="s">
        <v>80</v>
      </c>
      <c r="AY532" s="144" t="s">
        <v>337</v>
      </c>
    </row>
    <row r="533" spans="2:65" s="148" customFormat="1" x14ac:dyDescent="0.2">
      <c r="B533" s="149"/>
      <c r="D533" s="143" t="s">
        <v>346</v>
      </c>
      <c r="E533" s="150"/>
      <c r="F533" s="151" t="s">
        <v>2790</v>
      </c>
      <c r="H533" s="152">
        <v>243.4</v>
      </c>
      <c r="L533" s="149"/>
      <c r="M533" s="153"/>
      <c r="T533" s="154"/>
      <c r="AT533" s="150" t="s">
        <v>346</v>
      </c>
      <c r="AU533" s="150" t="s">
        <v>90</v>
      </c>
      <c r="AV533" s="148" t="s">
        <v>90</v>
      </c>
      <c r="AW533" s="148" t="s">
        <v>33</v>
      </c>
      <c r="AX533" s="148" t="s">
        <v>80</v>
      </c>
      <c r="AY533" s="150" t="s">
        <v>337</v>
      </c>
    </row>
    <row r="534" spans="2:65" s="172" customFormat="1" x14ac:dyDescent="0.2">
      <c r="B534" s="173"/>
      <c r="D534" s="143" t="s">
        <v>346</v>
      </c>
      <c r="E534" s="174"/>
      <c r="F534" s="175" t="s">
        <v>609</v>
      </c>
      <c r="H534" s="176">
        <v>7800</v>
      </c>
      <c r="L534" s="173"/>
      <c r="M534" s="177"/>
      <c r="T534" s="178"/>
      <c r="AT534" s="174" t="s">
        <v>346</v>
      </c>
      <c r="AU534" s="174" t="s">
        <v>90</v>
      </c>
      <c r="AV534" s="172" t="s">
        <v>113</v>
      </c>
      <c r="AW534" s="172" t="s">
        <v>33</v>
      </c>
      <c r="AX534" s="172" t="s">
        <v>80</v>
      </c>
      <c r="AY534" s="174" t="s">
        <v>337</v>
      </c>
    </row>
    <row r="535" spans="2:65" s="141" customFormat="1" x14ac:dyDescent="0.2">
      <c r="B535" s="142"/>
      <c r="D535" s="143" t="s">
        <v>346</v>
      </c>
      <c r="E535" s="144"/>
      <c r="F535" s="145" t="s">
        <v>2791</v>
      </c>
      <c r="H535" s="144"/>
      <c r="L535" s="142"/>
      <c r="M535" s="146"/>
      <c r="T535" s="147"/>
      <c r="AT535" s="144" t="s">
        <v>346</v>
      </c>
      <c r="AU535" s="144" t="s">
        <v>90</v>
      </c>
      <c r="AV535" s="141" t="s">
        <v>87</v>
      </c>
      <c r="AW535" s="141" t="s">
        <v>33</v>
      </c>
      <c r="AX535" s="141" t="s">
        <v>80</v>
      </c>
      <c r="AY535" s="144" t="s">
        <v>337</v>
      </c>
    </row>
    <row r="536" spans="2:65" s="141" customFormat="1" x14ac:dyDescent="0.2">
      <c r="B536" s="142"/>
      <c r="D536" s="143" t="s">
        <v>346</v>
      </c>
      <c r="E536" s="144"/>
      <c r="F536" s="145" t="s">
        <v>2792</v>
      </c>
      <c r="H536" s="144"/>
      <c r="L536" s="142"/>
      <c r="M536" s="146"/>
      <c r="T536" s="147"/>
      <c r="AT536" s="144" t="s">
        <v>346</v>
      </c>
      <c r="AU536" s="144" t="s">
        <v>90</v>
      </c>
      <c r="AV536" s="141" t="s">
        <v>87</v>
      </c>
      <c r="AW536" s="141" t="s">
        <v>33</v>
      </c>
      <c r="AX536" s="141" t="s">
        <v>80</v>
      </c>
      <c r="AY536" s="144" t="s">
        <v>337</v>
      </c>
    </row>
    <row r="537" spans="2:65" s="148" customFormat="1" x14ac:dyDescent="0.2">
      <c r="B537" s="149"/>
      <c r="D537" s="143" t="s">
        <v>346</v>
      </c>
      <c r="E537" s="150"/>
      <c r="F537" s="151" t="s">
        <v>2793</v>
      </c>
      <c r="H537" s="152">
        <v>156</v>
      </c>
      <c r="L537" s="149"/>
      <c r="M537" s="153"/>
      <c r="T537" s="154"/>
      <c r="AT537" s="150" t="s">
        <v>346</v>
      </c>
      <c r="AU537" s="150" t="s">
        <v>90</v>
      </c>
      <c r="AV537" s="148" t="s">
        <v>90</v>
      </c>
      <c r="AW537" s="148" t="s">
        <v>33</v>
      </c>
      <c r="AX537" s="148" t="s">
        <v>80</v>
      </c>
      <c r="AY537" s="150" t="s">
        <v>337</v>
      </c>
    </row>
    <row r="538" spans="2:65" s="141" customFormat="1" x14ac:dyDescent="0.2">
      <c r="B538" s="142"/>
      <c r="D538" s="143" t="s">
        <v>346</v>
      </c>
      <c r="E538" s="144"/>
      <c r="F538" s="145" t="s">
        <v>2794</v>
      </c>
      <c r="H538" s="144"/>
      <c r="L538" s="142"/>
      <c r="M538" s="146"/>
      <c r="T538" s="147"/>
      <c r="AT538" s="144" t="s">
        <v>346</v>
      </c>
      <c r="AU538" s="144" t="s">
        <v>90</v>
      </c>
      <c r="AV538" s="141" t="s">
        <v>87</v>
      </c>
      <c r="AW538" s="141" t="s">
        <v>33</v>
      </c>
      <c r="AX538" s="141" t="s">
        <v>80</v>
      </c>
      <c r="AY538" s="144" t="s">
        <v>337</v>
      </c>
    </row>
    <row r="539" spans="2:65" s="148" customFormat="1" x14ac:dyDescent="0.2">
      <c r="B539" s="149"/>
      <c r="D539" s="143" t="s">
        <v>346</v>
      </c>
      <c r="E539" s="150"/>
      <c r="F539" s="151" t="s">
        <v>2795</v>
      </c>
      <c r="H539" s="152">
        <v>624</v>
      </c>
      <c r="L539" s="149"/>
      <c r="M539" s="153"/>
      <c r="T539" s="154"/>
      <c r="AT539" s="150" t="s">
        <v>346</v>
      </c>
      <c r="AU539" s="150" t="s">
        <v>90</v>
      </c>
      <c r="AV539" s="148" t="s">
        <v>90</v>
      </c>
      <c r="AW539" s="148" t="s">
        <v>33</v>
      </c>
      <c r="AX539" s="148" t="s">
        <v>80</v>
      </c>
      <c r="AY539" s="150" t="s">
        <v>337</v>
      </c>
    </row>
    <row r="540" spans="2:65" s="141" customFormat="1" x14ac:dyDescent="0.2">
      <c r="B540" s="142"/>
      <c r="D540" s="143" t="s">
        <v>346</v>
      </c>
      <c r="E540" s="144"/>
      <c r="F540" s="145" t="s">
        <v>2796</v>
      </c>
      <c r="H540" s="144"/>
      <c r="L540" s="142"/>
      <c r="M540" s="146"/>
      <c r="T540" s="147"/>
      <c r="AT540" s="144" t="s">
        <v>346</v>
      </c>
      <c r="AU540" s="144" t="s">
        <v>90</v>
      </c>
      <c r="AV540" s="141" t="s">
        <v>87</v>
      </c>
      <c r="AW540" s="141" t="s">
        <v>33</v>
      </c>
      <c r="AX540" s="141" t="s">
        <v>80</v>
      </c>
      <c r="AY540" s="144" t="s">
        <v>337</v>
      </c>
    </row>
    <row r="541" spans="2:65" s="148" customFormat="1" x14ac:dyDescent="0.2">
      <c r="B541" s="149"/>
      <c r="D541" s="143" t="s">
        <v>346</v>
      </c>
      <c r="E541" s="150"/>
      <c r="F541" s="151" t="s">
        <v>2797</v>
      </c>
      <c r="H541" s="152">
        <v>1170</v>
      </c>
      <c r="L541" s="149"/>
      <c r="M541" s="153"/>
      <c r="T541" s="154"/>
      <c r="AT541" s="150" t="s">
        <v>346</v>
      </c>
      <c r="AU541" s="150" t="s">
        <v>90</v>
      </c>
      <c r="AV541" s="148" t="s">
        <v>90</v>
      </c>
      <c r="AW541" s="148" t="s">
        <v>33</v>
      </c>
      <c r="AX541" s="148" t="s">
        <v>80</v>
      </c>
      <c r="AY541" s="150" t="s">
        <v>337</v>
      </c>
    </row>
    <row r="542" spans="2:65" s="155" customFormat="1" x14ac:dyDescent="0.2">
      <c r="B542" s="156"/>
      <c r="D542" s="143" t="s">
        <v>346</v>
      </c>
      <c r="E542" s="157"/>
      <c r="F542" s="158" t="s">
        <v>351</v>
      </c>
      <c r="H542" s="159">
        <v>9750</v>
      </c>
      <c r="L542" s="156"/>
      <c r="M542" s="160"/>
      <c r="T542" s="161"/>
      <c r="AT542" s="157" t="s">
        <v>346</v>
      </c>
      <c r="AU542" s="157" t="s">
        <v>90</v>
      </c>
      <c r="AV542" s="155" t="s">
        <v>344</v>
      </c>
      <c r="AW542" s="155" t="s">
        <v>33</v>
      </c>
      <c r="AX542" s="155" t="s">
        <v>87</v>
      </c>
      <c r="AY542" s="157" t="s">
        <v>337</v>
      </c>
    </row>
    <row r="543" spans="2:65" s="16" customFormat="1" ht="16.5" customHeight="1" x14ac:dyDescent="0.2">
      <c r="B543" s="17"/>
      <c r="C543" s="128">
        <v>33</v>
      </c>
      <c r="D543" s="128" t="s">
        <v>339</v>
      </c>
      <c r="E543" s="129" t="s">
        <v>2798</v>
      </c>
      <c r="F543" s="130" t="s">
        <v>2799</v>
      </c>
      <c r="G543" s="131" t="s">
        <v>535</v>
      </c>
      <c r="H543" s="132">
        <v>1510.875</v>
      </c>
      <c r="I543" s="133"/>
      <c r="J543" s="134">
        <f>ROUND(I543*H543,2)</f>
        <v>0</v>
      </c>
      <c r="K543" s="130"/>
      <c r="L543" s="17"/>
      <c r="M543" s="135"/>
      <c r="N543" s="136" t="s">
        <v>45</v>
      </c>
      <c r="P543" s="137">
        <f>O543*H543</f>
        <v>0</v>
      </c>
      <c r="Q543" s="137">
        <v>1E-3</v>
      </c>
      <c r="R543" s="137">
        <f>Q543*H543</f>
        <v>1.510875</v>
      </c>
      <c r="S543" s="137">
        <v>0</v>
      </c>
      <c r="T543" s="138">
        <f>S543*H543</f>
        <v>0</v>
      </c>
      <c r="AR543" s="139" t="s">
        <v>496</v>
      </c>
      <c r="AT543" s="139" t="s">
        <v>339</v>
      </c>
      <c r="AU543" s="139" t="s">
        <v>90</v>
      </c>
      <c r="AY543" s="2" t="s">
        <v>337</v>
      </c>
      <c r="BE543" s="140">
        <f>IF(N543="základní",J543,0)</f>
        <v>0</v>
      </c>
      <c r="BF543" s="140">
        <f>IF(N543="snížená",J543,0)</f>
        <v>0</v>
      </c>
      <c r="BG543" s="140">
        <f>IF(N543="zákl. přenesená",J543,0)</f>
        <v>0</v>
      </c>
      <c r="BH543" s="140">
        <f>IF(N543="sníž. přenesená",J543,0)</f>
        <v>0</v>
      </c>
      <c r="BI543" s="140">
        <f>IF(N543="nulová",J543,0)</f>
        <v>0</v>
      </c>
      <c r="BJ543" s="2" t="s">
        <v>87</v>
      </c>
      <c r="BK543" s="140">
        <f>ROUND(I543*H543,2)</f>
        <v>0</v>
      </c>
      <c r="BL543" s="2" t="s">
        <v>496</v>
      </c>
      <c r="BM543" s="139" t="s">
        <v>2800</v>
      </c>
    </row>
    <row r="544" spans="2:65" s="141" customFormat="1" x14ac:dyDescent="0.2">
      <c r="B544" s="142"/>
      <c r="D544" s="143" t="s">
        <v>346</v>
      </c>
      <c r="E544" s="144"/>
      <c r="F544" s="145" t="s">
        <v>2801</v>
      </c>
      <c r="H544" s="144"/>
      <c r="L544" s="142"/>
      <c r="M544" s="146"/>
      <c r="T544" s="147"/>
      <c r="AT544" s="144" t="s">
        <v>346</v>
      </c>
      <c r="AU544" s="144" t="s">
        <v>90</v>
      </c>
      <c r="AV544" s="141" t="s">
        <v>87</v>
      </c>
      <c r="AW544" s="141" t="s">
        <v>33</v>
      </c>
      <c r="AX544" s="141" t="s">
        <v>80</v>
      </c>
      <c r="AY544" s="144" t="s">
        <v>337</v>
      </c>
    </row>
    <row r="545" spans="2:51" s="141" customFormat="1" x14ac:dyDescent="0.2">
      <c r="B545" s="142"/>
      <c r="D545" s="143" t="s">
        <v>346</v>
      </c>
      <c r="E545" s="144"/>
      <c r="F545" s="145" t="s">
        <v>2802</v>
      </c>
      <c r="H545" s="144"/>
      <c r="L545" s="142"/>
      <c r="M545" s="146"/>
      <c r="T545" s="147"/>
      <c r="AT545" s="144" t="s">
        <v>346</v>
      </c>
      <c r="AU545" s="144" t="s">
        <v>90</v>
      </c>
      <c r="AV545" s="141" t="s">
        <v>87</v>
      </c>
      <c r="AW545" s="141" t="s">
        <v>33</v>
      </c>
      <c r="AX545" s="141" t="s">
        <v>80</v>
      </c>
      <c r="AY545" s="144" t="s">
        <v>337</v>
      </c>
    </row>
    <row r="546" spans="2:51" s="148" customFormat="1" x14ac:dyDescent="0.2">
      <c r="B546" s="149"/>
      <c r="D546" s="143" t="s">
        <v>346</v>
      </c>
      <c r="E546" s="150"/>
      <c r="F546" s="151" t="s">
        <v>2803</v>
      </c>
      <c r="H546" s="152">
        <v>28.3</v>
      </c>
      <c r="L546" s="149"/>
      <c r="M546" s="153"/>
      <c r="T546" s="154"/>
      <c r="AT546" s="150" t="s">
        <v>346</v>
      </c>
      <c r="AU546" s="150" t="s">
        <v>90</v>
      </c>
      <c r="AV546" s="148" t="s">
        <v>90</v>
      </c>
      <c r="AW546" s="148" t="s">
        <v>33</v>
      </c>
      <c r="AX546" s="148" t="s">
        <v>80</v>
      </c>
      <c r="AY546" s="150" t="s">
        <v>337</v>
      </c>
    </row>
    <row r="547" spans="2:51" s="141" customFormat="1" x14ac:dyDescent="0.2">
      <c r="B547" s="142"/>
      <c r="D547" s="143" t="s">
        <v>346</v>
      </c>
      <c r="E547" s="144"/>
      <c r="F547" s="145" t="s">
        <v>2804</v>
      </c>
      <c r="H547" s="144"/>
      <c r="L547" s="142"/>
      <c r="M547" s="146"/>
      <c r="T547" s="147"/>
      <c r="AT547" s="144" t="s">
        <v>346</v>
      </c>
      <c r="AU547" s="144" t="s">
        <v>90</v>
      </c>
      <c r="AV547" s="141" t="s">
        <v>87</v>
      </c>
      <c r="AW547" s="141" t="s">
        <v>33</v>
      </c>
      <c r="AX547" s="141" t="s">
        <v>80</v>
      </c>
      <c r="AY547" s="144" t="s">
        <v>337</v>
      </c>
    </row>
    <row r="548" spans="2:51" s="148" customFormat="1" x14ac:dyDescent="0.2">
      <c r="B548" s="149"/>
      <c r="D548" s="143" t="s">
        <v>346</v>
      </c>
      <c r="E548" s="150"/>
      <c r="F548" s="151" t="s">
        <v>2780</v>
      </c>
      <c r="H548" s="152">
        <v>12.1</v>
      </c>
      <c r="L548" s="149"/>
      <c r="M548" s="153"/>
      <c r="T548" s="154"/>
      <c r="AT548" s="150" t="s">
        <v>346</v>
      </c>
      <c r="AU548" s="150" t="s">
        <v>90</v>
      </c>
      <c r="AV548" s="148" t="s">
        <v>90</v>
      </c>
      <c r="AW548" s="148" t="s">
        <v>33</v>
      </c>
      <c r="AX548" s="148" t="s">
        <v>80</v>
      </c>
      <c r="AY548" s="150" t="s">
        <v>337</v>
      </c>
    </row>
    <row r="549" spans="2:51" s="141" customFormat="1" x14ac:dyDescent="0.2">
      <c r="B549" s="142"/>
      <c r="D549" s="143" t="s">
        <v>346</v>
      </c>
      <c r="E549" s="144"/>
      <c r="F549" s="145" t="s">
        <v>2805</v>
      </c>
      <c r="H549" s="144"/>
      <c r="L549" s="142"/>
      <c r="M549" s="146"/>
      <c r="T549" s="147"/>
      <c r="AT549" s="144" t="s">
        <v>346</v>
      </c>
      <c r="AU549" s="144" t="s">
        <v>90</v>
      </c>
      <c r="AV549" s="141" t="s">
        <v>87</v>
      </c>
      <c r="AW549" s="141" t="s">
        <v>33</v>
      </c>
      <c r="AX549" s="141" t="s">
        <v>80</v>
      </c>
      <c r="AY549" s="144" t="s">
        <v>337</v>
      </c>
    </row>
    <row r="550" spans="2:51" s="148" customFormat="1" x14ac:dyDescent="0.2">
      <c r="B550" s="149"/>
      <c r="D550" s="143" t="s">
        <v>346</v>
      </c>
      <c r="E550" s="150"/>
      <c r="F550" s="151" t="s">
        <v>2806</v>
      </c>
      <c r="H550" s="152">
        <v>64.8</v>
      </c>
      <c r="L550" s="149"/>
      <c r="M550" s="153"/>
      <c r="T550" s="154"/>
      <c r="AT550" s="150" t="s">
        <v>346</v>
      </c>
      <c r="AU550" s="150" t="s">
        <v>90</v>
      </c>
      <c r="AV550" s="148" t="s">
        <v>90</v>
      </c>
      <c r="AW550" s="148" t="s">
        <v>33</v>
      </c>
      <c r="AX550" s="148" t="s">
        <v>80</v>
      </c>
      <c r="AY550" s="150" t="s">
        <v>337</v>
      </c>
    </row>
    <row r="551" spans="2:51" s="141" customFormat="1" x14ac:dyDescent="0.2">
      <c r="B551" s="142"/>
      <c r="D551" s="143" t="s">
        <v>346</v>
      </c>
      <c r="E551" s="144"/>
      <c r="F551" s="145" t="s">
        <v>2807</v>
      </c>
      <c r="H551" s="144"/>
      <c r="L551" s="142"/>
      <c r="M551" s="146"/>
      <c r="T551" s="147"/>
      <c r="AT551" s="144" t="s">
        <v>346</v>
      </c>
      <c r="AU551" s="144" t="s">
        <v>90</v>
      </c>
      <c r="AV551" s="141" t="s">
        <v>87</v>
      </c>
      <c r="AW551" s="141" t="s">
        <v>33</v>
      </c>
      <c r="AX551" s="141" t="s">
        <v>80</v>
      </c>
      <c r="AY551" s="144" t="s">
        <v>337</v>
      </c>
    </row>
    <row r="552" spans="2:51" s="141" customFormat="1" x14ac:dyDescent="0.2">
      <c r="B552" s="142"/>
      <c r="D552" s="143" t="s">
        <v>346</v>
      </c>
      <c r="E552" s="144"/>
      <c r="F552" s="145" t="s">
        <v>2808</v>
      </c>
      <c r="H552" s="144"/>
      <c r="L552" s="142"/>
      <c r="M552" s="146"/>
      <c r="T552" s="147"/>
      <c r="AT552" s="144" t="s">
        <v>346</v>
      </c>
      <c r="AU552" s="144" t="s">
        <v>90</v>
      </c>
      <c r="AV552" s="141" t="s">
        <v>87</v>
      </c>
      <c r="AW552" s="141" t="s">
        <v>33</v>
      </c>
      <c r="AX552" s="141" t="s">
        <v>80</v>
      </c>
      <c r="AY552" s="144" t="s">
        <v>337</v>
      </c>
    </row>
    <row r="553" spans="2:51" s="148" customFormat="1" x14ac:dyDescent="0.2">
      <c r="B553" s="149"/>
      <c r="D553" s="143" t="s">
        <v>346</v>
      </c>
      <c r="E553" s="150"/>
      <c r="F553" s="151" t="s">
        <v>2809</v>
      </c>
      <c r="H553" s="152">
        <v>383</v>
      </c>
      <c r="L553" s="149"/>
      <c r="M553" s="153"/>
      <c r="T553" s="154"/>
      <c r="AT553" s="150" t="s">
        <v>346</v>
      </c>
      <c r="AU553" s="150" t="s">
        <v>90</v>
      </c>
      <c r="AV553" s="148" t="s">
        <v>90</v>
      </c>
      <c r="AW553" s="148" t="s">
        <v>33</v>
      </c>
      <c r="AX553" s="148" t="s">
        <v>80</v>
      </c>
      <c r="AY553" s="150" t="s">
        <v>337</v>
      </c>
    </row>
    <row r="554" spans="2:51" s="141" customFormat="1" x14ac:dyDescent="0.2">
      <c r="B554" s="142"/>
      <c r="D554" s="143" t="s">
        <v>346</v>
      </c>
      <c r="E554" s="144"/>
      <c r="F554" s="145" t="s">
        <v>2810</v>
      </c>
      <c r="H554" s="144"/>
      <c r="L554" s="142"/>
      <c r="M554" s="146"/>
      <c r="T554" s="147"/>
      <c r="AT554" s="144" t="s">
        <v>346</v>
      </c>
      <c r="AU554" s="144" t="s">
        <v>90</v>
      </c>
      <c r="AV554" s="141" t="s">
        <v>87</v>
      </c>
      <c r="AW554" s="141" t="s">
        <v>33</v>
      </c>
      <c r="AX554" s="141" t="s">
        <v>80</v>
      </c>
      <c r="AY554" s="144" t="s">
        <v>337</v>
      </c>
    </row>
    <row r="555" spans="2:51" s="148" customFormat="1" x14ac:dyDescent="0.2">
      <c r="B555" s="149"/>
      <c r="D555" s="143" t="s">
        <v>346</v>
      </c>
      <c r="E555" s="150"/>
      <c r="F555" s="151" t="s">
        <v>2811</v>
      </c>
      <c r="H555" s="152">
        <v>67.8</v>
      </c>
      <c r="L555" s="149"/>
      <c r="M555" s="153"/>
      <c r="T555" s="154"/>
      <c r="AT555" s="150" t="s">
        <v>346</v>
      </c>
      <c r="AU555" s="150" t="s">
        <v>90</v>
      </c>
      <c r="AV555" s="148" t="s">
        <v>90</v>
      </c>
      <c r="AW555" s="148" t="s">
        <v>33</v>
      </c>
      <c r="AX555" s="148" t="s">
        <v>80</v>
      </c>
      <c r="AY555" s="150" t="s">
        <v>337</v>
      </c>
    </row>
    <row r="556" spans="2:51" s="141" customFormat="1" x14ac:dyDescent="0.2">
      <c r="B556" s="142"/>
      <c r="D556" s="143" t="s">
        <v>346</v>
      </c>
      <c r="E556" s="144"/>
      <c r="F556" s="145" t="s">
        <v>2812</v>
      </c>
      <c r="H556" s="144"/>
      <c r="L556" s="142"/>
      <c r="M556" s="146"/>
      <c r="T556" s="147"/>
      <c r="AT556" s="144" t="s">
        <v>346</v>
      </c>
      <c r="AU556" s="144" t="s">
        <v>90</v>
      </c>
      <c r="AV556" s="141" t="s">
        <v>87</v>
      </c>
      <c r="AW556" s="141" t="s">
        <v>33</v>
      </c>
      <c r="AX556" s="141" t="s">
        <v>80</v>
      </c>
      <c r="AY556" s="144" t="s">
        <v>337</v>
      </c>
    </row>
    <row r="557" spans="2:51" s="148" customFormat="1" x14ac:dyDescent="0.2">
      <c r="B557" s="149"/>
      <c r="D557" s="143" t="s">
        <v>346</v>
      </c>
      <c r="E557" s="150"/>
      <c r="F557" s="151" t="s">
        <v>2813</v>
      </c>
      <c r="H557" s="152">
        <v>81.8</v>
      </c>
      <c r="L557" s="149"/>
      <c r="M557" s="153"/>
      <c r="T557" s="154"/>
      <c r="AT557" s="150" t="s">
        <v>346</v>
      </c>
      <c r="AU557" s="150" t="s">
        <v>90</v>
      </c>
      <c r="AV557" s="148" t="s">
        <v>90</v>
      </c>
      <c r="AW557" s="148" t="s">
        <v>33</v>
      </c>
      <c r="AX557" s="148" t="s">
        <v>80</v>
      </c>
      <c r="AY557" s="150" t="s">
        <v>337</v>
      </c>
    </row>
    <row r="558" spans="2:51" s="141" customFormat="1" x14ac:dyDescent="0.2">
      <c r="B558" s="142"/>
      <c r="D558" s="143" t="s">
        <v>346</v>
      </c>
      <c r="E558" s="144"/>
      <c r="F558" s="145" t="s">
        <v>2814</v>
      </c>
      <c r="H558" s="144"/>
      <c r="L558" s="142"/>
      <c r="M558" s="146"/>
      <c r="T558" s="147"/>
      <c r="AT558" s="144" t="s">
        <v>346</v>
      </c>
      <c r="AU558" s="144" t="s">
        <v>90</v>
      </c>
      <c r="AV558" s="141" t="s">
        <v>87</v>
      </c>
      <c r="AW558" s="141" t="s">
        <v>33</v>
      </c>
      <c r="AX558" s="141" t="s">
        <v>80</v>
      </c>
      <c r="AY558" s="144" t="s">
        <v>337</v>
      </c>
    </row>
    <row r="559" spans="2:51" s="148" customFormat="1" x14ac:dyDescent="0.2">
      <c r="B559" s="149"/>
      <c r="D559" s="143" t="s">
        <v>346</v>
      </c>
      <c r="E559" s="150"/>
      <c r="F559" s="151" t="s">
        <v>2815</v>
      </c>
      <c r="H559" s="152">
        <v>365</v>
      </c>
      <c r="L559" s="149"/>
      <c r="M559" s="153"/>
      <c r="T559" s="154"/>
      <c r="AT559" s="150" t="s">
        <v>346</v>
      </c>
      <c r="AU559" s="150" t="s">
        <v>90</v>
      </c>
      <c r="AV559" s="148" t="s">
        <v>90</v>
      </c>
      <c r="AW559" s="148" t="s">
        <v>33</v>
      </c>
      <c r="AX559" s="148" t="s">
        <v>80</v>
      </c>
      <c r="AY559" s="150" t="s">
        <v>337</v>
      </c>
    </row>
    <row r="560" spans="2:51" s="141" customFormat="1" x14ac:dyDescent="0.2">
      <c r="B560" s="142"/>
      <c r="D560" s="143" t="s">
        <v>346</v>
      </c>
      <c r="E560" s="144"/>
      <c r="F560" s="145" t="s">
        <v>2816</v>
      </c>
      <c r="H560" s="144"/>
      <c r="L560" s="142"/>
      <c r="M560" s="146"/>
      <c r="T560" s="147"/>
      <c r="AT560" s="144" t="s">
        <v>346</v>
      </c>
      <c r="AU560" s="144" t="s">
        <v>90</v>
      </c>
      <c r="AV560" s="141" t="s">
        <v>87</v>
      </c>
      <c r="AW560" s="141" t="s">
        <v>33</v>
      </c>
      <c r="AX560" s="141" t="s">
        <v>80</v>
      </c>
      <c r="AY560" s="144" t="s">
        <v>337</v>
      </c>
    </row>
    <row r="561" spans="2:65" s="148" customFormat="1" x14ac:dyDescent="0.2">
      <c r="B561" s="149"/>
      <c r="D561" s="143" t="s">
        <v>346</v>
      </c>
      <c r="E561" s="150"/>
      <c r="F561" s="151" t="s">
        <v>2817</v>
      </c>
      <c r="H561" s="152">
        <v>198.8</v>
      </c>
      <c r="L561" s="149"/>
      <c r="M561" s="153"/>
      <c r="T561" s="154"/>
      <c r="AT561" s="150" t="s">
        <v>346</v>
      </c>
      <c r="AU561" s="150" t="s">
        <v>90</v>
      </c>
      <c r="AV561" s="148" t="s">
        <v>90</v>
      </c>
      <c r="AW561" s="148" t="s">
        <v>33</v>
      </c>
      <c r="AX561" s="148" t="s">
        <v>80</v>
      </c>
      <c r="AY561" s="150" t="s">
        <v>337</v>
      </c>
    </row>
    <row r="562" spans="2:65" s="141" customFormat="1" x14ac:dyDescent="0.2">
      <c r="B562" s="142"/>
      <c r="D562" s="143" t="s">
        <v>346</v>
      </c>
      <c r="E562" s="144"/>
      <c r="F562" s="145" t="s">
        <v>2818</v>
      </c>
      <c r="H562" s="144"/>
      <c r="L562" s="142"/>
      <c r="M562" s="146"/>
      <c r="T562" s="147"/>
      <c r="AT562" s="144" t="s">
        <v>346</v>
      </c>
      <c r="AU562" s="144" t="s">
        <v>90</v>
      </c>
      <c r="AV562" s="141" t="s">
        <v>87</v>
      </c>
      <c r="AW562" s="141" t="s">
        <v>33</v>
      </c>
      <c r="AX562" s="141" t="s">
        <v>80</v>
      </c>
      <c r="AY562" s="144" t="s">
        <v>337</v>
      </c>
    </row>
    <row r="563" spans="2:65" s="148" customFormat="1" x14ac:dyDescent="0.2">
      <c r="B563" s="149"/>
      <c r="D563" s="143" t="s">
        <v>346</v>
      </c>
      <c r="E563" s="150"/>
      <c r="F563" s="151" t="s">
        <v>2720</v>
      </c>
      <c r="H563" s="152">
        <v>7.1</v>
      </c>
      <c r="L563" s="149"/>
      <c r="M563" s="153"/>
      <c r="T563" s="154"/>
      <c r="AT563" s="150" t="s">
        <v>346</v>
      </c>
      <c r="AU563" s="150" t="s">
        <v>90</v>
      </c>
      <c r="AV563" s="148" t="s">
        <v>90</v>
      </c>
      <c r="AW563" s="148" t="s">
        <v>33</v>
      </c>
      <c r="AX563" s="148" t="s">
        <v>80</v>
      </c>
      <c r="AY563" s="150" t="s">
        <v>337</v>
      </c>
    </row>
    <row r="564" spans="2:65" s="172" customFormat="1" x14ac:dyDescent="0.2">
      <c r="B564" s="173"/>
      <c r="D564" s="143" t="s">
        <v>346</v>
      </c>
      <c r="E564" s="174"/>
      <c r="F564" s="175" t="s">
        <v>609</v>
      </c>
      <c r="H564" s="176">
        <v>1208.7</v>
      </c>
      <c r="L564" s="173"/>
      <c r="M564" s="177"/>
      <c r="T564" s="178"/>
      <c r="AT564" s="174" t="s">
        <v>346</v>
      </c>
      <c r="AU564" s="174" t="s">
        <v>90</v>
      </c>
      <c r="AV564" s="172" t="s">
        <v>113</v>
      </c>
      <c r="AW564" s="172" t="s">
        <v>33</v>
      </c>
      <c r="AX564" s="172" t="s">
        <v>80</v>
      </c>
      <c r="AY564" s="174" t="s">
        <v>337</v>
      </c>
    </row>
    <row r="565" spans="2:65" s="141" customFormat="1" x14ac:dyDescent="0.2">
      <c r="B565" s="142"/>
      <c r="D565" s="143" t="s">
        <v>346</v>
      </c>
      <c r="E565" s="144"/>
      <c r="F565" s="145" t="s">
        <v>2791</v>
      </c>
      <c r="H565" s="144"/>
      <c r="L565" s="142"/>
      <c r="M565" s="146"/>
      <c r="T565" s="147"/>
      <c r="AT565" s="144" t="s">
        <v>346</v>
      </c>
      <c r="AU565" s="144" t="s">
        <v>90</v>
      </c>
      <c r="AV565" s="141" t="s">
        <v>87</v>
      </c>
      <c r="AW565" s="141" t="s">
        <v>33</v>
      </c>
      <c r="AX565" s="141" t="s">
        <v>80</v>
      </c>
      <c r="AY565" s="144" t="s">
        <v>337</v>
      </c>
    </row>
    <row r="566" spans="2:65" s="141" customFormat="1" x14ac:dyDescent="0.2">
      <c r="B566" s="142"/>
      <c r="D566" s="143" t="s">
        <v>346</v>
      </c>
      <c r="E566" s="144"/>
      <c r="F566" s="145" t="s">
        <v>2792</v>
      </c>
      <c r="H566" s="144"/>
      <c r="L566" s="142"/>
      <c r="M566" s="146"/>
      <c r="T566" s="147"/>
      <c r="AT566" s="144" t="s">
        <v>346</v>
      </c>
      <c r="AU566" s="144" t="s">
        <v>90</v>
      </c>
      <c r="AV566" s="141" t="s">
        <v>87</v>
      </c>
      <c r="AW566" s="141" t="s">
        <v>33</v>
      </c>
      <c r="AX566" s="141" t="s">
        <v>80</v>
      </c>
      <c r="AY566" s="144" t="s">
        <v>337</v>
      </c>
    </row>
    <row r="567" spans="2:65" s="148" customFormat="1" x14ac:dyDescent="0.2">
      <c r="B567" s="149"/>
      <c r="D567" s="143" t="s">
        <v>346</v>
      </c>
      <c r="E567" s="150"/>
      <c r="F567" s="151" t="s">
        <v>2819</v>
      </c>
      <c r="H567" s="152">
        <v>24.173999999999999</v>
      </c>
      <c r="L567" s="149"/>
      <c r="M567" s="153"/>
      <c r="T567" s="154"/>
      <c r="AT567" s="150" t="s">
        <v>346</v>
      </c>
      <c r="AU567" s="150" t="s">
        <v>90</v>
      </c>
      <c r="AV567" s="148" t="s">
        <v>90</v>
      </c>
      <c r="AW567" s="148" t="s">
        <v>33</v>
      </c>
      <c r="AX567" s="148" t="s">
        <v>80</v>
      </c>
      <c r="AY567" s="150" t="s">
        <v>337</v>
      </c>
    </row>
    <row r="568" spans="2:65" s="141" customFormat="1" x14ac:dyDescent="0.2">
      <c r="B568" s="142"/>
      <c r="D568" s="143" t="s">
        <v>346</v>
      </c>
      <c r="E568" s="144"/>
      <c r="F568" s="145" t="s">
        <v>2794</v>
      </c>
      <c r="H568" s="144"/>
      <c r="L568" s="142"/>
      <c r="M568" s="146"/>
      <c r="T568" s="147"/>
      <c r="AT568" s="144" t="s">
        <v>346</v>
      </c>
      <c r="AU568" s="144" t="s">
        <v>90</v>
      </c>
      <c r="AV568" s="141" t="s">
        <v>87</v>
      </c>
      <c r="AW568" s="141" t="s">
        <v>33</v>
      </c>
      <c r="AX568" s="141" t="s">
        <v>80</v>
      </c>
      <c r="AY568" s="144" t="s">
        <v>337</v>
      </c>
    </row>
    <row r="569" spans="2:65" s="148" customFormat="1" x14ac:dyDescent="0.2">
      <c r="B569" s="149"/>
      <c r="D569" s="143" t="s">
        <v>346</v>
      </c>
      <c r="E569" s="150"/>
      <c r="F569" s="151" t="s">
        <v>2820</v>
      </c>
      <c r="H569" s="152">
        <v>96.695999999999998</v>
      </c>
      <c r="L569" s="149"/>
      <c r="M569" s="153"/>
      <c r="T569" s="154"/>
      <c r="AT569" s="150" t="s">
        <v>346</v>
      </c>
      <c r="AU569" s="150" t="s">
        <v>90</v>
      </c>
      <c r="AV569" s="148" t="s">
        <v>90</v>
      </c>
      <c r="AW569" s="148" t="s">
        <v>33</v>
      </c>
      <c r="AX569" s="148" t="s">
        <v>80</v>
      </c>
      <c r="AY569" s="150" t="s">
        <v>337</v>
      </c>
    </row>
    <row r="570" spans="2:65" s="141" customFormat="1" x14ac:dyDescent="0.2">
      <c r="B570" s="142"/>
      <c r="D570" s="143" t="s">
        <v>346</v>
      </c>
      <c r="E570" s="144"/>
      <c r="F570" s="145" t="s">
        <v>2796</v>
      </c>
      <c r="H570" s="144"/>
      <c r="L570" s="142"/>
      <c r="M570" s="146"/>
      <c r="T570" s="147"/>
      <c r="AT570" s="144" t="s">
        <v>346</v>
      </c>
      <c r="AU570" s="144" t="s">
        <v>90</v>
      </c>
      <c r="AV570" s="141" t="s">
        <v>87</v>
      </c>
      <c r="AW570" s="141" t="s">
        <v>33</v>
      </c>
      <c r="AX570" s="141" t="s">
        <v>80</v>
      </c>
      <c r="AY570" s="144" t="s">
        <v>337</v>
      </c>
    </row>
    <row r="571" spans="2:65" s="148" customFormat="1" x14ac:dyDescent="0.2">
      <c r="B571" s="149"/>
      <c r="D571" s="143" t="s">
        <v>346</v>
      </c>
      <c r="E571" s="150"/>
      <c r="F571" s="151" t="s">
        <v>2821</v>
      </c>
      <c r="H571" s="152">
        <v>181.30500000000001</v>
      </c>
      <c r="L571" s="149"/>
      <c r="M571" s="153"/>
      <c r="T571" s="154"/>
      <c r="AT571" s="150" t="s">
        <v>346</v>
      </c>
      <c r="AU571" s="150" t="s">
        <v>90</v>
      </c>
      <c r="AV571" s="148" t="s">
        <v>90</v>
      </c>
      <c r="AW571" s="148" t="s">
        <v>33</v>
      </c>
      <c r="AX571" s="148" t="s">
        <v>80</v>
      </c>
      <c r="AY571" s="150" t="s">
        <v>337</v>
      </c>
    </row>
    <row r="572" spans="2:65" s="155" customFormat="1" x14ac:dyDescent="0.2">
      <c r="B572" s="156"/>
      <c r="D572" s="143" t="s">
        <v>346</v>
      </c>
      <c r="E572" s="157"/>
      <c r="F572" s="158" t="s">
        <v>351</v>
      </c>
      <c r="H572" s="159">
        <v>1510.875</v>
      </c>
      <c r="L572" s="156"/>
      <c r="M572" s="160"/>
      <c r="T572" s="161"/>
      <c r="AT572" s="157" t="s">
        <v>346</v>
      </c>
      <c r="AU572" s="157" t="s">
        <v>90</v>
      </c>
      <c r="AV572" s="155" t="s">
        <v>344</v>
      </c>
      <c r="AW572" s="155" t="s">
        <v>33</v>
      </c>
      <c r="AX572" s="155" t="s">
        <v>87</v>
      </c>
      <c r="AY572" s="157" t="s">
        <v>337</v>
      </c>
    </row>
    <row r="573" spans="2:65" s="16" customFormat="1" ht="16.5" customHeight="1" x14ac:dyDescent="0.2">
      <c r="B573" s="17"/>
      <c r="C573" s="128">
        <v>34</v>
      </c>
      <c r="D573" s="128" t="s">
        <v>339</v>
      </c>
      <c r="E573" s="129" t="s">
        <v>2822</v>
      </c>
      <c r="F573" s="130" t="s">
        <v>2823</v>
      </c>
      <c r="G573" s="131" t="s">
        <v>535</v>
      </c>
      <c r="H573" s="132">
        <v>4228.125</v>
      </c>
      <c r="I573" s="133"/>
      <c r="J573" s="134">
        <f>ROUND(I573*H573,2)</f>
        <v>0</v>
      </c>
      <c r="K573" s="130"/>
      <c r="L573" s="17"/>
      <c r="M573" s="135"/>
      <c r="N573" s="136" t="s">
        <v>45</v>
      </c>
      <c r="P573" s="137">
        <f>O573*H573</f>
        <v>0</v>
      </c>
      <c r="Q573" s="137">
        <v>1E-3</v>
      </c>
      <c r="R573" s="137">
        <f>Q573*H573</f>
        <v>4.2281250000000004</v>
      </c>
      <c r="S573" s="137">
        <v>0</v>
      </c>
      <c r="T573" s="138">
        <f>S573*H573</f>
        <v>0</v>
      </c>
      <c r="AR573" s="139" t="s">
        <v>496</v>
      </c>
      <c r="AT573" s="139" t="s">
        <v>339</v>
      </c>
      <c r="AU573" s="139" t="s">
        <v>90</v>
      </c>
      <c r="AY573" s="2" t="s">
        <v>337</v>
      </c>
      <c r="BE573" s="140">
        <f>IF(N573="základní",J573,0)</f>
        <v>0</v>
      </c>
      <c r="BF573" s="140">
        <f>IF(N573="snížená",J573,0)</f>
        <v>0</v>
      </c>
      <c r="BG573" s="140">
        <f>IF(N573="zákl. přenesená",J573,0)</f>
        <v>0</v>
      </c>
      <c r="BH573" s="140">
        <f>IF(N573="sníž. přenesená",J573,0)</f>
        <v>0</v>
      </c>
      <c r="BI573" s="140">
        <f>IF(N573="nulová",J573,0)</f>
        <v>0</v>
      </c>
      <c r="BJ573" s="2" t="s">
        <v>87</v>
      </c>
      <c r="BK573" s="140">
        <f>ROUND(I573*H573,2)</f>
        <v>0</v>
      </c>
      <c r="BL573" s="2" t="s">
        <v>496</v>
      </c>
      <c r="BM573" s="139" t="s">
        <v>2824</v>
      </c>
    </row>
    <row r="574" spans="2:65" s="141" customFormat="1" ht="22.5" x14ac:dyDescent="0.2">
      <c r="B574" s="142"/>
      <c r="D574" s="143" t="s">
        <v>346</v>
      </c>
      <c r="E574" s="144"/>
      <c r="F574" s="145" t="s">
        <v>2825</v>
      </c>
      <c r="H574" s="144"/>
      <c r="L574" s="142"/>
      <c r="M574" s="146"/>
      <c r="T574" s="147"/>
      <c r="AT574" s="144" t="s">
        <v>346</v>
      </c>
      <c r="AU574" s="144" t="s">
        <v>90</v>
      </c>
      <c r="AV574" s="141" t="s">
        <v>87</v>
      </c>
      <c r="AW574" s="141" t="s">
        <v>33</v>
      </c>
      <c r="AX574" s="141" t="s">
        <v>80</v>
      </c>
      <c r="AY574" s="144" t="s">
        <v>337</v>
      </c>
    </row>
    <row r="575" spans="2:65" s="141" customFormat="1" x14ac:dyDescent="0.2">
      <c r="B575" s="142"/>
      <c r="D575" s="143" t="s">
        <v>346</v>
      </c>
      <c r="E575" s="144"/>
      <c r="F575" s="145" t="s">
        <v>2826</v>
      </c>
      <c r="H575" s="144"/>
      <c r="L575" s="142"/>
      <c r="M575" s="146"/>
      <c r="T575" s="147"/>
      <c r="AT575" s="144" t="s">
        <v>346</v>
      </c>
      <c r="AU575" s="144" t="s">
        <v>90</v>
      </c>
      <c r="AV575" s="141" t="s">
        <v>87</v>
      </c>
      <c r="AW575" s="141" t="s">
        <v>33</v>
      </c>
      <c r="AX575" s="141" t="s">
        <v>80</v>
      </c>
      <c r="AY575" s="144" t="s">
        <v>337</v>
      </c>
    </row>
    <row r="576" spans="2:65" s="141" customFormat="1" x14ac:dyDescent="0.2">
      <c r="B576" s="142"/>
      <c r="D576" s="143" t="s">
        <v>346</v>
      </c>
      <c r="E576" s="144"/>
      <c r="F576" s="145" t="s">
        <v>2827</v>
      </c>
      <c r="H576" s="144"/>
      <c r="L576" s="142"/>
      <c r="M576" s="146"/>
      <c r="T576" s="147"/>
      <c r="AT576" s="144" t="s">
        <v>346</v>
      </c>
      <c r="AU576" s="144" t="s">
        <v>90</v>
      </c>
      <c r="AV576" s="141" t="s">
        <v>87</v>
      </c>
      <c r="AW576" s="141" t="s">
        <v>33</v>
      </c>
      <c r="AX576" s="141" t="s">
        <v>80</v>
      </c>
      <c r="AY576" s="144" t="s">
        <v>337</v>
      </c>
    </row>
    <row r="577" spans="2:51" s="148" customFormat="1" x14ac:dyDescent="0.2">
      <c r="B577" s="149"/>
      <c r="D577" s="143" t="s">
        <v>346</v>
      </c>
      <c r="E577" s="150"/>
      <c r="F577" s="151" t="s">
        <v>2828</v>
      </c>
      <c r="H577" s="152">
        <v>364.8</v>
      </c>
      <c r="L577" s="149"/>
      <c r="M577" s="153"/>
      <c r="T577" s="154"/>
      <c r="AT577" s="150" t="s">
        <v>346</v>
      </c>
      <c r="AU577" s="150" t="s">
        <v>90</v>
      </c>
      <c r="AV577" s="148" t="s">
        <v>90</v>
      </c>
      <c r="AW577" s="148" t="s">
        <v>33</v>
      </c>
      <c r="AX577" s="148" t="s">
        <v>80</v>
      </c>
      <c r="AY577" s="150" t="s">
        <v>337</v>
      </c>
    </row>
    <row r="578" spans="2:51" s="141" customFormat="1" x14ac:dyDescent="0.2">
      <c r="B578" s="142"/>
      <c r="D578" s="143" t="s">
        <v>346</v>
      </c>
      <c r="E578" s="144"/>
      <c r="F578" s="145" t="s">
        <v>2829</v>
      </c>
      <c r="H578" s="144"/>
      <c r="L578" s="142"/>
      <c r="M578" s="146"/>
      <c r="T578" s="147"/>
      <c r="AT578" s="144" t="s">
        <v>346</v>
      </c>
      <c r="AU578" s="144" t="s">
        <v>90</v>
      </c>
      <c r="AV578" s="141" t="s">
        <v>87</v>
      </c>
      <c r="AW578" s="141" t="s">
        <v>33</v>
      </c>
      <c r="AX578" s="141" t="s">
        <v>80</v>
      </c>
      <c r="AY578" s="144" t="s">
        <v>337</v>
      </c>
    </row>
    <row r="579" spans="2:51" s="148" customFormat="1" x14ac:dyDescent="0.2">
      <c r="B579" s="149"/>
      <c r="D579" s="143" t="s">
        <v>346</v>
      </c>
      <c r="E579" s="150"/>
      <c r="F579" s="151" t="s">
        <v>2830</v>
      </c>
      <c r="H579" s="152">
        <v>761.5</v>
      </c>
      <c r="L579" s="149"/>
      <c r="M579" s="153"/>
      <c r="T579" s="154"/>
      <c r="AT579" s="150" t="s">
        <v>346</v>
      </c>
      <c r="AU579" s="150" t="s">
        <v>90</v>
      </c>
      <c r="AV579" s="148" t="s">
        <v>90</v>
      </c>
      <c r="AW579" s="148" t="s">
        <v>33</v>
      </c>
      <c r="AX579" s="148" t="s">
        <v>80</v>
      </c>
      <c r="AY579" s="150" t="s">
        <v>337</v>
      </c>
    </row>
    <row r="580" spans="2:51" s="141" customFormat="1" x14ac:dyDescent="0.2">
      <c r="B580" s="142"/>
      <c r="D580" s="143" t="s">
        <v>346</v>
      </c>
      <c r="E580" s="144"/>
      <c r="F580" s="145" t="s">
        <v>2831</v>
      </c>
      <c r="H580" s="144"/>
      <c r="L580" s="142"/>
      <c r="M580" s="146"/>
      <c r="T580" s="147"/>
      <c r="AT580" s="144" t="s">
        <v>346</v>
      </c>
      <c r="AU580" s="144" t="s">
        <v>90</v>
      </c>
      <c r="AV580" s="141" t="s">
        <v>87</v>
      </c>
      <c r="AW580" s="141" t="s">
        <v>33</v>
      </c>
      <c r="AX580" s="141" t="s">
        <v>80</v>
      </c>
      <c r="AY580" s="144" t="s">
        <v>337</v>
      </c>
    </row>
    <row r="581" spans="2:51" s="148" customFormat="1" x14ac:dyDescent="0.2">
      <c r="B581" s="149"/>
      <c r="D581" s="143" t="s">
        <v>346</v>
      </c>
      <c r="E581" s="150"/>
      <c r="F581" s="151" t="s">
        <v>2832</v>
      </c>
      <c r="H581" s="152">
        <v>465.1</v>
      </c>
      <c r="L581" s="149"/>
      <c r="M581" s="153"/>
      <c r="T581" s="154"/>
      <c r="AT581" s="150" t="s">
        <v>346</v>
      </c>
      <c r="AU581" s="150" t="s">
        <v>90</v>
      </c>
      <c r="AV581" s="148" t="s">
        <v>90</v>
      </c>
      <c r="AW581" s="148" t="s">
        <v>33</v>
      </c>
      <c r="AX581" s="148" t="s">
        <v>80</v>
      </c>
      <c r="AY581" s="150" t="s">
        <v>337</v>
      </c>
    </row>
    <row r="582" spans="2:51" s="141" customFormat="1" x14ac:dyDescent="0.2">
      <c r="B582" s="142"/>
      <c r="D582" s="143" t="s">
        <v>346</v>
      </c>
      <c r="E582" s="144"/>
      <c r="F582" s="145" t="s">
        <v>2833</v>
      </c>
      <c r="H582" s="144"/>
      <c r="L582" s="142"/>
      <c r="M582" s="146"/>
      <c r="T582" s="147"/>
      <c r="AT582" s="144" t="s">
        <v>346</v>
      </c>
      <c r="AU582" s="144" t="s">
        <v>90</v>
      </c>
      <c r="AV582" s="141" t="s">
        <v>87</v>
      </c>
      <c r="AW582" s="141" t="s">
        <v>33</v>
      </c>
      <c r="AX582" s="141" t="s">
        <v>80</v>
      </c>
      <c r="AY582" s="144" t="s">
        <v>337</v>
      </c>
    </row>
    <row r="583" spans="2:51" s="148" customFormat="1" x14ac:dyDescent="0.2">
      <c r="B583" s="149"/>
      <c r="D583" s="143" t="s">
        <v>346</v>
      </c>
      <c r="E583" s="150"/>
      <c r="F583" s="151" t="s">
        <v>2834</v>
      </c>
      <c r="H583" s="152">
        <v>843.6</v>
      </c>
      <c r="L583" s="149"/>
      <c r="M583" s="153"/>
      <c r="T583" s="154"/>
      <c r="AT583" s="150" t="s">
        <v>346</v>
      </c>
      <c r="AU583" s="150" t="s">
        <v>90</v>
      </c>
      <c r="AV583" s="148" t="s">
        <v>90</v>
      </c>
      <c r="AW583" s="148" t="s">
        <v>33</v>
      </c>
      <c r="AX583" s="148" t="s">
        <v>80</v>
      </c>
      <c r="AY583" s="150" t="s">
        <v>337</v>
      </c>
    </row>
    <row r="584" spans="2:51" s="141" customFormat="1" x14ac:dyDescent="0.2">
      <c r="B584" s="142"/>
      <c r="D584" s="143" t="s">
        <v>346</v>
      </c>
      <c r="E584" s="144"/>
      <c r="F584" s="145" t="s">
        <v>2835</v>
      </c>
      <c r="H584" s="144"/>
      <c r="L584" s="142"/>
      <c r="M584" s="146"/>
      <c r="T584" s="147"/>
      <c r="AT584" s="144" t="s">
        <v>346</v>
      </c>
      <c r="AU584" s="144" t="s">
        <v>90</v>
      </c>
      <c r="AV584" s="141" t="s">
        <v>87</v>
      </c>
      <c r="AW584" s="141" t="s">
        <v>33</v>
      </c>
      <c r="AX584" s="141" t="s">
        <v>80</v>
      </c>
      <c r="AY584" s="144" t="s">
        <v>337</v>
      </c>
    </row>
    <row r="585" spans="2:51" s="148" customFormat="1" x14ac:dyDescent="0.2">
      <c r="B585" s="149"/>
      <c r="D585" s="143" t="s">
        <v>346</v>
      </c>
      <c r="E585" s="150"/>
      <c r="F585" s="151" t="s">
        <v>2836</v>
      </c>
      <c r="H585" s="152">
        <v>721.6</v>
      </c>
      <c r="L585" s="149"/>
      <c r="M585" s="153"/>
      <c r="T585" s="154"/>
      <c r="AT585" s="150" t="s">
        <v>346</v>
      </c>
      <c r="AU585" s="150" t="s">
        <v>90</v>
      </c>
      <c r="AV585" s="148" t="s">
        <v>90</v>
      </c>
      <c r="AW585" s="148" t="s">
        <v>33</v>
      </c>
      <c r="AX585" s="148" t="s">
        <v>80</v>
      </c>
      <c r="AY585" s="150" t="s">
        <v>337</v>
      </c>
    </row>
    <row r="586" spans="2:51" s="141" customFormat="1" x14ac:dyDescent="0.2">
      <c r="B586" s="142"/>
      <c r="D586" s="143" t="s">
        <v>346</v>
      </c>
      <c r="E586" s="144"/>
      <c r="F586" s="145" t="s">
        <v>2837</v>
      </c>
      <c r="H586" s="144"/>
      <c r="L586" s="142"/>
      <c r="M586" s="146"/>
      <c r="T586" s="147"/>
      <c r="AT586" s="144" t="s">
        <v>346</v>
      </c>
      <c r="AU586" s="144" t="s">
        <v>90</v>
      </c>
      <c r="AV586" s="141" t="s">
        <v>87</v>
      </c>
      <c r="AW586" s="141" t="s">
        <v>33</v>
      </c>
      <c r="AX586" s="141" t="s">
        <v>80</v>
      </c>
      <c r="AY586" s="144" t="s">
        <v>337</v>
      </c>
    </row>
    <row r="587" spans="2:51" s="148" customFormat="1" x14ac:dyDescent="0.2">
      <c r="B587" s="149"/>
      <c r="D587" s="143" t="s">
        <v>346</v>
      </c>
      <c r="E587" s="150"/>
      <c r="F587" s="151" t="s">
        <v>2838</v>
      </c>
      <c r="H587" s="152">
        <v>71.099999999999994</v>
      </c>
      <c r="L587" s="149"/>
      <c r="M587" s="153"/>
      <c r="T587" s="154"/>
      <c r="AT587" s="150" t="s">
        <v>346</v>
      </c>
      <c r="AU587" s="150" t="s">
        <v>90</v>
      </c>
      <c r="AV587" s="148" t="s">
        <v>90</v>
      </c>
      <c r="AW587" s="148" t="s">
        <v>33</v>
      </c>
      <c r="AX587" s="148" t="s">
        <v>80</v>
      </c>
      <c r="AY587" s="150" t="s">
        <v>337</v>
      </c>
    </row>
    <row r="588" spans="2:51" s="141" customFormat="1" x14ac:dyDescent="0.2">
      <c r="B588" s="142"/>
      <c r="D588" s="143" t="s">
        <v>346</v>
      </c>
      <c r="E588" s="144"/>
      <c r="F588" s="145" t="s">
        <v>2839</v>
      </c>
      <c r="H588" s="144"/>
      <c r="L588" s="142"/>
      <c r="M588" s="146"/>
      <c r="T588" s="147"/>
      <c r="AT588" s="144" t="s">
        <v>346</v>
      </c>
      <c r="AU588" s="144" t="s">
        <v>90</v>
      </c>
      <c r="AV588" s="141" t="s">
        <v>87</v>
      </c>
      <c r="AW588" s="141" t="s">
        <v>33</v>
      </c>
      <c r="AX588" s="141" t="s">
        <v>80</v>
      </c>
      <c r="AY588" s="144" t="s">
        <v>337</v>
      </c>
    </row>
    <row r="589" spans="2:51" s="148" customFormat="1" x14ac:dyDescent="0.2">
      <c r="B589" s="149"/>
      <c r="D589" s="143" t="s">
        <v>346</v>
      </c>
      <c r="E589" s="150"/>
      <c r="F589" s="151" t="s">
        <v>2840</v>
      </c>
      <c r="H589" s="152">
        <v>122</v>
      </c>
      <c r="L589" s="149"/>
      <c r="M589" s="153"/>
      <c r="T589" s="154"/>
      <c r="AT589" s="150" t="s">
        <v>346</v>
      </c>
      <c r="AU589" s="150" t="s">
        <v>90</v>
      </c>
      <c r="AV589" s="148" t="s">
        <v>90</v>
      </c>
      <c r="AW589" s="148" t="s">
        <v>33</v>
      </c>
      <c r="AX589" s="148" t="s">
        <v>80</v>
      </c>
      <c r="AY589" s="150" t="s">
        <v>337</v>
      </c>
    </row>
    <row r="590" spans="2:51" s="172" customFormat="1" x14ac:dyDescent="0.2">
      <c r="B590" s="173"/>
      <c r="D590" s="143" t="s">
        <v>346</v>
      </c>
      <c r="E590" s="174"/>
      <c r="F590" s="175" t="s">
        <v>609</v>
      </c>
      <c r="H590" s="176">
        <v>3349.7</v>
      </c>
      <c r="L590" s="173"/>
      <c r="M590" s="177"/>
      <c r="T590" s="178"/>
      <c r="AT590" s="174" t="s">
        <v>346</v>
      </c>
      <c r="AU590" s="174" t="s">
        <v>90</v>
      </c>
      <c r="AV590" s="172" t="s">
        <v>113</v>
      </c>
      <c r="AW590" s="172" t="s">
        <v>33</v>
      </c>
      <c r="AX590" s="172" t="s">
        <v>80</v>
      </c>
      <c r="AY590" s="174" t="s">
        <v>337</v>
      </c>
    </row>
    <row r="591" spans="2:51" s="141" customFormat="1" x14ac:dyDescent="0.2">
      <c r="B591" s="142"/>
      <c r="D591" s="143" t="s">
        <v>346</v>
      </c>
      <c r="E591" s="144"/>
      <c r="F591" s="145" t="s">
        <v>2791</v>
      </c>
      <c r="H591" s="144"/>
      <c r="L591" s="142"/>
      <c r="M591" s="146"/>
      <c r="T591" s="147"/>
      <c r="AT591" s="144" t="s">
        <v>346</v>
      </c>
      <c r="AU591" s="144" t="s">
        <v>90</v>
      </c>
      <c r="AV591" s="141" t="s">
        <v>87</v>
      </c>
      <c r="AW591" s="141" t="s">
        <v>33</v>
      </c>
      <c r="AX591" s="141" t="s">
        <v>80</v>
      </c>
      <c r="AY591" s="144" t="s">
        <v>337</v>
      </c>
    </row>
    <row r="592" spans="2:51" s="141" customFormat="1" x14ac:dyDescent="0.2">
      <c r="B592" s="142"/>
      <c r="D592" s="143" t="s">
        <v>346</v>
      </c>
      <c r="E592" s="144"/>
      <c r="F592" s="145" t="s">
        <v>2792</v>
      </c>
      <c r="H592" s="144"/>
      <c r="L592" s="142"/>
      <c r="M592" s="146"/>
      <c r="T592" s="147"/>
      <c r="AT592" s="144" t="s">
        <v>346</v>
      </c>
      <c r="AU592" s="144" t="s">
        <v>90</v>
      </c>
      <c r="AV592" s="141" t="s">
        <v>87</v>
      </c>
      <c r="AW592" s="141" t="s">
        <v>33</v>
      </c>
      <c r="AX592" s="141" t="s">
        <v>80</v>
      </c>
      <c r="AY592" s="144" t="s">
        <v>337</v>
      </c>
    </row>
    <row r="593" spans="2:65" s="148" customFormat="1" x14ac:dyDescent="0.2">
      <c r="B593" s="149"/>
      <c r="D593" s="143" t="s">
        <v>346</v>
      </c>
      <c r="E593" s="150"/>
      <c r="F593" s="151" t="s">
        <v>2841</v>
      </c>
      <c r="H593" s="152">
        <v>66.994</v>
      </c>
      <c r="L593" s="149"/>
      <c r="M593" s="153"/>
      <c r="T593" s="154"/>
      <c r="AT593" s="150" t="s">
        <v>346</v>
      </c>
      <c r="AU593" s="150" t="s">
        <v>90</v>
      </c>
      <c r="AV593" s="148" t="s">
        <v>90</v>
      </c>
      <c r="AW593" s="148" t="s">
        <v>33</v>
      </c>
      <c r="AX593" s="148" t="s">
        <v>80</v>
      </c>
      <c r="AY593" s="150" t="s">
        <v>337</v>
      </c>
    </row>
    <row r="594" spans="2:65" s="141" customFormat="1" x14ac:dyDescent="0.2">
      <c r="B594" s="142"/>
      <c r="D594" s="143" t="s">
        <v>346</v>
      </c>
      <c r="E594" s="144"/>
      <c r="F594" s="145" t="s">
        <v>2794</v>
      </c>
      <c r="H594" s="144"/>
      <c r="L594" s="142"/>
      <c r="M594" s="146"/>
      <c r="T594" s="147"/>
      <c r="AT594" s="144" t="s">
        <v>346</v>
      </c>
      <c r="AU594" s="144" t="s">
        <v>90</v>
      </c>
      <c r="AV594" s="141" t="s">
        <v>87</v>
      </c>
      <c r="AW594" s="141" t="s">
        <v>33</v>
      </c>
      <c r="AX594" s="141" t="s">
        <v>80</v>
      </c>
      <c r="AY594" s="144" t="s">
        <v>337</v>
      </c>
    </row>
    <row r="595" spans="2:65" s="148" customFormat="1" x14ac:dyDescent="0.2">
      <c r="B595" s="149"/>
      <c r="D595" s="143" t="s">
        <v>346</v>
      </c>
      <c r="E595" s="150"/>
      <c r="F595" s="151" t="s">
        <v>2842</v>
      </c>
      <c r="H595" s="152">
        <v>267.976</v>
      </c>
      <c r="L595" s="149"/>
      <c r="M595" s="153"/>
      <c r="T595" s="154"/>
      <c r="AT595" s="150" t="s">
        <v>346</v>
      </c>
      <c r="AU595" s="150" t="s">
        <v>90</v>
      </c>
      <c r="AV595" s="148" t="s">
        <v>90</v>
      </c>
      <c r="AW595" s="148" t="s">
        <v>33</v>
      </c>
      <c r="AX595" s="148" t="s">
        <v>80</v>
      </c>
      <c r="AY595" s="150" t="s">
        <v>337</v>
      </c>
    </row>
    <row r="596" spans="2:65" s="141" customFormat="1" x14ac:dyDescent="0.2">
      <c r="B596" s="142"/>
      <c r="D596" s="143" t="s">
        <v>346</v>
      </c>
      <c r="E596" s="144"/>
      <c r="F596" s="145" t="s">
        <v>2796</v>
      </c>
      <c r="H596" s="144"/>
      <c r="L596" s="142"/>
      <c r="M596" s="146"/>
      <c r="T596" s="147"/>
      <c r="AT596" s="144" t="s">
        <v>346</v>
      </c>
      <c r="AU596" s="144" t="s">
        <v>90</v>
      </c>
      <c r="AV596" s="141" t="s">
        <v>87</v>
      </c>
      <c r="AW596" s="141" t="s">
        <v>33</v>
      </c>
      <c r="AX596" s="141" t="s">
        <v>80</v>
      </c>
      <c r="AY596" s="144" t="s">
        <v>337</v>
      </c>
    </row>
    <row r="597" spans="2:65" s="148" customFormat="1" x14ac:dyDescent="0.2">
      <c r="B597" s="149"/>
      <c r="D597" s="143" t="s">
        <v>346</v>
      </c>
      <c r="E597" s="150"/>
      <c r="F597" s="151" t="s">
        <v>2843</v>
      </c>
      <c r="H597" s="152">
        <v>502.45499999999998</v>
      </c>
      <c r="L597" s="149"/>
      <c r="M597" s="153"/>
      <c r="T597" s="154"/>
      <c r="AT597" s="150" t="s">
        <v>346</v>
      </c>
      <c r="AU597" s="150" t="s">
        <v>90</v>
      </c>
      <c r="AV597" s="148" t="s">
        <v>90</v>
      </c>
      <c r="AW597" s="148" t="s">
        <v>33</v>
      </c>
      <c r="AX597" s="148" t="s">
        <v>80</v>
      </c>
      <c r="AY597" s="150" t="s">
        <v>337</v>
      </c>
    </row>
    <row r="598" spans="2:65" s="148" customFormat="1" x14ac:dyDescent="0.2">
      <c r="B598" s="149"/>
      <c r="D598" s="143" t="s">
        <v>346</v>
      </c>
      <c r="E598" s="150"/>
      <c r="F598" s="151" t="s">
        <v>2844</v>
      </c>
      <c r="H598" s="152">
        <v>41</v>
      </c>
      <c r="L598" s="149"/>
      <c r="M598" s="153"/>
      <c r="T598" s="154"/>
      <c r="AT598" s="150" t="s">
        <v>346</v>
      </c>
      <c r="AU598" s="150" t="s">
        <v>90</v>
      </c>
      <c r="AV598" s="148" t="s">
        <v>90</v>
      </c>
      <c r="AW598" s="148" t="s">
        <v>33</v>
      </c>
      <c r="AX598" s="148" t="s">
        <v>80</v>
      </c>
      <c r="AY598" s="150" t="s">
        <v>337</v>
      </c>
    </row>
    <row r="599" spans="2:65" s="155" customFormat="1" x14ac:dyDescent="0.2">
      <c r="B599" s="156"/>
      <c r="D599" s="143" t="s">
        <v>346</v>
      </c>
      <c r="E599" s="157"/>
      <c r="F599" s="158" t="s">
        <v>351</v>
      </c>
      <c r="H599" s="159">
        <v>4228.125</v>
      </c>
      <c r="L599" s="156"/>
      <c r="M599" s="160"/>
      <c r="T599" s="161"/>
      <c r="AT599" s="157" t="s">
        <v>346</v>
      </c>
      <c r="AU599" s="157" t="s">
        <v>90</v>
      </c>
      <c r="AV599" s="155" t="s">
        <v>344</v>
      </c>
      <c r="AW599" s="155" t="s">
        <v>33</v>
      </c>
      <c r="AX599" s="155" t="s">
        <v>87</v>
      </c>
      <c r="AY599" s="157" t="s">
        <v>337</v>
      </c>
    </row>
    <row r="600" spans="2:65" s="16" customFormat="1" ht="16.5" customHeight="1" x14ac:dyDescent="0.2">
      <c r="B600" s="17"/>
      <c r="C600" s="128">
        <v>35</v>
      </c>
      <c r="D600" s="128" t="s">
        <v>339</v>
      </c>
      <c r="E600" s="129" t="s">
        <v>2845</v>
      </c>
      <c r="F600" s="130" t="s">
        <v>2846</v>
      </c>
      <c r="G600" s="131" t="s">
        <v>535</v>
      </c>
      <c r="H600" s="132">
        <v>4312.875</v>
      </c>
      <c r="I600" s="133"/>
      <c r="J600" s="134">
        <f>ROUND(I600*H600,2)</f>
        <v>0</v>
      </c>
      <c r="K600" s="130"/>
      <c r="L600" s="17"/>
      <c r="M600" s="135"/>
      <c r="N600" s="136" t="s">
        <v>45</v>
      </c>
      <c r="P600" s="137">
        <f>O600*H600</f>
        <v>0</v>
      </c>
      <c r="Q600" s="137">
        <v>1E-3</v>
      </c>
      <c r="R600" s="137">
        <f>Q600*H600</f>
        <v>4.312875</v>
      </c>
      <c r="S600" s="137">
        <v>0</v>
      </c>
      <c r="T600" s="138">
        <f>S600*H600</f>
        <v>0</v>
      </c>
      <c r="AR600" s="139" t="s">
        <v>496</v>
      </c>
      <c r="AT600" s="139" t="s">
        <v>339</v>
      </c>
      <c r="AU600" s="139" t="s">
        <v>90</v>
      </c>
      <c r="AY600" s="2" t="s">
        <v>337</v>
      </c>
      <c r="BE600" s="140">
        <f>IF(N600="základní",J600,0)</f>
        <v>0</v>
      </c>
      <c r="BF600" s="140">
        <f>IF(N600="snížená",J600,0)</f>
        <v>0</v>
      </c>
      <c r="BG600" s="140">
        <f>IF(N600="zákl. přenesená",J600,0)</f>
        <v>0</v>
      </c>
      <c r="BH600" s="140">
        <f>IF(N600="sníž. přenesená",J600,0)</f>
        <v>0</v>
      </c>
      <c r="BI600" s="140">
        <f>IF(N600="nulová",J600,0)</f>
        <v>0</v>
      </c>
      <c r="BJ600" s="2" t="s">
        <v>87</v>
      </c>
      <c r="BK600" s="140">
        <f>ROUND(I600*H600,2)</f>
        <v>0</v>
      </c>
      <c r="BL600" s="2" t="s">
        <v>496</v>
      </c>
      <c r="BM600" s="139" t="s">
        <v>2847</v>
      </c>
    </row>
    <row r="601" spans="2:65" s="141" customFormat="1" x14ac:dyDescent="0.2">
      <c r="B601" s="142"/>
      <c r="D601" s="143" t="s">
        <v>346</v>
      </c>
      <c r="E601" s="144"/>
      <c r="F601" s="145" t="s">
        <v>2848</v>
      </c>
      <c r="H601" s="144"/>
      <c r="L601" s="142"/>
      <c r="M601" s="146"/>
      <c r="T601" s="147"/>
      <c r="AT601" s="144" t="s">
        <v>346</v>
      </c>
      <c r="AU601" s="144" t="s">
        <v>90</v>
      </c>
      <c r="AV601" s="141" t="s">
        <v>87</v>
      </c>
      <c r="AW601" s="141" t="s">
        <v>33</v>
      </c>
      <c r="AX601" s="141" t="s">
        <v>80</v>
      </c>
      <c r="AY601" s="144" t="s">
        <v>337</v>
      </c>
    </row>
    <row r="602" spans="2:65" s="141" customFormat="1" x14ac:dyDescent="0.2">
      <c r="B602" s="142"/>
      <c r="D602" s="143" t="s">
        <v>346</v>
      </c>
      <c r="E602" s="144"/>
      <c r="F602" s="145" t="s">
        <v>2849</v>
      </c>
      <c r="H602" s="144"/>
      <c r="L602" s="142"/>
      <c r="M602" s="146"/>
      <c r="T602" s="147"/>
      <c r="AT602" s="144" t="s">
        <v>346</v>
      </c>
      <c r="AU602" s="144" t="s">
        <v>90</v>
      </c>
      <c r="AV602" s="141" t="s">
        <v>87</v>
      </c>
      <c r="AW602" s="141" t="s">
        <v>33</v>
      </c>
      <c r="AX602" s="141" t="s">
        <v>80</v>
      </c>
      <c r="AY602" s="144" t="s">
        <v>337</v>
      </c>
    </row>
    <row r="603" spans="2:65" s="148" customFormat="1" x14ac:dyDescent="0.2">
      <c r="B603" s="149"/>
      <c r="D603" s="143" t="s">
        <v>346</v>
      </c>
      <c r="E603" s="150"/>
      <c r="F603" s="151" t="s">
        <v>2850</v>
      </c>
      <c r="H603" s="152">
        <v>1176.5</v>
      </c>
      <c r="L603" s="149"/>
      <c r="M603" s="153"/>
      <c r="T603" s="154"/>
      <c r="AT603" s="150" t="s">
        <v>346</v>
      </c>
      <c r="AU603" s="150" t="s">
        <v>90</v>
      </c>
      <c r="AV603" s="148" t="s">
        <v>90</v>
      </c>
      <c r="AW603" s="148" t="s">
        <v>33</v>
      </c>
      <c r="AX603" s="148" t="s">
        <v>80</v>
      </c>
      <c r="AY603" s="150" t="s">
        <v>337</v>
      </c>
    </row>
    <row r="604" spans="2:65" s="141" customFormat="1" x14ac:dyDescent="0.2">
      <c r="B604" s="142"/>
      <c r="D604" s="143" t="s">
        <v>346</v>
      </c>
      <c r="E604" s="144"/>
      <c r="F604" s="145" t="s">
        <v>2851</v>
      </c>
      <c r="H604" s="144"/>
      <c r="L604" s="142"/>
      <c r="M604" s="146"/>
      <c r="T604" s="147"/>
      <c r="AT604" s="144" t="s">
        <v>346</v>
      </c>
      <c r="AU604" s="144" t="s">
        <v>90</v>
      </c>
      <c r="AV604" s="141" t="s">
        <v>87</v>
      </c>
      <c r="AW604" s="141" t="s">
        <v>33</v>
      </c>
      <c r="AX604" s="141" t="s">
        <v>80</v>
      </c>
      <c r="AY604" s="144" t="s">
        <v>337</v>
      </c>
    </row>
    <row r="605" spans="2:65" s="148" customFormat="1" x14ac:dyDescent="0.2">
      <c r="B605" s="149"/>
      <c r="D605" s="143" t="s">
        <v>346</v>
      </c>
      <c r="E605" s="150"/>
      <c r="F605" s="151" t="s">
        <v>2852</v>
      </c>
      <c r="H605" s="152">
        <v>1231.2</v>
      </c>
      <c r="L605" s="149"/>
      <c r="M605" s="153"/>
      <c r="T605" s="154"/>
      <c r="AT605" s="150" t="s">
        <v>346</v>
      </c>
      <c r="AU605" s="150" t="s">
        <v>90</v>
      </c>
      <c r="AV605" s="148" t="s">
        <v>90</v>
      </c>
      <c r="AW605" s="148" t="s">
        <v>33</v>
      </c>
      <c r="AX605" s="148" t="s">
        <v>80</v>
      </c>
      <c r="AY605" s="150" t="s">
        <v>337</v>
      </c>
    </row>
    <row r="606" spans="2:65" s="141" customFormat="1" x14ac:dyDescent="0.2">
      <c r="B606" s="142"/>
      <c r="D606" s="143" t="s">
        <v>346</v>
      </c>
      <c r="E606" s="144"/>
      <c r="F606" s="145" t="s">
        <v>2853</v>
      </c>
      <c r="H606" s="144"/>
      <c r="L606" s="142"/>
      <c r="M606" s="146"/>
      <c r="T606" s="147"/>
      <c r="AT606" s="144" t="s">
        <v>346</v>
      </c>
      <c r="AU606" s="144" t="s">
        <v>90</v>
      </c>
      <c r="AV606" s="141" t="s">
        <v>87</v>
      </c>
      <c r="AW606" s="141" t="s">
        <v>33</v>
      </c>
      <c r="AX606" s="141" t="s">
        <v>80</v>
      </c>
      <c r="AY606" s="144" t="s">
        <v>337</v>
      </c>
    </row>
    <row r="607" spans="2:65" s="148" customFormat="1" x14ac:dyDescent="0.2">
      <c r="B607" s="149"/>
      <c r="D607" s="143" t="s">
        <v>346</v>
      </c>
      <c r="E607" s="150"/>
      <c r="F607" s="151" t="s">
        <v>2834</v>
      </c>
      <c r="H607" s="152">
        <v>843.6</v>
      </c>
      <c r="L607" s="149"/>
      <c r="M607" s="153"/>
      <c r="T607" s="154"/>
      <c r="AT607" s="150" t="s">
        <v>346</v>
      </c>
      <c r="AU607" s="150" t="s">
        <v>90</v>
      </c>
      <c r="AV607" s="148" t="s">
        <v>90</v>
      </c>
      <c r="AW607" s="148" t="s">
        <v>33</v>
      </c>
      <c r="AX607" s="148" t="s">
        <v>80</v>
      </c>
      <c r="AY607" s="150" t="s">
        <v>337</v>
      </c>
    </row>
    <row r="608" spans="2:65" s="141" customFormat="1" x14ac:dyDescent="0.2">
      <c r="B608" s="142"/>
      <c r="D608" s="143" t="s">
        <v>346</v>
      </c>
      <c r="E608" s="144"/>
      <c r="F608" s="145" t="s">
        <v>2854</v>
      </c>
      <c r="H608" s="144"/>
      <c r="L608" s="142"/>
      <c r="M608" s="146"/>
      <c r="T608" s="147"/>
      <c r="AT608" s="144" t="s">
        <v>346</v>
      </c>
      <c r="AU608" s="144" t="s">
        <v>90</v>
      </c>
      <c r="AV608" s="141" t="s">
        <v>87</v>
      </c>
      <c r="AW608" s="141" t="s">
        <v>33</v>
      </c>
      <c r="AX608" s="141" t="s">
        <v>80</v>
      </c>
      <c r="AY608" s="144" t="s">
        <v>337</v>
      </c>
    </row>
    <row r="609" spans="2:65" s="148" customFormat="1" x14ac:dyDescent="0.2">
      <c r="B609" s="149"/>
      <c r="D609" s="143" t="s">
        <v>346</v>
      </c>
      <c r="E609" s="150"/>
      <c r="F609" s="151" t="s">
        <v>2855</v>
      </c>
      <c r="H609" s="152">
        <v>199</v>
      </c>
      <c r="L609" s="149"/>
      <c r="M609" s="153"/>
      <c r="T609" s="154"/>
      <c r="AT609" s="150" t="s">
        <v>346</v>
      </c>
      <c r="AU609" s="150" t="s">
        <v>90</v>
      </c>
      <c r="AV609" s="148" t="s">
        <v>90</v>
      </c>
      <c r="AW609" s="148" t="s">
        <v>33</v>
      </c>
      <c r="AX609" s="148" t="s">
        <v>80</v>
      </c>
      <c r="AY609" s="150" t="s">
        <v>337</v>
      </c>
    </row>
    <row r="610" spans="2:65" s="172" customFormat="1" x14ac:dyDescent="0.2">
      <c r="B610" s="173"/>
      <c r="D610" s="143" t="s">
        <v>346</v>
      </c>
      <c r="E610" s="174"/>
      <c r="F610" s="175" t="s">
        <v>609</v>
      </c>
      <c r="H610" s="176">
        <v>3450.3</v>
      </c>
      <c r="L610" s="173"/>
      <c r="M610" s="177"/>
      <c r="T610" s="178"/>
      <c r="AT610" s="174" t="s">
        <v>346</v>
      </c>
      <c r="AU610" s="174" t="s">
        <v>90</v>
      </c>
      <c r="AV610" s="172" t="s">
        <v>113</v>
      </c>
      <c r="AW610" s="172" t="s">
        <v>33</v>
      </c>
      <c r="AX610" s="172" t="s">
        <v>80</v>
      </c>
      <c r="AY610" s="174" t="s">
        <v>337</v>
      </c>
    </row>
    <row r="611" spans="2:65" s="141" customFormat="1" x14ac:dyDescent="0.2">
      <c r="B611" s="142"/>
      <c r="D611" s="143" t="s">
        <v>346</v>
      </c>
      <c r="E611" s="144"/>
      <c r="F611" s="145" t="s">
        <v>2791</v>
      </c>
      <c r="H611" s="144"/>
      <c r="L611" s="142"/>
      <c r="M611" s="146"/>
      <c r="T611" s="147"/>
      <c r="AT611" s="144" t="s">
        <v>346</v>
      </c>
      <c r="AU611" s="144" t="s">
        <v>90</v>
      </c>
      <c r="AV611" s="141" t="s">
        <v>87</v>
      </c>
      <c r="AW611" s="141" t="s">
        <v>33</v>
      </c>
      <c r="AX611" s="141" t="s">
        <v>80</v>
      </c>
      <c r="AY611" s="144" t="s">
        <v>337</v>
      </c>
    </row>
    <row r="612" spans="2:65" s="141" customFormat="1" x14ac:dyDescent="0.2">
      <c r="B612" s="142"/>
      <c r="D612" s="143" t="s">
        <v>346</v>
      </c>
      <c r="E612" s="144"/>
      <c r="F612" s="145" t="s">
        <v>2792</v>
      </c>
      <c r="H612" s="144"/>
      <c r="L612" s="142"/>
      <c r="M612" s="146"/>
      <c r="T612" s="147"/>
      <c r="AT612" s="144" t="s">
        <v>346</v>
      </c>
      <c r="AU612" s="144" t="s">
        <v>90</v>
      </c>
      <c r="AV612" s="141" t="s">
        <v>87</v>
      </c>
      <c r="AW612" s="141" t="s">
        <v>33</v>
      </c>
      <c r="AX612" s="141" t="s">
        <v>80</v>
      </c>
      <c r="AY612" s="144" t="s">
        <v>337</v>
      </c>
    </row>
    <row r="613" spans="2:65" s="148" customFormat="1" x14ac:dyDescent="0.2">
      <c r="B613" s="149"/>
      <c r="D613" s="143" t="s">
        <v>346</v>
      </c>
      <c r="E613" s="150"/>
      <c r="F613" s="151" t="s">
        <v>2856</v>
      </c>
      <c r="H613" s="152">
        <v>69.006</v>
      </c>
      <c r="L613" s="149"/>
      <c r="M613" s="153"/>
      <c r="T613" s="154"/>
      <c r="AT613" s="150" t="s">
        <v>346</v>
      </c>
      <c r="AU613" s="150" t="s">
        <v>90</v>
      </c>
      <c r="AV613" s="148" t="s">
        <v>90</v>
      </c>
      <c r="AW613" s="148" t="s">
        <v>33</v>
      </c>
      <c r="AX613" s="148" t="s">
        <v>80</v>
      </c>
      <c r="AY613" s="150" t="s">
        <v>337</v>
      </c>
    </row>
    <row r="614" spans="2:65" s="141" customFormat="1" x14ac:dyDescent="0.2">
      <c r="B614" s="142"/>
      <c r="D614" s="143" t="s">
        <v>346</v>
      </c>
      <c r="E614" s="144"/>
      <c r="F614" s="145" t="s">
        <v>2794</v>
      </c>
      <c r="H614" s="144"/>
      <c r="L614" s="142"/>
      <c r="M614" s="146"/>
      <c r="T614" s="147"/>
      <c r="AT614" s="144" t="s">
        <v>346</v>
      </c>
      <c r="AU614" s="144" t="s">
        <v>90</v>
      </c>
      <c r="AV614" s="141" t="s">
        <v>87</v>
      </c>
      <c r="AW614" s="141" t="s">
        <v>33</v>
      </c>
      <c r="AX614" s="141" t="s">
        <v>80</v>
      </c>
      <c r="AY614" s="144" t="s">
        <v>337</v>
      </c>
    </row>
    <row r="615" spans="2:65" s="148" customFormat="1" x14ac:dyDescent="0.2">
      <c r="B615" s="149"/>
      <c r="D615" s="143" t="s">
        <v>346</v>
      </c>
      <c r="E615" s="150"/>
      <c r="F615" s="151" t="s">
        <v>2857</v>
      </c>
      <c r="H615" s="152">
        <v>276.024</v>
      </c>
      <c r="L615" s="149"/>
      <c r="M615" s="153"/>
      <c r="T615" s="154"/>
      <c r="AT615" s="150" t="s">
        <v>346</v>
      </c>
      <c r="AU615" s="150" t="s">
        <v>90</v>
      </c>
      <c r="AV615" s="148" t="s">
        <v>90</v>
      </c>
      <c r="AW615" s="148" t="s">
        <v>33</v>
      </c>
      <c r="AX615" s="148" t="s">
        <v>80</v>
      </c>
      <c r="AY615" s="150" t="s">
        <v>337</v>
      </c>
    </row>
    <row r="616" spans="2:65" s="141" customFormat="1" x14ac:dyDescent="0.2">
      <c r="B616" s="142"/>
      <c r="D616" s="143" t="s">
        <v>346</v>
      </c>
      <c r="E616" s="144"/>
      <c r="F616" s="145" t="s">
        <v>2796</v>
      </c>
      <c r="H616" s="144"/>
      <c r="L616" s="142"/>
      <c r="M616" s="146"/>
      <c r="T616" s="147"/>
      <c r="AT616" s="144" t="s">
        <v>346</v>
      </c>
      <c r="AU616" s="144" t="s">
        <v>90</v>
      </c>
      <c r="AV616" s="141" t="s">
        <v>87</v>
      </c>
      <c r="AW616" s="141" t="s">
        <v>33</v>
      </c>
      <c r="AX616" s="141" t="s">
        <v>80</v>
      </c>
      <c r="AY616" s="144" t="s">
        <v>337</v>
      </c>
    </row>
    <row r="617" spans="2:65" s="148" customFormat="1" x14ac:dyDescent="0.2">
      <c r="B617" s="149"/>
      <c r="D617" s="143" t="s">
        <v>346</v>
      </c>
      <c r="E617" s="150"/>
      <c r="F617" s="151" t="s">
        <v>2858</v>
      </c>
      <c r="H617" s="152">
        <v>517.54499999999996</v>
      </c>
      <c r="L617" s="149"/>
      <c r="M617" s="153"/>
      <c r="T617" s="154"/>
      <c r="AT617" s="150" t="s">
        <v>346</v>
      </c>
      <c r="AU617" s="150" t="s">
        <v>90</v>
      </c>
      <c r="AV617" s="148" t="s">
        <v>90</v>
      </c>
      <c r="AW617" s="148" t="s">
        <v>33</v>
      </c>
      <c r="AX617" s="148" t="s">
        <v>80</v>
      </c>
      <c r="AY617" s="150" t="s">
        <v>337</v>
      </c>
    </row>
    <row r="618" spans="2:65" s="155" customFormat="1" x14ac:dyDescent="0.2">
      <c r="B618" s="156"/>
      <c r="D618" s="143" t="s">
        <v>346</v>
      </c>
      <c r="E618" s="157"/>
      <c r="F618" s="158" t="s">
        <v>351</v>
      </c>
      <c r="H618" s="159">
        <v>4312.875</v>
      </c>
      <c r="L618" s="156"/>
      <c r="M618" s="160"/>
      <c r="T618" s="161"/>
      <c r="AT618" s="157" t="s">
        <v>346</v>
      </c>
      <c r="AU618" s="157" t="s">
        <v>90</v>
      </c>
      <c r="AV618" s="155" t="s">
        <v>344</v>
      </c>
      <c r="AW618" s="155" t="s">
        <v>33</v>
      </c>
      <c r="AX618" s="155" t="s">
        <v>87</v>
      </c>
      <c r="AY618" s="157" t="s">
        <v>337</v>
      </c>
    </row>
    <row r="619" spans="2:65" s="16" customFormat="1" ht="16.5" customHeight="1" x14ac:dyDescent="0.2">
      <c r="B619" s="17"/>
      <c r="C619" s="128">
        <v>36</v>
      </c>
      <c r="D619" s="128" t="s">
        <v>339</v>
      </c>
      <c r="E619" s="129" t="s">
        <v>2859</v>
      </c>
      <c r="F619" s="130" t="s">
        <v>2860</v>
      </c>
      <c r="G619" s="131" t="s">
        <v>535</v>
      </c>
      <c r="H619" s="132">
        <v>4312.875</v>
      </c>
      <c r="I619" s="133"/>
      <c r="J619" s="134">
        <f>ROUND(I619*H619,2)</f>
        <v>0</v>
      </c>
      <c r="K619" s="130"/>
      <c r="L619" s="17"/>
      <c r="M619" s="135"/>
      <c r="N619" s="136" t="s">
        <v>45</v>
      </c>
      <c r="P619" s="137">
        <f>O619*H619</f>
        <v>0</v>
      </c>
      <c r="Q619" s="137">
        <v>1E-3</v>
      </c>
      <c r="R619" s="137">
        <f>Q619*H619</f>
        <v>4.312875</v>
      </c>
      <c r="S619" s="137">
        <v>0</v>
      </c>
      <c r="T619" s="138">
        <f>S619*H619</f>
        <v>0</v>
      </c>
      <c r="AR619" s="139" t="s">
        <v>496</v>
      </c>
      <c r="AT619" s="139" t="s">
        <v>339</v>
      </c>
      <c r="AU619" s="139" t="s">
        <v>90</v>
      </c>
      <c r="AY619" s="2" t="s">
        <v>337</v>
      </c>
      <c r="BE619" s="140">
        <f>IF(N619="základní",J619,0)</f>
        <v>0</v>
      </c>
      <c r="BF619" s="140">
        <f>IF(N619="snížená",J619,0)</f>
        <v>0</v>
      </c>
      <c r="BG619" s="140">
        <f>IF(N619="zákl. přenesená",J619,0)</f>
        <v>0</v>
      </c>
      <c r="BH619" s="140">
        <f>IF(N619="sníž. přenesená",J619,0)</f>
        <v>0</v>
      </c>
      <c r="BI619" s="140">
        <f>IF(N619="nulová",J619,0)</f>
        <v>0</v>
      </c>
      <c r="BJ619" s="2" t="s">
        <v>87</v>
      </c>
      <c r="BK619" s="140">
        <f>ROUND(I619*H619,2)</f>
        <v>0</v>
      </c>
      <c r="BL619" s="2" t="s">
        <v>496</v>
      </c>
      <c r="BM619" s="139" t="s">
        <v>2861</v>
      </c>
    </row>
    <row r="620" spans="2:65" s="141" customFormat="1" x14ac:dyDescent="0.2">
      <c r="B620" s="142"/>
      <c r="D620" s="143" t="s">
        <v>346</v>
      </c>
      <c r="E620" s="144"/>
      <c r="F620" s="145" t="s">
        <v>2862</v>
      </c>
      <c r="H620" s="144"/>
      <c r="L620" s="142"/>
      <c r="M620" s="146"/>
      <c r="T620" s="147"/>
      <c r="AT620" s="144" t="s">
        <v>346</v>
      </c>
      <c r="AU620" s="144" t="s">
        <v>90</v>
      </c>
      <c r="AV620" s="141" t="s">
        <v>87</v>
      </c>
      <c r="AW620" s="141" t="s">
        <v>33</v>
      </c>
      <c r="AX620" s="141" t="s">
        <v>80</v>
      </c>
      <c r="AY620" s="144" t="s">
        <v>337</v>
      </c>
    </row>
    <row r="621" spans="2:65" s="141" customFormat="1" x14ac:dyDescent="0.2">
      <c r="B621" s="142"/>
      <c r="D621" s="143" t="s">
        <v>346</v>
      </c>
      <c r="E621" s="144"/>
      <c r="F621" s="145" t="s">
        <v>2863</v>
      </c>
      <c r="H621" s="144"/>
      <c r="L621" s="142"/>
      <c r="M621" s="146"/>
      <c r="T621" s="147"/>
      <c r="AT621" s="144" t="s">
        <v>346</v>
      </c>
      <c r="AU621" s="144" t="s">
        <v>90</v>
      </c>
      <c r="AV621" s="141" t="s">
        <v>87</v>
      </c>
      <c r="AW621" s="141" t="s">
        <v>33</v>
      </c>
      <c r="AX621" s="141" t="s">
        <v>80</v>
      </c>
      <c r="AY621" s="144" t="s">
        <v>337</v>
      </c>
    </row>
    <row r="622" spans="2:65" s="148" customFormat="1" x14ac:dyDescent="0.2">
      <c r="B622" s="149"/>
      <c r="D622" s="143" t="s">
        <v>346</v>
      </c>
      <c r="E622" s="150"/>
      <c r="F622" s="151" t="s">
        <v>2850</v>
      </c>
      <c r="H622" s="152">
        <v>1176.5</v>
      </c>
      <c r="L622" s="149"/>
      <c r="M622" s="153"/>
      <c r="T622" s="154"/>
      <c r="AT622" s="150" t="s">
        <v>346</v>
      </c>
      <c r="AU622" s="150" t="s">
        <v>90</v>
      </c>
      <c r="AV622" s="148" t="s">
        <v>90</v>
      </c>
      <c r="AW622" s="148" t="s">
        <v>33</v>
      </c>
      <c r="AX622" s="148" t="s">
        <v>80</v>
      </c>
      <c r="AY622" s="150" t="s">
        <v>337</v>
      </c>
    </row>
    <row r="623" spans="2:65" s="141" customFormat="1" x14ac:dyDescent="0.2">
      <c r="B623" s="142"/>
      <c r="D623" s="143" t="s">
        <v>346</v>
      </c>
      <c r="E623" s="144"/>
      <c r="F623" s="145" t="s">
        <v>2864</v>
      </c>
      <c r="H623" s="144"/>
      <c r="L623" s="142"/>
      <c r="M623" s="146"/>
      <c r="T623" s="147"/>
      <c r="AT623" s="144" t="s">
        <v>346</v>
      </c>
      <c r="AU623" s="144" t="s">
        <v>90</v>
      </c>
      <c r="AV623" s="141" t="s">
        <v>87</v>
      </c>
      <c r="AW623" s="141" t="s">
        <v>33</v>
      </c>
      <c r="AX623" s="141" t="s">
        <v>80</v>
      </c>
      <c r="AY623" s="144" t="s">
        <v>337</v>
      </c>
    </row>
    <row r="624" spans="2:65" s="148" customFormat="1" x14ac:dyDescent="0.2">
      <c r="B624" s="149"/>
      <c r="D624" s="143" t="s">
        <v>346</v>
      </c>
      <c r="E624" s="150"/>
      <c r="F624" s="151" t="s">
        <v>2852</v>
      </c>
      <c r="H624" s="152">
        <v>1231.2</v>
      </c>
      <c r="L624" s="149"/>
      <c r="M624" s="153"/>
      <c r="T624" s="154"/>
      <c r="AT624" s="150" t="s">
        <v>346</v>
      </c>
      <c r="AU624" s="150" t="s">
        <v>90</v>
      </c>
      <c r="AV624" s="148" t="s">
        <v>90</v>
      </c>
      <c r="AW624" s="148" t="s">
        <v>33</v>
      </c>
      <c r="AX624" s="148" t="s">
        <v>80</v>
      </c>
      <c r="AY624" s="150" t="s">
        <v>337</v>
      </c>
    </row>
    <row r="625" spans="2:65" s="141" customFormat="1" x14ac:dyDescent="0.2">
      <c r="B625" s="142"/>
      <c r="D625" s="143" t="s">
        <v>346</v>
      </c>
      <c r="E625" s="144"/>
      <c r="F625" s="145" t="s">
        <v>2865</v>
      </c>
      <c r="H625" s="144"/>
      <c r="L625" s="142"/>
      <c r="M625" s="146"/>
      <c r="T625" s="147"/>
      <c r="AT625" s="144" t="s">
        <v>346</v>
      </c>
      <c r="AU625" s="144" t="s">
        <v>90</v>
      </c>
      <c r="AV625" s="141" t="s">
        <v>87</v>
      </c>
      <c r="AW625" s="141" t="s">
        <v>33</v>
      </c>
      <c r="AX625" s="141" t="s">
        <v>80</v>
      </c>
      <c r="AY625" s="144" t="s">
        <v>337</v>
      </c>
    </row>
    <row r="626" spans="2:65" s="148" customFormat="1" x14ac:dyDescent="0.2">
      <c r="B626" s="149"/>
      <c r="D626" s="143" t="s">
        <v>346</v>
      </c>
      <c r="E626" s="150"/>
      <c r="F626" s="151" t="s">
        <v>2834</v>
      </c>
      <c r="H626" s="152">
        <v>843.6</v>
      </c>
      <c r="L626" s="149"/>
      <c r="M626" s="153"/>
      <c r="T626" s="154"/>
      <c r="AT626" s="150" t="s">
        <v>346</v>
      </c>
      <c r="AU626" s="150" t="s">
        <v>90</v>
      </c>
      <c r="AV626" s="148" t="s">
        <v>90</v>
      </c>
      <c r="AW626" s="148" t="s">
        <v>33</v>
      </c>
      <c r="AX626" s="148" t="s">
        <v>80</v>
      </c>
      <c r="AY626" s="150" t="s">
        <v>337</v>
      </c>
    </row>
    <row r="627" spans="2:65" s="141" customFormat="1" x14ac:dyDescent="0.2">
      <c r="B627" s="142"/>
      <c r="D627" s="143" t="s">
        <v>346</v>
      </c>
      <c r="E627" s="144"/>
      <c r="F627" s="145" t="s">
        <v>2866</v>
      </c>
      <c r="H627" s="144"/>
      <c r="L627" s="142"/>
      <c r="M627" s="146"/>
      <c r="T627" s="147"/>
      <c r="AT627" s="144" t="s">
        <v>346</v>
      </c>
      <c r="AU627" s="144" t="s">
        <v>90</v>
      </c>
      <c r="AV627" s="141" t="s">
        <v>87</v>
      </c>
      <c r="AW627" s="141" t="s">
        <v>33</v>
      </c>
      <c r="AX627" s="141" t="s">
        <v>80</v>
      </c>
      <c r="AY627" s="144" t="s">
        <v>337</v>
      </c>
    </row>
    <row r="628" spans="2:65" s="148" customFormat="1" x14ac:dyDescent="0.2">
      <c r="B628" s="149"/>
      <c r="D628" s="143" t="s">
        <v>346</v>
      </c>
      <c r="E628" s="150"/>
      <c r="F628" s="151" t="s">
        <v>2855</v>
      </c>
      <c r="H628" s="152">
        <v>199</v>
      </c>
      <c r="L628" s="149"/>
      <c r="M628" s="153"/>
      <c r="T628" s="154"/>
      <c r="AT628" s="150" t="s">
        <v>346</v>
      </c>
      <c r="AU628" s="150" t="s">
        <v>90</v>
      </c>
      <c r="AV628" s="148" t="s">
        <v>90</v>
      </c>
      <c r="AW628" s="148" t="s">
        <v>33</v>
      </c>
      <c r="AX628" s="148" t="s">
        <v>80</v>
      </c>
      <c r="AY628" s="150" t="s">
        <v>337</v>
      </c>
    </row>
    <row r="629" spans="2:65" s="172" customFormat="1" x14ac:dyDescent="0.2">
      <c r="B629" s="173"/>
      <c r="D629" s="143" t="s">
        <v>346</v>
      </c>
      <c r="E629" s="174"/>
      <c r="F629" s="175" t="s">
        <v>609</v>
      </c>
      <c r="H629" s="176">
        <v>3450.3</v>
      </c>
      <c r="L629" s="173"/>
      <c r="M629" s="177"/>
      <c r="T629" s="178"/>
      <c r="AT629" s="174" t="s">
        <v>346</v>
      </c>
      <c r="AU629" s="174" t="s">
        <v>90</v>
      </c>
      <c r="AV629" s="172" t="s">
        <v>113</v>
      </c>
      <c r="AW629" s="172" t="s">
        <v>33</v>
      </c>
      <c r="AX629" s="172" t="s">
        <v>80</v>
      </c>
      <c r="AY629" s="174" t="s">
        <v>337</v>
      </c>
    </row>
    <row r="630" spans="2:65" s="141" customFormat="1" x14ac:dyDescent="0.2">
      <c r="B630" s="142"/>
      <c r="D630" s="143" t="s">
        <v>346</v>
      </c>
      <c r="E630" s="144"/>
      <c r="F630" s="145" t="s">
        <v>2791</v>
      </c>
      <c r="H630" s="144"/>
      <c r="L630" s="142"/>
      <c r="M630" s="146"/>
      <c r="T630" s="147"/>
      <c r="AT630" s="144" t="s">
        <v>346</v>
      </c>
      <c r="AU630" s="144" t="s">
        <v>90</v>
      </c>
      <c r="AV630" s="141" t="s">
        <v>87</v>
      </c>
      <c r="AW630" s="141" t="s">
        <v>33</v>
      </c>
      <c r="AX630" s="141" t="s">
        <v>80</v>
      </c>
      <c r="AY630" s="144" t="s">
        <v>337</v>
      </c>
    </row>
    <row r="631" spans="2:65" s="141" customFormat="1" x14ac:dyDescent="0.2">
      <c r="B631" s="142"/>
      <c r="D631" s="143" t="s">
        <v>346</v>
      </c>
      <c r="E631" s="144"/>
      <c r="F631" s="145" t="s">
        <v>2792</v>
      </c>
      <c r="H631" s="144"/>
      <c r="L631" s="142"/>
      <c r="M631" s="146"/>
      <c r="T631" s="147"/>
      <c r="AT631" s="144" t="s">
        <v>346</v>
      </c>
      <c r="AU631" s="144" t="s">
        <v>90</v>
      </c>
      <c r="AV631" s="141" t="s">
        <v>87</v>
      </c>
      <c r="AW631" s="141" t="s">
        <v>33</v>
      </c>
      <c r="AX631" s="141" t="s">
        <v>80</v>
      </c>
      <c r="AY631" s="144" t="s">
        <v>337</v>
      </c>
    </row>
    <row r="632" spans="2:65" s="148" customFormat="1" x14ac:dyDescent="0.2">
      <c r="B632" s="149"/>
      <c r="D632" s="143" t="s">
        <v>346</v>
      </c>
      <c r="E632" s="150"/>
      <c r="F632" s="151" t="s">
        <v>2856</v>
      </c>
      <c r="H632" s="152">
        <v>69.006</v>
      </c>
      <c r="L632" s="149"/>
      <c r="M632" s="153"/>
      <c r="T632" s="154"/>
      <c r="AT632" s="150" t="s">
        <v>346</v>
      </c>
      <c r="AU632" s="150" t="s">
        <v>90</v>
      </c>
      <c r="AV632" s="148" t="s">
        <v>90</v>
      </c>
      <c r="AW632" s="148" t="s">
        <v>33</v>
      </c>
      <c r="AX632" s="148" t="s">
        <v>80</v>
      </c>
      <c r="AY632" s="150" t="s">
        <v>337</v>
      </c>
    </row>
    <row r="633" spans="2:65" s="141" customFormat="1" x14ac:dyDescent="0.2">
      <c r="B633" s="142"/>
      <c r="D633" s="143" t="s">
        <v>346</v>
      </c>
      <c r="E633" s="144"/>
      <c r="F633" s="145" t="s">
        <v>2794</v>
      </c>
      <c r="H633" s="144"/>
      <c r="L633" s="142"/>
      <c r="M633" s="146"/>
      <c r="T633" s="147"/>
      <c r="AT633" s="144" t="s">
        <v>346</v>
      </c>
      <c r="AU633" s="144" t="s">
        <v>90</v>
      </c>
      <c r="AV633" s="141" t="s">
        <v>87</v>
      </c>
      <c r="AW633" s="141" t="s">
        <v>33</v>
      </c>
      <c r="AX633" s="141" t="s">
        <v>80</v>
      </c>
      <c r="AY633" s="144" t="s">
        <v>337</v>
      </c>
    </row>
    <row r="634" spans="2:65" s="148" customFormat="1" x14ac:dyDescent="0.2">
      <c r="B634" s="149"/>
      <c r="D634" s="143" t="s">
        <v>346</v>
      </c>
      <c r="E634" s="150"/>
      <c r="F634" s="151" t="s">
        <v>2857</v>
      </c>
      <c r="H634" s="152">
        <v>276.024</v>
      </c>
      <c r="L634" s="149"/>
      <c r="M634" s="153"/>
      <c r="T634" s="154"/>
      <c r="AT634" s="150" t="s">
        <v>346</v>
      </c>
      <c r="AU634" s="150" t="s">
        <v>90</v>
      </c>
      <c r="AV634" s="148" t="s">
        <v>90</v>
      </c>
      <c r="AW634" s="148" t="s">
        <v>33</v>
      </c>
      <c r="AX634" s="148" t="s">
        <v>80</v>
      </c>
      <c r="AY634" s="150" t="s">
        <v>337</v>
      </c>
    </row>
    <row r="635" spans="2:65" s="141" customFormat="1" x14ac:dyDescent="0.2">
      <c r="B635" s="142"/>
      <c r="D635" s="143" t="s">
        <v>346</v>
      </c>
      <c r="E635" s="144"/>
      <c r="F635" s="145" t="s">
        <v>2796</v>
      </c>
      <c r="H635" s="144"/>
      <c r="L635" s="142"/>
      <c r="M635" s="146"/>
      <c r="T635" s="147"/>
      <c r="AT635" s="144" t="s">
        <v>346</v>
      </c>
      <c r="AU635" s="144" t="s">
        <v>90</v>
      </c>
      <c r="AV635" s="141" t="s">
        <v>87</v>
      </c>
      <c r="AW635" s="141" t="s">
        <v>33</v>
      </c>
      <c r="AX635" s="141" t="s">
        <v>80</v>
      </c>
      <c r="AY635" s="144" t="s">
        <v>337</v>
      </c>
    </row>
    <row r="636" spans="2:65" s="148" customFormat="1" x14ac:dyDescent="0.2">
      <c r="B636" s="149"/>
      <c r="D636" s="143" t="s">
        <v>346</v>
      </c>
      <c r="E636" s="150"/>
      <c r="F636" s="151" t="s">
        <v>2858</v>
      </c>
      <c r="H636" s="152">
        <v>517.54499999999996</v>
      </c>
      <c r="L636" s="149"/>
      <c r="M636" s="153"/>
      <c r="T636" s="154"/>
      <c r="AT636" s="150" t="s">
        <v>346</v>
      </c>
      <c r="AU636" s="150" t="s">
        <v>90</v>
      </c>
      <c r="AV636" s="148" t="s">
        <v>90</v>
      </c>
      <c r="AW636" s="148" t="s">
        <v>33</v>
      </c>
      <c r="AX636" s="148" t="s">
        <v>80</v>
      </c>
      <c r="AY636" s="150" t="s">
        <v>337</v>
      </c>
    </row>
    <row r="637" spans="2:65" s="155" customFormat="1" x14ac:dyDescent="0.2">
      <c r="B637" s="156"/>
      <c r="D637" s="143" t="s">
        <v>346</v>
      </c>
      <c r="E637" s="157"/>
      <c r="F637" s="158" t="s">
        <v>351</v>
      </c>
      <c r="H637" s="159">
        <v>4312.875</v>
      </c>
      <c r="L637" s="156"/>
      <c r="M637" s="160"/>
      <c r="T637" s="161"/>
      <c r="AT637" s="157" t="s">
        <v>346</v>
      </c>
      <c r="AU637" s="157" t="s">
        <v>90</v>
      </c>
      <c r="AV637" s="155" t="s">
        <v>344</v>
      </c>
      <c r="AW637" s="155" t="s">
        <v>33</v>
      </c>
      <c r="AX637" s="155" t="s">
        <v>87</v>
      </c>
      <c r="AY637" s="157" t="s">
        <v>337</v>
      </c>
    </row>
    <row r="638" spans="2:65" s="16" customFormat="1" ht="16.5" customHeight="1" x14ac:dyDescent="0.2">
      <c r="B638" s="17"/>
      <c r="C638" s="128">
        <v>37</v>
      </c>
      <c r="D638" s="128" t="s">
        <v>339</v>
      </c>
      <c r="E638" s="129" t="s">
        <v>2867</v>
      </c>
      <c r="F638" s="130" t="s">
        <v>2868</v>
      </c>
      <c r="G638" s="131" t="s">
        <v>535</v>
      </c>
      <c r="H638" s="132">
        <v>4312.875</v>
      </c>
      <c r="I638" s="133"/>
      <c r="J638" s="134">
        <f>ROUND(I638*H638,2)</f>
        <v>0</v>
      </c>
      <c r="K638" s="130"/>
      <c r="L638" s="17"/>
      <c r="M638" s="135"/>
      <c r="N638" s="136" t="s">
        <v>45</v>
      </c>
      <c r="P638" s="137">
        <f>O638*H638</f>
        <v>0</v>
      </c>
      <c r="Q638" s="137">
        <v>1E-3</v>
      </c>
      <c r="R638" s="137">
        <f>Q638*H638</f>
        <v>4.312875</v>
      </c>
      <c r="S638" s="137">
        <v>0</v>
      </c>
      <c r="T638" s="138">
        <f>S638*H638</f>
        <v>0</v>
      </c>
      <c r="AR638" s="139" t="s">
        <v>496</v>
      </c>
      <c r="AT638" s="139" t="s">
        <v>339</v>
      </c>
      <c r="AU638" s="139" t="s">
        <v>90</v>
      </c>
      <c r="AY638" s="2" t="s">
        <v>337</v>
      </c>
      <c r="BE638" s="140">
        <f>IF(N638="základní",J638,0)</f>
        <v>0</v>
      </c>
      <c r="BF638" s="140">
        <f>IF(N638="snížená",J638,0)</f>
        <v>0</v>
      </c>
      <c r="BG638" s="140">
        <f>IF(N638="zákl. přenesená",J638,0)</f>
        <v>0</v>
      </c>
      <c r="BH638" s="140">
        <f>IF(N638="sníž. přenesená",J638,0)</f>
        <v>0</v>
      </c>
      <c r="BI638" s="140">
        <f>IF(N638="nulová",J638,0)</f>
        <v>0</v>
      </c>
      <c r="BJ638" s="2" t="s">
        <v>87</v>
      </c>
      <c r="BK638" s="140">
        <f>ROUND(I638*H638,2)</f>
        <v>0</v>
      </c>
      <c r="BL638" s="2" t="s">
        <v>496</v>
      </c>
      <c r="BM638" s="139" t="s">
        <v>2869</v>
      </c>
    </row>
    <row r="639" spans="2:65" s="141" customFormat="1" x14ac:dyDescent="0.2">
      <c r="B639" s="142"/>
      <c r="D639" s="143" t="s">
        <v>346</v>
      </c>
      <c r="E639" s="144"/>
      <c r="F639" s="145" t="s">
        <v>2870</v>
      </c>
      <c r="H639" s="144"/>
      <c r="L639" s="142"/>
      <c r="M639" s="146"/>
      <c r="T639" s="147"/>
      <c r="AT639" s="144" t="s">
        <v>346</v>
      </c>
      <c r="AU639" s="144" t="s">
        <v>90</v>
      </c>
      <c r="AV639" s="141" t="s">
        <v>87</v>
      </c>
      <c r="AW639" s="141" t="s">
        <v>33</v>
      </c>
      <c r="AX639" s="141" t="s">
        <v>80</v>
      </c>
      <c r="AY639" s="144" t="s">
        <v>337</v>
      </c>
    </row>
    <row r="640" spans="2:65" s="141" customFormat="1" x14ac:dyDescent="0.2">
      <c r="B640" s="142"/>
      <c r="D640" s="143" t="s">
        <v>346</v>
      </c>
      <c r="E640" s="144"/>
      <c r="F640" s="145" t="s">
        <v>2871</v>
      </c>
      <c r="H640" s="144"/>
      <c r="L640" s="142"/>
      <c r="M640" s="146"/>
      <c r="T640" s="147"/>
      <c r="AT640" s="144" t="s">
        <v>346</v>
      </c>
      <c r="AU640" s="144" t="s">
        <v>90</v>
      </c>
      <c r="AV640" s="141" t="s">
        <v>87</v>
      </c>
      <c r="AW640" s="141" t="s">
        <v>33</v>
      </c>
      <c r="AX640" s="141" t="s">
        <v>80</v>
      </c>
      <c r="AY640" s="144" t="s">
        <v>337</v>
      </c>
    </row>
    <row r="641" spans="2:51" s="148" customFormat="1" x14ac:dyDescent="0.2">
      <c r="B641" s="149"/>
      <c r="D641" s="143" t="s">
        <v>346</v>
      </c>
      <c r="E641" s="150"/>
      <c r="F641" s="151" t="s">
        <v>2850</v>
      </c>
      <c r="H641" s="152">
        <v>1176.5</v>
      </c>
      <c r="L641" s="149"/>
      <c r="M641" s="153"/>
      <c r="T641" s="154"/>
      <c r="AT641" s="150" t="s">
        <v>346</v>
      </c>
      <c r="AU641" s="150" t="s">
        <v>90</v>
      </c>
      <c r="AV641" s="148" t="s">
        <v>90</v>
      </c>
      <c r="AW641" s="148" t="s">
        <v>33</v>
      </c>
      <c r="AX641" s="148" t="s">
        <v>80</v>
      </c>
      <c r="AY641" s="150" t="s">
        <v>337</v>
      </c>
    </row>
    <row r="642" spans="2:51" s="141" customFormat="1" x14ac:dyDescent="0.2">
      <c r="B642" s="142"/>
      <c r="D642" s="143" t="s">
        <v>346</v>
      </c>
      <c r="E642" s="144"/>
      <c r="F642" s="145" t="s">
        <v>2872</v>
      </c>
      <c r="H642" s="144"/>
      <c r="L642" s="142"/>
      <c r="M642" s="146"/>
      <c r="T642" s="147"/>
      <c r="AT642" s="144" t="s">
        <v>346</v>
      </c>
      <c r="AU642" s="144" t="s">
        <v>90</v>
      </c>
      <c r="AV642" s="141" t="s">
        <v>87</v>
      </c>
      <c r="AW642" s="141" t="s">
        <v>33</v>
      </c>
      <c r="AX642" s="141" t="s">
        <v>80</v>
      </c>
      <c r="AY642" s="144" t="s">
        <v>337</v>
      </c>
    </row>
    <row r="643" spans="2:51" s="148" customFormat="1" x14ac:dyDescent="0.2">
      <c r="B643" s="149"/>
      <c r="D643" s="143" t="s">
        <v>346</v>
      </c>
      <c r="E643" s="150"/>
      <c r="F643" s="151" t="s">
        <v>2852</v>
      </c>
      <c r="H643" s="152">
        <v>1231.2</v>
      </c>
      <c r="L643" s="149"/>
      <c r="M643" s="153"/>
      <c r="T643" s="154"/>
      <c r="AT643" s="150" t="s">
        <v>346</v>
      </c>
      <c r="AU643" s="150" t="s">
        <v>90</v>
      </c>
      <c r="AV643" s="148" t="s">
        <v>90</v>
      </c>
      <c r="AW643" s="148" t="s">
        <v>33</v>
      </c>
      <c r="AX643" s="148" t="s">
        <v>80</v>
      </c>
      <c r="AY643" s="150" t="s">
        <v>337</v>
      </c>
    </row>
    <row r="644" spans="2:51" s="141" customFormat="1" x14ac:dyDescent="0.2">
      <c r="B644" s="142"/>
      <c r="D644" s="143" t="s">
        <v>346</v>
      </c>
      <c r="E644" s="144"/>
      <c r="F644" s="145" t="s">
        <v>2873</v>
      </c>
      <c r="H644" s="144"/>
      <c r="L644" s="142"/>
      <c r="M644" s="146"/>
      <c r="T644" s="147"/>
      <c r="AT644" s="144" t="s">
        <v>346</v>
      </c>
      <c r="AU644" s="144" t="s">
        <v>90</v>
      </c>
      <c r="AV644" s="141" t="s">
        <v>87</v>
      </c>
      <c r="AW644" s="141" t="s">
        <v>33</v>
      </c>
      <c r="AX644" s="141" t="s">
        <v>80</v>
      </c>
      <c r="AY644" s="144" t="s">
        <v>337</v>
      </c>
    </row>
    <row r="645" spans="2:51" s="148" customFormat="1" x14ac:dyDescent="0.2">
      <c r="B645" s="149"/>
      <c r="D645" s="143" t="s">
        <v>346</v>
      </c>
      <c r="E645" s="150"/>
      <c r="F645" s="151" t="s">
        <v>2834</v>
      </c>
      <c r="H645" s="152">
        <v>843.6</v>
      </c>
      <c r="L645" s="149"/>
      <c r="M645" s="153"/>
      <c r="T645" s="154"/>
      <c r="AT645" s="150" t="s">
        <v>346</v>
      </c>
      <c r="AU645" s="150" t="s">
        <v>90</v>
      </c>
      <c r="AV645" s="148" t="s">
        <v>90</v>
      </c>
      <c r="AW645" s="148" t="s">
        <v>33</v>
      </c>
      <c r="AX645" s="148" t="s">
        <v>80</v>
      </c>
      <c r="AY645" s="150" t="s">
        <v>337</v>
      </c>
    </row>
    <row r="646" spans="2:51" s="141" customFormat="1" x14ac:dyDescent="0.2">
      <c r="B646" s="142"/>
      <c r="D646" s="143" t="s">
        <v>346</v>
      </c>
      <c r="E646" s="144"/>
      <c r="F646" s="145" t="s">
        <v>2874</v>
      </c>
      <c r="H646" s="144"/>
      <c r="L646" s="142"/>
      <c r="M646" s="146"/>
      <c r="T646" s="147"/>
      <c r="AT646" s="144" t="s">
        <v>346</v>
      </c>
      <c r="AU646" s="144" t="s">
        <v>90</v>
      </c>
      <c r="AV646" s="141" t="s">
        <v>87</v>
      </c>
      <c r="AW646" s="141" t="s">
        <v>33</v>
      </c>
      <c r="AX646" s="141" t="s">
        <v>80</v>
      </c>
      <c r="AY646" s="144" t="s">
        <v>337</v>
      </c>
    </row>
    <row r="647" spans="2:51" s="148" customFormat="1" x14ac:dyDescent="0.2">
      <c r="B647" s="149"/>
      <c r="D647" s="143" t="s">
        <v>346</v>
      </c>
      <c r="E647" s="150"/>
      <c r="F647" s="151" t="s">
        <v>2855</v>
      </c>
      <c r="H647" s="152">
        <v>199</v>
      </c>
      <c r="L647" s="149"/>
      <c r="M647" s="153"/>
      <c r="T647" s="154"/>
      <c r="AT647" s="150" t="s">
        <v>346</v>
      </c>
      <c r="AU647" s="150" t="s">
        <v>90</v>
      </c>
      <c r="AV647" s="148" t="s">
        <v>90</v>
      </c>
      <c r="AW647" s="148" t="s">
        <v>33</v>
      </c>
      <c r="AX647" s="148" t="s">
        <v>80</v>
      </c>
      <c r="AY647" s="150" t="s">
        <v>337</v>
      </c>
    </row>
    <row r="648" spans="2:51" s="172" customFormat="1" x14ac:dyDescent="0.2">
      <c r="B648" s="173"/>
      <c r="D648" s="143" t="s">
        <v>346</v>
      </c>
      <c r="E648" s="174"/>
      <c r="F648" s="175" t="s">
        <v>609</v>
      </c>
      <c r="H648" s="176">
        <v>3450.3</v>
      </c>
      <c r="L648" s="173"/>
      <c r="M648" s="177"/>
      <c r="T648" s="178"/>
      <c r="AT648" s="174" t="s">
        <v>346</v>
      </c>
      <c r="AU648" s="174" t="s">
        <v>90</v>
      </c>
      <c r="AV648" s="172" t="s">
        <v>113</v>
      </c>
      <c r="AW648" s="172" t="s">
        <v>33</v>
      </c>
      <c r="AX648" s="172" t="s">
        <v>80</v>
      </c>
      <c r="AY648" s="174" t="s">
        <v>337</v>
      </c>
    </row>
    <row r="649" spans="2:51" s="141" customFormat="1" x14ac:dyDescent="0.2">
      <c r="B649" s="142"/>
      <c r="D649" s="143" t="s">
        <v>346</v>
      </c>
      <c r="E649" s="144"/>
      <c r="F649" s="145" t="s">
        <v>2791</v>
      </c>
      <c r="H649" s="144"/>
      <c r="L649" s="142"/>
      <c r="M649" s="146"/>
      <c r="T649" s="147"/>
      <c r="AT649" s="144" t="s">
        <v>346</v>
      </c>
      <c r="AU649" s="144" t="s">
        <v>90</v>
      </c>
      <c r="AV649" s="141" t="s">
        <v>87</v>
      </c>
      <c r="AW649" s="141" t="s">
        <v>33</v>
      </c>
      <c r="AX649" s="141" t="s">
        <v>80</v>
      </c>
      <c r="AY649" s="144" t="s">
        <v>337</v>
      </c>
    </row>
    <row r="650" spans="2:51" s="141" customFormat="1" x14ac:dyDescent="0.2">
      <c r="B650" s="142"/>
      <c r="D650" s="143" t="s">
        <v>346</v>
      </c>
      <c r="E650" s="144"/>
      <c r="F650" s="145" t="s">
        <v>2792</v>
      </c>
      <c r="H650" s="144"/>
      <c r="L650" s="142"/>
      <c r="M650" s="146"/>
      <c r="T650" s="147"/>
      <c r="AT650" s="144" t="s">
        <v>346</v>
      </c>
      <c r="AU650" s="144" t="s">
        <v>90</v>
      </c>
      <c r="AV650" s="141" t="s">
        <v>87</v>
      </c>
      <c r="AW650" s="141" t="s">
        <v>33</v>
      </c>
      <c r="AX650" s="141" t="s">
        <v>80</v>
      </c>
      <c r="AY650" s="144" t="s">
        <v>337</v>
      </c>
    </row>
    <row r="651" spans="2:51" s="148" customFormat="1" x14ac:dyDescent="0.2">
      <c r="B651" s="149"/>
      <c r="D651" s="143" t="s">
        <v>346</v>
      </c>
      <c r="E651" s="150"/>
      <c r="F651" s="151" t="s">
        <v>2856</v>
      </c>
      <c r="H651" s="152">
        <v>69.006</v>
      </c>
      <c r="L651" s="149"/>
      <c r="M651" s="153"/>
      <c r="T651" s="154"/>
      <c r="AT651" s="150" t="s">
        <v>346</v>
      </c>
      <c r="AU651" s="150" t="s">
        <v>90</v>
      </c>
      <c r="AV651" s="148" t="s">
        <v>90</v>
      </c>
      <c r="AW651" s="148" t="s">
        <v>33</v>
      </c>
      <c r="AX651" s="148" t="s">
        <v>80</v>
      </c>
      <c r="AY651" s="150" t="s">
        <v>337</v>
      </c>
    </row>
    <row r="652" spans="2:51" s="141" customFormat="1" x14ac:dyDescent="0.2">
      <c r="B652" s="142"/>
      <c r="D652" s="143" t="s">
        <v>346</v>
      </c>
      <c r="E652" s="144"/>
      <c r="F652" s="145" t="s">
        <v>2794</v>
      </c>
      <c r="H652" s="144"/>
      <c r="L652" s="142"/>
      <c r="M652" s="146"/>
      <c r="T652" s="147"/>
      <c r="AT652" s="144" t="s">
        <v>346</v>
      </c>
      <c r="AU652" s="144" t="s">
        <v>90</v>
      </c>
      <c r="AV652" s="141" t="s">
        <v>87</v>
      </c>
      <c r="AW652" s="141" t="s">
        <v>33</v>
      </c>
      <c r="AX652" s="141" t="s">
        <v>80</v>
      </c>
      <c r="AY652" s="144" t="s">
        <v>337</v>
      </c>
    </row>
    <row r="653" spans="2:51" s="148" customFormat="1" x14ac:dyDescent="0.2">
      <c r="B653" s="149"/>
      <c r="D653" s="143" t="s">
        <v>346</v>
      </c>
      <c r="E653" s="150"/>
      <c r="F653" s="151" t="s">
        <v>2857</v>
      </c>
      <c r="H653" s="152">
        <v>276.024</v>
      </c>
      <c r="L653" s="149"/>
      <c r="M653" s="153"/>
      <c r="T653" s="154"/>
      <c r="AT653" s="150" t="s">
        <v>346</v>
      </c>
      <c r="AU653" s="150" t="s">
        <v>90</v>
      </c>
      <c r="AV653" s="148" t="s">
        <v>90</v>
      </c>
      <c r="AW653" s="148" t="s">
        <v>33</v>
      </c>
      <c r="AX653" s="148" t="s">
        <v>80</v>
      </c>
      <c r="AY653" s="150" t="s">
        <v>337</v>
      </c>
    </row>
    <row r="654" spans="2:51" s="141" customFormat="1" x14ac:dyDescent="0.2">
      <c r="B654" s="142"/>
      <c r="D654" s="143" t="s">
        <v>346</v>
      </c>
      <c r="E654" s="144"/>
      <c r="F654" s="145" t="s">
        <v>2796</v>
      </c>
      <c r="H654" s="144"/>
      <c r="L654" s="142"/>
      <c r="M654" s="146"/>
      <c r="T654" s="147"/>
      <c r="AT654" s="144" t="s">
        <v>346</v>
      </c>
      <c r="AU654" s="144" t="s">
        <v>90</v>
      </c>
      <c r="AV654" s="141" t="s">
        <v>87</v>
      </c>
      <c r="AW654" s="141" t="s">
        <v>33</v>
      </c>
      <c r="AX654" s="141" t="s">
        <v>80</v>
      </c>
      <c r="AY654" s="144" t="s">
        <v>337</v>
      </c>
    </row>
    <row r="655" spans="2:51" s="148" customFormat="1" x14ac:dyDescent="0.2">
      <c r="B655" s="149"/>
      <c r="D655" s="143" t="s">
        <v>346</v>
      </c>
      <c r="E655" s="150"/>
      <c r="F655" s="151" t="s">
        <v>2858</v>
      </c>
      <c r="H655" s="152">
        <v>517.54499999999996</v>
      </c>
      <c r="L655" s="149"/>
      <c r="M655" s="153"/>
      <c r="T655" s="154"/>
      <c r="AT655" s="150" t="s">
        <v>346</v>
      </c>
      <c r="AU655" s="150" t="s">
        <v>90</v>
      </c>
      <c r="AV655" s="148" t="s">
        <v>90</v>
      </c>
      <c r="AW655" s="148" t="s">
        <v>33</v>
      </c>
      <c r="AX655" s="148" t="s">
        <v>80</v>
      </c>
      <c r="AY655" s="150" t="s">
        <v>337</v>
      </c>
    </row>
    <row r="656" spans="2:51" s="155" customFormat="1" x14ac:dyDescent="0.2">
      <c r="B656" s="156"/>
      <c r="D656" s="143" t="s">
        <v>346</v>
      </c>
      <c r="E656" s="157"/>
      <c r="F656" s="158" t="s">
        <v>351</v>
      </c>
      <c r="H656" s="159">
        <v>4312.875</v>
      </c>
      <c r="L656" s="156"/>
      <c r="M656" s="160"/>
      <c r="T656" s="161"/>
      <c r="AT656" s="157" t="s">
        <v>346</v>
      </c>
      <c r="AU656" s="157" t="s">
        <v>90</v>
      </c>
      <c r="AV656" s="155" t="s">
        <v>344</v>
      </c>
      <c r="AW656" s="155" t="s">
        <v>33</v>
      </c>
      <c r="AX656" s="155" t="s">
        <v>87</v>
      </c>
      <c r="AY656" s="157" t="s">
        <v>337</v>
      </c>
    </row>
    <row r="657" spans="2:65" s="16" customFormat="1" ht="16.5" customHeight="1" x14ac:dyDescent="0.2">
      <c r="B657" s="17"/>
      <c r="C657" s="128">
        <v>38</v>
      </c>
      <c r="D657" s="128" t="s">
        <v>339</v>
      </c>
      <c r="E657" s="129" t="s">
        <v>2875</v>
      </c>
      <c r="F657" s="130" t="s">
        <v>2876</v>
      </c>
      <c r="G657" s="131" t="s">
        <v>535</v>
      </c>
      <c r="H657" s="132">
        <v>4312.875</v>
      </c>
      <c r="I657" s="133"/>
      <c r="J657" s="134">
        <f>ROUND(I657*H657,2)</f>
        <v>0</v>
      </c>
      <c r="K657" s="130"/>
      <c r="L657" s="17"/>
      <c r="M657" s="135"/>
      <c r="N657" s="136" t="s">
        <v>45</v>
      </c>
      <c r="P657" s="137">
        <f>O657*H657</f>
        <v>0</v>
      </c>
      <c r="Q657" s="137">
        <v>1E-3</v>
      </c>
      <c r="R657" s="137">
        <f>Q657*H657</f>
        <v>4.312875</v>
      </c>
      <c r="S657" s="137">
        <v>0</v>
      </c>
      <c r="T657" s="138">
        <f>S657*H657</f>
        <v>0</v>
      </c>
      <c r="AR657" s="139" t="s">
        <v>496</v>
      </c>
      <c r="AT657" s="139" t="s">
        <v>339</v>
      </c>
      <c r="AU657" s="139" t="s">
        <v>90</v>
      </c>
      <c r="AY657" s="2" t="s">
        <v>337</v>
      </c>
      <c r="BE657" s="140">
        <f>IF(N657="základní",J657,0)</f>
        <v>0</v>
      </c>
      <c r="BF657" s="140">
        <f>IF(N657="snížená",J657,0)</f>
        <v>0</v>
      </c>
      <c r="BG657" s="140">
        <f>IF(N657="zákl. přenesená",J657,0)</f>
        <v>0</v>
      </c>
      <c r="BH657" s="140">
        <f>IF(N657="sníž. přenesená",J657,0)</f>
        <v>0</v>
      </c>
      <c r="BI657" s="140">
        <f>IF(N657="nulová",J657,0)</f>
        <v>0</v>
      </c>
      <c r="BJ657" s="2" t="s">
        <v>87</v>
      </c>
      <c r="BK657" s="140">
        <f>ROUND(I657*H657,2)</f>
        <v>0</v>
      </c>
      <c r="BL657" s="2" t="s">
        <v>496</v>
      </c>
      <c r="BM657" s="139" t="s">
        <v>2877</v>
      </c>
    </row>
    <row r="658" spans="2:65" s="141" customFormat="1" x14ac:dyDescent="0.2">
      <c r="B658" s="142"/>
      <c r="D658" s="143" t="s">
        <v>346</v>
      </c>
      <c r="E658" s="144"/>
      <c r="F658" s="145" t="s">
        <v>2878</v>
      </c>
      <c r="H658" s="144"/>
      <c r="L658" s="142"/>
      <c r="M658" s="146"/>
      <c r="T658" s="147"/>
      <c r="AT658" s="144" t="s">
        <v>346</v>
      </c>
      <c r="AU658" s="144" t="s">
        <v>90</v>
      </c>
      <c r="AV658" s="141" t="s">
        <v>87</v>
      </c>
      <c r="AW658" s="141" t="s">
        <v>33</v>
      </c>
      <c r="AX658" s="141" t="s">
        <v>80</v>
      </c>
      <c r="AY658" s="144" t="s">
        <v>337</v>
      </c>
    </row>
    <row r="659" spans="2:65" s="141" customFormat="1" x14ac:dyDescent="0.2">
      <c r="B659" s="142"/>
      <c r="D659" s="143" t="s">
        <v>346</v>
      </c>
      <c r="E659" s="144"/>
      <c r="F659" s="145" t="s">
        <v>2879</v>
      </c>
      <c r="H659" s="144"/>
      <c r="L659" s="142"/>
      <c r="M659" s="146"/>
      <c r="T659" s="147"/>
      <c r="AT659" s="144" t="s">
        <v>346</v>
      </c>
      <c r="AU659" s="144" t="s">
        <v>90</v>
      </c>
      <c r="AV659" s="141" t="s">
        <v>87</v>
      </c>
      <c r="AW659" s="141" t="s">
        <v>33</v>
      </c>
      <c r="AX659" s="141" t="s">
        <v>80</v>
      </c>
      <c r="AY659" s="144" t="s">
        <v>337</v>
      </c>
    </row>
    <row r="660" spans="2:65" s="148" customFormat="1" x14ac:dyDescent="0.2">
      <c r="B660" s="149"/>
      <c r="D660" s="143" t="s">
        <v>346</v>
      </c>
      <c r="E660" s="150"/>
      <c r="F660" s="151" t="s">
        <v>2850</v>
      </c>
      <c r="H660" s="152">
        <v>1176.5</v>
      </c>
      <c r="L660" s="149"/>
      <c r="M660" s="153"/>
      <c r="T660" s="154"/>
      <c r="AT660" s="150" t="s">
        <v>346</v>
      </c>
      <c r="AU660" s="150" t="s">
        <v>90</v>
      </c>
      <c r="AV660" s="148" t="s">
        <v>90</v>
      </c>
      <c r="AW660" s="148" t="s">
        <v>33</v>
      </c>
      <c r="AX660" s="148" t="s">
        <v>80</v>
      </c>
      <c r="AY660" s="150" t="s">
        <v>337</v>
      </c>
    </row>
    <row r="661" spans="2:65" s="141" customFormat="1" x14ac:dyDescent="0.2">
      <c r="B661" s="142"/>
      <c r="D661" s="143" t="s">
        <v>346</v>
      </c>
      <c r="E661" s="144"/>
      <c r="F661" s="145" t="s">
        <v>2880</v>
      </c>
      <c r="H661" s="144"/>
      <c r="L661" s="142"/>
      <c r="M661" s="146"/>
      <c r="T661" s="147"/>
      <c r="AT661" s="144" t="s">
        <v>346</v>
      </c>
      <c r="AU661" s="144" t="s">
        <v>90</v>
      </c>
      <c r="AV661" s="141" t="s">
        <v>87</v>
      </c>
      <c r="AW661" s="141" t="s">
        <v>33</v>
      </c>
      <c r="AX661" s="141" t="s">
        <v>80</v>
      </c>
      <c r="AY661" s="144" t="s">
        <v>337</v>
      </c>
    </row>
    <row r="662" spans="2:65" s="148" customFormat="1" x14ac:dyDescent="0.2">
      <c r="B662" s="149"/>
      <c r="D662" s="143" t="s">
        <v>346</v>
      </c>
      <c r="E662" s="150"/>
      <c r="F662" s="151" t="s">
        <v>2852</v>
      </c>
      <c r="H662" s="152">
        <v>1231.2</v>
      </c>
      <c r="L662" s="149"/>
      <c r="M662" s="153"/>
      <c r="T662" s="154"/>
      <c r="AT662" s="150" t="s">
        <v>346</v>
      </c>
      <c r="AU662" s="150" t="s">
        <v>90</v>
      </c>
      <c r="AV662" s="148" t="s">
        <v>90</v>
      </c>
      <c r="AW662" s="148" t="s">
        <v>33</v>
      </c>
      <c r="AX662" s="148" t="s">
        <v>80</v>
      </c>
      <c r="AY662" s="150" t="s">
        <v>337</v>
      </c>
    </row>
    <row r="663" spans="2:65" s="141" customFormat="1" x14ac:dyDescent="0.2">
      <c r="B663" s="142"/>
      <c r="D663" s="143" t="s">
        <v>346</v>
      </c>
      <c r="E663" s="144"/>
      <c r="F663" s="145" t="s">
        <v>2881</v>
      </c>
      <c r="H663" s="144"/>
      <c r="L663" s="142"/>
      <c r="M663" s="146"/>
      <c r="T663" s="147"/>
      <c r="AT663" s="144" t="s">
        <v>346</v>
      </c>
      <c r="AU663" s="144" t="s">
        <v>90</v>
      </c>
      <c r="AV663" s="141" t="s">
        <v>87</v>
      </c>
      <c r="AW663" s="141" t="s">
        <v>33</v>
      </c>
      <c r="AX663" s="141" t="s">
        <v>80</v>
      </c>
      <c r="AY663" s="144" t="s">
        <v>337</v>
      </c>
    </row>
    <row r="664" spans="2:65" s="148" customFormat="1" x14ac:dyDescent="0.2">
      <c r="B664" s="149"/>
      <c r="D664" s="143" t="s">
        <v>346</v>
      </c>
      <c r="E664" s="150"/>
      <c r="F664" s="151" t="s">
        <v>2834</v>
      </c>
      <c r="H664" s="152">
        <v>843.6</v>
      </c>
      <c r="L664" s="149"/>
      <c r="M664" s="153"/>
      <c r="T664" s="154"/>
      <c r="AT664" s="150" t="s">
        <v>346</v>
      </c>
      <c r="AU664" s="150" t="s">
        <v>90</v>
      </c>
      <c r="AV664" s="148" t="s">
        <v>90</v>
      </c>
      <c r="AW664" s="148" t="s">
        <v>33</v>
      </c>
      <c r="AX664" s="148" t="s">
        <v>80</v>
      </c>
      <c r="AY664" s="150" t="s">
        <v>337</v>
      </c>
    </row>
    <row r="665" spans="2:65" s="141" customFormat="1" x14ac:dyDescent="0.2">
      <c r="B665" s="142"/>
      <c r="D665" s="143" t="s">
        <v>346</v>
      </c>
      <c r="E665" s="144"/>
      <c r="F665" s="145" t="s">
        <v>2882</v>
      </c>
      <c r="H665" s="144"/>
      <c r="L665" s="142"/>
      <c r="M665" s="146"/>
      <c r="T665" s="147"/>
      <c r="AT665" s="144" t="s">
        <v>346</v>
      </c>
      <c r="AU665" s="144" t="s">
        <v>90</v>
      </c>
      <c r="AV665" s="141" t="s">
        <v>87</v>
      </c>
      <c r="AW665" s="141" t="s">
        <v>33</v>
      </c>
      <c r="AX665" s="141" t="s">
        <v>80</v>
      </c>
      <c r="AY665" s="144" t="s">
        <v>337</v>
      </c>
    </row>
    <row r="666" spans="2:65" s="148" customFormat="1" x14ac:dyDescent="0.2">
      <c r="B666" s="149"/>
      <c r="D666" s="143" t="s">
        <v>346</v>
      </c>
      <c r="E666" s="150"/>
      <c r="F666" s="151" t="s">
        <v>2855</v>
      </c>
      <c r="H666" s="152">
        <v>199</v>
      </c>
      <c r="L666" s="149"/>
      <c r="M666" s="153"/>
      <c r="T666" s="154"/>
      <c r="AT666" s="150" t="s">
        <v>346</v>
      </c>
      <c r="AU666" s="150" t="s">
        <v>90</v>
      </c>
      <c r="AV666" s="148" t="s">
        <v>90</v>
      </c>
      <c r="AW666" s="148" t="s">
        <v>33</v>
      </c>
      <c r="AX666" s="148" t="s">
        <v>80</v>
      </c>
      <c r="AY666" s="150" t="s">
        <v>337</v>
      </c>
    </row>
    <row r="667" spans="2:65" s="172" customFormat="1" x14ac:dyDescent="0.2">
      <c r="B667" s="173"/>
      <c r="D667" s="143" t="s">
        <v>346</v>
      </c>
      <c r="E667" s="174"/>
      <c r="F667" s="175" t="s">
        <v>609</v>
      </c>
      <c r="H667" s="176">
        <v>3450.3</v>
      </c>
      <c r="L667" s="173"/>
      <c r="M667" s="177"/>
      <c r="T667" s="178"/>
      <c r="AT667" s="174" t="s">
        <v>346</v>
      </c>
      <c r="AU667" s="174" t="s">
        <v>90</v>
      </c>
      <c r="AV667" s="172" t="s">
        <v>113</v>
      </c>
      <c r="AW667" s="172" t="s">
        <v>33</v>
      </c>
      <c r="AX667" s="172" t="s">
        <v>80</v>
      </c>
      <c r="AY667" s="174" t="s">
        <v>337</v>
      </c>
    </row>
    <row r="668" spans="2:65" s="141" customFormat="1" x14ac:dyDescent="0.2">
      <c r="B668" s="142"/>
      <c r="D668" s="143" t="s">
        <v>346</v>
      </c>
      <c r="E668" s="144"/>
      <c r="F668" s="145" t="s">
        <v>2791</v>
      </c>
      <c r="H668" s="144"/>
      <c r="L668" s="142"/>
      <c r="M668" s="146"/>
      <c r="T668" s="147"/>
      <c r="AT668" s="144" t="s">
        <v>346</v>
      </c>
      <c r="AU668" s="144" t="s">
        <v>90</v>
      </c>
      <c r="AV668" s="141" t="s">
        <v>87</v>
      </c>
      <c r="AW668" s="141" t="s">
        <v>33</v>
      </c>
      <c r="AX668" s="141" t="s">
        <v>80</v>
      </c>
      <c r="AY668" s="144" t="s">
        <v>337</v>
      </c>
    </row>
    <row r="669" spans="2:65" s="141" customFormat="1" x14ac:dyDescent="0.2">
      <c r="B669" s="142"/>
      <c r="D669" s="143" t="s">
        <v>346</v>
      </c>
      <c r="E669" s="144"/>
      <c r="F669" s="145" t="s">
        <v>2792</v>
      </c>
      <c r="H669" s="144"/>
      <c r="L669" s="142"/>
      <c r="M669" s="146"/>
      <c r="T669" s="147"/>
      <c r="AT669" s="144" t="s">
        <v>346</v>
      </c>
      <c r="AU669" s="144" t="s">
        <v>90</v>
      </c>
      <c r="AV669" s="141" t="s">
        <v>87</v>
      </c>
      <c r="AW669" s="141" t="s">
        <v>33</v>
      </c>
      <c r="AX669" s="141" t="s">
        <v>80</v>
      </c>
      <c r="AY669" s="144" t="s">
        <v>337</v>
      </c>
    </row>
    <row r="670" spans="2:65" s="148" customFormat="1" x14ac:dyDescent="0.2">
      <c r="B670" s="149"/>
      <c r="D670" s="143" t="s">
        <v>346</v>
      </c>
      <c r="E670" s="150"/>
      <c r="F670" s="151" t="s">
        <v>2856</v>
      </c>
      <c r="H670" s="152">
        <v>69.006</v>
      </c>
      <c r="L670" s="149"/>
      <c r="M670" s="153"/>
      <c r="T670" s="154"/>
      <c r="AT670" s="150" t="s">
        <v>346</v>
      </c>
      <c r="AU670" s="150" t="s">
        <v>90</v>
      </c>
      <c r="AV670" s="148" t="s">
        <v>90</v>
      </c>
      <c r="AW670" s="148" t="s">
        <v>33</v>
      </c>
      <c r="AX670" s="148" t="s">
        <v>80</v>
      </c>
      <c r="AY670" s="150" t="s">
        <v>337</v>
      </c>
    </row>
    <row r="671" spans="2:65" s="141" customFormat="1" x14ac:dyDescent="0.2">
      <c r="B671" s="142"/>
      <c r="D671" s="143" t="s">
        <v>346</v>
      </c>
      <c r="E671" s="144"/>
      <c r="F671" s="145" t="s">
        <v>2794</v>
      </c>
      <c r="H671" s="144"/>
      <c r="L671" s="142"/>
      <c r="M671" s="146"/>
      <c r="T671" s="147"/>
      <c r="AT671" s="144" t="s">
        <v>346</v>
      </c>
      <c r="AU671" s="144" t="s">
        <v>90</v>
      </c>
      <c r="AV671" s="141" t="s">
        <v>87</v>
      </c>
      <c r="AW671" s="141" t="s">
        <v>33</v>
      </c>
      <c r="AX671" s="141" t="s">
        <v>80</v>
      </c>
      <c r="AY671" s="144" t="s">
        <v>337</v>
      </c>
    </row>
    <row r="672" spans="2:65" s="148" customFormat="1" x14ac:dyDescent="0.2">
      <c r="B672" s="149"/>
      <c r="D672" s="143" t="s">
        <v>346</v>
      </c>
      <c r="E672" s="150"/>
      <c r="F672" s="151" t="s">
        <v>2857</v>
      </c>
      <c r="H672" s="152">
        <v>276.024</v>
      </c>
      <c r="L672" s="149"/>
      <c r="M672" s="153"/>
      <c r="T672" s="154"/>
      <c r="AT672" s="150" t="s">
        <v>346</v>
      </c>
      <c r="AU672" s="150" t="s">
        <v>90</v>
      </c>
      <c r="AV672" s="148" t="s">
        <v>90</v>
      </c>
      <c r="AW672" s="148" t="s">
        <v>33</v>
      </c>
      <c r="AX672" s="148" t="s">
        <v>80</v>
      </c>
      <c r="AY672" s="150" t="s">
        <v>337</v>
      </c>
    </row>
    <row r="673" spans="2:65" s="141" customFormat="1" x14ac:dyDescent="0.2">
      <c r="B673" s="142"/>
      <c r="D673" s="143" t="s">
        <v>346</v>
      </c>
      <c r="E673" s="144"/>
      <c r="F673" s="145" t="s">
        <v>2796</v>
      </c>
      <c r="H673" s="144"/>
      <c r="L673" s="142"/>
      <c r="M673" s="146"/>
      <c r="T673" s="147"/>
      <c r="AT673" s="144" t="s">
        <v>346</v>
      </c>
      <c r="AU673" s="144" t="s">
        <v>90</v>
      </c>
      <c r="AV673" s="141" t="s">
        <v>87</v>
      </c>
      <c r="AW673" s="141" t="s">
        <v>33</v>
      </c>
      <c r="AX673" s="141" t="s">
        <v>80</v>
      </c>
      <c r="AY673" s="144" t="s">
        <v>337</v>
      </c>
    </row>
    <row r="674" spans="2:65" s="148" customFormat="1" x14ac:dyDescent="0.2">
      <c r="B674" s="149"/>
      <c r="D674" s="143" t="s">
        <v>346</v>
      </c>
      <c r="E674" s="150"/>
      <c r="F674" s="151" t="s">
        <v>2858</v>
      </c>
      <c r="H674" s="152">
        <v>517.54499999999996</v>
      </c>
      <c r="L674" s="149"/>
      <c r="M674" s="153"/>
      <c r="T674" s="154"/>
      <c r="AT674" s="150" t="s">
        <v>346</v>
      </c>
      <c r="AU674" s="150" t="s">
        <v>90</v>
      </c>
      <c r="AV674" s="148" t="s">
        <v>90</v>
      </c>
      <c r="AW674" s="148" t="s">
        <v>33</v>
      </c>
      <c r="AX674" s="148" t="s">
        <v>80</v>
      </c>
      <c r="AY674" s="150" t="s">
        <v>337</v>
      </c>
    </row>
    <row r="675" spans="2:65" s="155" customFormat="1" x14ac:dyDescent="0.2">
      <c r="B675" s="156"/>
      <c r="D675" s="143" t="s">
        <v>346</v>
      </c>
      <c r="E675" s="157"/>
      <c r="F675" s="158" t="s">
        <v>351</v>
      </c>
      <c r="H675" s="159">
        <v>4312.875</v>
      </c>
      <c r="L675" s="156"/>
      <c r="M675" s="160"/>
      <c r="T675" s="161"/>
      <c r="AT675" s="157" t="s">
        <v>346</v>
      </c>
      <c r="AU675" s="157" t="s">
        <v>90</v>
      </c>
      <c r="AV675" s="155" t="s">
        <v>344</v>
      </c>
      <c r="AW675" s="155" t="s">
        <v>33</v>
      </c>
      <c r="AX675" s="155" t="s">
        <v>87</v>
      </c>
      <c r="AY675" s="157" t="s">
        <v>337</v>
      </c>
    </row>
    <row r="676" spans="2:65" s="16" customFormat="1" ht="16.5" customHeight="1" x14ac:dyDescent="0.2">
      <c r="B676" s="17"/>
      <c r="C676" s="128">
        <v>39</v>
      </c>
      <c r="D676" s="128" t="s">
        <v>339</v>
      </c>
      <c r="E676" s="129" t="s">
        <v>2883</v>
      </c>
      <c r="F676" s="130" t="s">
        <v>2884</v>
      </c>
      <c r="G676" s="131" t="s">
        <v>535</v>
      </c>
      <c r="H676" s="132">
        <v>1777.125</v>
      </c>
      <c r="I676" s="133"/>
      <c r="J676" s="134">
        <f>ROUND(I676*H676,2)</f>
        <v>0</v>
      </c>
      <c r="K676" s="130"/>
      <c r="L676" s="17"/>
      <c r="M676" s="135"/>
      <c r="N676" s="136" t="s">
        <v>45</v>
      </c>
      <c r="P676" s="137">
        <f>O676*H676</f>
        <v>0</v>
      </c>
      <c r="Q676" s="137">
        <v>1E-3</v>
      </c>
      <c r="R676" s="137">
        <f>Q676*H676</f>
        <v>1.7771250000000001</v>
      </c>
      <c r="S676" s="137">
        <v>0</v>
      </c>
      <c r="T676" s="138">
        <f>S676*H676</f>
        <v>0</v>
      </c>
      <c r="AR676" s="139" t="s">
        <v>496</v>
      </c>
      <c r="AT676" s="139" t="s">
        <v>339</v>
      </c>
      <c r="AU676" s="139" t="s">
        <v>90</v>
      </c>
      <c r="AY676" s="2" t="s">
        <v>337</v>
      </c>
      <c r="BE676" s="140">
        <f>IF(N676="základní",J676,0)</f>
        <v>0</v>
      </c>
      <c r="BF676" s="140">
        <f>IF(N676="snížená",J676,0)</f>
        <v>0</v>
      </c>
      <c r="BG676" s="140">
        <f>IF(N676="zákl. přenesená",J676,0)</f>
        <v>0</v>
      </c>
      <c r="BH676" s="140">
        <f>IF(N676="sníž. přenesená",J676,0)</f>
        <v>0</v>
      </c>
      <c r="BI676" s="140">
        <f>IF(N676="nulová",J676,0)</f>
        <v>0</v>
      </c>
      <c r="BJ676" s="2" t="s">
        <v>87</v>
      </c>
      <c r="BK676" s="140">
        <f>ROUND(I676*H676,2)</f>
        <v>0</v>
      </c>
      <c r="BL676" s="2" t="s">
        <v>496</v>
      </c>
      <c r="BM676" s="139" t="s">
        <v>2885</v>
      </c>
    </row>
    <row r="677" spans="2:65" s="141" customFormat="1" x14ac:dyDescent="0.2">
      <c r="B677" s="142"/>
      <c r="D677" s="143" t="s">
        <v>346</v>
      </c>
      <c r="E677" s="144"/>
      <c r="F677" s="145" t="s">
        <v>2886</v>
      </c>
      <c r="H677" s="144"/>
      <c r="L677" s="142"/>
      <c r="M677" s="146"/>
      <c r="T677" s="147"/>
      <c r="AT677" s="144" t="s">
        <v>346</v>
      </c>
      <c r="AU677" s="144" t="s">
        <v>90</v>
      </c>
      <c r="AV677" s="141" t="s">
        <v>87</v>
      </c>
      <c r="AW677" s="141" t="s">
        <v>33</v>
      </c>
      <c r="AX677" s="141" t="s">
        <v>80</v>
      </c>
      <c r="AY677" s="144" t="s">
        <v>337</v>
      </c>
    </row>
    <row r="678" spans="2:65" s="141" customFormat="1" x14ac:dyDescent="0.2">
      <c r="B678" s="142"/>
      <c r="D678" s="143" t="s">
        <v>346</v>
      </c>
      <c r="E678" s="144"/>
      <c r="F678" s="145" t="s">
        <v>2878</v>
      </c>
      <c r="H678" s="144"/>
      <c r="L678" s="142"/>
      <c r="M678" s="146"/>
      <c r="T678" s="147"/>
      <c r="AT678" s="144" t="s">
        <v>346</v>
      </c>
      <c r="AU678" s="144" t="s">
        <v>90</v>
      </c>
      <c r="AV678" s="141" t="s">
        <v>87</v>
      </c>
      <c r="AW678" s="141" t="s">
        <v>33</v>
      </c>
      <c r="AX678" s="141" t="s">
        <v>80</v>
      </c>
      <c r="AY678" s="144" t="s">
        <v>337</v>
      </c>
    </row>
    <row r="679" spans="2:65" s="141" customFormat="1" x14ac:dyDescent="0.2">
      <c r="B679" s="142"/>
      <c r="D679" s="143" t="s">
        <v>346</v>
      </c>
      <c r="E679" s="144"/>
      <c r="F679" s="145" t="s">
        <v>2887</v>
      </c>
      <c r="H679" s="144"/>
      <c r="L679" s="142"/>
      <c r="M679" s="146"/>
      <c r="T679" s="147"/>
      <c r="AT679" s="144" t="s">
        <v>346</v>
      </c>
      <c r="AU679" s="144" t="s">
        <v>90</v>
      </c>
      <c r="AV679" s="141" t="s">
        <v>87</v>
      </c>
      <c r="AW679" s="141" t="s">
        <v>33</v>
      </c>
      <c r="AX679" s="141" t="s">
        <v>80</v>
      </c>
      <c r="AY679" s="144" t="s">
        <v>337</v>
      </c>
    </row>
    <row r="680" spans="2:65" s="148" customFormat="1" x14ac:dyDescent="0.2">
      <c r="B680" s="149"/>
      <c r="D680" s="143" t="s">
        <v>346</v>
      </c>
      <c r="E680" s="150"/>
      <c r="F680" s="151" t="s">
        <v>2888</v>
      </c>
      <c r="H680" s="152">
        <v>310.39999999999998</v>
      </c>
      <c r="L680" s="149"/>
      <c r="M680" s="153"/>
      <c r="T680" s="154"/>
      <c r="AT680" s="150" t="s">
        <v>346</v>
      </c>
      <c r="AU680" s="150" t="s">
        <v>90</v>
      </c>
      <c r="AV680" s="148" t="s">
        <v>90</v>
      </c>
      <c r="AW680" s="148" t="s">
        <v>33</v>
      </c>
      <c r="AX680" s="148" t="s">
        <v>80</v>
      </c>
      <c r="AY680" s="150" t="s">
        <v>337</v>
      </c>
    </row>
    <row r="681" spans="2:65" s="141" customFormat="1" x14ac:dyDescent="0.2">
      <c r="B681" s="142"/>
      <c r="D681" s="143" t="s">
        <v>346</v>
      </c>
      <c r="E681" s="144"/>
      <c r="F681" s="145" t="s">
        <v>2889</v>
      </c>
      <c r="H681" s="144"/>
      <c r="L681" s="142"/>
      <c r="M681" s="146"/>
      <c r="T681" s="147"/>
      <c r="AT681" s="144" t="s">
        <v>346</v>
      </c>
      <c r="AU681" s="144" t="s">
        <v>90</v>
      </c>
      <c r="AV681" s="141" t="s">
        <v>87</v>
      </c>
      <c r="AW681" s="141" t="s">
        <v>33</v>
      </c>
      <c r="AX681" s="141" t="s">
        <v>80</v>
      </c>
      <c r="AY681" s="144" t="s">
        <v>337</v>
      </c>
    </row>
    <row r="682" spans="2:65" s="148" customFormat="1" x14ac:dyDescent="0.2">
      <c r="B682" s="149"/>
      <c r="D682" s="143" t="s">
        <v>346</v>
      </c>
      <c r="E682" s="150"/>
      <c r="F682" s="151" t="s">
        <v>2890</v>
      </c>
      <c r="H682" s="152">
        <v>166.1</v>
      </c>
      <c r="L682" s="149"/>
      <c r="M682" s="153"/>
      <c r="T682" s="154"/>
      <c r="AT682" s="150" t="s">
        <v>346</v>
      </c>
      <c r="AU682" s="150" t="s">
        <v>90</v>
      </c>
      <c r="AV682" s="148" t="s">
        <v>90</v>
      </c>
      <c r="AW682" s="148" t="s">
        <v>33</v>
      </c>
      <c r="AX682" s="148" t="s">
        <v>80</v>
      </c>
      <c r="AY682" s="150" t="s">
        <v>337</v>
      </c>
    </row>
    <row r="683" spans="2:65" s="141" customFormat="1" x14ac:dyDescent="0.2">
      <c r="B683" s="142"/>
      <c r="D683" s="143" t="s">
        <v>346</v>
      </c>
      <c r="E683" s="144"/>
      <c r="F683" s="145" t="s">
        <v>2891</v>
      </c>
      <c r="H683" s="144"/>
      <c r="L683" s="142"/>
      <c r="M683" s="146"/>
      <c r="T683" s="147"/>
      <c r="AT683" s="144" t="s">
        <v>346</v>
      </c>
      <c r="AU683" s="144" t="s">
        <v>90</v>
      </c>
      <c r="AV683" s="141" t="s">
        <v>87</v>
      </c>
      <c r="AW683" s="141" t="s">
        <v>33</v>
      </c>
      <c r="AX683" s="141" t="s">
        <v>80</v>
      </c>
      <c r="AY683" s="144" t="s">
        <v>337</v>
      </c>
    </row>
    <row r="684" spans="2:65" s="148" customFormat="1" x14ac:dyDescent="0.2">
      <c r="B684" s="149"/>
      <c r="D684" s="143" t="s">
        <v>346</v>
      </c>
      <c r="E684" s="150"/>
      <c r="F684" s="151" t="s">
        <v>2892</v>
      </c>
      <c r="H684" s="152">
        <v>213.5</v>
      </c>
      <c r="L684" s="149"/>
      <c r="M684" s="153"/>
      <c r="T684" s="154"/>
      <c r="AT684" s="150" t="s">
        <v>346</v>
      </c>
      <c r="AU684" s="150" t="s">
        <v>90</v>
      </c>
      <c r="AV684" s="148" t="s">
        <v>90</v>
      </c>
      <c r="AW684" s="148" t="s">
        <v>33</v>
      </c>
      <c r="AX684" s="148" t="s">
        <v>80</v>
      </c>
      <c r="AY684" s="150" t="s">
        <v>337</v>
      </c>
    </row>
    <row r="685" spans="2:65" s="141" customFormat="1" x14ac:dyDescent="0.2">
      <c r="B685" s="142"/>
      <c r="D685" s="143" t="s">
        <v>346</v>
      </c>
      <c r="E685" s="144"/>
      <c r="F685" s="145" t="s">
        <v>2893</v>
      </c>
      <c r="H685" s="144"/>
      <c r="L685" s="142"/>
      <c r="M685" s="146"/>
      <c r="T685" s="147"/>
      <c r="AT685" s="144" t="s">
        <v>346</v>
      </c>
      <c r="AU685" s="144" t="s">
        <v>90</v>
      </c>
      <c r="AV685" s="141" t="s">
        <v>87</v>
      </c>
      <c r="AW685" s="141" t="s">
        <v>33</v>
      </c>
      <c r="AX685" s="141" t="s">
        <v>80</v>
      </c>
      <c r="AY685" s="144" t="s">
        <v>337</v>
      </c>
    </row>
    <row r="686" spans="2:65" s="148" customFormat="1" x14ac:dyDescent="0.2">
      <c r="B686" s="149"/>
      <c r="D686" s="143" t="s">
        <v>346</v>
      </c>
      <c r="E686" s="150"/>
      <c r="F686" s="151" t="s">
        <v>2894</v>
      </c>
      <c r="H686" s="152">
        <v>90.6</v>
      </c>
      <c r="L686" s="149"/>
      <c r="M686" s="153"/>
      <c r="T686" s="154"/>
      <c r="AT686" s="150" t="s">
        <v>346</v>
      </c>
      <c r="AU686" s="150" t="s">
        <v>90</v>
      </c>
      <c r="AV686" s="148" t="s">
        <v>90</v>
      </c>
      <c r="AW686" s="148" t="s">
        <v>33</v>
      </c>
      <c r="AX686" s="148" t="s">
        <v>80</v>
      </c>
      <c r="AY686" s="150" t="s">
        <v>337</v>
      </c>
    </row>
    <row r="687" spans="2:65" s="141" customFormat="1" x14ac:dyDescent="0.2">
      <c r="B687" s="142"/>
      <c r="D687" s="143" t="s">
        <v>346</v>
      </c>
      <c r="E687" s="144"/>
      <c r="F687" s="145" t="s">
        <v>2895</v>
      </c>
      <c r="H687" s="144"/>
      <c r="L687" s="142"/>
      <c r="M687" s="146"/>
      <c r="T687" s="147"/>
      <c r="AT687" s="144" t="s">
        <v>346</v>
      </c>
      <c r="AU687" s="144" t="s">
        <v>90</v>
      </c>
      <c r="AV687" s="141" t="s">
        <v>87</v>
      </c>
      <c r="AW687" s="141" t="s">
        <v>33</v>
      </c>
      <c r="AX687" s="141" t="s">
        <v>80</v>
      </c>
      <c r="AY687" s="144" t="s">
        <v>337</v>
      </c>
    </row>
    <row r="688" spans="2:65" s="148" customFormat="1" x14ac:dyDescent="0.2">
      <c r="B688" s="149"/>
      <c r="D688" s="143" t="s">
        <v>346</v>
      </c>
      <c r="E688" s="150"/>
      <c r="F688" s="151" t="s">
        <v>2896</v>
      </c>
      <c r="H688" s="152">
        <v>117.8</v>
      </c>
      <c r="L688" s="149"/>
      <c r="M688" s="153"/>
      <c r="T688" s="154"/>
      <c r="AT688" s="150" t="s">
        <v>346</v>
      </c>
      <c r="AU688" s="150" t="s">
        <v>90</v>
      </c>
      <c r="AV688" s="148" t="s">
        <v>90</v>
      </c>
      <c r="AW688" s="148" t="s">
        <v>33</v>
      </c>
      <c r="AX688" s="148" t="s">
        <v>80</v>
      </c>
      <c r="AY688" s="150" t="s">
        <v>337</v>
      </c>
    </row>
    <row r="689" spans="2:51" s="141" customFormat="1" x14ac:dyDescent="0.2">
      <c r="B689" s="142"/>
      <c r="D689" s="143" t="s">
        <v>346</v>
      </c>
      <c r="E689" s="144"/>
      <c r="F689" s="145" t="s">
        <v>2897</v>
      </c>
      <c r="H689" s="144"/>
      <c r="L689" s="142"/>
      <c r="M689" s="146"/>
      <c r="T689" s="147"/>
      <c r="AT689" s="144" t="s">
        <v>346</v>
      </c>
      <c r="AU689" s="144" t="s">
        <v>90</v>
      </c>
      <c r="AV689" s="141" t="s">
        <v>87</v>
      </c>
      <c r="AW689" s="141" t="s">
        <v>33</v>
      </c>
      <c r="AX689" s="141" t="s">
        <v>80</v>
      </c>
      <c r="AY689" s="144" t="s">
        <v>337</v>
      </c>
    </row>
    <row r="690" spans="2:51" s="148" customFormat="1" x14ac:dyDescent="0.2">
      <c r="B690" s="149"/>
      <c r="D690" s="143" t="s">
        <v>346</v>
      </c>
      <c r="E690" s="150"/>
      <c r="F690" s="151" t="s">
        <v>2896</v>
      </c>
      <c r="H690" s="152">
        <v>117.8</v>
      </c>
      <c r="L690" s="149"/>
      <c r="M690" s="153"/>
      <c r="T690" s="154"/>
      <c r="AT690" s="150" t="s">
        <v>346</v>
      </c>
      <c r="AU690" s="150" t="s">
        <v>90</v>
      </c>
      <c r="AV690" s="148" t="s">
        <v>90</v>
      </c>
      <c r="AW690" s="148" t="s">
        <v>33</v>
      </c>
      <c r="AX690" s="148" t="s">
        <v>80</v>
      </c>
      <c r="AY690" s="150" t="s">
        <v>337</v>
      </c>
    </row>
    <row r="691" spans="2:51" s="141" customFormat="1" x14ac:dyDescent="0.2">
      <c r="B691" s="142"/>
      <c r="D691" s="143" t="s">
        <v>346</v>
      </c>
      <c r="E691" s="144"/>
      <c r="F691" s="145" t="s">
        <v>2898</v>
      </c>
      <c r="H691" s="144"/>
      <c r="L691" s="142"/>
      <c r="M691" s="146"/>
      <c r="T691" s="147"/>
      <c r="AT691" s="144" t="s">
        <v>346</v>
      </c>
      <c r="AU691" s="144" t="s">
        <v>90</v>
      </c>
      <c r="AV691" s="141" t="s">
        <v>87</v>
      </c>
      <c r="AW691" s="141" t="s">
        <v>33</v>
      </c>
      <c r="AX691" s="141" t="s">
        <v>80</v>
      </c>
      <c r="AY691" s="144" t="s">
        <v>337</v>
      </c>
    </row>
    <row r="692" spans="2:51" s="148" customFormat="1" x14ac:dyDescent="0.2">
      <c r="B692" s="149"/>
      <c r="D692" s="143" t="s">
        <v>346</v>
      </c>
      <c r="E692" s="150"/>
      <c r="F692" s="151" t="s">
        <v>2892</v>
      </c>
      <c r="H692" s="152">
        <v>213.5</v>
      </c>
      <c r="L692" s="149"/>
      <c r="M692" s="153"/>
      <c r="T692" s="154"/>
      <c r="AT692" s="150" t="s">
        <v>346</v>
      </c>
      <c r="AU692" s="150" t="s">
        <v>90</v>
      </c>
      <c r="AV692" s="148" t="s">
        <v>90</v>
      </c>
      <c r="AW692" s="148" t="s">
        <v>33</v>
      </c>
      <c r="AX692" s="148" t="s">
        <v>80</v>
      </c>
      <c r="AY692" s="150" t="s">
        <v>337</v>
      </c>
    </row>
    <row r="693" spans="2:51" s="141" customFormat="1" x14ac:dyDescent="0.2">
      <c r="B693" s="142"/>
      <c r="D693" s="143" t="s">
        <v>346</v>
      </c>
      <c r="E693" s="144"/>
      <c r="F693" s="145" t="s">
        <v>2899</v>
      </c>
      <c r="H693" s="144"/>
      <c r="L693" s="142"/>
      <c r="M693" s="146"/>
      <c r="T693" s="147"/>
      <c r="AT693" s="144" t="s">
        <v>346</v>
      </c>
      <c r="AU693" s="144" t="s">
        <v>90</v>
      </c>
      <c r="AV693" s="141" t="s">
        <v>87</v>
      </c>
      <c r="AW693" s="141" t="s">
        <v>33</v>
      </c>
      <c r="AX693" s="141" t="s">
        <v>80</v>
      </c>
      <c r="AY693" s="144" t="s">
        <v>337</v>
      </c>
    </row>
    <row r="694" spans="2:51" s="148" customFormat="1" x14ac:dyDescent="0.2">
      <c r="B694" s="149"/>
      <c r="D694" s="143" t="s">
        <v>346</v>
      </c>
      <c r="E694" s="150"/>
      <c r="F694" s="151" t="s">
        <v>2900</v>
      </c>
      <c r="H694" s="152">
        <v>145</v>
      </c>
      <c r="L694" s="149"/>
      <c r="M694" s="153"/>
      <c r="T694" s="154"/>
      <c r="AT694" s="150" t="s">
        <v>346</v>
      </c>
      <c r="AU694" s="150" t="s">
        <v>90</v>
      </c>
      <c r="AV694" s="148" t="s">
        <v>90</v>
      </c>
      <c r="AW694" s="148" t="s">
        <v>33</v>
      </c>
      <c r="AX694" s="148" t="s">
        <v>80</v>
      </c>
      <c r="AY694" s="150" t="s">
        <v>337</v>
      </c>
    </row>
    <row r="695" spans="2:51" s="141" customFormat="1" x14ac:dyDescent="0.2">
      <c r="B695" s="142"/>
      <c r="D695" s="143" t="s">
        <v>346</v>
      </c>
      <c r="E695" s="144"/>
      <c r="F695" s="145" t="s">
        <v>2901</v>
      </c>
      <c r="H695" s="144"/>
      <c r="L695" s="142"/>
      <c r="M695" s="146"/>
      <c r="T695" s="147"/>
      <c r="AT695" s="144" t="s">
        <v>346</v>
      </c>
      <c r="AU695" s="144" t="s">
        <v>90</v>
      </c>
      <c r="AV695" s="141" t="s">
        <v>87</v>
      </c>
      <c r="AW695" s="141" t="s">
        <v>33</v>
      </c>
      <c r="AX695" s="141" t="s">
        <v>80</v>
      </c>
      <c r="AY695" s="144" t="s">
        <v>337</v>
      </c>
    </row>
    <row r="696" spans="2:51" s="148" customFormat="1" x14ac:dyDescent="0.2">
      <c r="B696" s="149"/>
      <c r="D696" s="143" t="s">
        <v>346</v>
      </c>
      <c r="E696" s="150"/>
      <c r="F696" s="151" t="s">
        <v>2902</v>
      </c>
      <c r="H696" s="152">
        <v>47</v>
      </c>
      <c r="L696" s="149"/>
      <c r="M696" s="153"/>
      <c r="T696" s="154"/>
      <c r="AT696" s="150" t="s">
        <v>346</v>
      </c>
      <c r="AU696" s="150" t="s">
        <v>90</v>
      </c>
      <c r="AV696" s="148" t="s">
        <v>90</v>
      </c>
      <c r="AW696" s="148" t="s">
        <v>33</v>
      </c>
      <c r="AX696" s="148" t="s">
        <v>80</v>
      </c>
      <c r="AY696" s="150" t="s">
        <v>337</v>
      </c>
    </row>
    <row r="697" spans="2:51" s="172" customFormat="1" x14ac:dyDescent="0.2">
      <c r="B697" s="173"/>
      <c r="D697" s="143" t="s">
        <v>346</v>
      </c>
      <c r="E697" s="174"/>
      <c r="F697" s="175" t="s">
        <v>609</v>
      </c>
      <c r="H697" s="176">
        <v>1421.7</v>
      </c>
      <c r="L697" s="173"/>
      <c r="M697" s="177"/>
      <c r="T697" s="178"/>
      <c r="AT697" s="174" t="s">
        <v>346</v>
      </c>
      <c r="AU697" s="174" t="s">
        <v>90</v>
      </c>
      <c r="AV697" s="172" t="s">
        <v>113</v>
      </c>
      <c r="AW697" s="172" t="s">
        <v>33</v>
      </c>
      <c r="AX697" s="172" t="s">
        <v>80</v>
      </c>
      <c r="AY697" s="174" t="s">
        <v>337</v>
      </c>
    </row>
    <row r="698" spans="2:51" s="141" customFormat="1" x14ac:dyDescent="0.2">
      <c r="B698" s="142"/>
      <c r="D698" s="143" t="s">
        <v>346</v>
      </c>
      <c r="E698" s="144"/>
      <c r="F698" s="145" t="s">
        <v>2791</v>
      </c>
      <c r="H698" s="144"/>
      <c r="L698" s="142"/>
      <c r="M698" s="146"/>
      <c r="T698" s="147"/>
      <c r="AT698" s="144" t="s">
        <v>346</v>
      </c>
      <c r="AU698" s="144" t="s">
        <v>90</v>
      </c>
      <c r="AV698" s="141" t="s">
        <v>87</v>
      </c>
      <c r="AW698" s="141" t="s">
        <v>33</v>
      </c>
      <c r="AX698" s="141" t="s">
        <v>80</v>
      </c>
      <c r="AY698" s="144" t="s">
        <v>337</v>
      </c>
    </row>
    <row r="699" spans="2:51" s="141" customFormat="1" x14ac:dyDescent="0.2">
      <c r="B699" s="142"/>
      <c r="D699" s="143" t="s">
        <v>346</v>
      </c>
      <c r="E699" s="144"/>
      <c r="F699" s="145" t="s">
        <v>2792</v>
      </c>
      <c r="H699" s="144"/>
      <c r="L699" s="142"/>
      <c r="M699" s="146"/>
      <c r="T699" s="147"/>
      <c r="AT699" s="144" t="s">
        <v>346</v>
      </c>
      <c r="AU699" s="144" t="s">
        <v>90</v>
      </c>
      <c r="AV699" s="141" t="s">
        <v>87</v>
      </c>
      <c r="AW699" s="141" t="s">
        <v>33</v>
      </c>
      <c r="AX699" s="141" t="s">
        <v>80</v>
      </c>
      <c r="AY699" s="144" t="s">
        <v>337</v>
      </c>
    </row>
    <row r="700" spans="2:51" s="148" customFormat="1" x14ac:dyDescent="0.2">
      <c r="B700" s="149"/>
      <c r="D700" s="143" t="s">
        <v>346</v>
      </c>
      <c r="E700" s="150"/>
      <c r="F700" s="151" t="s">
        <v>2903</v>
      </c>
      <c r="H700" s="152">
        <v>28.434000000000001</v>
      </c>
      <c r="L700" s="149"/>
      <c r="M700" s="153"/>
      <c r="T700" s="154"/>
      <c r="AT700" s="150" t="s">
        <v>346</v>
      </c>
      <c r="AU700" s="150" t="s">
        <v>90</v>
      </c>
      <c r="AV700" s="148" t="s">
        <v>90</v>
      </c>
      <c r="AW700" s="148" t="s">
        <v>33</v>
      </c>
      <c r="AX700" s="148" t="s">
        <v>80</v>
      </c>
      <c r="AY700" s="150" t="s">
        <v>337</v>
      </c>
    </row>
    <row r="701" spans="2:51" s="141" customFormat="1" x14ac:dyDescent="0.2">
      <c r="B701" s="142"/>
      <c r="D701" s="143" t="s">
        <v>346</v>
      </c>
      <c r="E701" s="144"/>
      <c r="F701" s="145" t="s">
        <v>2794</v>
      </c>
      <c r="H701" s="144"/>
      <c r="L701" s="142"/>
      <c r="M701" s="146"/>
      <c r="T701" s="147"/>
      <c r="AT701" s="144" t="s">
        <v>346</v>
      </c>
      <c r="AU701" s="144" t="s">
        <v>90</v>
      </c>
      <c r="AV701" s="141" t="s">
        <v>87</v>
      </c>
      <c r="AW701" s="141" t="s">
        <v>33</v>
      </c>
      <c r="AX701" s="141" t="s">
        <v>80</v>
      </c>
      <c r="AY701" s="144" t="s">
        <v>337</v>
      </c>
    </row>
    <row r="702" spans="2:51" s="148" customFormat="1" x14ac:dyDescent="0.2">
      <c r="B702" s="149"/>
      <c r="D702" s="143" t="s">
        <v>346</v>
      </c>
      <c r="E702" s="150"/>
      <c r="F702" s="151" t="s">
        <v>2904</v>
      </c>
      <c r="H702" s="152">
        <v>113.736</v>
      </c>
      <c r="L702" s="149"/>
      <c r="M702" s="153"/>
      <c r="T702" s="154"/>
      <c r="AT702" s="150" t="s">
        <v>346</v>
      </c>
      <c r="AU702" s="150" t="s">
        <v>90</v>
      </c>
      <c r="AV702" s="148" t="s">
        <v>90</v>
      </c>
      <c r="AW702" s="148" t="s">
        <v>33</v>
      </c>
      <c r="AX702" s="148" t="s">
        <v>80</v>
      </c>
      <c r="AY702" s="150" t="s">
        <v>337</v>
      </c>
    </row>
    <row r="703" spans="2:51" s="141" customFormat="1" x14ac:dyDescent="0.2">
      <c r="B703" s="142"/>
      <c r="D703" s="143" t="s">
        <v>346</v>
      </c>
      <c r="E703" s="144"/>
      <c r="F703" s="145" t="s">
        <v>2796</v>
      </c>
      <c r="H703" s="144"/>
      <c r="L703" s="142"/>
      <c r="M703" s="146"/>
      <c r="T703" s="147"/>
      <c r="AT703" s="144" t="s">
        <v>346</v>
      </c>
      <c r="AU703" s="144" t="s">
        <v>90</v>
      </c>
      <c r="AV703" s="141" t="s">
        <v>87</v>
      </c>
      <c r="AW703" s="141" t="s">
        <v>33</v>
      </c>
      <c r="AX703" s="141" t="s">
        <v>80</v>
      </c>
      <c r="AY703" s="144" t="s">
        <v>337</v>
      </c>
    </row>
    <row r="704" spans="2:51" s="148" customFormat="1" x14ac:dyDescent="0.2">
      <c r="B704" s="149"/>
      <c r="D704" s="143" t="s">
        <v>346</v>
      </c>
      <c r="E704" s="150"/>
      <c r="F704" s="151" t="s">
        <v>2905</v>
      </c>
      <c r="H704" s="152">
        <v>213.255</v>
      </c>
      <c r="L704" s="149"/>
      <c r="M704" s="153"/>
      <c r="T704" s="154"/>
      <c r="AT704" s="150" t="s">
        <v>346</v>
      </c>
      <c r="AU704" s="150" t="s">
        <v>90</v>
      </c>
      <c r="AV704" s="148" t="s">
        <v>90</v>
      </c>
      <c r="AW704" s="148" t="s">
        <v>33</v>
      </c>
      <c r="AX704" s="148" t="s">
        <v>80</v>
      </c>
      <c r="AY704" s="150" t="s">
        <v>337</v>
      </c>
    </row>
    <row r="705" spans="2:65" s="155" customFormat="1" x14ac:dyDescent="0.2">
      <c r="B705" s="156"/>
      <c r="D705" s="143" t="s">
        <v>346</v>
      </c>
      <c r="E705" s="157"/>
      <c r="F705" s="158" t="s">
        <v>351</v>
      </c>
      <c r="H705" s="159">
        <v>1777.125</v>
      </c>
      <c r="L705" s="156"/>
      <c r="M705" s="160"/>
      <c r="T705" s="161"/>
      <c r="AT705" s="157" t="s">
        <v>346</v>
      </c>
      <c r="AU705" s="157" t="s">
        <v>90</v>
      </c>
      <c r="AV705" s="155" t="s">
        <v>344</v>
      </c>
      <c r="AW705" s="155" t="s">
        <v>33</v>
      </c>
      <c r="AX705" s="155" t="s">
        <v>87</v>
      </c>
      <c r="AY705" s="157" t="s">
        <v>337</v>
      </c>
    </row>
    <row r="706" spans="2:65" s="16" customFormat="1" ht="16.5" customHeight="1" x14ac:dyDescent="0.2">
      <c r="B706" s="17"/>
      <c r="C706" s="128">
        <v>40</v>
      </c>
      <c r="D706" s="128" t="s">
        <v>339</v>
      </c>
      <c r="E706" s="129" t="s">
        <v>2906</v>
      </c>
      <c r="F706" s="130" t="s">
        <v>2907</v>
      </c>
      <c r="G706" s="131" t="s">
        <v>535</v>
      </c>
      <c r="H706" s="132">
        <v>30380.75</v>
      </c>
      <c r="I706" s="133"/>
      <c r="J706" s="134">
        <f>ROUND(I706*H706,2)</f>
        <v>0</v>
      </c>
      <c r="K706" s="130"/>
      <c r="L706" s="17"/>
      <c r="M706" s="135"/>
      <c r="N706" s="136" t="s">
        <v>45</v>
      </c>
      <c r="P706" s="137">
        <f>O706*H706</f>
        <v>0</v>
      </c>
      <c r="Q706" s="137">
        <v>1E-3</v>
      </c>
      <c r="R706" s="137">
        <f>Q706*H706</f>
        <v>30.380749999999999</v>
      </c>
      <c r="S706" s="137">
        <v>0</v>
      </c>
      <c r="T706" s="138">
        <f>S706*H706</f>
        <v>0</v>
      </c>
      <c r="AR706" s="139" t="s">
        <v>496</v>
      </c>
      <c r="AT706" s="139" t="s">
        <v>339</v>
      </c>
      <c r="AU706" s="139" t="s">
        <v>90</v>
      </c>
      <c r="AY706" s="2" t="s">
        <v>337</v>
      </c>
      <c r="BE706" s="140">
        <f>IF(N706="základní",J706,0)</f>
        <v>0</v>
      </c>
      <c r="BF706" s="140">
        <f>IF(N706="snížená",J706,0)</f>
        <v>0</v>
      </c>
      <c r="BG706" s="140">
        <f>IF(N706="zákl. přenesená",J706,0)</f>
        <v>0</v>
      </c>
      <c r="BH706" s="140">
        <f>IF(N706="sníž. přenesená",J706,0)</f>
        <v>0</v>
      </c>
      <c r="BI706" s="140">
        <f>IF(N706="nulová",J706,0)</f>
        <v>0</v>
      </c>
      <c r="BJ706" s="2" t="s">
        <v>87</v>
      </c>
      <c r="BK706" s="140">
        <f>ROUND(I706*H706,2)</f>
        <v>0</v>
      </c>
      <c r="BL706" s="2" t="s">
        <v>496</v>
      </c>
      <c r="BM706" s="139" t="s">
        <v>2908</v>
      </c>
    </row>
    <row r="707" spans="2:65" s="141" customFormat="1" x14ac:dyDescent="0.2">
      <c r="B707" s="142"/>
      <c r="D707" s="143" t="s">
        <v>346</v>
      </c>
      <c r="E707" s="144"/>
      <c r="F707" s="145" t="s">
        <v>2909</v>
      </c>
      <c r="H707" s="144"/>
      <c r="L707" s="142"/>
      <c r="M707" s="146"/>
      <c r="T707" s="147"/>
      <c r="AT707" s="144" t="s">
        <v>346</v>
      </c>
      <c r="AU707" s="144" t="s">
        <v>90</v>
      </c>
      <c r="AV707" s="141" t="s">
        <v>87</v>
      </c>
      <c r="AW707" s="141" t="s">
        <v>33</v>
      </c>
      <c r="AX707" s="141" t="s">
        <v>80</v>
      </c>
      <c r="AY707" s="144" t="s">
        <v>337</v>
      </c>
    </row>
    <row r="708" spans="2:65" s="141" customFormat="1" x14ac:dyDescent="0.2">
      <c r="B708" s="142"/>
      <c r="D708" s="143" t="s">
        <v>346</v>
      </c>
      <c r="E708" s="144"/>
      <c r="F708" s="145" t="s">
        <v>2910</v>
      </c>
      <c r="H708" s="144"/>
      <c r="L708" s="142"/>
      <c r="M708" s="146"/>
      <c r="T708" s="147"/>
      <c r="AT708" s="144" t="s">
        <v>346</v>
      </c>
      <c r="AU708" s="144" t="s">
        <v>90</v>
      </c>
      <c r="AV708" s="141" t="s">
        <v>87</v>
      </c>
      <c r="AW708" s="141" t="s">
        <v>33</v>
      </c>
      <c r="AX708" s="141" t="s">
        <v>80</v>
      </c>
      <c r="AY708" s="144" t="s">
        <v>337</v>
      </c>
    </row>
    <row r="709" spans="2:65" s="148" customFormat="1" x14ac:dyDescent="0.2">
      <c r="B709" s="149"/>
      <c r="D709" s="143" t="s">
        <v>346</v>
      </c>
      <c r="E709" s="150"/>
      <c r="F709" s="151" t="s">
        <v>2911</v>
      </c>
      <c r="H709" s="152">
        <v>32293</v>
      </c>
      <c r="L709" s="149"/>
      <c r="M709" s="153"/>
      <c r="T709" s="154"/>
      <c r="AT709" s="150" t="s">
        <v>346</v>
      </c>
      <c r="AU709" s="150" t="s">
        <v>90</v>
      </c>
      <c r="AV709" s="148" t="s">
        <v>90</v>
      </c>
      <c r="AW709" s="148" t="s">
        <v>33</v>
      </c>
      <c r="AX709" s="148" t="s">
        <v>80</v>
      </c>
      <c r="AY709" s="150" t="s">
        <v>337</v>
      </c>
    </row>
    <row r="710" spans="2:65" s="172" customFormat="1" x14ac:dyDescent="0.2">
      <c r="B710" s="173"/>
      <c r="D710" s="143" t="s">
        <v>346</v>
      </c>
      <c r="E710" s="174"/>
      <c r="F710" s="175" t="s">
        <v>609</v>
      </c>
      <c r="H710" s="176">
        <v>32293</v>
      </c>
      <c r="L710" s="173"/>
      <c r="M710" s="177"/>
      <c r="T710" s="178"/>
      <c r="AT710" s="174" t="s">
        <v>346</v>
      </c>
      <c r="AU710" s="174" t="s">
        <v>90</v>
      </c>
      <c r="AV710" s="172" t="s">
        <v>113</v>
      </c>
      <c r="AW710" s="172" t="s">
        <v>33</v>
      </c>
      <c r="AX710" s="172" t="s">
        <v>80</v>
      </c>
      <c r="AY710" s="174" t="s">
        <v>337</v>
      </c>
    </row>
    <row r="711" spans="2:65" s="141" customFormat="1" x14ac:dyDescent="0.2">
      <c r="B711" s="142"/>
      <c r="D711" s="143" t="s">
        <v>346</v>
      </c>
      <c r="E711" s="144"/>
      <c r="F711" s="145" t="s">
        <v>2912</v>
      </c>
      <c r="H711" s="144"/>
      <c r="L711" s="142"/>
      <c r="M711" s="146"/>
      <c r="T711" s="147"/>
      <c r="AT711" s="144" t="s">
        <v>346</v>
      </c>
      <c r="AU711" s="144" t="s">
        <v>90</v>
      </c>
      <c r="AV711" s="141" t="s">
        <v>87</v>
      </c>
      <c r="AW711" s="141" t="s">
        <v>33</v>
      </c>
      <c r="AX711" s="141" t="s">
        <v>80</v>
      </c>
      <c r="AY711" s="144" t="s">
        <v>337</v>
      </c>
    </row>
    <row r="712" spans="2:65" s="141" customFormat="1" x14ac:dyDescent="0.2">
      <c r="B712" s="142"/>
      <c r="D712" s="143" t="s">
        <v>346</v>
      </c>
      <c r="E712" s="144"/>
      <c r="F712" s="145" t="s">
        <v>2913</v>
      </c>
      <c r="H712" s="144"/>
      <c r="L712" s="142"/>
      <c r="M712" s="146"/>
      <c r="T712" s="147"/>
      <c r="AT712" s="144" t="s">
        <v>346</v>
      </c>
      <c r="AU712" s="144" t="s">
        <v>90</v>
      </c>
      <c r="AV712" s="141" t="s">
        <v>87</v>
      </c>
      <c r="AW712" s="141" t="s">
        <v>33</v>
      </c>
      <c r="AX712" s="141" t="s">
        <v>80</v>
      </c>
      <c r="AY712" s="144" t="s">
        <v>337</v>
      </c>
    </row>
    <row r="713" spans="2:65" s="148" customFormat="1" x14ac:dyDescent="0.2">
      <c r="B713" s="149"/>
      <c r="D713" s="143" t="s">
        <v>346</v>
      </c>
      <c r="E713" s="150"/>
      <c r="F713" s="151" t="s">
        <v>2914</v>
      </c>
      <c r="H713" s="152">
        <v>-167.5</v>
      </c>
      <c r="L713" s="149"/>
      <c r="M713" s="153"/>
      <c r="T713" s="154"/>
      <c r="AT713" s="150" t="s">
        <v>346</v>
      </c>
      <c r="AU713" s="150" t="s">
        <v>90</v>
      </c>
      <c r="AV713" s="148" t="s">
        <v>90</v>
      </c>
      <c r="AW713" s="148" t="s">
        <v>33</v>
      </c>
      <c r="AX713" s="148" t="s">
        <v>80</v>
      </c>
      <c r="AY713" s="150" t="s">
        <v>337</v>
      </c>
    </row>
    <row r="714" spans="2:65" s="148" customFormat="1" x14ac:dyDescent="0.2">
      <c r="B714" s="149"/>
      <c r="D714" s="143" t="s">
        <v>346</v>
      </c>
      <c r="E714" s="150"/>
      <c r="F714" s="151" t="s">
        <v>2915</v>
      </c>
      <c r="H714" s="152">
        <v>-113.7</v>
      </c>
      <c r="L714" s="149"/>
      <c r="M714" s="153"/>
      <c r="T714" s="154"/>
      <c r="AT714" s="150" t="s">
        <v>346</v>
      </c>
      <c r="AU714" s="150" t="s">
        <v>90</v>
      </c>
      <c r="AV714" s="148" t="s">
        <v>90</v>
      </c>
      <c r="AW714" s="148" t="s">
        <v>33</v>
      </c>
      <c r="AX714" s="148" t="s">
        <v>80</v>
      </c>
      <c r="AY714" s="150" t="s">
        <v>337</v>
      </c>
    </row>
    <row r="715" spans="2:65" s="148" customFormat="1" x14ac:dyDescent="0.2">
      <c r="B715" s="149"/>
      <c r="D715" s="143" t="s">
        <v>346</v>
      </c>
      <c r="E715" s="150"/>
      <c r="F715" s="151" t="s">
        <v>2916</v>
      </c>
      <c r="H715" s="152">
        <v>-103.5</v>
      </c>
      <c r="L715" s="149"/>
      <c r="M715" s="153"/>
      <c r="T715" s="154"/>
      <c r="AT715" s="150" t="s">
        <v>346</v>
      </c>
      <c r="AU715" s="150" t="s">
        <v>90</v>
      </c>
      <c r="AV715" s="148" t="s">
        <v>90</v>
      </c>
      <c r="AW715" s="148" t="s">
        <v>33</v>
      </c>
      <c r="AX715" s="148" t="s">
        <v>80</v>
      </c>
      <c r="AY715" s="150" t="s">
        <v>337</v>
      </c>
    </row>
    <row r="716" spans="2:65" s="148" customFormat="1" x14ac:dyDescent="0.2">
      <c r="B716" s="149"/>
      <c r="D716" s="143" t="s">
        <v>346</v>
      </c>
      <c r="E716" s="150"/>
      <c r="F716" s="151" t="s">
        <v>2917</v>
      </c>
      <c r="H716" s="152">
        <v>-9.6</v>
      </c>
      <c r="L716" s="149"/>
      <c r="M716" s="153"/>
      <c r="T716" s="154"/>
      <c r="AT716" s="150" t="s">
        <v>346</v>
      </c>
      <c r="AU716" s="150" t="s">
        <v>90</v>
      </c>
      <c r="AV716" s="148" t="s">
        <v>90</v>
      </c>
      <c r="AW716" s="148" t="s">
        <v>33</v>
      </c>
      <c r="AX716" s="148" t="s">
        <v>80</v>
      </c>
      <c r="AY716" s="150" t="s">
        <v>337</v>
      </c>
    </row>
    <row r="717" spans="2:65" s="148" customFormat="1" x14ac:dyDescent="0.2">
      <c r="B717" s="149"/>
      <c r="D717" s="143" t="s">
        <v>346</v>
      </c>
      <c r="E717" s="150"/>
      <c r="F717" s="151" t="s">
        <v>2918</v>
      </c>
      <c r="H717" s="152">
        <v>-63</v>
      </c>
      <c r="L717" s="149"/>
      <c r="M717" s="153"/>
      <c r="T717" s="154"/>
      <c r="AT717" s="150" t="s">
        <v>346</v>
      </c>
      <c r="AU717" s="150" t="s">
        <v>90</v>
      </c>
      <c r="AV717" s="148" t="s">
        <v>90</v>
      </c>
      <c r="AW717" s="148" t="s">
        <v>33</v>
      </c>
      <c r="AX717" s="148" t="s">
        <v>80</v>
      </c>
      <c r="AY717" s="150" t="s">
        <v>337</v>
      </c>
    </row>
    <row r="718" spans="2:65" s="148" customFormat="1" x14ac:dyDescent="0.2">
      <c r="B718" s="149"/>
      <c r="D718" s="143" t="s">
        <v>346</v>
      </c>
      <c r="E718" s="150"/>
      <c r="F718" s="151" t="s">
        <v>2919</v>
      </c>
      <c r="H718" s="152">
        <v>-48.4</v>
      </c>
      <c r="L718" s="149"/>
      <c r="M718" s="153"/>
      <c r="T718" s="154"/>
      <c r="AT718" s="150" t="s">
        <v>346</v>
      </c>
      <c r="AU718" s="150" t="s">
        <v>90</v>
      </c>
      <c r="AV718" s="148" t="s">
        <v>90</v>
      </c>
      <c r="AW718" s="148" t="s">
        <v>33</v>
      </c>
      <c r="AX718" s="148" t="s">
        <v>80</v>
      </c>
      <c r="AY718" s="150" t="s">
        <v>337</v>
      </c>
    </row>
    <row r="719" spans="2:65" s="148" customFormat="1" x14ac:dyDescent="0.2">
      <c r="B719" s="149"/>
      <c r="D719" s="143" t="s">
        <v>346</v>
      </c>
      <c r="E719" s="150"/>
      <c r="F719" s="151" t="s">
        <v>2920</v>
      </c>
      <c r="H719" s="152">
        <v>-5.5</v>
      </c>
      <c r="L719" s="149"/>
      <c r="M719" s="153"/>
      <c r="T719" s="154"/>
      <c r="AT719" s="150" t="s">
        <v>346</v>
      </c>
      <c r="AU719" s="150" t="s">
        <v>90</v>
      </c>
      <c r="AV719" s="148" t="s">
        <v>90</v>
      </c>
      <c r="AW719" s="148" t="s">
        <v>33</v>
      </c>
      <c r="AX719" s="148" t="s">
        <v>80</v>
      </c>
      <c r="AY719" s="150" t="s">
        <v>337</v>
      </c>
    </row>
    <row r="720" spans="2:65" s="148" customFormat="1" x14ac:dyDescent="0.2">
      <c r="B720" s="149"/>
      <c r="D720" s="143" t="s">
        <v>346</v>
      </c>
      <c r="E720" s="150"/>
      <c r="F720" s="151" t="s">
        <v>2921</v>
      </c>
      <c r="H720" s="152">
        <v>-167</v>
      </c>
      <c r="L720" s="149"/>
      <c r="M720" s="153"/>
      <c r="T720" s="154"/>
      <c r="AT720" s="150" t="s">
        <v>346</v>
      </c>
      <c r="AU720" s="150" t="s">
        <v>90</v>
      </c>
      <c r="AV720" s="148" t="s">
        <v>90</v>
      </c>
      <c r="AW720" s="148" t="s">
        <v>33</v>
      </c>
      <c r="AX720" s="148" t="s">
        <v>80</v>
      </c>
      <c r="AY720" s="150" t="s">
        <v>337</v>
      </c>
    </row>
    <row r="721" spans="2:51" s="172" customFormat="1" x14ac:dyDescent="0.2">
      <c r="B721" s="173"/>
      <c r="D721" s="143" t="s">
        <v>346</v>
      </c>
      <c r="E721" s="174"/>
      <c r="F721" s="175" t="s">
        <v>609</v>
      </c>
      <c r="H721" s="176">
        <v>-678.2</v>
      </c>
      <c r="L721" s="173"/>
      <c r="M721" s="177"/>
      <c r="T721" s="178"/>
      <c r="AT721" s="174" t="s">
        <v>346</v>
      </c>
      <c r="AU721" s="174" t="s">
        <v>90</v>
      </c>
      <c r="AV721" s="172" t="s">
        <v>113</v>
      </c>
      <c r="AW721" s="172" t="s">
        <v>33</v>
      </c>
      <c r="AX721" s="172" t="s">
        <v>80</v>
      </c>
      <c r="AY721" s="174" t="s">
        <v>337</v>
      </c>
    </row>
    <row r="722" spans="2:51" s="141" customFormat="1" x14ac:dyDescent="0.2">
      <c r="B722" s="142"/>
      <c r="D722" s="143" t="s">
        <v>346</v>
      </c>
      <c r="E722" s="144"/>
      <c r="F722" s="145" t="s">
        <v>2922</v>
      </c>
      <c r="H722" s="144"/>
      <c r="L722" s="142"/>
      <c r="M722" s="146"/>
      <c r="T722" s="147"/>
      <c r="AT722" s="144" t="s">
        <v>346</v>
      </c>
      <c r="AU722" s="144" t="s">
        <v>90</v>
      </c>
      <c r="AV722" s="141" t="s">
        <v>87</v>
      </c>
      <c r="AW722" s="141" t="s">
        <v>33</v>
      </c>
      <c r="AX722" s="141" t="s">
        <v>80</v>
      </c>
      <c r="AY722" s="144" t="s">
        <v>337</v>
      </c>
    </row>
    <row r="723" spans="2:51" s="148" customFormat="1" x14ac:dyDescent="0.2">
      <c r="B723" s="149"/>
      <c r="D723" s="143" t="s">
        <v>346</v>
      </c>
      <c r="E723" s="150"/>
      <c r="F723" s="151" t="s">
        <v>2923</v>
      </c>
      <c r="H723" s="152">
        <v>-169.55</v>
      </c>
      <c r="L723" s="149"/>
      <c r="M723" s="153"/>
      <c r="T723" s="154"/>
      <c r="AT723" s="150" t="s">
        <v>346</v>
      </c>
      <c r="AU723" s="150" t="s">
        <v>90</v>
      </c>
      <c r="AV723" s="148" t="s">
        <v>90</v>
      </c>
      <c r="AW723" s="148" t="s">
        <v>33</v>
      </c>
      <c r="AX723" s="148" t="s">
        <v>80</v>
      </c>
      <c r="AY723" s="150" t="s">
        <v>337</v>
      </c>
    </row>
    <row r="724" spans="2:51" s="172" customFormat="1" x14ac:dyDescent="0.2">
      <c r="B724" s="173"/>
      <c r="D724" s="143" t="s">
        <v>346</v>
      </c>
      <c r="E724" s="174"/>
      <c r="F724" s="175" t="s">
        <v>609</v>
      </c>
      <c r="H724" s="176">
        <v>-169.55</v>
      </c>
      <c r="L724" s="173"/>
      <c r="M724" s="177"/>
      <c r="T724" s="178"/>
      <c r="AT724" s="174" t="s">
        <v>346</v>
      </c>
      <c r="AU724" s="174" t="s">
        <v>90</v>
      </c>
      <c r="AV724" s="172" t="s">
        <v>113</v>
      </c>
      <c r="AW724" s="172" t="s">
        <v>33</v>
      </c>
      <c r="AX724" s="172" t="s">
        <v>80</v>
      </c>
      <c r="AY724" s="174" t="s">
        <v>337</v>
      </c>
    </row>
    <row r="725" spans="2:51" s="141" customFormat="1" x14ac:dyDescent="0.2">
      <c r="B725" s="142"/>
      <c r="D725" s="143" t="s">
        <v>346</v>
      </c>
      <c r="E725" s="144"/>
      <c r="F725" s="145" t="s">
        <v>2924</v>
      </c>
      <c r="H725" s="144"/>
      <c r="L725" s="142"/>
      <c r="M725" s="146"/>
      <c r="T725" s="147"/>
      <c r="AT725" s="144" t="s">
        <v>346</v>
      </c>
      <c r="AU725" s="144" t="s">
        <v>90</v>
      </c>
      <c r="AV725" s="141" t="s">
        <v>87</v>
      </c>
      <c r="AW725" s="141" t="s">
        <v>33</v>
      </c>
      <c r="AX725" s="141" t="s">
        <v>80</v>
      </c>
      <c r="AY725" s="144" t="s">
        <v>337</v>
      </c>
    </row>
    <row r="726" spans="2:51" s="141" customFormat="1" x14ac:dyDescent="0.2">
      <c r="B726" s="142"/>
      <c r="D726" s="143" t="s">
        <v>346</v>
      </c>
      <c r="E726" s="144"/>
      <c r="F726" s="145" t="s">
        <v>2925</v>
      </c>
      <c r="H726" s="144"/>
      <c r="L726" s="142"/>
      <c r="M726" s="146"/>
      <c r="T726" s="147"/>
      <c r="AT726" s="144" t="s">
        <v>346</v>
      </c>
      <c r="AU726" s="144" t="s">
        <v>90</v>
      </c>
      <c r="AV726" s="141" t="s">
        <v>87</v>
      </c>
      <c r="AW726" s="141" t="s">
        <v>33</v>
      </c>
      <c r="AX726" s="141" t="s">
        <v>80</v>
      </c>
      <c r="AY726" s="144" t="s">
        <v>337</v>
      </c>
    </row>
    <row r="727" spans="2:51" s="141" customFormat="1" x14ac:dyDescent="0.2">
      <c r="B727" s="142"/>
      <c r="D727" s="143" t="s">
        <v>346</v>
      </c>
      <c r="E727" s="144"/>
      <c r="F727" s="145" t="s">
        <v>2782</v>
      </c>
      <c r="H727" s="144"/>
      <c r="L727" s="142"/>
      <c r="M727" s="146"/>
      <c r="T727" s="147"/>
      <c r="AT727" s="144" t="s">
        <v>346</v>
      </c>
      <c r="AU727" s="144" t="s">
        <v>90</v>
      </c>
      <c r="AV727" s="141" t="s">
        <v>87</v>
      </c>
      <c r="AW727" s="141" t="s">
        <v>33</v>
      </c>
      <c r="AX727" s="141" t="s">
        <v>80</v>
      </c>
      <c r="AY727" s="144" t="s">
        <v>337</v>
      </c>
    </row>
    <row r="728" spans="2:51" s="148" customFormat="1" x14ac:dyDescent="0.2">
      <c r="B728" s="149"/>
      <c r="D728" s="143" t="s">
        <v>346</v>
      </c>
      <c r="E728" s="150"/>
      <c r="F728" s="151" t="s">
        <v>2926</v>
      </c>
      <c r="H728" s="152">
        <v>-186.3</v>
      </c>
      <c r="L728" s="149"/>
      <c r="M728" s="153"/>
      <c r="T728" s="154"/>
      <c r="AT728" s="150" t="s">
        <v>346</v>
      </c>
      <c r="AU728" s="150" t="s">
        <v>90</v>
      </c>
      <c r="AV728" s="148" t="s">
        <v>90</v>
      </c>
      <c r="AW728" s="148" t="s">
        <v>33</v>
      </c>
      <c r="AX728" s="148" t="s">
        <v>80</v>
      </c>
      <c r="AY728" s="150" t="s">
        <v>337</v>
      </c>
    </row>
    <row r="729" spans="2:51" s="141" customFormat="1" x14ac:dyDescent="0.2">
      <c r="B729" s="142"/>
      <c r="D729" s="143" t="s">
        <v>346</v>
      </c>
      <c r="E729" s="144"/>
      <c r="F729" s="145" t="s">
        <v>2784</v>
      </c>
      <c r="H729" s="144"/>
      <c r="L729" s="142"/>
      <c r="M729" s="146"/>
      <c r="T729" s="147"/>
      <c r="AT729" s="144" t="s">
        <v>346</v>
      </c>
      <c r="AU729" s="144" t="s">
        <v>90</v>
      </c>
      <c r="AV729" s="141" t="s">
        <v>87</v>
      </c>
      <c r="AW729" s="141" t="s">
        <v>33</v>
      </c>
      <c r="AX729" s="141" t="s">
        <v>80</v>
      </c>
      <c r="AY729" s="144" t="s">
        <v>337</v>
      </c>
    </row>
    <row r="730" spans="2:51" s="148" customFormat="1" x14ac:dyDescent="0.2">
      <c r="B730" s="149"/>
      <c r="D730" s="143" t="s">
        <v>346</v>
      </c>
      <c r="E730" s="150"/>
      <c r="F730" s="151" t="s">
        <v>2926</v>
      </c>
      <c r="H730" s="152">
        <v>-186.3</v>
      </c>
      <c r="L730" s="149"/>
      <c r="M730" s="153"/>
      <c r="T730" s="154"/>
      <c r="AT730" s="150" t="s">
        <v>346</v>
      </c>
      <c r="AU730" s="150" t="s">
        <v>90</v>
      </c>
      <c r="AV730" s="148" t="s">
        <v>90</v>
      </c>
      <c r="AW730" s="148" t="s">
        <v>33</v>
      </c>
      <c r="AX730" s="148" t="s">
        <v>80</v>
      </c>
      <c r="AY730" s="150" t="s">
        <v>337</v>
      </c>
    </row>
    <row r="731" spans="2:51" s="141" customFormat="1" x14ac:dyDescent="0.2">
      <c r="B731" s="142"/>
      <c r="D731" s="143" t="s">
        <v>346</v>
      </c>
      <c r="E731" s="144"/>
      <c r="F731" s="145" t="s">
        <v>2785</v>
      </c>
      <c r="H731" s="144"/>
      <c r="L731" s="142"/>
      <c r="M731" s="146"/>
      <c r="T731" s="147"/>
      <c r="AT731" s="144" t="s">
        <v>346</v>
      </c>
      <c r="AU731" s="144" t="s">
        <v>90</v>
      </c>
      <c r="AV731" s="141" t="s">
        <v>87</v>
      </c>
      <c r="AW731" s="141" t="s">
        <v>33</v>
      </c>
      <c r="AX731" s="141" t="s">
        <v>80</v>
      </c>
      <c r="AY731" s="144" t="s">
        <v>337</v>
      </c>
    </row>
    <row r="732" spans="2:51" s="148" customFormat="1" x14ac:dyDescent="0.2">
      <c r="B732" s="149"/>
      <c r="D732" s="143" t="s">
        <v>346</v>
      </c>
      <c r="E732" s="150"/>
      <c r="F732" s="151" t="s">
        <v>2927</v>
      </c>
      <c r="H732" s="152">
        <v>-84.7</v>
      </c>
      <c r="L732" s="149"/>
      <c r="M732" s="153"/>
      <c r="T732" s="154"/>
      <c r="AT732" s="150" t="s">
        <v>346</v>
      </c>
      <c r="AU732" s="150" t="s">
        <v>90</v>
      </c>
      <c r="AV732" s="148" t="s">
        <v>90</v>
      </c>
      <c r="AW732" s="148" t="s">
        <v>33</v>
      </c>
      <c r="AX732" s="148" t="s">
        <v>80</v>
      </c>
      <c r="AY732" s="150" t="s">
        <v>337</v>
      </c>
    </row>
    <row r="733" spans="2:51" s="141" customFormat="1" x14ac:dyDescent="0.2">
      <c r="B733" s="142"/>
      <c r="D733" s="143" t="s">
        <v>346</v>
      </c>
      <c r="E733" s="144"/>
      <c r="F733" s="145" t="s">
        <v>2787</v>
      </c>
      <c r="H733" s="144"/>
      <c r="L733" s="142"/>
      <c r="M733" s="146"/>
      <c r="T733" s="147"/>
      <c r="AT733" s="144" t="s">
        <v>346</v>
      </c>
      <c r="AU733" s="144" t="s">
        <v>90</v>
      </c>
      <c r="AV733" s="141" t="s">
        <v>87</v>
      </c>
      <c r="AW733" s="141" t="s">
        <v>33</v>
      </c>
      <c r="AX733" s="141" t="s">
        <v>80</v>
      </c>
      <c r="AY733" s="144" t="s">
        <v>337</v>
      </c>
    </row>
    <row r="734" spans="2:51" s="148" customFormat="1" x14ac:dyDescent="0.2">
      <c r="B734" s="149"/>
      <c r="D734" s="143" t="s">
        <v>346</v>
      </c>
      <c r="E734" s="150"/>
      <c r="F734" s="151" t="s">
        <v>2928</v>
      </c>
      <c r="H734" s="152">
        <v>-150.9</v>
      </c>
      <c r="L734" s="149"/>
      <c r="M734" s="153"/>
      <c r="T734" s="154"/>
      <c r="AT734" s="150" t="s">
        <v>346</v>
      </c>
      <c r="AU734" s="150" t="s">
        <v>90</v>
      </c>
      <c r="AV734" s="148" t="s">
        <v>90</v>
      </c>
      <c r="AW734" s="148" t="s">
        <v>33</v>
      </c>
      <c r="AX734" s="148" t="s">
        <v>80</v>
      </c>
      <c r="AY734" s="150" t="s">
        <v>337</v>
      </c>
    </row>
    <row r="735" spans="2:51" s="141" customFormat="1" x14ac:dyDescent="0.2">
      <c r="B735" s="142"/>
      <c r="D735" s="143" t="s">
        <v>346</v>
      </c>
      <c r="E735" s="144"/>
      <c r="F735" s="145" t="s">
        <v>2789</v>
      </c>
      <c r="H735" s="144"/>
      <c r="L735" s="142"/>
      <c r="M735" s="146"/>
      <c r="T735" s="147"/>
      <c r="AT735" s="144" t="s">
        <v>346</v>
      </c>
      <c r="AU735" s="144" t="s">
        <v>90</v>
      </c>
      <c r="AV735" s="141" t="s">
        <v>87</v>
      </c>
      <c r="AW735" s="141" t="s">
        <v>33</v>
      </c>
      <c r="AX735" s="141" t="s">
        <v>80</v>
      </c>
      <c r="AY735" s="144" t="s">
        <v>337</v>
      </c>
    </row>
    <row r="736" spans="2:51" s="148" customFormat="1" x14ac:dyDescent="0.2">
      <c r="B736" s="149"/>
      <c r="D736" s="143" t="s">
        <v>346</v>
      </c>
      <c r="E736" s="150"/>
      <c r="F736" s="151" t="s">
        <v>2929</v>
      </c>
      <c r="H736" s="152">
        <v>-243.4</v>
      </c>
      <c r="L736" s="149"/>
      <c r="M736" s="153"/>
      <c r="T736" s="154"/>
      <c r="AT736" s="150" t="s">
        <v>346</v>
      </c>
      <c r="AU736" s="150" t="s">
        <v>90</v>
      </c>
      <c r="AV736" s="148" t="s">
        <v>90</v>
      </c>
      <c r="AW736" s="148" t="s">
        <v>33</v>
      </c>
      <c r="AX736" s="148" t="s">
        <v>80</v>
      </c>
      <c r="AY736" s="150" t="s">
        <v>337</v>
      </c>
    </row>
    <row r="737" spans="2:65" s="172" customFormat="1" x14ac:dyDescent="0.2">
      <c r="B737" s="173"/>
      <c r="D737" s="143" t="s">
        <v>346</v>
      </c>
      <c r="E737" s="174"/>
      <c r="F737" s="175" t="s">
        <v>609</v>
      </c>
      <c r="H737" s="176">
        <v>-851.6</v>
      </c>
      <c r="L737" s="173"/>
      <c r="M737" s="177"/>
      <c r="T737" s="178"/>
      <c r="AT737" s="174" t="s">
        <v>346</v>
      </c>
      <c r="AU737" s="174" t="s">
        <v>90</v>
      </c>
      <c r="AV737" s="172" t="s">
        <v>113</v>
      </c>
      <c r="AW737" s="172" t="s">
        <v>33</v>
      </c>
      <c r="AX737" s="172" t="s">
        <v>80</v>
      </c>
      <c r="AY737" s="174" t="s">
        <v>337</v>
      </c>
    </row>
    <row r="738" spans="2:65" s="141" customFormat="1" x14ac:dyDescent="0.2">
      <c r="B738" s="142"/>
      <c r="D738" s="143" t="s">
        <v>346</v>
      </c>
      <c r="E738" s="144"/>
      <c r="F738" s="145" t="s">
        <v>2930</v>
      </c>
      <c r="H738" s="144"/>
      <c r="L738" s="142"/>
      <c r="M738" s="146"/>
      <c r="T738" s="147"/>
      <c r="AT738" s="144" t="s">
        <v>346</v>
      </c>
      <c r="AU738" s="144" t="s">
        <v>90</v>
      </c>
      <c r="AV738" s="141" t="s">
        <v>87</v>
      </c>
      <c r="AW738" s="141" t="s">
        <v>33</v>
      </c>
      <c r="AX738" s="141" t="s">
        <v>80</v>
      </c>
      <c r="AY738" s="144" t="s">
        <v>337</v>
      </c>
    </row>
    <row r="739" spans="2:65" s="148" customFormat="1" x14ac:dyDescent="0.2">
      <c r="B739" s="149"/>
      <c r="D739" s="143" t="s">
        <v>346</v>
      </c>
      <c r="E739" s="150"/>
      <c r="F739" s="151" t="s">
        <v>2931</v>
      </c>
      <c r="H739" s="152">
        <v>-212.9</v>
      </c>
      <c r="L739" s="149"/>
      <c r="M739" s="153"/>
      <c r="T739" s="154"/>
      <c r="AT739" s="150" t="s">
        <v>346</v>
      </c>
      <c r="AU739" s="150" t="s">
        <v>90</v>
      </c>
      <c r="AV739" s="148" t="s">
        <v>90</v>
      </c>
      <c r="AW739" s="148" t="s">
        <v>33</v>
      </c>
      <c r="AX739" s="148" t="s">
        <v>80</v>
      </c>
      <c r="AY739" s="150" t="s">
        <v>337</v>
      </c>
    </row>
    <row r="740" spans="2:65" s="155" customFormat="1" x14ac:dyDescent="0.2">
      <c r="B740" s="156"/>
      <c r="D740" s="143" t="s">
        <v>346</v>
      </c>
      <c r="E740" s="157"/>
      <c r="F740" s="158" t="s">
        <v>351</v>
      </c>
      <c r="H740" s="159">
        <v>30380.75</v>
      </c>
      <c r="L740" s="156"/>
      <c r="M740" s="160"/>
      <c r="T740" s="161"/>
      <c r="AT740" s="157" t="s">
        <v>346</v>
      </c>
      <c r="AU740" s="157" t="s">
        <v>90</v>
      </c>
      <c r="AV740" s="155" t="s">
        <v>344</v>
      </c>
      <c r="AW740" s="155" t="s">
        <v>33</v>
      </c>
      <c r="AX740" s="155" t="s">
        <v>87</v>
      </c>
      <c r="AY740" s="157" t="s">
        <v>337</v>
      </c>
    </row>
    <row r="741" spans="2:65" s="16" customFormat="1" ht="21.75" customHeight="1" x14ac:dyDescent="0.2">
      <c r="B741" s="17"/>
      <c r="C741" s="128">
        <v>41</v>
      </c>
      <c r="D741" s="128" t="s">
        <v>339</v>
      </c>
      <c r="E741" s="129" t="s">
        <v>2932</v>
      </c>
      <c r="F741" s="130" t="s">
        <v>2933</v>
      </c>
      <c r="G741" s="131" t="s">
        <v>990</v>
      </c>
      <c r="H741" s="132">
        <v>69.05</v>
      </c>
      <c r="I741" s="133"/>
      <c r="J741" s="134">
        <f>ROUND(I741*H741,2)</f>
        <v>0</v>
      </c>
      <c r="K741" s="130" t="s">
        <v>343</v>
      </c>
      <c r="L741" s="17"/>
      <c r="M741" s="135"/>
      <c r="N741" s="136" t="s">
        <v>45</v>
      </c>
      <c r="P741" s="137">
        <f>O741*H741</f>
        <v>0</v>
      </c>
      <c r="Q741" s="137">
        <v>0</v>
      </c>
      <c r="R741" s="137">
        <f>Q741*H741</f>
        <v>0</v>
      </c>
      <c r="S741" s="137">
        <v>0</v>
      </c>
      <c r="T741" s="138">
        <f>S741*H741</f>
        <v>0</v>
      </c>
      <c r="AR741" s="139" t="s">
        <v>496</v>
      </c>
      <c r="AT741" s="139" t="s">
        <v>339</v>
      </c>
      <c r="AU741" s="139" t="s">
        <v>90</v>
      </c>
      <c r="AY741" s="2" t="s">
        <v>337</v>
      </c>
      <c r="BE741" s="140">
        <f>IF(N741="základní",J741,0)</f>
        <v>0</v>
      </c>
      <c r="BF741" s="140">
        <f>IF(N741="snížená",J741,0)</f>
        <v>0</v>
      </c>
      <c r="BG741" s="140">
        <f>IF(N741="zákl. přenesená",J741,0)</f>
        <v>0</v>
      </c>
      <c r="BH741" s="140">
        <f>IF(N741="sníž. přenesená",J741,0)</f>
        <v>0</v>
      </c>
      <c r="BI741" s="140">
        <f>IF(N741="nulová",J741,0)</f>
        <v>0</v>
      </c>
      <c r="BJ741" s="2" t="s">
        <v>87</v>
      </c>
      <c r="BK741" s="140">
        <f>ROUND(I741*H741,2)</f>
        <v>0</v>
      </c>
      <c r="BL741" s="2" t="s">
        <v>496</v>
      </c>
      <c r="BM741" s="139" t="s">
        <v>2934</v>
      </c>
    </row>
    <row r="742" spans="2:65" s="116" customFormat="1" ht="22.9" customHeight="1" x14ac:dyDescent="0.2">
      <c r="B742" s="117"/>
      <c r="D742" s="118" t="s">
        <v>79</v>
      </c>
      <c r="E742" s="126" t="s">
        <v>2282</v>
      </c>
      <c r="F742" s="126" t="s">
        <v>2283</v>
      </c>
      <c r="J742" s="127">
        <f>BK742</f>
        <v>0</v>
      </c>
      <c r="L742" s="117"/>
      <c r="M742" s="121"/>
      <c r="P742" s="122">
        <f>SUM(P743:P796)</f>
        <v>0</v>
      </c>
      <c r="R742" s="122">
        <f>SUM(R743:R796)</f>
        <v>0.70717763</v>
      </c>
      <c r="T742" s="123">
        <f>SUM(T743:T796)</f>
        <v>0</v>
      </c>
      <c r="AR742" s="118" t="s">
        <v>90</v>
      </c>
      <c r="AT742" s="124" t="s">
        <v>79</v>
      </c>
      <c r="AU742" s="124" t="s">
        <v>87</v>
      </c>
      <c r="AY742" s="118" t="s">
        <v>337</v>
      </c>
      <c r="BK742" s="125">
        <f>SUM(BK743:BK796)</f>
        <v>0</v>
      </c>
    </row>
    <row r="743" spans="2:65" s="16" customFormat="1" ht="16.5" customHeight="1" x14ac:dyDescent="0.2">
      <c r="B743" s="17"/>
      <c r="C743" s="128">
        <v>42</v>
      </c>
      <c r="D743" s="128" t="s">
        <v>339</v>
      </c>
      <c r="E743" s="129" t="s">
        <v>2935</v>
      </c>
      <c r="F743" s="130" t="s">
        <v>2936</v>
      </c>
      <c r="G743" s="131" t="s">
        <v>425</v>
      </c>
      <c r="H743" s="132">
        <v>1055.489</v>
      </c>
      <c r="I743" s="133"/>
      <c r="J743" s="134">
        <f>ROUND(I743*H743,2)</f>
        <v>0</v>
      </c>
      <c r="K743" s="130" t="s">
        <v>343</v>
      </c>
      <c r="L743" s="17"/>
      <c r="M743" s="135"/>
      <c r="N743" s="136" t="s">
        <v>45</v>
      </c>
      <c r="P743" s="137">
        <f>O743*H743</f>
        <v>0</v>
      </c>
      <c r="Q743" s="137">
        <v>6.9999999999999994E-5</v>
      </c>
      <c r="R743" s="137">
        <f>Q743*H743</f>
        <v>7.3884229999999995E-2</v>
      </c>
      <c r="S743" s="137">
        <v>0</v>
      </c>
      <c r="T743" s="138">
        <f>S743*H743</f>
        <v>0</v>
      </c>
      <c r="AR743" s="139" t="s">
        <v>496</v>
      </c>
      <c r="AT743" s="139" t="s">
        <v>339</v>
      </c>
      <c r="AU743" s="139" t="s">
        <v>90</v>
      </c>
      <c r="AY743" s="2" t="s">
        <v>337</v>
      </c>
      <c r="BE743" s="140">
        <f>IF(N743="základní",J743,0)</f>
        <v>0</v>
      </c>
      <c r="BF743" s="140">
        <f>IF(N743="snížená",J743,0)</f>
        <v>0</v>
      </c>
      <c r="BG743" s="140">
        <f>IF(N743="zákl. přenesená",J743,0)</f>
        <v>0</v>
      </c>
      <c r="BH743" s="140">
        <f>IF(N743="sníž. přenesená",J743,0)</f>
        <v>0</v>
      </c>
      <c r="BI743" s="140">
        <f>IF(N743="nulová",J743,0)</f>
        <v>0</v>
      </c>
      <c r="BJ743" s="2" t="s">
        <v>87</v>
      </c>
      <c r="BK743" s="140">
        <f>ROUND(I743*H743,2)</f>
        <v>0</v>
      </c>
      <c r="BL743" s="2" t="s">
        <v>496</v>
      </c>
      <c r="BM743" s="139" t="s">
        <v>2937</v>
      </c>
    </row>
    <row r="744" spans="2:65" s="141" customFormat="1" x14ac:dyDescent="0.2">
      <c r="B744" s="142"/>
      <c r="D744" s="143" t="s">
        <v>346</v>
      </c>
      <c r="E744" s="144"/>
      <c r="F744" s="145" t="s">
        <v>2938</v>
      </c>
      <c r="H744" s="144"/>
      <c r="L744" s="142"/>
      <c r="M744" s="146"/>
      <c r="T744" s="147"/>
      <c r="AT744" s="144" t="s">
        <v>346</v>
      </c>
      <c r="AU744" s="144" t="s">
        <v>90</v>
      </c>
      <c r="AV744" s="141" t="s">
        <v>87</v>
      </c>
      <c r="AW744" s="141" t="s">
        <v>33</v>
      </c>
      <c r="AX744" s="141" t="s">
        <v>80</v>
      </c>
      <c r="AY744" s="144" t="s">
        <v>337</v>
      </c>
    </row>
    <row r="745" spans="2:65" s="141" customFormat="1" x14ac:dyDescent="0.2">
      <c r="B745" s="142"/>
      <c r="D745" s="143" t="s">
        <v>346</v>
      </c>
      <c r="E745" s="144"/>
      <c r="F745" s="145" t="s">
        <v>2939</v>
      </c>
      <c r="H745" s="144"/>
      <c r="L745" s="142"/>
      <c r="M745" s="146"/>
      <c r="T745" s="147"/>
      <c r="AT745" s="144" t="s">
        <v>346</v>
      </c>
      <c r="AU745" s="144" t="s">
        <v>90</v>
      </c>
      <c r="AV745" s="141" t="s">
        <v>87</v>
      </c>
      <c r="AW745" s="141" t="s">
        <v>33</v>
      </c>
      <c r="AX745" s="141" t="s">
        <v>80</v>
      </c>
      <c r="AY745" s="144" t="s">
        <v>337</v>
      </c>
    </row>
    <row r="746" spans="2:65" s="141" customFormat="1" x14ac:dyDescent="0.2">
      <c r="B746" s="142"/>
      <c r="D746" s="143" t="s">
        <v>346</v>
      </c>
      <c r="E746" s="144"/>
      <c r="F746" s="145" t="s">
        <v>2940</v>
      </c>
      <c r="H746" s="144"/>
      <c r="L746" s="142"/>
      <c r="M746" s="146"/>
      <c r="T746" s="147"/>
      <c r="AT746" s="144" t="s">
        <v>346</v>
      </c>
      <c r="AU746" s="144" t="s">
        <v>90</v>
      </c>
      <c r="AV746" s="141" t="s">
        <v>87</v>
      </c>
      <c r="AW746" s="141" t="s">
        <v>33</v>
      </c>
      <c r="AX746" s="141" t="s">
        <v>80</v>
      </c>
      <c r="AY746" s="144" t="s">
        <v>337</v>
      </c>
    </row>
    <row r="747" spans="2:65" s="141" customFormat="1" x14ac:dyDescent="0.2">
      <c r="B747" s="142"/>
      <c r="D747" s="143" t="s">
        <v>346</v>
      </c>
      <c r="E747" s="144"/>
      <c r="F747" s="145" t="s">
        <v>2467</v>
      </c>
      <c r="H747" s="144"/>
      <c r="L747" s="142"/>
      <c r="M747" s="146"/>
      <c r="T747" s="147"/>
      <c r="AT747" s="144" t="s">
        <v>346</v>
      </c>
      <c r="AU747" s="144" t="s">
        <v>90</v>
      </c>
      <c r="AV747" s="141" t="s">
        <v>87</v>
      </c>
      <c r="AW747" s="141" t="s">
        <v>33</v>
      </c>
      <c r="AX747" s="141" t="s">
        <v>80</v>
      </c>
      <c r="AY747" s="144" t="s">
        <v>337</v>
      </c>
    </row>
    <row r="748" spans="2:65" s="148" customFormat="1" x14ac:dyDescent="0.2">
      <c r="B748" s="149"/>
      <c r="D748" s="143" t="s">
        <v>346</v>
      </c>
      <c r="E748" s="150"/>
      <c r="F748" s="151" t="s">
        <v>2941</v>
      </c>
      <c r="H748" s="152">
        <v>4.585</v>
      </c>
      <c r="L748" s="149"/>
      <c r="M748" s="153"/>
      <c r="T748" s="154"/>
      <c r="AT748" s="150" t="s">
        <v>346</v>
      </c>
      <c r="AU748" s="150" t="s">
        <v>90</v>
      </c>
      <c r="AV748" s="148" t="s">
        <v>90</v>
      </c>
      <c r="AW748" s="148" t="s">
        <v>33</v>
      </c>
      <c r="AX748" s="148" t="s">
        <v>80</v>
      </c>
      <c r="AY748" s="150" t="s">
        <v>337</v>
      </c>
    </row>
    <row r="749" spans="2:65" s="141" customFormat="1" x14ac:dyDescent="0.2">
      <c r="B749" s="142"/>
      <c r="D749" s="143" t="s">
        <v>346</v>
      </c>
      <c r="E749" s="144"/>
      <c r="F749" s="145" t="s">
        <v>2522</v>
      </c>
      <c r="H749" s="144"/>
      <c r="L749" s="142"/>
      <c r="M749" s="146"/>
      <c r="T749" s="147"/>
      <c r="AT749" s="144" t="s">
        <v>346</v>
      </c>
      <c r="AU749" s="144" t="s">
        <v>90</v>
      </c>
      <c r="AV749" s="141" t="s">
        <v>87</v>
      </c>
      <c r="AW749" s="141" t="s">
        <v>33</v>
      </c>
      <c r="AX749" s="141" t="s">
        <v>80</v>
      </c>
      <c r="AY749" s="144" t="s">
        <v>337</v>
      </c>
    </row>
    <row r="750" spans="2:65" s="148" customFormat="1" x14ac:dyDescent="0.2">
      <c r="B750" s="149"/>
      <c r="D750" s="143" t="s">
        <v>346</v>
      </c>
      <c r="E750" s="150"/>
      <c r="F750" s="151" t="s">
        <v>2942</v>
      </c>
      <c r="H750" s="152">
        <v>64.435000000000002</v>
      </c>
      <c r="L750" s="149"/>
      <c r="M750" s="153"/>
      <c r="T750" s="154"/>
      <c r="AT750" s="150" t="s">
        <v>346</v>
      </c>
      <c r="AU750" s="150" t="s">
        <v>90</v>
      </c>
      <c r="AV750" s="148" t="s">
        <v>90</v>
      </c>
      <c r="AW750" s="148" t="s">
        <v>33</v>
      </c>
      <c r="AX750" s="148" t="s">
        <v>80</v>
      </c>
      <c r="AY750" s="150" t="s">
        <v>337</v>
      </c>
    </row>
    <row r="751" spans="2:65" s="141" customFormat="1" x14ac:dyDescent="0.2">
      <c r="B751" s="142"/>
      <c r="D751" s="143" t="s">
        <v>346</v>
      </c>
      <c r="E751" s="144"/>
      <c r="F751" s="145" t="s">
        <v>2664</v>
      </c>
      <c r="H751" s="144"/>
      <c r="L751" s="142"/>
      <c r="M751" s="146"/>
      <c r="T751" s="147"/>
      <c r="AT751" s="144" t="s">
        <v>346</v>
      </c>
      <c r="AU751" s="144" t="s">
        <v>90</v>
      </c>
      <c r="AV751" s="141" t="s">
        <v>87</v>
      </c>
      <c r="AW751" s="141" t="s">
        <v>33</v>
      </c>
      <c r="AX751" s="141" t="s">
        <v>80</v>
      </c>
      <c r="AY751" s="144" t="s">
        <v>337</v>
      </c>
    </row>
    <row r="752" spans="2:65" s="148" customFormat="1" x14ac:dyDescent="0.2">
      <c r="B752" s="149"/>
      <c r="D752" s="143" t="s">
        <v>346</v>
      </c>
      <c r="E752" s="150"/>
      <c r="F752" s="151" t="s">
        <v>2943</v>
      </c>
      <c r="H752" s="152">
        <v>222.95</v>
      </c>
      <c r="L752" s="149"/>
      <c r="M752" s="153"/>
      <c r="T752" s="154"/>
      <c r="AT752" s="150" t="s">
        <v>346</v>
      </c>
      <c r="AU752" s="150" t="s">
        <v>90</v>
      </c>
      <c r="AV752" s="148" t="s">
        <v>90</v>
      </c>
      <c r="AW752" s="148" t="s">
        <v>33</v>
      </c>
      <c r="AX752" s="148" t="s">
        <v>80</v>
      </c>
      <c r="AY752" s="150" t="s">
        <v>337</v>
      </c>
    </row>
    <row r="753" spans="2:51" s="141" customFormat="1" x14ac:dyDescent="0.2">
      <c r="B753" s="142"/>
      <c r="D753" s="143" t="s">
        <v>346</v>
      </c>
      <c r="E753" s="144"/>
      <c r="F753" s="145" t="s">
        <v>2695</v>
      </c>
      <c r="H753" s="144"/>
      <c r="L753" s="142"/>
      <c r="M753" s="146"/>
      <c r="T753" s="147"/>
      <c r="AT753" s="144" t="s">
        <v>346</v>
      </c>
      <c r="AU753" s="144" t="s">
        <v>90</v>
      </c>
      <c r="AV753" s="141" t="s">
        <v>87</v>
      </c>
      <c r="AW753" s="141" t="s">
        <v>33</v>
      </c>
      <c r="AX753" s="141" t="s">
        <v>80</v>
      </c>
      <c r="AY753" s="144" t="s">
        <v>337</v>
      </c>
    </row>
    <row r="754" spans="2:51" s="148" customFormat="1" x14ac:dyDescent="0.2">
      <c r="B754" s="149"/>
      <c r="D754" s="143" t="s">
        <v>346</v>
      </c>
      <c r="E754" s="150"/>
      <c r="F754" s="151" t="s">
        <v>2944</v>
      </c>
      <c r="H754" s="152">
        <v>222.81</v>
      </c>
      <c r="L754" s="149"/>
      <c r="M754" s="153"/>
      <c r="T754" s="154"/>
      <c r="AT754" s="150" t="s">
        <v>346</v>
      </c>
      <c r="AU754" s="150" t="s">
        <v>90</v>
      </c>
      <c r="AV754" s="148" t="s">
        <v>90</v>
      </c>
      <c r="AW754" s="148" t="s">
        <v>33</v>
      </c>
      <c r="AX754" s="148" t="s">
        <v>80</v>
      </c>
      <c r="AY754" s="150" t="s">
        <v>337</v>
      </c>
    </row>
    <row r="755" spans="2:51" s="141" customFormat="1" x14ac:dyDescent="0.2">
      <c r="B755" s="142"/>
      <c r="D755" s="143" t="s">
        <v>346</v>
      </c>
      <c r="E755" s="144"/>
      <c r="F755" s="145" t="s">
        <v>2722</v>
      </c>
      <c r="H755" s="144"/>
      <c r="L755" s="142"/>
      <c r="M755" s="146"/>
      <c r="T755" s="147"/>
      <c r="AT755" s="144" t="s">
        <v>346</v>
      </c>
      <c r="AU755" s="144" t="s">
        <v>90</v>
      </c>
      <c r="AV755" s="141" t="s">
        <v>87</v>
      </c>
      <c r="AW755" s="141" t="s">
        <v>33</v>
      </c>
      <c r="AX755" s="141" t="s">
        <v>80</v>
      </c>
      <c r="AY755" s="144" t="s">
        <v>337</v>
      </c>
    </row>
    <row r="756" spans="2:51" s="148" customFormat="1" x14ac:dyDescent="0.2">
      <c r="B756" s="149"/>
      <c r="D756" s="143" t="s">
        <v>346</v>
      </c>
      <c r="E756" s="150"/>
      <c r="F756" s="151" t="s">
        <v>2945</v>
      </c>
      <c r="H756" s="152">
        <v>243.14500000000001</v>
      </c>
      <c r="L756" s="149"/>
      <c r="M756" s="153"/>
      <c r="T756" s="154"/>
      <c r="AT756" s="150" t="s">
        <v>346</v>
      </c>
      <c r="AU756" s="150" t="s">
        <v>90</v>
      </c>
      <c r="AV756" s="148" t="s">
        <v>90</v>
      </c>
      <c r="AW756" s="148" t="s">
        <v>33</v>
      </c>
      <c r="AX756" s="148" t="s">
        <v>80</v>
      </c>
      <c r="AY756" s="150" t="s">
        <v>337</v>
      </c>
    </row>
    <row r="757" spans="2:51" s="141" customFormat="1" x14ac:dyDescent="0.2">
      <c r="B757" s="142"/>
      <c r="D757" s="143" t="s">
        <v>346</v>
      </c>
      <c r="E757" s="144"/>
      <c r="F757" s="145" t="s">
        <v>2742</v>
      </c>
      <c r="H757" s="144"/>
      <c r="L757" s="142"/>
      <c r="M757" s="146"/>
      <c r="T757" s="147"/>
      <c r="AT757" s="144" t="s">
        <v>346</v>
      </c>
      <c r="AU757" s="144" t="s">
        <v>90</v>
      </c>
      <c r="AV757" s="141" t="s">
        <v>87</v>
      </c>
      <c r="AW757" s="141" t="s">
        <v>33</v>
      </c>
      <c r="AX757" s="141" t="s">
        <v>80</v>
      </c>
      <c r="AY757" s="144" t="s">
        <v>337</v>
      </c>
    </row>
    <row r="758" spans="2:51" s="148" customFormat="1" x14ac:dyDescent="0.2">
      <c r="B758" s="149"/>
      <c r="D758" s="143" t="s">
        <v>346</v>
      </c>
      <c r="E758" s="150"/>
      <c r="F758" s="151" t="s">
        <v>2946</v>
      </c>
      <c r="H758" s="152">
        <v>215.005</v>
      </c>
      <c r="L758" s="149"/>
      <c r="M758" s="153"/>
      <c r="T758" s="154"/>
      <c r="AT758" s="150" t="s">
        <v>346</v>
      </c>
      <c r="AU758" s="150" t="s">
        <v>90</v>
      </c>
      <c r="AV758" s="148" t="s">
        <v>90</v>
      </c>
      <c r="AW758" s="148" t="s">
        <v>33</v>
      </c>
      <c r="AX758" s="148" t="s">
        <v>80</v>
      </c>
      <c r="AY758" s="150" t="s">
        <v>337</v>
      </c>
    </row>
    <row r="759" spans="2:51" s="141" customFormat="1" x14ac:dyDescent="0.2">
      <c r="B759" s="142"/>
      <c r="D759" s="143" t="s">
        <v>346</v>
      </c>
      <c r="E759" s="144"/>
      <c r="F759" s="145" t="s">
        <v>2757</v>
      </c>
      <c r="H759" s="144"/>
      <c r="L759" s="142"/>
      <c r="M759" s="146"/>
      <c r="T759" s="147"/>
      <c r="AT759" s="144" t="s">
        <v>346</v>
      </c>
      <c r="AU759" s="144" t="s">
        <v>90</v>
      </c>
      <c r="AV759" s="141" t="s">
        <v>87</v>
      </c>
      <c r="AW759" s="141" t="s">
        <v>33</v>
      </c>
      <c r="AX759" s="141" t="s">
        <v>80</v>
      </c>
      <c r="AY759" s="144" t="s">
        <v>337</v>
      </c>
    </row>
    <row r="760" spans="2:51" s="148" customFormat="1" x14ac:dyDescent="0.2">
      <c r="B760" s="149"/>
      <c r="D760" s="143" t="s">
        <v>346</v>
      </c>
      <c r="E760" s="150"/>
      <c r="F760" s="151" t="s">
        <v>2947</v>
      </c>
      <c r="H760" s="152">
        <v>316.22500000000002</v>
      </c>
      <c r="L760" s="149"/>
      <c r="M760" s="153"/>
      <c r="T760" s="154"/>
      <c r="AT760" s="150" t="s">
        <v>346</v>
      </c>
      <c r="AU760" s="150" t="s">
        <v>90</v>
      </c>
      <c r="AV760" s="148" t="s">
        <v>90</v>
      </c>
      <c r="AW760" s="148" t="s">
        <v>33</v>
      </c>
      <c r="AX760" s="148" t="s">
        <v>80</v>
      </c>
      <c r="AY760" s="150" t="s">
        <v>337</v>
      </c>
    </row>
    <row r="761" spans="2:51" s="141" customFormat="1" x14ac:dyDescent="0.2">
      <c r="B761" s="142"/>
      <c r="D761" s="143" t="s">
        <v>346</v>
      </c>
      <c r="E761" s="144"/>
      <c r="F761" s="145" t="s">
        <v>2948</v>
      </c>
      <c r="H761" s="144"/>
      <c r="L761" s="142"/>
      <c r="M761" s="146"/>
      <c r="T761" s="147"/>
      <c r="AT761" s="144" t="s">
        <v>346</v>
      </c>
      <c r="AU761" s="144" t="s">
        <v>90</v>
      </c>
      <c r="AV761" s="141" t="s">
        <v>87</v>
      </c>
      <c r="AW761" s="141" t="s">
        <v>33</v>
      </c>
      <c r="AX761" s="141" t="s">
        <v>80</v>
      </c>
      <c r="AY761" s="144" t="s">
        <v>337</v>
      </c>
    </row>
    <row r="762" spans="2:51" s="141" customFormat="1" x14ac:dyDescent="0.2">
      <c r="B762" s="142"/>
      <c r="D762" s="143" t="s">
        <v>346</v>
      </c>
      <c r="E762" s="144"/>
      <c r="F762" s="145" t="s">
        <v>2949</v>
      </c>
      <c r="H762" s="144"/>
      <c r="L762" s="142"/>
      <c r="M762" s="146"/>
      <c r="T762" s="147"/>
      <c r="AT762" s="144" t="s">
        <v>346</v>
      </c>
      <c r="AU762" s="144" t="s">
        <v>90</v>
      </c>
      <c r="AV762" s="141" t="s">
        <v>87</v>
      </c>
      <c r="AW762" s="141" t="s">
        <v>33</v>
      </c>
      <c r="AX762" s="141" t="s">
        <v>80</v>
      </c>
      <c r="AY762" s="144" t="s">
        <v>337</v>
      </c>
    </row>
    <row r="763" spans="2:51" s="148" customFormat="1" x14ac:dyDescent="0.2">
      <c r="B763" s="149"/>
      <c r="D763" s="143" t="s">
        <v>346</v>
      </c>
      <c r="E763" s="150"/>
      <c r="F763" s="151" t="s">
        <v>2950</v>
      </c>
      <c r="H763" s="152">
        <v>6.5209999999999999</v>
      </c>
      <c r="L763" s="149"/>
      <c r="M763" s="153"/>
      <c r="T763" s="154"/>
      <c r="AT763" s="150" t="s">
        <v>346</v>
      </c>
      <c r="AU763" s="150" t="s">
        <v>90</v>
      </c>
      <c r="AV763" s="148" t="s">
        <v>90</v>
      </c>
      <c r="AW763" s="148" t="s">
        <v>33</v>
      </c>
      <c r="AX763" s="148" t="s">
        <v>80</v>
      </c>
      <c r="AY763" s="150" t="s">
        <v>337</v>
      </c>
    </row>
    <row r="764" spans="2:51" s="141" customFormat="1" x14ac:dyDescent="0.2">
      <c r="B764" s="142"/>
      <c r="D764" s="143" t="s">
        <v>346</v>
      </c>
      <c r="E764" s="144"/>
      <c r="F764" s="145" t="s">
        <v>2951</v>
      </c>
      <c r="H764" s="144"/>
      <c r="L764" s="142"/>
      <c r="M764" s="146"/>
      <c r="T764" s="147"/>
      <c r="AT764" s="144" t="s">
        <v>346</v>
      </c>
      <c r="AU764" s="144" t="s">
        <v>90</v>
      </c>
      <c r="AV764" s="141" t="s">
        <v>87</v>
      </c>
      <c r="AW764" s="141" t="s">
        <v>33</v>
      </c>
      <c r="AX764" s="141" t="s">
        <v>80</v>
      </c>
      <c r="AY764" s="144" t="s">
        <v>337</v>
      </c>
    </row>
    <row r="765" spans="2:51" s="148" customFormat="1" x14ac:dyDescent="0.2">
      <c r="B765" s="149"/>
      <c r="D765" s="143" t="s">
        <v>346</v>
      </c>
      <c r="E765" s="150"/>
      <c r="F765" s="151" t="s">
        <v>2952</v>
      </c>
      <c r="H765" s="152">
        <v>4.8369999999999997</v>
      </c>
      <c r="L765" s="149"/>
      <c r="M765" s="153"/>
      <c r="T765" s="154"/>
      <c r="AT765" s="150" t="s">
        <v>346</v>
      </c>
      <c r="AU765" s="150" t="s">
        <v>90</v>
      </c>
      <c r="AV765" s="148" t="s">
        <v>90</v>
      </c>
      <c r="AW765" s="148" t="s">
        <v>33</v>
      </c>
      <c r="AX765" s="148" t="s">
        <v>80</v>
      </c>
      <c r="AY765" s="150" t="s">
        <v>337</v>
      </c>
    </row>
    <row r="766" spans="2:51" s="141" customFormat="1" x14ac:dyDescent="0.2">
      <c r="B766" s="142"/>
      <c r="D766" s="143" t="s">
        <v>346</v>
      </c>
      <c r="E766" s="144"/>
      <c r="F766" s="145" t="s">
        <v>2953</v>
      </c>
      <c r="H766" s="144"/>
      <c r="L766" s="142"/>
      <c r="M766" s="146"/>
      <c r="T766" s="147"/>
      <c r="AT766" s="144" t="s">
        <v>346</v>
      </c>
      <c r="AU766" s="144" t="s">
        <v>90</v>
      </c>
      <c r="AV766" s="141" t="s">
        <v>87</v>
      </c>
      <c r="AW766" s="141" t="s">
        <v>33</v>
      </c>
      <c r="AX766" s="141" t="s">
        <v>80</v>
      </c>
      <c r="AY766" s="144" t="s">
        <v>337</v>
      </c>
    </row>
    <row r="767" spans="2:51" s="148" customFormat="1" x14ac:dyDescent="0.2">
      <c r="B767" s="149"/>
      <c r="D767" s="143" t="s">
        <v>346</v>
      </c>
      <c r="E767" s="150"/>
      <c r="F767" s="151" t="s">
        <v>2954</v>
      </c>
      <c r="H767" s="152">
        <v>8.39</v>
      </c>
      <c r="L767" s="149"/>
      <c r="M767" s="153"/>
      <c r="T767" s="154"/>
      <c r="AT767" s="150" t="s">
        <v>346</v>
      </c>
      <c r="AU767" s="150" t="s">
        <v>90</v>
      </c>
      <c r="AV767" s="148" t="s">
        <v>90</v>
      </c>
      <c r="AW767" s="148" t="s">
        <v>33</v>
      </c>
      <c r="AX767" s="148" t="s">
        <v>80</v>
      </c>
      <c r="AY767" s="150" t="s">
        <v>337</v>
      </c>
    </row>
    <row r="768" spans="2:51" s="141" customFormat="1" x14ac:dyDescent="0.2">
      <c r="B768" s="142"/>
      <c r="D768" s="143" t="s">
        <v>346</v>
      </c>
      <c r="E768" s="144"/>
      <c r="F768" s="145" t="s">
        <v>2955</v>
      </c>
      <c r="H768" s="144"/>
      <c r="L768" s="142"/>
      <c r="M768" s="146"/>
      <c r="T768" s="147"/>
      <c r="AT768" s="144" t="s">
        <v>346</v>
      </c>
      <c r="AU768" s="144" t="s">
        <v>90</v>
      </c>
      <c r="AV768" s="141" t="s">
        <v>87</v>
      </c>
      <c r="AW768" s="141" t="s">
        <v>33</v>
      </c>
      <c r="AX768" s="141" t="s">
        <v>80</v>
      </c>
      <c r="AY768" s="144" t="s">
        <v>337</v>
      </c>
    </row>
    <row r="769" spans="2:51" s="148" customFormat="1" x14ac:dyDescent="0.2">
      <c r="B769" s="149"/>
      <c r="D769" s="143" t="s">
        <v>346</v>
      </c>
      <c r="E769" s="150"/>
      <c r="F769" s="151" t="s">
        <v>2956</v>
      </c>
      <c r="H769" s="152">
        <v>23.009</v>
      </c>
      <c r="L769" s="149"/>
      <c r="M769" s="153"/>
      <c r="T769" s="154"/>
      <c r="AT769" s="150" t="s">
        <v>346</v>
      </c>
      <c r="AU769" s="150" t="s">
        <v>90</v>
      </c>
      <c r="AV769" s="148" t="s">
        <v>90</v>
      </c>
      <c r="AW769" s="148" t="s">
        <v>33</v>
      </c>
      <c r="AX769" s="148" t="s">
        <v>80</v>
      </c>
      <c r="AY769" s="150" t="s">
        <v>337</v>
      </c>
    </row>
    <row r="770" spans="2:51" s="141" customFormat="1" x14ac:dyDescent="0.2">
      <c r="B770" s="142"/>
      <c r="D770" s="143" t="s">
        <v>346</v>
      </c>
      <c r="E770" s="144"/>
      <c r="F770" s="145" t="s">
        <v>2957</v>
      </c>
      <c r="H770" s="144"/>
      <c r="L770" s="142"/>
      <c r="M770" s="146"/>
      <c r="T770" s="147"/>
      <c r="AT770" s="144" t="s">
        <v>346</v>
      </c>
      <c r="AU770" s="144" t="s">
        <v>90</v>
      </c>
      <c r="AV770" s="141" t="s">
        <v>87</v>
      </c>
      <c r="AW770" s="141" t="s">
        <v>33</v>
      </c>
      <c r="AX770" s="141" t="s">
        <v>80</v>
      </c>
      <c r="AY770" s="144" t="s">
        <v>337</v>
      </c>
    </row>
    <row r="771" spans="2:51" s="148" customFormat="1" x14ac:dyDescent="0.2">
      <c r="B771" s="149"/>
      <c r="D771" s="143" t="s">
        <v>346</v>
      </c>
      <c r="E771" s="150"/>
      <c r="F771" s="151" t="s">
        <v>2958</v>
      </c>
      <c r="H771" s="152">
        <v>25.431000000000001</v>
      </c>
      <c r="L771" s="149"/>
      <c r="M771" s="153"/>
      <c r="T771" s="154"/>
      <c r="AT771" s="150" t="s">
        <v>346</v>
      </c>
      <c r="AU771" s="150" t="s">
        <v>90</v>
      </c>
      <c r="AV771" s="148" t="s">
        <v>90</v>
      </c>
      <c r="AW771" s="148" t="s">
        <v>33</v>
      </c>
      <c r="AX771" s="148" t="s">
        <v>80</v>
      </c>
      <c r="AY771" s="150" t="s">
        <v>337</v>
      </c>
    </row>
    <row r="772" spans="2:51" s="141" customFormat="1" x14ac:dyDescent="0.2">
      <c r="B772" s="142"/>
      <c r="D772" s="143" t="s">
        <v>346</v>
      </c>
      <c r="E772" s="144"/>
      <c r="F772" s="145" t="s">
        <v>2959</v>
      </c>
      <c r="H772" s="144"/>
      <c r="L772" s="142"/>
      <c r="M772" s="146"/>
      <c r="T772" s="147"/>
      <c r="AT772" s="144" t="s">
        <v>346</v>
      </c>
      <c r="AU772" s="144" t="s">
        <v>90</v>
      </c>
      <c r="AV772" s="141" t="s">
        <v>87</v>
      </c>
      <c r="AW772" s="141" t="s">
        <v>33</v>
      </c>
      <c r="AX772" s="141" t="s">
        <v>80</v>
      </c>
      <c r="AY772" s="144" t="s">
        <v>337</v>
      </c>
    </row>
    <row r="773" spans="2:51" s="148" customFormat="1" x14ac:dyDescent="0.2">
      <c r="B773" s="149"/>
      <c r="D773" s="143" t="s">
        <v>346</v>
      </c>
      <c r="E773" s="150"/>
      <c r="F773" s="151" t="s">
        <v>2960</v>
      </c>
      <c r="H773" s="152">
        <v>4.12</v>
      </c>
      <c r="L773" s="149"/>
      <c r="M773" s="153"/>
      <c r="T773" s="154"/>
      <c r="AT773" s="150" t="s">
        <v>346</v>
      </c>
      <c r="AU773" s="150" t="s">
        <v>90</v>
      </c>
      <c r="AV773" s="148" t="s">
        <v>90</v>
      </c>
      <c r="AW773" s="148" t="s">
        <v>33</v>
      </c>
      <c r="AX773" s="148" t="s">
        <v>80</v>
      </c>
      <c r="AY773" s="150" t="s">
        <v>337</v>
      </c>
    </row>
    <row r="774" spans="2:51" s="141" customFormat="1" x14ac:dyDescent="0.2">
      <c r="B774" s="142"/>
      <c r="D774" s="143" t="s">
        <v>346</v>
      </c>
      <c r="E774" s="144"/>
      <c r="F774" s="145" t="s">
        <v>2961</v>
      </c>
      <c r="H774" s="144"/>
      <c r="L774" s="142"/>
      <c r="M774" s="146"/>
      <c r="T774" s="147"/>
      <c r="AT774" s="144" t="s">
        <v>346</v>
      </c>
      <c r="AU774" s="144" t="s">
        <v>90</v>
      </c>
      <c r="AV774" s="141" t="s">
        <v>87</v>
      </c>
      <c r="AW774" s="141" t="s">
        <v>33</v>
      </c>
      <c r="AX774" s="141" t="s">
        <v>80</v>
      </c>
      <c r="AY774" s="144" t="s">
        <v>337</v>
      </c>
    </row>
    <row r="775" spans="2:51" s="148" customFormat="1" x14ac:dyDescent="0.2">
      <c r="B775" s="149"/>
      <c r="D775" s="143" t="s">
        <v>346</v>
      </c>
      <c r="E775" s="150"/>
      <c r="F775" s="151" t="s">
        <v>2962</v>
      </c>
      <c r="H775" s="152">
        <v>2.0550000000000002</v>
      </c>
      <c r="L775" s="149"/>
      <c r="M775" s="153"/>
      <c r="T775" s="154"/>
      <c r="AT775" s="150" t="s">
        <v>346</v>
      </c>
      <c r="AU775" s="150" t="s">
        <v>90</v>
      </c>
      <c r="AV775" s="148" t="s">
        <v>90</v>
      </c>
      <c r="AW775" s="148" t="s">
        <v>33</v>
      </c>
      <c r="AX775" s="148" t="s">
        <v>80</v>
      </c>
      <c r="AY775" s="150" t="s">
        <v>337</v>
      </c>
    </row>
    <row r="776" spans="2:51" s="141" customFormat="1" x14ac:dyDescent="0.2">
      <c r="B776" s="142"/>
      <c r="D776" s="143" t="s">
        <v>346</v>
      </c>
      <c r="E776" s="144"/>
      <c r="F776" s="145" t="s">
        <v>2963</v>
      </c>
      <c r="H776" s="144"/>
      <c r="L776" s="142"/>
      <c r="M776" s="146"/>
      <c r="T776" s="147"/>
      <c r="AT776" s="144" t="s">
        <v>346</v>
      </c>
      <c r="AU776" s="144" t="s">
        <v>90</v>
      </c>
      <c r="AV776" s="141" t="s">
        <v>87</v>
      </c>
      <c r="AW776" s="141" t="s">
        <v>33</v>
      </c>
      <c r="AX776" s="141" t="s">
        <v>80</v>
      </c>
      <c r="AY776" s="144" t="s">
        <v>337</v>
      </c>
    </row>
    <row r="777" spans="2:51" s="148" customFormat="1" x14ac:dyDescent="0.2">
      <c r="B777" s="149"/>
      <c r="D777" s="143" t="s">
        <v>346</v>
      </c>
      <c r="E777" s="150"/>
      <c r="F777" s="151" t="s">
        <v>2964</v>
      </c>
      <c r="H777" s="152">
        <v>3.4129999999999998</v>
      </c>
      <c r="L777" s="149"/>
      <c r="M777" s="153"/>
      <c r="T777" s="154"/>
      <c r="AT777" s="150" t="s">
        <v>346</v>
      </c>
      <c r="AU777" s="150" t="s">
        <v>90</v>
      </c>
      <c r="AV777" s="148" t="s">
        <v>90</v>
      </c>
      <c r="AW777" s="148" t="s">
        <v>33</v>
      </c>
      <c r="AX777" s="148" t="s">
        <v>80</v>
      </c>
      <c r="AY777" s="150" t="s">
        <v>337</v>
      </c>
    </row>
    <row r="778" spans="2:51" s="141" customFormat="1" ht="22.5" x14ac:dyDescent="0.2">
      <c r="B778" s="142"/>
      <c r="D778" s="143" t="s">
        <v>346</v>
      </c>
      <c r="E778" s="144"/>
      <c r="F778" s="145" t="s">
        <v>2965</v>
      </c>
      <c r="H778" s="144"/>
      <c r="L778" s="142"/>
      <c r="M778" s="146"/>
      <c r="T778" s="147"/>
      <c r="AT778" s="144" t="s">
        <v>346</v>
      </c>
      <c r="AU778" s="144" t="s">
        <v>90</v>
      </c>
      <c r="AV778" s="141" t="s">
        <v>87</v>
      </c>
      <c r="AW778" s="141" t="s">
        <v>33</v>
      </c>
      <c r="AX778" s="141" t="s">
        <v>80</v>
      </c>
      <c r="AY778" s="144" t="s">
        <v>337</v>
      </c>
    </row>
    <row r="779" spans="2:51" s="148" customFormat="1" x14ac:dyDescent="0.2">
      <c r="B779" s="149"/>
      <c r="D779" s="143" t="s">
        <v>346</v>
      </c>
      <c r="E779" s="150"/>
      <c r="F779" s="151" t="s">
        <v>2966</v>
      </c>
      <c r="H779" s="152">
        <v>-341.25</v>
      </c>
      <c r="L779" s="149"/>
      <c r="M779" s="153"/>
      <c r="T779" s="154"/>
      <c r="AT779" s="150" t="s">
        <v>346</v>
      </c>
      <c r="AU779" s="150" t="s">
        <v>90</v>
      </c>
      <c r="AV779" s="148" t="s">
        <v>90</v>
      </c>
      <c r="AW779" s="148" t="s">
        <v>33</v>
      </c>
      <c r="AX779" s="148" t="s">
        <v>80</v>
      </c>
      <c r="AY779" s="150" t="s">
        <v>337</v>
      </c>
    </row>
    <row r="780" spans="2:51" s="141" customFormat="1" x14ac:dyDescent="0.2">
      <c r="B780" s="142"/>
      <c r="D780" s="143" t="s">
        <v>346</v>
      </c>
      <c r="E780" s="144"/>
      <c r="F780" s="145" t="s">
        <v>2782</v>
      </c>
      <c r="H780" s="144"/>
      <c r="L780" s="142"/>
      <c r="M780" s="146"/>
      <c r="T780" s="147"/>
      <c r="AT780" s="144" t="s">
        <v>346</v>
      </c>
      <c r="AU780" s="144" t="s">
        <v>90</v>
      </c>
      <c r="AV780" s="141" t="s">
        <v>87</v>
      </c>
      <c r="AW780" s="141" t="s">
        <v>33</v>
      </c>
      <c r="AX780" s="141" t="s">
        <v>80</v>
      </c>
      <c r="AY780" s="144" t="s">
        <v>337</v>
      </c>
    </row>
    <row r="781" spans="2:51" s="148" customFormat="1" x14ac:dyDescent="0.2">
      <c r="B781" s="149"/>
      <c r="D781" s="143" t="s">
        <v>346</v>
      </c>
      <c r="E781" s="150"/>
      <c r="F781" s="151" t="s">
        <v>2950</v>
      </c>
      <c r="H781" s="152">
        <v>6.5209999999999999</v>
      </c>
      <c r="L781" s="149"/>
      <c r="M781" s="153"/>
      <c r="T781" s="154"/>
      <c r="AT781" s="150" t="s">
        <v>346</v>
      </c>
      <c r="AU781" s="150" t="s">
        <v>90</v>
      </c>
      <c r="AV781" s="148" t="s">
        <v>90</v>
      </c>
      <c r="AW781" s="148" t="s">
        <v>33</v>
      </c>
      <c r="AX781" s="148" t="s">
        <v>80</v>
      </c>
      <c r="AY781" s="150" t="s">
        <v>337</v>
      </c>
    </row>
    <row r="782" spans="2:51" s="141" customFormat="1" x14ac:dyDescent="0.2">
      <c r="B782" s="142"/>
      <c r="D782" s="143" t="s">
        <v>346</v>
      </c>
      <c r="E782" s="144"/>
      <c r="F782" s="145" t="s">
        <v>2784</v>
      </c>
      <c r="H782" s="144"/>
      <c r="L782" s="142"/>
      <c r="M782" s="146"/>
      <c r="T782" s="147"/>
      <c r="AT782" s="144" t="s">
        <v>346</v>
      </c>
      <c r="AU782" s="144" t="s">
        <v>90</v>
      </c>
      <c r="AV782" s="141" t="s">
        <v>87</v>
      </c>
      <c r="AW782" s="141" t="s">
        <v>33</v>
      </c>
      <c r="AX782" s="141" t="s">
        <v>80</v>
      </c>
      <c r="AY782" s="144" t="s">
        <v>337</v>
      </c>
    </row>
    <row r="783" spans="2:51" s="148" customFormat="1" x14ac:dyDescent="0.2">
      <c r="B783" s="149"/>
      <c r="D783" s="143" t="s">
        <v>346</v>
      </c>
      <c r="E783" s="150"/>
      <c r="F783" s="151" t="s">
        <v>2950</v>
      </c>
      <c r="H783" s="152">
        <v>6.5209999999999999</v>
      </c>
      <c r="L783" s="149"/>
      <c r="M783" s="153"/>
      <c r="T783" s="154"/>
      <c r="AT783" s="150" t="s">
        <v>346</v>
      </c>
      <c r="AU783" s="150" t="s">
        <v>90</v>
      </c>
      <c r="AV783" s="148" t="s">
        <v>90</v>
      </c>
      <c r="AW783" s="148" t="s">
        <v>33</v>
      </c>
      <c r="AX783" s="148" t="s">
        <v>80</v>
      </c>
      <c r="AY783" s="150" t="s">
        <v>337</v>
      </c>
    </row>
    <row r="784" spans="2:51" s="141" customFormat="1" x14ac:dyDescent="0.2">
      <c r="B784" s="142"/>
      <c r="D784" s="143" t="s">
        <v>346</v>
      </c>
      <c r="E784" s="144"/>
      <c r="F784" s="145" t="s">
        <v>2785</v>
      </c>
      <c r="H784" s="144"/>
      <c r="L784" s="142"/>
      <c r="M784" s="146"/>
      <c r="T784" s="147"/>
      <c r="AT784" s="144" t="s">
        <v>346</v>
      </c>
      <c r="AU784" s="144" t="s">
        <v>90</v>
      </c>
      <c r="AV784" s="141" t="s">
        <v>87</v>
      </c>
      <c r="AW784" s="141" t="s">
        <v>33</v>
      </c>
      <c r="AX784" s="141" t="s">
        <v>80</v>
      </c>
      <c r="AY784" s="144" t="s">
        <v>337</v>
      </c>
    </row>
    <row r="785" spans="2:65" s="148" customFormat="1" x14ac:dyDescent="0.2">
      <c r="B785" s="149"/>
      <c r="D785" s="143" t="s">
        <v>346</v>
      </c>
      <c r="E785" s="150"/>
      <c r="F785" s="151" t="s">
        <v>2967</v>
      </c>
      <c r="H785" s="152">
        <v>2.9649999999999999</v>
      </c>
      <c r="L785" s="149"/>
      <c r="M785" s="153"/>
      <c r="T785" s="154"/>
      <c r="AT785" s="150" t="s">
        <v>346</v>
      </c>
      <c r="AU785" s="150" t="s">
        <v>90</v>
      </c>
      <c r="AV785" s="148" t="s">
        <v>90</v>
      </c>
      <c r="AW785" s="148" t="s">
        <v>33</v>
      </c>
      <c r="AX785" s="148" t="s">
        <v>80</v>
      </c>
      <c r="AY785" s="150" t="s">
        <v>337</v>
      </c>
    </row>
    <row r="786" spans="2:65" s="141" customFormat="1" x14ac:dyDescent="0.2">
      <c r="B786" s="142"/>
      <c r="D786" s="143" t="s">
        <v>346</v>
      </c>
      <c r="E786" s="144"/>
      <c r="F786" s="145" t="s">
        <v>2787</v>
      </c>
      <c r="H786" s="144"/>
      <c r="L786" s="142"/>
      <c r="M786" s="146"/>
      <c r="T786" s="147"/>
      <c r="AT786" s="144" t="s">
        <v>346</v>
      </c>
      <c r="AU786" s="144" t="s">
        <v>90</v>
      </c>
      <c r="AV786" s="141" t="s">
        <v>87</v>
      </c>
      <c r="AW786" s="141" t="s">
        <v>33</v>
      </c>
      <c r="AX786" s="141" t="s">
        <v>80</v>
      </c>
      <c r="AY786" s="144" t="s">
        <v>337</v>
      </c>
    </row>
    <row r="787" spans="2:65" s="148" customFormat="1" x14ac:dyDescent="0.2">
      <c r="B787" s="149"/>
      <c r="D787" s="143" t="s">
        <v>346</v>
      </c>
      <c r="E787" s="150"/>
      <c r="F787" s="151" t="s">
        <v>2968</v>
      </c>
      <c r="H787" s="152">
        <v>5.282</v>
      </c>
      <c r="L787" s="149"/>
      <c r="M787" s="153"/>
      <c r="T787" s="154"/>
      <c r="AT787" s="150" t="s">
        <v>346</v>
      </c>
      <c r="AU787" s="150" t="s">
        <v>90</v>
      </c>
      <c r="AV787" s="148" t="s">
        <v>90</v>
      </c>
      <c r="AW787" s="148" t="s">
        <v>33</v>
      </c>
      <c r="AX787" s="148" t="s">
        <v>80</v>
      </c>
      <c r="AY787" s="150" t="s">
        <v>337</v>
      </c>
    </row>
    <row r="788" spans="2:65" s="141" customFormat="1" x14ac:dyDescent="0.2">
      <c r="B788" s="142"/>
      <c r="D788" s="143" t="s">
        <v>346</v>
      </c>
      <c r="E788" s="144"/>
      <c r="F788" s="145" t="s">
        <v>2789</v>
      </c>
      <c r="H788" s="144"/>
      <c r="L788" s="142"/>
      <c r="M788" s="146"/>
      <c r="T788" s="147"/>
      <c r="AT788" s="144" t="s">
        <v>346</v>
      </c>
      <c r="AU788" s="144" t="s">
        <v>90</v>
      </c>
      <c r="AV788" s="141" t="s">
        <v>87</v>
      </c>
      <c r="AW788" s="141" t="s">
        <v>33</v>
      </c>
      <c r="AX788" s="141" t="s">
        <v>80</v>
      </c>
      <c r="AY788" s="144" t="s">
        <v>337</v>
      </c>
    </row>
    <row r="789" spans="2:65" s="148" customFormat="1" x14ac:dyDescent="0.2">
      <c r="B789" s="149"/>
      <c r="D789" s="143" t="s">
        <v>346</v>
      </c>
      <c r="E789" s="150"/>
      <c r="F789" s="151" t="s">
        <v>2969</v>
      </c>
      <c r="H789" s="152">
        <v>8.5190000000000001</v>
      </c>
      <c r="L789" s="149"/>
      <c r="M789" s="153"/>
      <c r="T789" s="154"/>
      <c r="AT789" s="150" t="s">
        <v>346</v>
      </c>
      <c r="AU789" s="150" t="s">
        <v>90</v>
      </c>
      <c r="AV789" s="148" t="s">
        <v>90</v>
      </c>
      <c r="AW789" s="148" t="s">
        <v>33</v>
      </c>
      <c r="AX789" s="148" t="s">
        <v>80</v>
      </c>
      <c r="AY789" s="150" t="s">
        <v>337</v>
      </c>
    </row>
    <row r="790" spans="2:65" s="172" customFormat="1" x14ac:dyDescent="0.2">
      <c r="B790" s="173"/>
      <c r="D790" s="143" t="s">
        <v>346</v>
      </c>
      <c r="E790" s="174" t="s">
        <v>2439</v>
      </c>
      <c r="F790" s="175" t="s">
        <v>609</v>
      </c>
      <c r="H790" s="176">
        <v>1055.489</v>
      </c>
      <c r="L790" s="173"/>
      <c r="M790" s="177"/>
      <c r="T790" s="178"/>
      <c r="AT790" s="174" t="s">
        <v>346</v>
      </c>
      <c r="AU790" s="174" t="s">
        <v>90</v>
      </c>
      <c r="AV790" s="172" t="s">
        <v>113</v>
      </c>
      <c r="AW790" s="172" t="s">
        <v>33</v>
      </c>
      <c r="AX790" s="172" t="s">
        <v>87</v>
      </c>
      <c r="AY790" s="174" t="s">
        <v>337</v>
      </c>
    </row>
    <row r="791" spans="2:65" s="16" customFormat="1" ht="16.5" customHeight="1" x14ac:dyDescent="0.2">
      <c r="B791" s="17"/>
      <c r="C791" s="128">
        <v>43</v>
      </c>
      <c r="D791" s="128" t="s">
        <v>339</v>
      </c>
      <c r="E791" s="129" t="s">
        <v>2970</v>
      </c>
      <c r="F791" s="130" t="s">
        <v>2971</v>
      </c>
      <c r="G791" s="131" t="s">
        <v>425</v>
      </c>
      <c r="H791" s="132">
        <v>1055.489</v>
      </c>
      <c r="I791" s="133"/>
      <c r="J791" s="134">
        <f>ROUND(I791*H791,2)</f>
        <v>0</v>
      </c>
      <c r="K791" s="130" t="s">
        <v>343</v>
      </c>
      <c r="L791" s="17"/>
      <c r="M791" s="135"/>
      <c r="N791" s="136" t="s">
        <v>45</v>
      </c>
      <c r="P791" s="137">
        <f>O791*H791</f>
        <v>0</v>
      </c>
      <c r="Q791" s="137">
        <v>1.3999999999999999E-4</v>
      </c>
      <c r="R791" s="137">
        <f>Q791*H791</f>
        <v>0.14776845999999999</v>
      </c>
      <c r="S791" s="137">
        <v>0</v>
      </c>
      <c r="T791" s="138">
        <f>S791*H791</f>
        <v>0</v>
      </c>
      <c r="AR791" s="139" t="s">
        <v>496</v>
      </c>
      <c r="AT791" s="139" t="s">
        <v>339</v>
      </c>
      <c r="AU791" s="139" t="s">
        <v>90</v>
      </c>
      <c r="AY791" s="2" t="s">
        <v>337</v>
      </c>
      <c r="BE791" s="140">
        <f>IF(N791="základní",J791,0)</f>
        <v>0</v>
      </c>
      <c r="BF791" s="140">
        <f>IF(N791="snížená",J791,0)</f>
        <v>0</v>
      </c>
      <c r="BG791" s="140">
        <f>IF(N791="zákl. přenesená",J791,0)</f>
        <v>0</v>
      </c>
      <c r="BH791" s="140">
        <f>IF(N791="sníž. přenesená",J791,0)</f>
        <v>0</v>
      </c>
      <c r="BI791" s="140">
        <f>IF(N791="nulová",J791,0)</f>
        <v>0</v>
      </c>
      <c r="BJ791" s="2" t="s">
        <v>87</v>
      </c>
      <c r="BK791" s="140">
        <f>ROUND(I791*H791,2)</f>
        <v>0</v>
      </c>
      <c r="BL791" s="2" t="s">
        <v>496</v>
      </c>
      <c r="BM791" s="139" t="s">
        <v>2972</v>
      </c>
    </row>
    <row r="792" spans="2:65" s="148" customFormat="1" x14ac:dyDescent="0.2">
      <c r="B792" s="149"/>
      <c r="D792" s="143" t="s">
        <v>346</v>
      </c>
      <c r="E792" s="150"/>
      <c r="F792" s="151" t="s">
        <v>2439</v>
      </c>
      <c r="H792" s="152">
        <v>1055.489</v>
      </c>
      <c r="L792" s="149"/>
      <c r="M792" s="153"/>
      <c r="T792" s="154"/>
      <c r="AT792" s="150" t="s">
        <v>346</v>
      </c>
      <c r="AU792" s="150" t="s">
        <v>90</v>
      </c>
      <c r="AV792" s="148" t="s">
        <v>90</v>
      </c>
      <c r="AW792" s="148" t="s">
        <v>33</v>
      </c>
      <c r="AX792" s="148" t="s">
        <v>87</v>
      </c>
      <c r="AY792" s="150" t="s">
        <v>337</v>
      </c>
    </row>
    <row r="793" spans="2:65" s="16" customFormat="1" ht="16.5" customHeight="1" x14ac:dyDescent="0.2">
      <c r="B793" s="17"/>
      <c r="C793" s="128">
        <v>44</v>
      </c>
      <c r="D793" s="128" t="s">
        <v>339</v>
      </c>
      <c r="E793" s="129" t="s">
        <v>2973</v>
      </c>
      <c r="F793" s="130" t="s">
        <v>2974</v>
      </c>
      <c r="G793" s="131" t="s">
        <v>425</v>
      </c>
      <c r="H793" s="132">
        <v>1055.489</v>
      </c>
      <c r="I793" s="133"/>
      <c r="J793" s="134">
        <f>ROUND(I793*H793,2)</f>
        <v>0</v>
      </c>
      <c r="K793" s="130" t="s">
        <v>343</v>
      </c>
      <c r="L793" s="17"/>
      <c r="M793" s="135"/>
      <c r="N793" s="136" t="s">
        <v>45</v>
      </c>
      <c r="P793" s="137">
        <f>O793*H793</f>
        <v>0</v>
      </c>
      <c r="Q793" s="137">
        <v>2.3000000000000001E-4</v>
      </c>
      <c r="R793" s="137">
        <f>Q793*H793</f>
        <v>0.24276247000000001</v>
      </c>
      <c r="S793" s="137">
        <v>0</v>
      </c>
      <c r="T793" s="138">
        <f>S793*H793</f>
        <v>0</v>
      </c>
      <c r="AR793" s="139" t="s">
        <v>496</v>
      </c>
      <c r="AT793" s="139" t="s">
        <v>339</v>
      </c>
      <c r="AU793" s="139" t="s">
        <v>90</v>
      </c>
      <c r="AY793" s="2" t="s">
        <v>337</v>
      </c>
      <c r="BE793" s="140">
        <f>IF(N793="základní",J793,0)</f>
        <v>0</v>
      </c>
      <c r="BF793" s="140">
        <f>IF(N793="snížená",J793,0)</f>
        <v>0</v>
      </c>
      <c r="BG793" s="140">
        <f>IF(N793="zákl. přenesená",J793,0)</f>
        <v>0</v>
      </c>
      <c r="BH793" s="140">
        <f>IF(N793="sníž. přenesená",J793,0)</f>
        <v>0</v>
      </c>
      <c r="BI793" s="140">
        <f>IF(N793="nulová",J793,0)</f>
        <v>0</v>
      </c>
      <c r="BJ793" s="2" t="s">
        <v>87</v>
      </c>
      <c r="BK793" s="140">
        <f>ROUND(I793*H793,2)</f>
        <v>0</v>
      </c>
      <c r="BL793" s="2" t="s">
        <v>496</v>
      </c>
      <c r="BM793" s="139" t="s">
        <v>2975</v>
      </c>
    </row>
    <row r="794" spans="2:65" s="148" customFormat="1" x14ac:dyDescent="0.2">
      <c r="B794" s="149"/>
      <c r="D794" s="143" t="s">
        <v>346</v>
      </c>
      <c r="E794" s="150"/>
      <c r="F794" s="151" t="s">
        <v>2439</v>
      </c>
      <c r="H794" s="152">
        <v>1055.489</v>
      </c>
      <c r="L794" s="149"/>
      <c r="M794" s="153"/>
      <c r="T794" s="154"/>
      <c r="AT794" s="150" t="s">
        <v>346</v>
      </c>
      <c r="AU794" s="150" t="s">
        <v>90</v>
      </c>
      <c r="AV794" s="148" t="s">
        <v>90</v>
      </c>
      <c r="AW794" s="148" t="s">
        <v>33</v>
      </c>
      <c r="AX794" s="148" t="s">
        <v>87</v>
      </c>
      <c r="AY794" s="150" t="s">
        <v>337</v>
      </c>
    </row>
    <row r="795" spans="2:65" s="16" customFormat="1" ht="16.5" customHeight="1" x14ac:dyDescent="0.2">
      <c r="B795" s="17"/>
      <c r="C795" s="128">
        <v>45</v>
      </c>
      <c r="D795" s="128" t="s">
        <v>339</v>
      </c>
      <c r="E795" s="129" t="s">
        <v>2976</v>
      </c>
      <c r="F795" s="130" t="s">
        <v>2977</v>
      </c>
      <c r="G795" s="131" t="s">
        <v>425</v>
      </c>
      <c r="H795" s="132">
        <v>1055.489</v>
      </c>
      <c r="I795" s="133"/>
      <c r="J795" s="134">
        <f>ROUND(I795*H795,2)</f>
        <v>0</v>
      </c>
      <c r="K795" s="130" t="s">
        <v>343</v>
      </c>
      <c r="L795" s="17"/>
      <c r="M795" s="135"/>
      <c r="N795" s="136" t="s">
        <v>45</v>
      </c>
      <c r="P795" s="137">
        <f>O795*H795</f>
        <v>0</v>
      </c>
      <c r="Q795" s="137">
        <v>2.3000000000000001E-4</v>
      </c>
      <c r="R795" s="137">
        <f>Q795*H795</f>
        <v>0.24276247000000001</v>
      </c>
      <c r="S795" s="137">
        <v>0</v>
      </c>
      <c r="T795" s="138">
        <f>S795*H795</f>
        <v>0</v>
      </c>
      <c r="AR795" s="139" t="s">
        <v>496</v>
      </c>
      <c r="AT795" s="139" t="s">
        <v>339</v>
      </c>
      <c r="AU795" s="139" t="s">
        <v>90</v>
      </c>
      <c r="AY795" s="2" t="s">
        <v>337</v>
      </c>
      <c r="BE795" s="140">
        <f>IF(N795="základní",J795,0)</f>
        <v>0</v>
      </c>
      <c r="BF795" s="140">
        <f>IF(N795="snížená",J795,0)</f>
        <v>0</v>
      </c>
      <c r="BG795" s="140">
        <f>IF(N795="zákl. přenesená",J795,0)</f>
        <v>0</v>
      </c>
      <c r="BH795" s="140">
        <f>IF(N795="sníž. přenesená",J795,0)</f>
        <v>0</v>
      </c>
      <c r="BI795" s="140">
        <f>IF(N795="nulová",J795,0)</f>
        <v>0</v>
      </c>
      <c r="BJ795" s="2" t="s">
        <v>87</v>
      </c>
      <c r="BK795" s="140">
        <f>ROUND(I795*H795,2)</f>
        <v>0</v>
      </c>
      <c r="BL795" s="2" t="s">
        <v>496</v>
      </c>
      <c r="BM795" s="139" t="s">
        <v>2978</v>
      </c>
    </row>
    <row r="796" spans="2:65" s="148" customFormat="1" x14ac:dyDescent="0.2">
      <c r="B796" s="149"/>
      <c r="D796" s="143" t="s">
        <v>346</v>
      </c>
      <c r="E796" s="150"/>
      <c r="F796" s="151" t="s">
        <v>2439</v>
      </c>
      <c r="H796" s="152">
        <v>1055.489</v>
      </c>
      <c r="L796" s="149"/>
      <c r="M796" s="184"/>
      <c r="N796" s="185"/>
      <c r="O796" s="185"/>
      <c r="P796" s="185"/>
      <c r="Q796" s="185"/>
      <c r="R796" s="185"/>
      <c r="S796" s="185"/>
      <c r="T796" s="186"/>
      <c r="AT796" s="150" t="s">
        <v>346</v>
      </c>
      <c r="AU796" s="150" t="s">
        <v>90</v>
      </c>
      <c r="AV796" s="148" t="s">
        <v>90</v>
      </c>
      <c r="AW796" s="148" t="s">
        <v>33</v>
      </c>
      <c r="AX796" s="148" t="s">
        <v>87</v>
      </c>
      <c r="AY796" s="150" t="s">
        <v>337</v>
      </c>
    </row>
    <row r="797" spans="2:65" s="16" customFormat="1" ht="6.95" customHeight="1" x14ac:dyDescent="0.2">
      <c r="B797" s="30"/>
      <c r="C797" s="19"/>
      <c r="D797" s="19"/>
      <c r="E797" s="19"/>
      <c r="F797" s="19"/>
      <c r="G797" s="19"/>
      <c r="H797" s="19"/>
      <c r="I797" s="19"/>
      <c r="J797" s="19"/>
      <c r="K797" s="19"/>
      <c r="L797" s="17"/>
    </row>
  </sheetData>
  <sheetProtection algorithmName="SHA-512" hashValue="MlsCIbG9spDUHTV1K7Fw6cNzUcAKOeNx9M7gUM4oLLd3TMsGlm9qOvUBWQpojbzO8njMmyiLFtkvr8NomvfY/A==" saltValue="UzWVeXjXgSvr16S5FRjxhQ==" spinCount="100000" sheet="1" objects="1" scenarios="1" formatCells="0" formatColumns="0" formatRows="0" autoFilter="0"/>
  <autoFilter ref="C137:K796" xr:uid="{00000000-0009-0000-0000-000002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/>
  <dimension ref="B2:BM1400"/>
  <sheetViews>
    <sheetView showGridLines="0" topLeftCell="A782" workbookViewId="0">
      <selection activeCell="F806" sqref="F806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6.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5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101</v>
      </c>
      <c r="AZ2" s="2" t="s">
        <v>2979</v>
      </c>
      <c r="BA2" s="2"/>
      <c r="BB2" s="2"/>
      <c r="BC2" s="2" t="s">
        <v>2980</v>
      </c>
      <c r="BD2" s="2" t="s">
        <v>90</v>
      </c>
    </row>
    <row r="3" spans="2:5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  <c r="AZ3" s="2" t="s">
        <v>2981</v>
      </c>
      <c r="BA3" s="2"/>
      <c r="BB3" s="2"/>
      <c r="BC3" s="2" t="s">
        <v>2982</v>
      </c>
      <c r="BD3" s="2" t="s">
        <v>90</v>
      </c>
    </row>
    <row r="4" spans="2:5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  <c r="AZ4" s="2" t="s">
        <v>2983</v>
      </c>
      <c r="BA4" s="2"/>
      <c r="BB4" s="2"/>
      <c r="BC4" s="2" t="s">
        <v>2984</v>
      </c>
      <c r="BD4" s="2" t="s">
        <v>90</v>
      </c>
    </row>
    <row r="5" spans="2:56" ht="6.95" hidden="1" customHeight="1" x14ac:dyDescent="0.2">
      <c r="B5" s="5"/>
      <c r="L5" s="5"/>
      <c r="AZ5" s="2" t="s">
        <v>2985</v>
      </c>
      <c r="BA5" s="2"/>
      <c r="BB5" s="2"/>
      <c r="BC5" s="2" t="s">
        <v>2986</v>
      </c>
      <c r="BD5" s="2" t="s">
        <v>90</v>
      </c>
    </row>
    <row r="6" spans="2:56" ht="12" hidden="1" customHeight="1" x14ac:dyDescent="0.2">
      <c r="B6" s="5"/>
      <c r="D6" s="12" t="s">
        <v>15</v>
      </c>
      <c r="L6" s="5"/>
      <c r="AZ6" s="2" t="s">
        <v>2987</v>
      </c>
      <c r="BA6" s="2"/>
      <c r="BB6" s="2"/>
      <c r="BC6" s="2" t="s">
        <v>2988</v>
      </c>
      <c r="BD6" s="2" t="s">
        <v>90</v>
      </c>
    </row>
    <row r="7" spans="2:5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  <c r="AZ7" s="2" t="s">
        <v>2989</v>
      </c>
      <c r="BA7" s="2"/>
      <c r="BB7" s="2"/>
      <c r="BC7" s="2" t="s">
        <v>2990</v>
      </c>
      <c r="BD7" s="2" t="s">
        <v>90</v>
      </c>
    </row>
    <row r="8" spans="2:56" ht="12" hidden="1" customHeight="1" x14ac:dyDescent="0.2">
      <c r="B8" s="5"/>
      <c r="D8" s="12" t="s">
        <v>190</v>
      </c>
      <c r="L8" s="5"/>
      <c r="AZ8" s="2" t="s">
        <v>2991</v>
      </c>
      <c r="BA8" s="2"/>
      <c r="BB8" s="2"/>
      <c r="BC8" s="2" t="s">
        <v>2992</v>
      </c>
      <c r="BD8" s="2" t="s">
        <v>90</v>
      </c>
    </row>
    <row r="9" spans="2:5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  <c r="AZ9" s="2" t="s">
        <v>2993</v>
      </c>
      <c r="BA9" s="2"/>
      <c r="BB9" s="2"/>
      <c r="BC9" s="2" t="s">
        <v>2994</v>
      </c>
      <c r="BD9" s="2" t="s">
        <v>90</v>
      </c>
    </row>
    <row r="10" spans="2:56" s="16" customFormat="1" ht="12" hidden="1" customHeight="1" x14ac:dyDescent="0.2">
      <c r="B10" s="17"/>
      <c r="D10" s="12" t="s">
        <v>196</v>
      </c>
      <c r="L10" s="17"/>
      <c r="AZ10" s="2" t="s">
        <v>2995</v>
      </c>
      <c r="BA10" s="2"/>
      <c r="BB10" s="2"/>
      <c r="BC10" s="2" t="s">
        <v>2996</v>
      </c>
      <c r="BD10" s="2" t="s">
        <v>90</v>
      </c>
    </row>
    <row r="11" spans="2:56" s="16" customFormat="1" ht="16.5" hidden="1" customHeight="1" x14ac:dyDescent="0.2">
      <c r="B11" s="17"/>
      <c r="E11" s="309" t="s">
        <v>2997</v>
      </c>
      <c r="F11" s="309"/>
      <c r="G11" s="309"/>
      <c r="H11" s="309"/>
      <c r="L11" s="17"/>
      <c r="AZ11" s="2" t="s">
        <v>2998</v>
      </c>
      <c r="BA11" s="2"/>
      <c r="BB11" s="2"/>
      <c r="BC11" s="2" t="s">
        <v>2999</v>
      </c>
      <c r="BD11" s="2" t="s">
        <v>90</v>
      </c>
    </row>
    <row r="12" spans="2:56" s="16" customFormat="1" hidden="1" x14ac:dyDescent="0.2">
      <c r="B12" s="17"/>
      <c r="L12" s="17"/>
      <c r="AZ12" s="2" t="s">
        <v>3000</v>
      </c>
      <c r="BA12" s="2"/>
      <c r="BB12" s="2"/>
      <c r="BC12" s="2" t="s">
        <v>3001</v>
      </c>
      <c r="BD12" s="2" t="s">
        <v>90</v>
      </c>
    </row>
    <row r="13" spans="2:5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  <c r="AZ13" s="2" t="s">
        <v>3002</v>
      </c>
      <c r="BA13" s="2"/>
      <c r="BB13" s="2"/>
      <c r="BC13" s="2" t="s">
        <v>3003</v>
      </c>
      <c r="BD13" s="2" t="s">
        <v>90</v>
      </c>
    </row>
    <row r="14" spans="2:56" s="16" customFormat="1" ht="12" hidden="1" customHeight="1" x14ac:dyDescent="0.2">
      <c r="B14" s="17"/>
      <c r="D14" s="12" t="s">
        <v>19</v>
      </c>
      <c r="F14" s="10" t="s">
        <v>20</v>
      </c>
      <c r="I14" s="12" t="s">
        <v>21</v>
      </c>
      <c r="J14" s="38" t="str">
        <f>IF(Rekapitulace_stavby!AN8&lt;&gt;"",Rekapitulace_stavby!AN8,"")</f>
        <v/>
      </c>
      <c r="L14" s="17"/>
      <c r="AZ14" s="2" t="s">
        <v>3004</v>
      </c>
      <c r="BA14" s="2"/>
      <c r="BB14" s="2"/>
      <c r="BC14" s="2" t="s">
        <v>3005</v>
      </c>
      <c r="BD14" s="2" t="s">
        <v>90</v>
      </c>
    </row>
    <row r="15" spans="2:56" s="16" customFormat="1" ht="10.9" hidden="1" customHeight="1" x14ac:dyDescent="0.2">
      <c r="B15" s="17"/>
      <c r="L15" s="17"/>
      <c r="AZ15" s="2" t="s">
        <v>3006</v>
      </c>
      <c r="BA15" s="2"/>
      <c r="BB15" s="2"/>
      <c r="BC15" s="2" t="s">
        <v>3007</v>
      </c>
      <c r="BD15" s="2" t="s">
        <v>90</v>
      </c>
    </row>
    <row r="16" spans="2:56" s="16" customFormat="1" ht="12" hidden="1" customHeight="1" x14ac:dyDescent="0.2">
      <c r="B16" s="17"/>
      <c r="D16" s="12" t="s">
        <v>22</v>
      </c>
      <c r="I16" s="12" t="s">
        <v>23</v>
      </c>
      <c r="J16" s="10" t="s">
        <v>24</v>
      </c>
      <c r="L16" s="17"/>
      <c r="AZ16" s="2" t="s">
        <v>3008</v>
      </c>
      <c r="BA16" s="2"/>
      <c r="BB16" s="2"/>
      <c r="BC16" s="2" t="s">
        <v>3009</v>
      </c>
      <c r="BD16" s="2" t="s">
        <v>90</v>
      </c>
    </row>
    <row r="17" spans="2:56" s="16" customFormat="1" ht="18" hidden="1" customHeight="1" x14ac:dyDescent="0.2">
      <c r="B17" s="17"/>
      <c r="E17" s="10" t="s">
        <v>25</v>
      </c>
      <c r="I17" s="12" t="s">
        <v>26</v>
      </c>
      <c r="J17" s="10" t="s">
        <v>27</v>
      </c>
      <c r="L17" s="17"/>
      <c r="AZ17" s="2" t="s">
        <v>3010</v>
      </c>
      <c r="BA17" s="2"/>
      <c r="BB17" s="2"/>
      <c r="BC17" s="2" t="s">
        <v>3011</v>
      </c>
      <c r="BD17" s="2" t="s">
        <v>90</v>
      </c>
    </row>
    <row r="18" spans="2:56" s="16" customFormat="1" ht="6.95" hidden="1" customHeight="1" x14ac:dyDescent="0.2">
      <c r="B18" s="17"/>
      <c r="L18" s="17"/>
      <c r="AZ18" s="2" t="s">
        <v>3012</v>
      </c>
      <c r="BA18" s="2"/>
      <c r="BB18" s="2"/>
      <c r="BC18" s="2" t="s">
        <v>3013</v>
      </c>
      <c r="BD18" s="2" t="s">
        <v>90</v>
      </c>
    </row>
    <row r="19" spans="2:56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  <c r="AZ19" s="2" t="s">
        <v>3014</v>
      </c>
      <c r="BA19" s="2"/>
      <c r="BB19" s="2"/>
      <c r="BC19" s="2" t="s">
        <v>3015</v>
      </c>
      <c r="BD19" s="2" t="s">
        <v>90</v>
      </c>
    </row>
    <row r="20" spans="2:56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  <c r="AZ20" s="2" t="s">
        <v>3016</v>
      </c>
      <c r="BA20" s="2"/>
      <c r="BB20" s="2"/>
      <c r="BC20" s="2" t="s">
        <v>3017</v>
      </c>
      <c r="BD20" s="2" t="s">
        <v>90</v>
      </c>
    </row>
    <row r="21" spans="2:56" s="16" customFormat="1" ht="6.95" hidden="1" customHeight="1" x14ac:dyDescent="0.2">
      <c r="B21" s="17"/>
      <c r="L21" s="17"/>
      <c r="AZ21" s="2" t="s">
        <v>3018</v>
      </c>
      <c r="BA21" s="2"/>
      <c r="BB21" s="2"/>
      <c r="BC21" s="2" t="s">
        <v>3019</v>
      </c>
      <c r="BD21" s="2" t="s">
        <v>90</v>
      </c>
    </row>
    <row r="22" spans="2:56" s="16" customFormat="1" ht="12" hidden="1" customHeight="1" x14ac:dyDescent="0.2">
      <c r="B22" s="17"/>
      <c r="D22" s="12" t="s">
        <v>29</v>
      </c>
      <c r="I22" s="12" t="s">
        <v>23</v>
      </c>
      <c r="J22" s="10" t="s">
        <v>30</v>
      </c>
      <c r="L22" s="17"/>
      <c r="AZ22" s="2" t="s">
        <v>3020</v>
      </c>
      <c r="BA22" s="2"/>
      <c r="BB22" s="2"/>
      <c r="BC22" s="2" t="s">
        <v>3021</v>
      </c>
      <c r="BD22" s="2" t="s">
        <v>90</v>
      </c>
    </row>
    <row r="23" spans="2:56" s="16" customFormat="1" ht="18" hidden="1" customHeight="1" x14ac:dyDescent="0.2">
      <c r="B23" s="17"/>
      <c r="E23" s="10" t="s">
        <v>31</v>
      </c>
      <c r="I23" s="12" t="s">
        <v>26</v>
      </c>
      <c r="J23" s="10" t="s">
        <v>32</v>
      </c>
      <c r="L23" s="17"/>
      <c r="AZ23" s="2" t="s">
        <v>3022</v>
      </c>
      <c r="BA23" s="2"/>
      <c r="BB23" s="2"/>
      <c r="BC23" s="2" t="s">
        <v>3023</v>
      </c>
      <c r="BD23" s="2" t="s">
        <v>90</v>
      </c>
    </row>
    <row r="24" spans="2:56" s="16" customFormat="1" ht="6.95" hidden="1" customHeight="1" x14ac:dyDescent="0.2">
      <c r="B24" s="17"/>
      <c r="L24" s="17"/>
      <c r="AZ24" s="2" t="s">
        <v>3024</v>
      </c>
      <c r="BA24" s="2"/>
      <c r="BB24" s="2"/>
      <c r="BC24" s="2" t="s">
        <v>3025</v>
      </c>
      <c r="BD24" s="2" t="s">
        <v>90</v>
      </c>
    </row>
    <row r="25" spans="2:56" s="16" customFormat="1" ht="12" hidden="1" customHeight="1" x14ac:dyDescent="0.2">
      <c r="B25" s="17"/>
      <c r="D25" s="12" t="s">
        <v>34</v>
      </c>
      <c r="I25" s="12" t="s">
        <v>23</v>
      </c>
      <c r="J25" s="10" t="s">
        <v>35</v>
      </c>
      <c r="L25" s="17"/>
      <c r="AZ25" s="2" t="s">
        <v>3026</v>
      </c>
      <c r="BA25" s="2"/>
      <c r="BB25" s="2"/>
      <c r="BC25" s="2" t="s">
        <v>2980</v>
      </c>
      <c r="BD25" s="2" t="s">
        <v>90</v>
      </c>
    </row>
    <row r="26" spans="2:56" s="16" customFormat="1" ht="18" hidden="1" customHeight="1" x14ac:dyDescent="0.2">
      <c r="B26" s="17"/>
      <c r="E26" s="10" t="s">
        <v>36</v>
      </c>
      <c r="I26" s="12" t="s">
        <v>26</v>
      </c>
      <c r="J26" s="10" t="s">
        <v>37</v>
      </c>
      <c r="L26" s="17"/>
      <c r="AZ26" s="2" t="s">
        <v>3027</v>
      </c>
      <c r="BA26" s="2"/>
      <c r="BB26" s="2"/>
      <c r="BC26" s="2" t="s">
        <v>3028</v>
      </c>
      <c r="BD26" s="2" t="s">
        <v>90</v>
      </c>
    </row>
    <row r="27" spans="2:56" s="16" customFormat="1" ht="6.95" hidden="1" customHeight="1" x14ac:dyDescent="0.2">
      <c r="B27" s="17"/>
      <c r="L27" s="17"/>
      <c r="AZ27" s="2" t="s">
        <v>3029</v>
      </c>
      <c r="BA27" s="2"/>
      <c r="BB27" s="2"/>
      <c r="BC27" s="2" t="s">
        <v>3030</v>
      </c>
      <c r="BD27" s="2" t="s">
        <v>90</v>
      </c>
    </row>
    <row r="28" spans="2:56" s="16" customFormat="1" ht="12" hidden="1" customHeight="1" x14ac:dyDescent="0.2">
      <c r="B28" s="17"/>
      <c r="D28" s="12" t="s">
        <v>38</v>
      </c>
      <c r="L28" s="17"/>
      <c r="AZ28" s="2" t="s">
        <v>3031</v>
      </c>
      <c r="BA28" s="2"/>
      <c r="BB28" s="2"/>
      <c r="BC28" s="2" t="s">
        <v>3032</v>
      </c>
      <c r="BD28" s="2" t="s">
        <v>90</v>
      </c>
    </row>
    <row r="29" spans="2:56" s="81" customFormat="1" ht="47.25" hidden="1" customHeight="1" x14ac:dyDescent="0.2">
      <c r="B29" s="82"/>
      <c r="E29" s="304" t="s">
        <v>236</v>
      </c>
      <c r="F29" s="304"/>
      <c r="G29" s="304"/>
      <c r="H29" s="304"/>
      <c r="L29" s="82"/>
      <c r="AZ29" s="83" t="s">
        <v>3033</v>
      </c>
      <c r="BA29" s="83"/>
      <c r="BB29" s="83"/>
      <c r="BC29" s="83" t="s">
        <v>3034</v>
      </c>
      <c r="BD29" s="83" t="s">
        <v>90</v>
      </c>
    </row>
    <row r="30" spans="2:56" s="16" customFormat="1" ht="6.95" hidden="1" customHeight="1" x14ac:dyDescent="0.2">
      <c r="B30" s="17"/>
      <c r="L30" s="17"/>
      <c r="AZ30" s="2" t="s">
        <v>3035</v>
      </c>
      <c r="BA30" s="2"/>
      <c r="BB30" s="2"/>
      <c r="BC30" s="2" t="s">
        <v>3036</v>
      </c>
      <c r="BD30" s="2" t="s">
        <v>90</v>
      </c>
    </row>
    <row r="31" spans="2:56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56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ROUND((SUM(BE138:BE1399)),  2)</f>
        <v>0</v>
      </c>
      <c r="I35" s="86">
        <v>0.21</v>
      </c>
      <c r="J35" s="73">
        <f>ROUND(((SUM(BE138:BE1399))*I35),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ROUND((SUM(BF138:BF1399)),  2)</f>
        <v>0</v>
      </c>
      <c r="I36" s="86">
        <v>0.12</v>
      </c>
      <c r="J36" s="73">
        <f>ROUND(((SUM(BF138:BF1399))*I36),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ROUND((SUM(BG138:BG1399)),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ROUND((SUM(BH138:BH1399)),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ROUND((SUM(BI138:BI1399)),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FAS - Fasády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>Alej Svobody 703 Plzeň 1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304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3037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70" customFormat="1" ht="19.899999999999999" customHeight="1" x14ac:dyDescent="0.2">
      <c r="B101" s="103"/>
      <c r="D101" s="104" t="s">
        <v>305</v>
      </c>
      <c r="E101" s="105"/>
      <c r="F101" s="105"/>
      <c r="G101" s="105"/>
      <c r="H101" s="105"/>
      <c r="I101" s="105"/>
      <c r="J101" s="106">
        <f>J329</f>
        <v>0</v>
      </c>
      <c r="L101" s="103"/>
    </row>
    <row r="102" spans="2:47" s="70" customFormat="1" ht="19.899999999999999" customHeight="1" x14ac:dyDescent="0.2">
      <c r="B102" s="103"/>
      <c r="D102" s="104" t="s">
        <v>3038</v>
      </c>
      <c r="E102" s="105"/>
      <c r="F102" s="105"/>
      <c r="G102" s="105"/>
      <c r="H102" s="105"/>
      <c r="I102" s="105"/>
      <c r="J102" s="106">
        <f>J380</f>
        <v>0</v>
      </c>
      <c r="L102" s="103"/>
    </row>
    <row r="103" spans="2:47" s="70" customFormat="1" ht="19.899999999999999" customHeight="1" x14ac:dyDescent="0.2">
      <c r="B103" s="103"/>
      <c r="D103" s="104" t="s">
        <v>307</v>
      </c>
      <c r="E103" s="105"/>
      <c r="F103" s="105"/>
      <c r="G103" s="105"/>
      <c r="H103" s="105"/>
      <c r="I103" s="105"/>
      <c r="J103" s="106">
        <f>J403</f>
        <v>0</v>
      </c>
      <c r="L103" s="103"/>
    </row>
    <row r="104" spans="2:47" s="70" customFormat="1" ht="19.899999999999999" customHeight="1" x14ac:dyDescent="0.2">
      <c r="B104" s="103"/>
      <c r="D104" s="104" t="s">
        <v>308</v>
      </c>
      <c r="E104" s="105"/>
      <c r="F104" s="105"/>
      <c r="G104" s="105"/>
      <c r="H104" s="105"/>
      <c r="I104" s="105"/>
      <c r="J104" s="106">
        <f>J1111</f>
        <v>0</v>
      </c>
      <c r="L104" s="103"/>
    </row>
    <row r="105" spans="2:47" s="70" customFormat="1" ht="19.899999999999999" customHeight="1" x14ac:dyDescent="0.2">
      <c r="B105" s="103"/>
      <c r="D105" s="104" t="s">
        <v>309</v>
      </c>
      <c r="E105" s="105"/>
      <c r="F105" s="105"/>
      <c r="G105" s="105"/>
      <c r="H105" s="105"/>
      <c r="I105" s="105"/>
      <c r="J105" s="106">
        <f>J1129</f>
        <v>0</v>
      </c>
      <c r="L105" s="103"/>
    </row>
    <row r="106" spans="2:47" s="98" customFormat="1" ht="24.95" customHeight="1" x14ac:dyDescent="0.2">
      <c r="B106" s="99"/>
      <c r="D106" s="100" t="s">
        <v>310</v>
      </c>
      <c r="E106" s="101"/>
      <c r="F106" s="101"/>
      <c r="G106" s="101"/>
      <c r="H106" s="101"/>
      <c r="I106" s="101"/>
      <c r="J106" s="102">
        <f>J1131</f>
        <v>0</v>
      </c>
      <c r="L106" s="99"/>
    </row>
    <row r="107" spans="2:47" s="70" customFormat="1" ht="19.899999999999999" customHeight="1" x14ac:dyDescent="0.2">
      <c r="B107" s="103"/>
      <c r="D107" s="104" t="s">
        <v>311</v>
      </c>
      <c r="E107" s="105"/>
      <c r="F107" s="105"/>
      <c r="G107" s="105"/>
      <c r="H107" s="105"/>
      <c r="I107" s="105"/>
      <c r="J107" s="106">
        <f>J1132</f>
        <v>0</v>
      </c>
      <c r="L107" s="103"/>
    </row>
    <row r="108" spans="2:47" s="70" customFormat="1" ht="19.899999999999999" customHeight="1" x14ac:dyDescent="0.2">
      <c r="B108" s="103"/>
      <c r="D108" s="104" t="s">
        <v>312</v>
      </c>
      <c r="E108" s="105"/>
      <c r="F108" s="105"/>
      <c r="G108" s="105"/>
      <c r="H108" s="105"/>
      <c r="I108" s="105"/>
      <c r="J108" s="106">
        <f>J1282</f>
        <v>0</v>
      </c>
      <c r="L108" s="103"/>
    </row>
    <row r="109" spans="2:47" s="70" customFormat="1" ht="19.899999999999999" customHeight="1" x14ac:dyDescent="0.2">
      <c r="B109" s="103"/>
      <c r="D109" s="104" t="s">
        <v>320</v>
      </c>
      <c r="E109" s="105"/>
      <c r="F109" s="105"/>
      <c r="G109" s="105"/>
      <c r="H109" s="105"/>
      <c r="I109" s="105"/>
      <c r="J109" s="106">
        <f>J1347</f>
        <v>0</v>
      </c>
      <c r="L109" s="103"/>
    </row>
    <row r="110" spans="2:47" s="16" customFormat="1" ht="21.75" customHeight="1" x14ac:dyDescent="0.2">
      <c r="B110" s="17"/>
      <c r="L110" s="17"/>
    </row>
    <row r="111" spans="2:47" s="16" customFormat="1" ht="6.95" customHeight="1" x14ac:dyDescent="0.2">
      <c r="B111" s="30"/>
      <c r="C111" s="19"/>
      <c r="D111" s="19"/>
      <c r="E111" s="19"/>
      <c r="F111" s="19"/>
      <c r="G111" s="19"/>
      <c r="H111" s="19"/>
      <c r="I111" s="19"/>
      <c r="J111" s="19"/>
      <c r="K111" s="19"/>
      <c r="L111" s="17"/>
    </row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FAS - Fasády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tr">
        <f>F14</f>
        <v>Alej Svobody 703 Plzeň 1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15.2" customHeight="1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P139+P1131</f>
        <v>0</v>
      </c>
      <c r="Q138" s="39"/>
      <c r="R138" s="113">
        <f>R139+R1131</f>
        <v>335.47446771</v>
      </c>
      <c r="S138" s="39"/>
      <c r="T138" s="114">
        <f>T139+T1131</f>
        <v>0</v>
      </c>
      <c r="AT138" s="2" t="s">
        <v>79</v>
      </c>
      <c r="AU138" s="2" t="s">
        <v>303</v>
      </c>
      <c r="BK138" s="115">
        <f>BK139+BK1131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P140+P329+P380+P403+P1111+P1129</f>
        <v>0</v>
      </c>
      <c r="R139" s="122">
        <f>R140+R329+R380+R403+R1111+R1129</f>
        <v>322.46233955000002</v>
      </c>
      <c r="T139" s="123">
        <f>T140+T329+T380+T403+T1111+T1129</f>
        <v>0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BK140+BK329+BK380+BK403+BK1111+BK1129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87</v>
      </c>
      <c r="F140" s="126" t="s">
        <v>3039</v>
      </c>
      <c r="J140" s="127">
        <f>BK140</f>
        <v>0</v>
      </c>
      <c r="L140" s="117"/>
      <c r="M140" s="121"/>
      <c r="P140" s="122">
        <f>SUM(P141:P328)</f>
        <v>0</v>
      </c>
      <c r="R140" s="122">
        <f>SUM(R141:R328)</f>
        <v>1.6213000000000002E-2</v>
      </c>
      <c r="T140" s="123">
        <f>SUM(T141:T328)</f>
        <v>0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SUM(BK141:BK328)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3040</v>
      </c>
      <c r="F141" s="130" t="s">
        <v>3041</v>
      </c>
      <c r="G141" s="131" t="s">
        <v>3042</v>
      </c>
      <c r="H141" s="132">
        <v>20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3.0000000000000001E-5</v>
      </c>
      <c r="R141" s="137">
        <f>Q141*H141</f>
        <v>6.0000000000000006E-4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3043</v>
      </c>
    </row>
    <row r="142" spans="2:65" s="16" customFormat="1" ht="16.5" customHeight="1" x14ac:dyDescent="0.2">
      <c r="B142" s="17"/>
      <c r="C142" s="128">
        <v>2</v>
      </c>
      <c r="D142" s="128" t="s">
        <v>339</v>
      </c>
      <c r="E142" s="129" t="s">
        <v>3044</v>
      </c>
      <c r="F142" s="130" t="s">
        <v>3045</v>
      </c>
      <c r="G142" s="131" t="s">
        <v>3046</v>
      </c>
      <c r="H142" s="132">
        <v>60</v>
      </c>
      <c r="I142" s="133"/>
      <c r="J142" s="134">
        <f>ROUND(I142*H142,2)</f>
        <v>0</v>
      </c>
      <c r="K142" s="130" t="s">
        <v>343</v>
      </c>
      <c r="L142" s="17"/>
      <c r="M142" s="135"/>
      <c r="N142" s="136" t="s">
        <v>45</v>
      </c>
      <c r="P142" s="137">
        <f>O142*H142</f>
        <v>0</v>
      </c>
      <c r="Q142" s="137">
        <v>0</v>
      </c>
      <c r="R142" s="137">
        <f>Q142*H142</f>
        <v>0</v>
      </c>
      <c r="S142" s="137">
        <v>0</v>
      </c>
      <c r="T142" s="138">
        <f>S142*H142</f>
        <v>0</v>
      </c>
      <c r="AR142" s="139" t="s">
        <v>344</v>
      </c>
      <c r="AT142" s="139" t="s">
        <v>339</v>
      </c>
      <c r="AU142" s="139" t="s">
        <v>90</v>
      </c>
      <c r="AY142" s="2" t="s">
        <v>337</v>
      </c>
      <c r="BE142" s="140">
        <f>IF(N142="základní",J142,0)</f>
        <v>0</v>
      </c>
      <c r="BF142" s="140">
        <f>IF(N142="snížená",J142,0)</f>
        <v>0</v>
      </c>
      <c r="BG142" s="140">
        <f>IF(N142="zákl. přenesená",J142,0)</f>
        <v>0</v>
      </c>
      <c r="BH142" s="140">
        <f>IF(N142="sníž. přenesená",J142,0)</f>
        <v>0</v>
      </c>
      <c r="BI142" s="140">
        <f>IF(N142="nulová",J142,0)</f>
        <v>0</v>
      </c>
      <c r="BJ142" s="2" t="s">
        <v>87</v>
      </c>
      <c r="BK142" s="140">
        <f>ROUND(I142*H142,2)</f>
        <v>0</v>
      </c>
      <c r="BL142" s="2" t="s">
        <v>344</v>
      </c>
      <c r="BM142" s="139" t="s">
        <v>3047</v>
      </c>
    </row>
    <row r="143" spans="2:65" s="16" customFormat="1" ht="16.5" customHeight="1" x14ac:dyDescent="0.2">
      <c r="B143" s="17"/>
      <c r="C143" s="128">
        <v>3</v>
      </c>
      <c r="D143" s="128" t="s">
        <v>339</v>
      </c>
      <c r="E143" s="129" t="s">
        <v>3048</v>
      </c>
      <c r="F143" s="130" t="s">
        <v>3049</v>
      </c>
      <c r="G143" s="131" t="s">
        <v>425</v>
      </c>
      <c r="H143" s="132">
        <v>80.67</v>
      </c>
      <c r="I143" s="133"/>
      <c r="J143" s="134">
        <f>ROUND(I143*H143,2)</f>
        <v>0</v>
      </c>
      <c r="K143" s="130" t="s">
        <v>343</v>
      </c>
      <c r="L143" s="17"/>
      <c r="M143" s="135"/>
      <c r="N143" s="136" t="s">
        <v>45</v>
      </c>
      <c r="P143" s="137">
        <f>O143*H143</f>
        <v>0</v>
      </c>
      <c r="Q143" s="137">
        <v>0</v>
      </c>
      <c r="R143" s="137">
        <f>Q143*H143</f>
        <v>0</v>
      </c>
      <c r="S143" s="137">
        <v>0</v>
      </c>
      <c r="T143" s="138">
        <f>S143*H143</f>
        <v>0</v>
      </c>
      <c r="AR143" s="139" t="s">
        <v>344</v>
      </c>
      <c r="AT143" s="139" t="s">
        <v>339</v>
      </c>
      <c r="AU143" s="139" t="s">
        <v>90</v>
      </c>
      <c r="AY143" s="2" t="s">
        <v>337</v>
      </c>
      <c r="BE143" s="140">
        <f>IF(N143="základní",J143,0)</f>
        <v>0</v>
      </c>
      <c r="BF143" s="140">
        <f>IF(N143="snížená",J143,0)</f>
        <v>0</v>
      </c>
      <c r="BG143" s="140">
        <f>IF(N143="zákl. přenesená",J143,0)</f>
        <v>0</v>
      </c>
      <c r="BH143" s="140">
        <f>IF(N143="sníž. přenesená",J143,0)</f>
        <v>0</v>
      </c>
      <c r="BI143" s="140">
        <f>IF(N143="nulová",J143,0)</f>
        <v>0</v>
      </c>
      <c r="BJ143" s="2" t="s">
        <v>87</v>
      </c>
      <c r="BK143" s="140">
        <f>ROUND(I143*H143,2)</f>
        <v>0</v>
      </c>
      <c r="BL143" s="2" t="s">
        <v>344</v>
      </c>
      <c r="BM143" s="139" t="s">
        <v>3050</v>
      </c>
    </row>
    <row r="144" spans="2:65" s="141" customFormat="1" x14ac:dyDescent="0.2">
      <c r="B144" s="142"/>
      <c r="D144" s="143" t="s">
        <v>346</v>
      </c>
      <c r="E144" s="144"/>
      <c r="F144" s="145" t="s">
        <v>3051</v>
      </c>
      <c r="H144" s="144"/>
      <c r="L144" s="142"/>
      <c r="M144" s="146"/>
      <c r="T144" s="147"/>
      <c r="AT144" s="144" t="s">
        <v>346</v>
      </c>
      <c r="AU144" s="144" t="s">
        <v>90</v>
      </c>
      <c r="AV144" s="141" t="s">
        <v>87</v>
      </c>
      <c r="AW144" s="141" t="s">
        <v>33</v>
      </c>
      <c r="AX144" s="141" t="s">
        <v>80</v>
      </c>
      <c r="AY144" s="144" t="s">
        <v>337</v>
      </c>
    </row>
    <row r="145" spans="2:65" s="141" customFormat="1" x14ac:dyDescent="0.2">
      <c r="B145" s="142"/>
      <c r="D145" s="143" t="s">
        <v>346</v>
      </c>
      <c r="E145" s="144"/>
      <c r="F145" s="145" t="s">
        <v>3052</v>
      </c>
      <c r="H145" s="144"/>
      <c r="L145" s="142"/>
      <c r="M145" s="146"/>
      <c r="T145" s="147"/>
      <c r="AT145" s="144" t="s">
        <v>346</v>
      </c>
      <c r="AU145" s="144" t="s">
        <v>90</v>
      </c>
      <c r="AV145" s="141" t="s">
        <v>87</v>
      </c>
      <c r="AW145" s="141" t="s">
        <v>33</v>
      </c>
      <c r="AX145" s="141" t="s">
        <v>80</v>
      </c>
      <c r="AY145" s="144" t="s">
        <v>337</v>
      </c>
    </row>
    <row r="146" spans="2:65" s="148" customFormat="1" x14ac:dyDescent="0.2">
      <c r="B146" s="149"/>
      <c r="D146" s="143" t="s">
        <v>346</v>
      </c>
      <c r="E146" s="150"/>
      <c r="F146" s="151" t="s">
        <v>80</v>
      </c>
      <c r="H146" s="152">
        <v>0</v>
      </c>
      <c r="L146" s="149"/>
      <c r="M146" s="153"/>
      <c r="T146" s="154"/>
      <c r="AT146" s="150" t="s">
        <v>346</v>
      </c>
      <c r="AU146" s="150" t="s">
        <v>90</v>
      </c>
      <c r="AV146" s="148" t="s">
        <v>90</v>
      </c>
      <c r="AW146" s="148" t="s">
        <v>33</v>
      </c>
      <c r="AX146" s="148" t="s">
        <v>80</v>
      </c>
      <c r="AY146" s="150" t="s">
        <v>337</v>
      </c>
    </row>
    <row r="147" spans="2:65" s="141" customFormat="1" x14ac:dyDescent="0.2">
      <c r="B147" s="142"/>
      <c r="D147" s="143" t="s">
        <v>346</v>
      </c>
      <c r="E147" s="144"/>
      <c r="F147" s="145" t="s">
        <v>3053</v>
      </c>
      <c r="H147" s="144"/>
      <c r="L147" s="142"/>
      <c r="M147" s="146"/>
      <c r="T147" s="147"/>
      <c r="AT147" s="144" t="s">
        <v>346</v>
      </c>
      <c r="AU147" s="144" t="s">
        <v>90</v>
      </c>
      <c r="AV147" s="141" t="s">
        <v>87</v>
      </c>
      <c r="AW147" s="141" t="s">
        <v>33</v>
      </c>
      <c r="AX147" s="141" t="s">
        <v>80</v>
      </c>
      <c r="AY147" s="144" t="s">
        <v>337</v>
      </c>
    </row>
    <row r="148" spans="2:65" s="148" customFormat="1" x14ac:dyDescent="0.2">
      <c r="B148" s="149"/>
      <c r="D148" s="143" t="s">
        <v>346</v>
      </c>
      <c r="E148" s="150"/>
      <c r="F148" s="151" t="s">
        <v>3054</v>
      </c>
      <c r="H148" s="152">
        <v>57.42</v>
      </c>
      <c r="L148" s="149"/>
      <c r="M148" s="153"/>
      <c r="T148" s="154"/>
      <c r="AT148" s="150" t="s">
        <v>346</v>
      </c>
      <c r="AU148" s="150" t="s">
        <v>90</v>
      </c>
      <c r="AV148" s="148" t="s">
        <v>90</v>
      </c>
      <c r="AW148" s="148" t="s">
        <v>33</v>
      </c>
      <c r="AX148" s="148" t="s">
        <v>80</v>
      </c>
      <c r="AY148" s="150" t="s">
        <v>337</v>
      </c>
    </row>
    <row r="149" spans="2:65" s="141" customFormat="1" x14ac:dyDescent="0.2">
      <c r="B149" s="142"/>
      <c r="D149" s="143" t="s">
        <v>346</v>
      </c>
      <c r="E149" s="144"/>
      <c r="F149" s="145" t="s">
        <v>3055</v>
      </c>
      <c r="H149" s="144"/>
      <c r="L149" s="142"/>
      <c r="M149" s="146"/>
      <c r="T149" s="147"/>
      <c r="AT149" s="144" t="s">
        <v>346</v>
      </c>
      <c r="AU149" s="144" t="s">
        <v>90</v>
      </c>
      <c r="AV149" s="141" t="s">
        <v>87</v>
      </c>
      <c r="AW149" s="141" t="s">
        <v>33</v>
      </c>
      <c r="AX149" s="141" t="s">
        <v>80</v>
      </c>
      <c r="AY149" s="144" t="s">
        <v>337</v>
      </c>
    </row>
    <row r="150" spans="2:65" s="148" customFormat="1" x14ac:dyDescent="0.2">
      <c r="B150" s="149"/>
      <c r="D150" s="143" t="s">
        <v>346</v>
      </c>
      <c r="E150" s="150"/>
      <c r="F150" s="151" t="s">
        <v>3056</v>
      </c>
      <c r="H150" s="152">
        <v>23.25</v>
      </c>
      <c r="L150" s="149"/>
      <c r="M150" s="153"/>
      <c r="T150" s="154"/>
      <c r="AT150" s="150" t="s">
        <v>346</v>
      </c>
      <c r="AU150" s="150" t="s">
        <v>90</v>
      </c>
      <c r="AV150" s="148" t="s">
        <v>90</v>
      </c>
      <c r="AW150" s="148" t="s">
        <v>33</v>
      </c>
      <c r="AX150" s="148" t="s">
        <v>80</v>
      </c>
      <c r="AY150" s="150" t="s">
        <v>337</v>
      </c>
    </row>
    <row r="151" spans="2:65" s="141" customFormat="1" x14ac:dyDescent="0.2">
      <c r="B151" s="142"/>
      <c r="D151" s="143" t="s">
        <v>346</v>
      </c>
      <c r="E151" s="144"/>
      <c r="F151" s="145" t="s">
        <v>3057</v>
      </c>
      <c r="H151" s="144"/>
      <c r="L151" s="142"/>
      <c r="M151" s="146"/>
      <c r="T151" s="147"/>
      <c r="AT151" s="144" t="s">
        <v>346</v>
      </c>
      <c r="AU151" s="144" t="s">
        <v>90</v>
      </c>
      <c r="AV151" s="141" t="s">
        <v>87</v>
      </c>
      <c r="AW151" s="141" t="s">
        <v>33</v>
      </c>
      <c r="AX151" s="141" t="s">
        <v>80</v>
      </c>
      <c r="AY151" s="144" t="s">
        <v>337</v>
      </c>
    </row>
    <row r="152" spans="2:65" s="148" customFormat="1" x14ac:dyDescent="0.2">
      <c r="B152" s="149"/>
      <c r="D152" s="143" t="s">
        <v>346</v>
      </c>
      <c r="E152" s="150"/>
      <c r="F152" s="151" t="s">
        <v>80</v>
      </c>
      <c r="H152" s="152">
        <v>0</v>
      </c>
      <c r="L152" s="149"/>
      <c r="M152" s="153"/>
      <c r="T152" s="154"/>
      <c r="AT152" s="150" t="s">
        <v>346</v>
      </c>
      <c r="AU152" s="150" t="s">
        <v>90</v>
      </c>
      <c r="AV152" s="148" t="s">
        <v>90</v>
      </c>
      <c r="AW152" s="148" t="s">
        <v>33</v>
      </c>
      <c r="AX152" s="148" t="s">
        <v>80</v>
      </c>
      <c r="AY152" s="150" t="s">
        <v>337</v>
      </c>
    </row>
    <row r="153" spans="2:65" s="155" customFormat="1" x14ac:dyDescent="0.2">
      <c r="B153" s="156"/>
      <c r="D153" s="143" t="s">
        <v>346</v>
      </c>
      <c r="E153" s="157"/>
      <c r="F153" s="158" t="s">
        <v>351</v>
      </c>
      <c r="H153" s="159">
        <v>80.67</v>
      </c>
      <c r="L153" s="156"/>
      <c r="M153" s="160"/>
      <c r="T153" s="161"/>
      <c r="AT153" s="157" t="s">
        <v>346</v>
      </c>
      <c r="AU153" s="157" t="s">
        <v>90</v>
      </c>
      <c r="AV153" s="155" t="s">
        <v>344</v>
      </c>
      <c r="AW153" s="155" t="s">
        <v>33</v>
      </c>
      <c r="AX153" s="155" t="s">
        <v>87</v>
      </c>
      <c r="AY153" s="157" t="s">
        <v>337</v>
      </c>
    </row>
    <row r="154" spans="2:65" s="16" customFormat="1" ht="16.5" customHeight="1" x14ac:dyDescent="0.2">
      <c r="B154" s="17"/>
      <c r="C154" s="128">
        <v>4</v>
      </c>
      <c r="D154" s="128" t="s">
        <v>339</v>
      </c>
      <c r="E154" s="129" t="s">
        <v>3058</v>
      </c>
      <c r="F154" s="130" t="s">
        <v>3059</v>
      </c>
      <c r="G154" s="131" t="s">
        <v>342</v>
      </c>
      <c r="H154" s="132">
        <v>99.447999999999993</v>
      </c>
      <c r="I154" s="133"/>
      <c r="J154" s="134">
        <f>ROUND(I154*H154,2)</f>
        <v>0</v>
      </c>
      <c r="K154" s="130" t="s">
        <v>343</v>
      </c>
      <c r="L154" s="17"/>
      <c r="M154" s="135"/>
      <c r="N154" s="136" t="s">
        <v>45</v>
      </c>
      <c r="P154" s="137">
        <f>O154*H154</f>
        <v>0</v>
      </c>
      <c r="Q154" s="137">
        <v>0</v>
      </c>
      <c r="R154" s="137">
        <f>Q154*H154</f>
        <v>0</v>
      </c>
      <c r="S154" s="137">
        <v>0</v>
      </c>
      <c r="T154" s="138">
        <f>S154*H154</f>
        <v>0</v>
      </c>
      <c r="AR154" s="139" t="s">
        <v>344</v>
      </c>
      <c r="AT154" s="139" t="s">
        <v>339</v>
      </c>
      <c r="AU154" s="139" t="s">
        <v>90</v>
      </c>
      <c r="AY154" s="2" t="s">
        <v>337</v>
      </c>
      <c r="BE154" s="140">
        <f>IF(N154="základní",J154,0)</f>
        <v>0</v>
      </c>
      <c r="BF154" s="140">
        <f>IF(N154="snížená",J154,0)</f>
        <v>0</v>
      </c>
      <c r="BG154" s="140">
        <f>IF(N154="zákl. přenesená",J154,0)</f>
        <v>0</v>
      </c>
      <c r="BH154" s="140">
        <f>IF(N154="sníž. přenesená",J154,0)</f>
        <v>0</v>
      </c>
      <c r="BI154" s="140">
        <f>IF(N154="nulová",J154,0)</f>
        <v>0</v>
      </c>
      <c r="BJ154" s="2" t="s">
        <v>87</v>
      </c>
      <c r="BK154" s="140">
        <f>ROUND(I154*H154,2)</f>
        <v>0</v>
      </c>
      <c r="BL154" s="2" t="s">
        <v>344</v>
      </c>
      <c r="BM154" s="139" t="s">
        <v>3060</v>
      </c>
    </row>
    <row r="155" spans="2:65" s="141" customFormat="1" x14ac:dyDescent="0.2">
      <c r="B155" s="142"/>
      <c r="D155" s="143" t="s">
        <v>346</v>
      </c>
      <c r="E155" s="144"/>
      <c r="F155" s="145" t="s">
        <v>3061</v>
      </c>
      <c r="H155" s="144"/>
      <c r="L155" s="142"/>
      <c r="M155" s="146"/>
      <c r="T155" s="147"/>
      <c r="AT155" s="144" t="s">
        <v>346</v>
      </c>
      <c r="AU155" s="144" t="s">
        <v>90</v>
      </c>
      <c r="AV155" s="141" t="s">
        <v>87</v>
      </c>
      <c r="AW155" s="141" t="s">
        <v>33</v>
      </c>
      <c r="AX155" s="141" t="s">
        <v>80</v>
      </c>
      <c r="AY155" s="144" t="s">
        <v>337</v>
      </c>
    </row>
    <row r="156" spans="2:65" s="141" customFormat="1" x14ac:dyDescent="0.2">
      <c r="B156" s="142"/>
      <c r="D156" s="143" t="s">
        <v>346</v>
      </c>
      <c r="E156" s="144"/>
      <c r="F156" s="145" t="s">
        <v>3062</v>
      </c>
      <c r="H156" s="144"/>
      <c r="L156" s="142"/>
      <c r="M156" s="146"/>
      <c r="T156" s="147"/>
      <c r="AT156" s="144" t="s">
        <v>346</v>
      </c>
      <c r="AU156" s="144" t="s">
        <v>90</v>
      </c>
      <c r="AV156" s="141" t="s">
        <v>87</v>
      </c>
      <c r="AW156" s="141" t="s">
        <v>33</v>
      </c>
      <c r="AX156" s="141" t="s">
        <v>80</v>
      </c>
      <c r="AY156" s="144" t="s">
        <v>337</v>
      </c>
    </row>
    <row r="157" spans="2:65" s="141" customFormat="1" x14ac:dyDescent="0.2">
      <c r="B157" s="142"/>
      <c r="D157" s="143" t="s">
        <v>346</v>
      </c>
      <c r="E157" s="144"/>
      <c r="F157" s="145" t="s">
        <v>3063</v>
      </c>
      <c r="H157" s="144"/>
      <c r="L157" s="142"/>
      <c r="M157" s="146"/>
      <c r="T157" s="147"/>
      <c r="AT157" s="144" t="s">
        <v>346</v>
      </c>
      <c r="AU157" s="144" t="s">
        <v>90</v>
      </c>
      <c r="AV157" s="141" t="s">
        <v>87</v>
      </c>
      <c r="AW157" s="141" t="s">
        <v>33</v>
      </c>
      <c r="AX157" s="141" t="s">
        <v>80</v>
      </c>
      <c r="AY157" s="144" t="s">
        <v>337</v>
      </c>
    </row>
    <row r="158" spans="2:65" s="148" customFormat="1" x14ac:dyDescent="0.2">
      <c r="B158" s="149"/>
      <c r="D158" s="143" t="s">
        <v>346</v>
      </c>
      <c r="E158" s="150"/>
      <c r="F158" s="151" t="s">
        <v>3064</v>
      </c>
      <c r="H158" s="152">
        <v>229.38800000000001</v>
      </c>
      <c r="L158" s="149"/>
      <c r="M158" s="153"/>
      <c r="T158" s="154"/>
      <c r="AT158" s="150" t="s">
        <v>346</v>
      </c>
      <c r="AU158" s="150" t="s">
        <v>90</v>
      </c>
      <c r="AV158" s="148" t="s">
        <v>90</v>
      </c>
      <c r="AW158" s="148" t="s">
        <v>33</v>
      </c>
      <c r="AX158" s="148" t="s">
        <v>80</v>
      </c>
      <c r="AY158" s="150" t="s">
        <v>337</v>
      </c>
    </row>
    <row r="159" spans="2:65" s="141" customFormat="1" x14ac:dyDescent="0.2">
      <c r="B159" s="142"/>
      <c r="D159" s="143" t="s">
        <v>346</v>
      </c>
      <c r="E159" s="144"/>
      <c r="F159" s="145" t="s">
        <v>3065</v>
      </c>
      <c r="H159" s="144"/>
      <c r="L159" s="142"/>
      <c r="M159" s="146"/>
      <c r="T159" s="147"/>
      <c r="AT159" s="144" t="s">
        <v>346</v>
      </c>
      <c r="AU159" s="144" t="s">
        <v>90</v>
      </c>
      <c r="AV159" s="141" t="s">
        <v>87</v>
      </c>
      <c r="AW159" s="141" t="s">
        <v>33</v>
      </c>
      <c r="AX159" s="141" t="s">
        <v>80</v>
      </c>
      <c r="AY159" s="144" t="s">
        <v>337</v>
      </c>
    </row>
    <row r="160" spans="2:65" s="148" customFormat="1" x14ac:dyDescent="0.2">
      <c r="B160" s="149"/>
      <c r="D160" s="143" t="s">
        <v>346</v>
      </c>
      <c r="E160" s="150"/>
      <c r="F160" s="151" t="s">
        <v>3066</v>
      </c>
      <c r="H160" s="152">
        <v>-30.492000000000001</v>
      </c>
      <c r="L160" s="149"/>
      <c r="M160" s="153"/>
      <c r="T160" s="154"/>
      <c r="AT160" s="150" t="s">
        <v>346</v>
      </c>
      <c r="AU160" s="150" t="s">
        <v>90</v>
      </c>
      <c r="AV160" s="148" t="s">
        <v>90</v>
      </c>
      <c r="AW160" s="148" t="s">
        <v>33</v>
      </c>
      <c r="AX160" s="148" t="s">
        <v>80</v>
      </c>
      <c r="AY160" s="150" t="s">
        <v>337</v>
      </c>
    </row>
    <row r="161" spans="2:65" s="172" customFormat="1" x14ac:dyDescent="0.2">
      <c r="B161" s="173"/>
      <c r="D161" s="143" t="s">
        <v>346</v>
      </c>
      <c r="E161" s="174" t="s">
        <v>2995</v>
      </c>
      <c r="F161" s="175" t="s">
        <v>609</v>
      </c>
      <c r="H161" s="176">
        <v>198.89599999999999</v>
      </c>
      <c r="L161" s="173"/>
      <c r="M161" s="177"/>
      <c r="T161" s="178"/>
      <c r="AT161" s="174" t="s">
        <v>346</v>
      </c>
      <c r="AU161" s="174" t="s">
        <v>90</v>
      </c>
      <c r="AV161" s="172" t="s">
        <v>113</v>
      </c>
      <c r="AW161" s="172" t="s">
        <v>33</v>
      </c>
      <c r="AX161" s="172" t="s">
        <v>80</v>
      </c>
      <c r="AY161" s="174" t="s">
        <v>337</v>
      </c>
    </row>
    <row r="162" spans="2:65" s="141" customFormat="1" x14ac:dyDescent="0.2">
      <c r="B162" s="142"/>
      <c r="D162" s="143" t="s">
        <v>346</v>
      </c>
      <c r="E162" s="144"/>
      <c r="F162" s="145" t="s">
        <v>3067</v>
      </c>
      <c r="H162" s="144"/>
      <c r="L162" s="142"/>
      <c r="M162" s="146"/>
      <c r="T162" s="147"/>
      <c r="AT162" s="144" t="s">
        <v>346</v>
      </c>
      <c r="AU162" s="144" t="s">
        <v>90</v>
      </c>
      <c r="AV162" s="141" t="s">
        <v>87</v>
      </c>
      <c r="AW162" s="141" t="s">
        <v>33</v>
      </c>
      <c r="AX162" s="141" t="s">
        <v>80</v>
      </c>
      <c r="AY162" s="144" t="s">
        <v>337</v>
      </c>
    </row>
    <row r="163" spans="2:65" s="141" customFormat="1" x14ac:dyDescent="0.2">
      <c r="B163" s="142"/>
      <c r="D163" s="143" t="s">
        <v>346</v>
      </c>
      <c r="E163" s="144"/>
      <c r="F163" s="145" t="s">
        <v>3068</v>
      </c>
      <c r="H163" s="144"/>
      <c r="L163" s="142"/>
      <c r="M163" s="146"/>
      <c r="T163" s="147"/>
      <c r="AT163" s="144" t="s">
        <v>346</v>
      </c>
      <c r="AU163" s="144" t="s">
        <v>90</v>
      </c>
      <c r="AV163" s="141" t="s">
        <v>87</v>
      </c>
      <c r="AW163" s="141" t="s">
        <v>33</v>
      </c>
      <c r="AX163" s="141" t="s">
        <v>80</v>
      </c>
      <c r="AY163" s="144" t="s">
        <v>337</v>
      </c>
    </row>
    <row r="164" spans="2:65" s="148" customFormat="1" x14ac:dyDescent="0.2">
      <c r="B164" s="149"/>
      <c r="D164" s="143" t="s">
        <v>346</v>
      </c>
      <c r="E164" s="150"/>
      <c r="F164" s="151" t="s">
        <v>3069</v>
      </c>
      <c r="H164" s="152">
        <v>-79.558000000000007</v>
      </c>
      <c r="L164" s="149"/>
      <c r="M164" s="153"/>
      <c r="T164" s="154"/>
      <c r="AT164" s="150" t="s">
        <v>346</v>
      </c>
      <c r="AU164" s="150" t="s">
        <v>90</v>
      </c>
      <c r="AV164" s="148" t="s">
        <v>90</v>
      </c>
      <c r="AW164" s="148" t="s">
        <v>33</v>
      </c>
      <c r="AX164" s="148" t="s">
        <v>80</v>
      </c>
      <c r="AY164" s="150" t="s">
        <v>337</v>
      </c>
    </row>
    <row r="165" spans="2:65" s="141" customFormat="1" x14ac:dyDescent="0.2">
      <c r="B165" s="142"/>
      <c r="D165" s="143" t="s">
        <v>346</v>
      </c>
      <c r="E165" s="144"/>
      <c r="F165" s="145" t="s">
        <v>3070</v>
      </c>
      <c r="H165" s="144"/>
      <c r="L165" s="142"/>
      <c r="M165" s="146"/>
      <c r="T165" s="147"/>
      <c r="AT165" s="144" t="s">
        <v>346</v>
      </c>
      <c r="AU165" s="144" t="s">
        <v>90</v>
      </c>
      <c r="AV165" s="141" t="s">
        <v>87</v>
      </c>
      <c r="AW165" s="141" t="s">
        <v>33</v>
      </c>
      <c r="AX165" s="141" t="s">
        <v>80</v>
      </c>
      <c r="AY165" s="144" t="s">
        <v>337</v>
      </c>
    </row>
    <row r="166" spans="2:65" s="148" customFormat="1" x14ac:dyDescent="0.2">
      <c r="B166" s="149"/>
      <c r="D166" s="143" t="s">
        <v>346</v>
      </c>
      <c r="E166" s="150"/>
      <c r="F166" s="151" t="s">
        <v>3071</v>
      </c>
      <c r="H166" s="152">
        <v>-19.89</v>
      </c>
      <c r="L166" s="149"/>
      <c r="M166" s="153"/>
      <c r="T166" s="154"/>
      <c r="AT166" s="150" t="s">
        <v>346</v>
      </c>
      <c r="AU166" s="150" t="s">
        <v>90</v>
      </c>
      <c r="AV166" s="148" t="s">
        <v>90</v>
      </c>
      <c r="AW166" s="148" t="s">
        <v>33</v>
      </c>
      <c r="AX166" s="148" t="s">
        <v>80</v>
      </c>
      <c r="AY166" s="150" t="s">
        <v>337</v>
      </c>
    </row>
    <row r="167" spans="2:65" s="155" customFormat="1" x14ac:dyDescent="0.2">
      <c r="B167" s="156"/>
      <c r="D167" s="143" t="s">
        <v>346</v>
      </c>
      <c r="E167" s="157"/>
      <c r="F167" s="158" t="s">
        <v>351</v>
      </c>
      <c r="H167" s="159">
        <v>99.447999999999993</v>
      </c>
      <c r="L167" s="156"/>
      <c r="M167" s="160"/>
      <c r="T167" s="161"/>
      <c r="AT167" s="157" t="s">
        <v>346</v>
      </c>
      <c r="AU167" s="157" t="s">
        <v>90</v>
      </c>
      <c r="AV167" s="155" t="s">
        <v>344</v>
      </c>
      <c r="AW167" s="155" t="s">
        <v>33</v>
      </c>
      <c r="AX167" s="155" t="s">
        <v>87</v>
      </c>
      <c r="AY167" s="157" t="s">
        <v>337</v>
      </c>
    </row>
    <row r="168" spans="2:65" s="16" customFormat="1" ht="16.5" customHeight="1" x14ac:dyDescent="0.2">
      <c r="B168" s="17"/>
      <c r="C168" s="128">
        <v>5</v>
      </c>
      <c r="D168" s="128" t="s">
        <v>339</v>
      </c>
      <c r="E168" s="129" t="s">
        <v>3072</v>
      </c>
      <c r="F168" s="130" t="s">
        <v>3073</v>
      </c>
      <c r="G168" s="131" t="s">
        <v>342</v>
      </c>
      <c r="H168" s="132">
        <v>5</v>
      </c>
      <c r="I168" s="133"/>
      <c r="J168" s="134">
        <f>ROUND(I168*H168,2)</f>
        <v>0</v>
      </c>
      <c r="K168" s="130" t="s">
        <v>343</v>
      </c>
      <c r="L168" s="17"/>
      <c r="M168" s="135"/>
      <c r="N168" s="136" t="s">
        <v>45</v>
      </c>
      <c r="P168" s="137">
        <f>O168*H168</f>
        <v>0</v>
      </c>
      <c r="Q168" s="137">
        <v>0</v>
      </c>
      <c r="R168" s="137">
        <f>Q168*H168</f>
        <v>0</v>
      </c>
      <c r="S168" s="137">
        <v>0</v>
      </c>
      <c r="T168" s="138">
        <f>S168*H168</f>
        <v>0</v>
      </c>
      <c r="AR168" s="139" t="s">
        <v>344</v>
      </c>
      <c r="AT168" s="139" t="s">
        <v>339</v>
      </c>
      <c r="AU168" s="139" t="s">
        <v>90</v>
      </c>
      <c r="AY168" s="2" t="s">
        <v>337</v>
      </c>
      <c r="BE168" s="140">
        <f>IF(N168="základní",J168,0)</f>
        <v>0</v>
      </c>
      <c r="BF168" s="140">
        <f>IF(N168="snížená",J168,0)</f>
        <v>0</v>
      </c>
      <c r="BG168" s="140">
        <f>IF(N168="zákl. přenesená",J168,0)</f>
        <v>0</v>
      </c>
      <c r="BH168" s="140">
        <f>IF(N168="sníž. přenesená",J168,0)</f>
        <v>0</v>
      </c>
      <c r="BI168" s="140">
        <f>IF(N168="nulová",J168,0)</f>
        <v>0</v>
      </c>
      <c r="BJ168" s="2" t="s">
        <v>87</v>
      </c>
      <c r="BK168" s="140">
        <f>ROUND(I168*H168,2)</f>
        <v>0</v>
      </c>
      <c r="BL168" s="2" t="s">
        <v>344</v>
      </c>
      <c r="BM168" s="139" t="s">
        <v>3074</v>
      </c>
    </row>
    <row r="169" spans="2:65" s="141" customFormat="1" x14ac:dyDescent="0.2">
      <c r="B169" s="142"/>
      <c r="D169" s="143" t="s">
        <v>346</v>
      </c>
      <c r="E169" s="144"/>
      <c r="F169" s="145" t="s">
        <v>3075</v>
      </c>
      <c r="H169" s="144"/>
      <c r="L169" s="142"/>
      <c r="M169" s="146"/>
      <c r="T169" s="147"/>
      <c r="AT169" s="144" t="s">
        <v>346</v>
      </c>
      <c r="AU169" s="144" t="s">
        <v>90</v>
      </c>
      <c r="AV169" s="141" t="s">
        <v>87</v>
      </c>
      <c r="AW169" s="141" t="s">
        <v>33</v>
      </c>
      <c r="AX169" s="141" t="s">
        <v>80</v>
      </c>
      <c r="AY169" s="144" t="s">
        <v>337</v>
      </c>
    </row>
    <row r="170" spans="2:65" s="148" customFormat="1" x14ac:dyDescent="0.2">
      <c r="B170" s="149"/>
      <c r="D170" s="143" t="s">
        <v>346</v>
      </c>
      <c r="E170" s="150"/>
      <c r="F170" s="151" t="s">
        <v>2228</v>
      </c>
      <c r="H170" s="152">
        <v>5</v>
      </c>
      <c r="L170" s="149"/>
      <c r="M170" s="153"/>
      <c r="T170" s="154"/>
      <c r="AT170" s="150" t="s">
        <v>346</v>
      </c>
      <c r="AU170" s="150" t="s">
        <v>90</v>
      </c>
      <c r="AV170" s="148" t="s">
        <v>90</v>
      </c>
      <c r="AW170" s="148" t="s">
        <v>33</v>
      </c>
      <c r="AX170" s="148" t="s">
        <v>87</v>
      </c>
      <c r="AY170" s="150" t="s">
        <v>337</v>
      </c>
    </row>
    <row r="171" spans="2:65" s="16" customFormat="1" ht="16.5" customHeight="1" x14ac:dyDescent="0.2">
      <c r="B171" s="17"/>
      <c r="C171" s="128">
        <v>6</v>
      </c>
      <c r="D171" s="128" t="s">
        <v>339</v>
      </c>
      <c r="E171" s="129" t="s">
        <v>3076</v>
      </c>
      <c r="F171" s="130" t="s">
        <v>3077</v>
      </c>
      <c r="G171" s="131" t="s">
        <v>342</v>
      </c>
      <c r="H171" s="132">
        <v>79.558000000000007</v>
      </c>
      <c r="I171" s="133"/>
      <c r="J171" s="134">
        <f>ROUND(I171*H171,2)</f>
        <v>0</v>
      </c>
      <c r="K171" s="130" t="s">
        <v>343</v>
      </c>
      <c r="L171" s="17"/>
      <c r="M171" s="135"/>
      <c r="N171" s="136" t="s">
        <v>45</v>
      </c>
      <c r="P171" s="137">
        <f>O171*H171</f>
        <v>0</v>
      </c>
      <c r="Q171" s="137">
        <v>0</v>
      </c>
      <c r="R171" s="137">
        <f>Q171*H171</f>
        <v>0</v>
      </c>
      <c r="S171" s="137">
        <v>0</v>
      </c>
      <c r="T171" s="138">
        <f>S171*H171</f>
        <v>0</v>
      </c>
      <c r="AR171" s="139" t="s">
        <v>344</v>
      </c>
      <c r="AT171" s="139" t="s">
        <v>339</v>
      </c>
      <c r="AU171" s="139" t="s">
        <v>90</v>
      </c>
      <c r="AY171" s="2" t="s">
        <v>337</v>
      </c>
      <c r="BE171" s="140">
        <f>IF(N171="základní",J171,0)</f>
        <v>0</v>
      </c>
      <c r="BF171" s="140">
        <f>IF(N171="snížená",J171,0)</f>
        <v>0</v>
      </c>
      <c r="BG171" s="140">
        <f>IF(N171="zákl. přenesená",J171,0)</f>
        <v>0</v>
      </c>
      <c r="BH171" s="140">
        <f>IF(N171="sníž. přenesená",J171,0)</f>
        <v>0</v>
      </c>
      <c r="BI171" s="140">
        <f>IF(N171="nulová",J171,0)</f>
        <v>0</v>
      </c>
      <c r="BJ171" s="2" t="s">
        <v>87</v>
      </c>
      <c r="BK171" s="140">
        <f>ROUND(I171*H171,2)</f>
        <v>0</v>
      </c>
      <c r="BL171" s="2" t="s">
        <v>344</v>
      </c>
      <c r="BM171" s="139" t="s">
        <v>3078</v>
      </c>
    </row>
    <row r="172" spans="2:65" s="141" customFormat="1" x14ac:dyDescent="0.2">
      <c r="B172" s="142"/>
      <c r="D172" s="143" t="s">
        <v>346</v>
      </c>
      <c r="E172" s="144"/>
      <c r="F172" s="145" t="s">
        <v>3079</v>
      </c>
      <c r="H172" s="144"/>
      <c r="L172" s="142"/>
      <c r="M172" s="146"/>
      <c r="T172" s="147"/>
      <c r="AT172" s="144" t="s">
        <v>346</v>
      </c>
      <c r="AU172" s="144" t="s">
        <v>90</v>
      </c>
      <c r="AV172" s="141" t="s">
        <v>87</v>
      </c>
      <c r="AW172" s="141" t="s">
        <v>33</v>
      </c>
      <c r="AX172" s="141" t="s">
        <v>80</v>
      </c>
      <c r="AY172" s="144" t="s">
        <v>337</v>
      </c>
    </row>
    <row r="173" spans="2:65" s="148" customFormat="1" x14ac:dyDescent="0.2">
      <c r="B173" s="149"/>
      <c r="D173" s="143" t="s">
        <v>346</v>
      </c>
      <c r="E173" s="150"/>
      <c r="F173" s="151" t="s">
        <v>3080</v>
      </c>
      <c r="H173" s="152">
        <v>79.558000000000007</v>
      </c>
      <c r="L173" s="149"/>
      <c r="M173" s="153"/>
      <c r="T173" s="154"/>
      <c r="AT173" s="150" t="s">
        <v>346</v>
      </c>
      <c r="AU173" s="150" t="s">
        <v>90</v>
      </c>
      <c r="AV173" s="148" t="s">
        <v>90</v>
      </c>
      <c r="AW173" s="148" t="s">
        <v>33</v>
      </c>
      <c r="AX173" s="148" t="s">
        <v>87</v>
      </c>
      <c r="AY173" s="150" t="s">
        <v>337</v>
      </c>
    </row>
    <row r="174" spans="2:65" s="16" customFormat="1" ht="16.5" customHeight="1" x14ac:dyDescent="0.2">
      <c r="B174" s="17"/>
      <c r="C174" s="128">
        <v>7</v>
      </c>
      <c r="D174" s="128" t="s">
        <v>339</v>
      </c>
      <c r="E174" s="129" t="s">
        <v>3081</v>
      </c>
      <c r="F174" s="130" t="s">
        <v>3082</v>
      </c>
      <c r="G174" s="131" t="s">
        <v>342</v>
      </c>
      <c r="H174" s="132">
        <v>19.89</v>
      </c>
      <c r="I174" s="133"/>
      <c r="J174" s="134">
        <f>ROUND(I174*H174,2)</f>
        <v>0</v>
      </c>
      <c r="K174" s="130" t="s">
        <v>343</v>
      </c>
      <c r="L174" s="17"/>
      <c r="M174" s="135"/>
      <c r="N174" s="136" t="s">
        <v>45</v>
      </c>
      <c r="P174" s="137">
        <f>O174*H174</f>
        <v>0</v>
      </c>
      <c r="Q174" s="137">
        <v>0</v>
      </c>
      <c r="R174" s="137">
        <f>Q174*H174</f>
        <v>0</v>
      </c>
      <c r="S174" s="137">
        <v>0</v>
      </c>
      <c r="T174" s="138">
        <f>S174*H174</f>
        <v>0</v>
      </c>
      <c r="AR174" s="139" t="s">
        <v>344</v>
      </c>
      <c r="AT174" s="139" t="s">
        <v>339</v>
      </c>
      <c r="AU174" s="139" t="s">
        <v>90</v>
      </c>
      <c r="AY174" s="2" t="s">
        <v>337</v>
      </c>
      <c r="BE174" s="140">
        <f>IF(N174="základní",J174,0)</f>
        <v>0</v>
      </c>
      <c r="BF174" s="140">
        <f>IF(N174="snížená",J174,0)</f>
        <v>0</v>
      </c>
      <c r="BG174" s="140">
        <f>IF(N174="zákl. přenesená",J174,0)</f>
        <v>0</v>
      </c>
      <c r="BH174" s="140">
        <f>IF(N174="sníž. přenesená",J174,0)</f>
        <v>0</v>
      </c>
      <c r="BI174" s="140">
        <f>IF(N174="nulová",J174,0)</f>
        <v>0</v>
      </c>
      <c r="BJ174" s="2" t="s">
        <v>87</v>
      </c>
      <c r="BK174" s="140">
        <f>ROUND(I174*H174,2)</f>
        <v>0</v>
      </c>
      <c r="BL174" s="2" t="s">
        <v>344</v>
      </c>
      <c r="BM174" s="139" t="s">
        <v>3083</v>
      </c>
    </row>
    <row r="175" spans="2:65" s="141" customFormat="1" x14ac:dyDescent="0.2">
      <c r="B175" s="142"/>
      <c r="D175" s="143" t="s">
        <v>346</v>
      </c>
      <c r="E175" s="144"/>
      <c r="F175" s="145" t="s">
        <v>3084</v>
      </c>
      <c r="H175" s="144"/>
      <c r="L175" s="142"/>
      <c r="M175" s="146"/>
      <c r="T175" s="147"/>
      <c r="AT175" s="144" t="s">
        <v>346</v>
      </c>
      <c r="AU175" s="144" t="s">
        <v>90</v>
      </c>
      <c r="AV175" s="141" t="s">
        <v>87</v>
      </c>
      <c r="AW175" s="141" t="s">
        <v>33</v>
      </c>
      <c r="AX175" s="141" t="s">
        <v>80</v>
      </c>
      <c r="AY175" s="144" t="s">
        <v>337</v>
      </c>
    </row>
    <row r="176" spans="2:65" s="148" customFormat="1" x14ac:dyDescent="0.2">
      <c r="B176" s="149"/>
      <c r="D176" s="143" t="s">
        <v>346</v>
      </c>
      <c r="E176" s="150"/>
      <c r="F176" s="151" t="s">
        <v>3085</v>
      </c>
      <c r="H176" s="152">
        <v>19.89</v>
      </c>
      <c r="L176" s="149"/>
      <c r="M176" s="153"/>
      <c r="T176" s="154"/>
      <c r="AT176" s="150" t="s">
        <v>346</v>
      </c>
      <c r="AU176" s="150" t="s">
        <v>90</v>
      </c>
      <c r="AV176" s="148" t="s">
        <v>90</v>
      </c>
      <c r="AW176" s="148" t="s">
        <v>33</v>
      </c>
      <c r="AX176" s="148" t="s">
        <v>87</v>
      </c>
      <c r="AY176" s="150" t="s">
        <v>337</v>
      </c>
    </row>
    <row r="177" spans="2:65" s="16" customFormat="1" ht="21.75" customHeight="1" x14ac:dyDescent="0.2">
      <c r="B177" s="17"/>
      <c r="C177" s="128">
        <v>8</v>
      </c>
      <c r="D177" s="128" t="s">
        <v>339</v>
      </c>
      <c r="E177" s="129" t="s">
        <v>3086</v>
      </c>
      <c r="F177" s="130" t="s">
        <v>3087</v>
      </c>
      <c r="G177" s="131" t="s">
        <v>342</v>
      </c>
      <c r="H177" s="132">
        <v>3.0990000000000002</v>
      </c>
      <c r="I177" s="133"/>
      <c r="J177" s="134">
        <f>ROUND(I177*H177,2)</f>
        <v>0</v>
      </c>
      <c r="K177" s="130" t="s">
        <v>343</v>
      </c>
      <c r="L177" s="17"/>
      <c r="M177" s="135"/>
      <c r="N177" s="136" t="s">
        <v>45</v>
      </c>
      <c r="P177" s="137">
        <f>O177*H177</f>
        <v>0</v>
      </c>
      <c r="Q177" s="137">
        <v>0</v>
      </c>
      <c r="R177" s="137">
        <f>Q177*H177</f>
        <v>0</v>
      </c>
      <c r="S177" s="137">
        <v>0</v>
      </c>
      <c r="T177" s="138">
        <f>S177*H177</f>
        <v>0</v>
      </c>
      <c r="AR177" s="139" t="s">
        <v>344</v>
      </c>
      <c r="AT177" s="139" t="s">
        <v>339</v>
      </c>
      <c r="AU177" s="139" t="s">
        <v>90</v>
      </c>
      <c r="AY177" s="2" t="s">
        <v>337</v>
      </c>
      <c r="BE177" s="140">
        <f>IF(N177="základní",J177,0)</f>
        <v>0</v>
      </c>
      <c r="BF177" s="140">
        <f>IF(N177="snížená",J177,0)</f>
        <v>0</v>
      </c>
      <c r="BG177" s="140">
        <f>IF(N177="zákl. přenesená",J177,0)</f>
        <v>0</v>
      </c>
      <c r="BH177" s="140">
        <f>IF(N177="sníž. přenesená",J177,0)</f>
        <v>0</v>
      </c>
      <c r="BI177" s="140">
        <f>IF(N177="nulová",J177,0)</f>
        <v>0</v>
      </c>
      <c r="BJ177" s="2" t="s">
        <v>87</v>
      </c>
      <c r="BK177" s="140">
        <f>ROUND(I177*H177,2)</f>
        <v>0</v>
      </c>
      <c r="BL177" s="2" t="s">
        <v>344</v>
      </c>
      <c r="BM177" s="139" t="s">
        <v>3088</v>
      </c>
    </row>
    <row r="178" spans="2:65" s="141" customFormat="1" x14ac:dyDescent="0.2">
      <c r="B178" s="142"/>
      <c r="D178" s="143" t="s">
        <v>346</v>
      </c>
      <c r="E178" s="144"/>
      <c r="F178" s="145" t="s">
        <v>3089</v>
      </c>
      <c r="H178" s="144"/>
      <c r="L178" s="142"/>
      <c r="M178" s="146"/>
      <c r="T178" s="147"/>
      <c r="AT178" s="144" t="s">
        <v>346</v>
      </c>
      <c r="AU178" s="144" t="s">
        <v>90</v>
      </c>
      <c r="AV178" s="141" t="s">
        <v>87</v>
      </c>
      <c r="AW178" s="141" t="s">
        <v>33</v>
      </c>
      <c r="AX178" s="141" t="s">
        <v>80</v>
      </c>
      <c r="AY178" s="144" t="s">
        <v>337</v>
      </c>
    </row>
    <row r="179" spans="2:65" s="148" customFormat="1" x14ac:dyDescent="0.2">
      <c r="B179" s="149"/>
      <c r="D179" s="143" t="s">
        <v>346</v>
      </c>
      <c r="E179" s="150"/>
      <c r="F179" s="151" t="s">
        <v>3090</v>
      </c>
      <c r="H179" s="152">
        <v>5.6989999999999998</v>
      </c>
      <c r="L179" s="149"/>
      <c r="M179" s="153"/>
      <c r="T179" s="154"/>
      <c r="AT179" s="150" t="s">
        <v>346</v>
      </c>
      <c r="AU179" s="150" t="s">
        <v>90</v>
      </c>
      <c r="AV179" s="148" t="s">
        <v>90</v>
      </c>
      <c r="AW179" s="148" t="s">
        <v>33</v>
      </c>
      <c r="AX179" s="148" t="s">
        <v>80</v>
      </c>
      <c r="AY179" s="150" t="s">
        <v>337</v>
      </c>
    </row>
    <row r="180" spans="2:65" s="141" customFormat="1" x14ac:dyDescent="0.2">
      <c r="B180" s="142"/>
      <c r="D180" s="143" t="s">
        <v>346</v>
      </c>
      <c r="E180" s="144"/>
      <c r="F180" s="145" t="s">
        <v>3091</v>
      </c>
      <c r="H180" s="144"/>
      <c r="L180" s="142"/>
      <c r="M180" s="146"/>
      <c r="T180" s="147"/>
      <c r="AT180" s="144" t="s">
        <v>346</v>
      </c>
      <c r="AU180" s="144" t="s">
        <v>90</v>
      </c>
      <c r="AV180" s="141" t="s">
        <v>87</v>
      </c>
      <c r="AW180" s="141" t="s">
        <v>33</v>
      </c>
      <c r="AX180" s="141" t="s">
        <v>80</v>
      </c>
      <c r="AY180" s="144" t="s">
        <v>337</v>
      </c>
    </row>
    <row r="181" spans="2:65" s="148" customFormat="1" x14ac:dyDescent="0.2">
      <c r="B181" s="149"/>
      <c r="D181" s="143" t="s">
        <v>346</v>
      </c>
      <c r="E181" s="150"/>
      <c r="F181" s="151" t="s">
        <v>3092</v>
      </c>
      <c r="H181" s="152">
        <v>0.5</v>
      </c>
      <c r="L181" s="149"/>
      <c r="M181" s="153"/>
      <c r="T181" s="154"/>
      <c r="AT181" s="150" t="s">
        <v>346</v>
      </c>
      <c r="AU181" s="150" t="s">
        <v>90</v>
      </c>
      <c r="AV181" s="148" t="s">
        <v>90</v>
      </c>
      <c r="AW181" s="148" t="s">
        <v>33</v>
      </c>
      <c r="AX181" s="148" t="s">
        <v>80</v>
      </c>
      <c r="AY181" s="150" t="s">
        <v>337</v>
      </c>
    </row>
    <row r="182" spans="2:65" s="172" customFormat="1" x14ac:dyDescent="0.2">
      <c r="B182" s="173"/>
      <c r="D182" s="143" t="s">
        <v>346</v>
      </c>
      <c r="E182" s="174" t="s">
        <v>3024</v>
      </c>
      <c r="F182" s="175" t="s">
        <v>609</v>
      </c>
      <c r="H182" s="176">
        <v>6.1989999999999998</v>
      </c>
      <c r="L182" s="173"/>
      <c r="M182" s="177"/>
      <c r="T182" s="178"/>
      <c r="AT182" s="174" t="s">
        <v>346</v>
      </c>
      <c r="AU182" s="174" t="s">
        <v>90</v>
      </c>
      <c r="AV182" s="172" t="s">
        <v>113</v>
      </c>
      <c r="AW182" s="172" t="s">
        <v>33</v>
      </c>
      <c r="AX182" s="172" t="s">
        <v>80</v>
      </c>
      <c r="AY182" s="174" t="s">
        <v>337</v>
      </c>
    </row>
    <row r="183" spans="2:65" s="141" customFormat="1" x14ac:dyDescent="0.2">
      <c r="B183" s="142"/>
      <c r="D183" s="143" t="s">
        <v>346</v>
      </c>
      <c r="E183" s="144"/>
      <c r="F183" s="145" t="s">
        <v>3067</v>
      </c>
      <c r="H183" s="144"/>
      <c r="L183" s="142"/>
      <c r="M183" s="146"/>
      <c r="T183" s="147"/>
      <c r="AT183" s="144" t="s">
        <v>346</v>
      </c>
      <c r="AU183" s="144" t="s">
        <v>90</v>
      </c>
      <c r="AV183" s="141" t="s">
        <v>87</v>
      </c>
      <c r="AW183" s="141" t="s">
        <v>33</v>
      </c>
      <c r="AX183" s="141" t="s">
        <v>80</v>
      </c>
      <c r="AY183" s="144" t="s">
        <v>337</v>
      </c>
    </row>
    <row r="184" spans="2:65" s="141" customFormat="1" x14ac:dyDescent="0.2">
      <c r="B184" s="142"/>
      <c r="D184" s="143" t="s">
        <v>346</v>
      </c>
      <c r="E184" s="144"/>
      <c r="F184" s="145" t="s">
        <v>3068</v>
      </c>
      <c r="H184" s="144"/>
      <c r="L184" s="142"/>
      <c r="M184" s="146"/>
      <c r="T184" s="147"/>
      <c r="AT184" s="144" t="s">
        <v>346</v>
      </c>
      <c r="AU184" s="144" t="s">
        <v>90</v>
      </c>
      <c r="AV184" s="141" t="s">
        <v>87</v>
      </c>
      <c r="AW184" s="141" t="s">
        <v>33</v>
      </c>
      <c r="AX184" s="141" t="s">
        <v>80</v>
      </c>
      <c r="AY184" s="144" t="s">
        <v>337</v>
      </c>
    </row>
    <row r="185" spans="2:65" s="148" customFormat="1" x14ac:dyDescent="0.2">
      <c r="B185" s="149"/>
      <c r="D185" s="143" t="s">
        <v>346</v>
      </c>
      <c r="E185" s="150"/>
      <c r="F185" s="151" t="s">
        <v>3093</v>
      </c>
      <c r="H185" s="152">
        <v>-3.1</v>
      </c>
      <c r="L185" s="149"/>
      <c r="M185" s="153"/>
      <c r="T185" s="154"/>
      <c r="AT185" s="150" t="s">
        <v>346</v>
      </c>
      <c r="AU185" s="150" t="s">
        <v>90</v>
      </c>
      <c r="AV185" s="148" t="s">
        <v>90</v>
      </c>
      <c r="AW185" s="148" t="s">
        <v>33</v>
      </c>
      <c r="AX185" s="148" t="s">
        <v>80</v>
      </c>
      <c r="AY185" s="150" t="s">
        <v>337</v>
      </c>
    </row>
    <row r="186" spans="2:65" s="155" customFormat="1" x14ac:dyDescent="0.2">
      <c r="B186" s="156"/>
      <c r="D186" s="143" t="s">
        <v>346</v>
      </c>
      <c r="E186" s="157"/>
      <c r="F186" s="158" t="s">
        <v>351</v>
      </c>
      <c r="H186" s="159">
        <v>3.0990000000000002</v>
      </c>
      <c r="L186" s="156"/>
      <c r="M186" s="160"/>
      <c r="T186" s="161"/>
      <c r="AT186" s="157" t="s">
        <v>346</v>
      </c>
      <c r="AU186" s="157" t="s">
        <v>90</v>
      </c>
      <c r="AV186" s="155" t="s">
        <v>344</v>
      </c>
      <c r="AW186" s="155" t="s">
        <v>33</v>
      </c>
      <c r="AX186" s="155" t="s">
        <v>87</v>
      </c>
      <c r="AY186" s="157" t="s">
        <v>337</v>
      </c>
    </row>
    <row r="187" spans="2:65" s="16" customFormat="1" ht="21.75" customHeight="1" x14ac:dyDescent="0.2">
      <c r="B187" s="17"/>
      <c r="C187" s="128">
        <v>9</v>
      </c>
      <c r="D187" s="128" t="s">
        <v>339</v>
      </c>
      <c r="E187" s="129" t="s">
        <v>3094</v>
      </c>
      <c r="F187" s="130" t="s">
        <v>3095</v>
      </c>
      <c r="G187" s="131" t="s">
        <v>342</v>
      </c>
      <c r="H187" s="132">
        <v>229.767</v>
      </c>
      <c r="I187" s="133"/>
      <c r="J187" s="134">
        <f>ROUND(I187*H187,2)</f>
        <v>0</v>
      </c>
      <c r="K187" s="130" t="s">
        <v>343</v>
      </c>
      <c r="L187" s="17"/>
      <c r="M187" s="135"/>
      <c r="N187" s="136" t="s">
        <v>45</v>
      </c>
      <c r="P187" s="137">
        <f>O187*H187</f>
        <v>0</v>
      </c>
      <c r="Q187" s="137">
        <v>0</v>
      </c>
      <c r="R187" s="137">
        <f>Q187*H187</f>
        <v>0</v>
      </c>
      <c r="S187" s="137">
        <v>0</v>
      </c>
      <c r="T187" s="138">
        <f>S187*H187</f>
        <v>0</v>
      </c>
      <c r="AR187" s="139" t="s">
        <v>344</v>
      </c>
      <c r="AT187" s="139" t="s">
        <v>339</v>
      </c>
      <c r="AU187" s="139" t="s">
        <v>90</v>
      </c>
      <c r="AY187" s="2" t="s">
        <v>337</v>
      </c>
      <c r="BE187" s="140">
        <f>IF(N187="základní",J187,0)</f>
        <v>0</v>
      </c>
      <c r="BF187" s="140">
        <f>IF(N187="snížená",J187,0)</f>
        <v>0</v>
      </c>
      <c r="BG187" s="140">
        <f>IF(N187="zákl. přenesená",J187,0)</f>
        <v>0</v>
      </c>
      <c r="BH187" s="140">
        <f>IF(N187="sníž. přenesená",J187,0)</f>
        <v>0</v>
      </c>
      <c r="BI187" s="140">
        <f>IF(N187="nulová",J187,0)</f>
        <v>0</v>
      </c>
      <c r="BJ187" s="2" t="s">
        <v>87</v>
      </c>
      <c r="BK187" s="140">
        <f>ROUND(I187*H187,2)</f>
        <v>0</v>
      </c>
      <c r="BL187" s="2" t="s">
        <v>344</v>
      </c>
      <c r="BM187" s="139" t="s">
        <v>3096</v>
      </c>
    </row>
    <row r="188" spans="2:65" s="141" customFormat="1" x14ac:dyDescent="0.2">
      <c r="B188" s="142"/>
      <c r="D188" s="143" t="s">
        <v>346</v>
      </c>
      <c r="E188" s="144"/>
      <c r="F188" s="145" t="s">
        <v>3097</v>
      </c>
      <c r="H188" s="144"/>
      <c r="L188" s="142"/>
      <c r="M188" s="146"/>
      <c r="T188" s="147"/>
      <c r="AT188" s="144" t="s">
        <v>346</v>
      </c>
      <c r="AU188" s="144" t="s">
        <v>90</v>
      </c>
      <c r="AV188" s="141" t="s">
        <v>87</v>
      </c>
      <c r="AW188" s="141" t="s">
        <v>33</v>
      </c>
      <c r="AX188" s="141" t="s">
        <v>80</v>
      </c>
      <c r="AY188" s="144" t="s">
        <v>337</v>
      </c>
    </row>
    <row r="189" spans="2:65" s="141" customFormat="1" x14ac:dyDescent="0.2">
      <c r="B189" s="142"/>
      <c r="D189" s="143" t="s">
        <v>346</v>
      </c>
      <c r="E189" s="144"/>
      <c r="F189" s="145" t="s">
        <v>3098</v>
      </c>
      <c r="H189" s="144"/>
      <c r="L189" s="142"/>
      <c r="M189" s="146"/>
      <c r="T189" s="147"/>
      <c r="AT189" s="144" t="s">
        <v>346</v>
      </c>
      <c r="AU189" s="144" t="s">
        <v>90</v>
      </c>
      <c r="AV189" s="141" t="s">
        <v>87</v>
      </c>
      <c r="AW189" s="141" t="s">
        <v>33</v>
      </c>
      <c r="AX189" s="141" t="s">
        <v>80</v>
      </c>
      <c r="AY189" s="144" t="s">
        <v>337</v>
      </c>
    </row>
    <row r="190" spans="2:65" s="141" customFormat="1" x14ac:dyDescent="0.2">
      <c r="B190" s="142"/>
      <c r="D190" s="143" t="s">
        <v>346</v>
      </c>
      <c r="E190" s="144"/>
      <c r="F190" s="145" t="s">
        <v>3099</v>
      </c>
      <c r="H190" s="144"/>
      <c r="L190" s="142"/>
      <c r="M190" s="146"/>
      <c r="T190" s="147"/>
      <c r="AT190" s="144" t="s">
        <v>346</v>
      </c>
      <c r="AU190" s="144" t="s">
        <v>90</v>
      </c>
      <c r="AV190" s="141" t="s">
        <v>87</v>
      </c>
      <c r="AW190" s="141" t="s">
        <v>33</v>
      </c>
      <c r="AX190" s="141" t="s">
        <v>80</v>
      </c>
      <c r="AY190" s="144" t="s">
        <v>337</v>
      </c>
    </row>
    <row r="191" spans="2:65" s="148" customFormat="1" x14ac:dyDescent="0.2">
      <c r="B191" s="149"/>
      <c r="D191" s="143" t="s">
        <v>346</v>
      </c>
      <c r="E191" s="150"/>
      <c r="F191" s="151" t="s">
        <v>3100</v>
      </c>
      <c r="H191" s="152">
        <v>191.1</v>
      </c>
      <c r="L191" s="149"/>
      <c r="M191" s="153"/>
      <c r="T191" s="154"/>
      <c r="AT191" s="150" t="s">
        <v>346</v>
      </c>
      <c r="AU191" s="150" t="s">
        <v>90</v>
      </c>
      <c r="AV191" s="148" t="s">
        <v>90</v>
      </c>
      <c r="AW191" s="148" t="s">
        <v>33</v>
      </c>
      <c r="AX191" s="148" t="s">
        <v>80</v>
      </c>
      <c r="AY191" s="150" t="s">
        <v>337</v>
      </c>
    </row>
    <row r="192" spans="2:65" s="141" customFormat="1" x14ac:dyDescent="0.2">
      <c r="B192" s="142"/>
      <c r="D192" s="143" t="s">
        <v>346</v>
      </c>
      <c r="E192" s="144"/>
      <c r="F192" s="145" t="s">
        <v>3101</v>
      </c>
      <c r="H192" s="144"/>
      <c r="L192" s="142"/>
      <c r="M192" s="146"/>
      <c r="T192" s="147"/>
      <c r="AT192" s="144" t="s">
        <v>346</v>
      </c>
      <c r="AU192" s="144" t="s">
        <v>90</v>
      </c>
      <c r="AV192" s="141" t="s">
        <v>87</v>
      </c>
      <c r="AW192" s="141" t="s">
        <v>33</v>
      </c>
      <c r="AX192" s="141" t="s">
        <v>80</v>
      </c>
      <c r="AY192" s="144" t="s">
        <v>337</v>
      </c>
    </row>
    <row r="193" spans="2:51" s="141" customFormat="1" x14ac:dyDescent="0.2">
      <c r="B193" s="142"/>
      <c r="D193" s="143" t="s">
        <v>346</v>
      </c>
      <c r="E193" s="144"/>
      <c r="F193" s="145" t="s">
        <v>3102</v>
      </c>
      <c r="H193" s="144"/>
      <c r="L193" s="142"/>
      <c r="M193" s="146"/>
      <c r="T193" s="147"/>
      <c r="AT193" s="144" t="s">
        <v>346</v>
      </c>
      <c r="AU193" s="144" t="s">
        <v>90</v>
      </c>
      <c r="AV193" s="141" t="s">
        <v>87</v>
      </c>
      <c r="AW193" s="141" t="s">
        <v>33</v>
      </c>
      <c r="AX193" s="141" t="s">
        <v>80</v>
      </c>
      <c r="AY193" s="144" t="s">
        <v>337</v>
      </c>
    </row>
    <row r="194" spans="2:51" s="148" customFormat="1" x14ac:dyDescent="0.2">
      <c r="B194" s="149"/>
      <c r="D194" s="143" t="s">
        <v>346</v>
      </c>
      <c r="E194" s="150"/>
      <c r="F194" s="151" t="s">
        <v>3103</v>
      </c>
      <c r="H194" s="152">
        <v>19.5</v>
      </c>
      <c r="L194" s="149"/>
      <c r="M194" s="153"/>
      <c r="T194" s="154"/>
      <c r="AT194" s="150" t="s">
        <v>346</v>
      </c>
      <c r="AU194" s="150" t="s">
        <v>90</v>
      </c>
      <c r="AV194" s="148" t="s">
        <v>90</v>
      </c>
      <c r="AW194" s="148" t="s">
        <v>33</v>
      </c>
      <c r="AX194" s="148" t="s">
        <v>80</v>
      </c>
      <c r="AY194" s="150" t="s">
        <v>337</v>
      </c>
    </row>
    <row r="195" spans="2:51" s="141" customFormat="1" x14ac:dyDescent="0.2">
      <c r="B195" s="142"/>
      <c r="D195" s="143" t="s">
        <v>346</v>
      </c>
      <c r="E195" s="144"/>
      <c r="F195" s="145" t="s">
        <v>3104</v>
      </c>
      <c r="H195" s="144"/>
      <c r="L195" s="142"/>
      <c r="M195" s="146"/>
      <c r="T195" s="147"/>
      <c r="AT195" s="144" t="s">
        <v>346</v>
      </c>
      <c r="AU195" s="144" t="s">
        <v>90</v>
      </c>
      <c r="AV195" s="141" t="s">
        <v>87</v>
      </c>
      <c r="AW195" s="141" t="s">
        <v>33</v>
      </c>
      <c r="AX195" s="141" t="s">
        <v>80</v>
      </c>
      <c r="AY195" s="144" t="s">
        <v>337</v>
      </c>
    </row>
    <row r="196" spans="2:51" s="148" customFormat="1" x14ac:dyDescent="0.2">
      <c r="B196" s="149"/>
      <c r="D196" s="143" t="s">
        <v>346</v>
      </c>
      <c r="E196" s="150"/>
      <c r="F196" s="151" t="s">
        <v>3105</v>
      </c>
      <c r="H196" s="152">
        <v>1.95</v>
      </c>
      <c r="L196" s="149"/>
      <c r="M196" s="153"/>
      <c r="T196" s="154"/>
      <c r="AT196" s="150" t="s">
        <v>346</v>
      </c>
      <c r="AU196" s="150" t="s">
        <v>90</v>
      </c>
      <c r="AV196" s="148" t="s">
        <v>90</v>
      </c>
      <c r="AW196" s="148" t="s">
        <v>33</v>
      </c>
      <c r="AX196" s="148" t="s">
        <v>80</v>
      </c>
      <c r="AY196" s="150" t="s">
        <v>337</v>
      </c>
    </row>
    <row r="197" spans="2:51" s="141" customFormat="1" x14ac:dyDescent="0.2">
      <c r="B197" s="142"/>
      <c r="D197" s="143" t="s">
        <v>346</v>
      </c>
      <c r="E197" s="144"/>
      <c r="F197" s="145" t="s">
        <v>3106</v>
      </c>
      <c r="H197" s="144"/>
      <c r="L197" s="142"/>
      <c r="M197" s="146"/>
      <c r="T197" s="147"/>
      <c r="AT197" s="144" t="s">
        <v>346</v>
      </c>
      <c r="AU197" s="144" t="s">
        <v>90</v>
      </c>
      <c r="AV197" s="141" t="s">
        <v>87</v>
      </c>
      <c r="AW197" s="141" t="s">
        <v>33</v>
      </c>
      <c r="AX197" s="141" t="s">
        <v>80</v>
      </c>
      <c r="AY197" s="144" t="s">
        <v>337</v>
      </c>
    </row>
    <row r="198" spans="2:51" s="148" customFormat="1" x14ac:dyDescent="0.2">
      <c r="B198" s="149"/>
      <c r="D198" s="143" t="s">
        <v>346</v>
      </c>
      <c r="E198" s="150"/>
      <c r="F198" s="151" t="s">
        <v>3107</v>
      </c>
      <c r="H198" s="152">
        <v>33.799999999999997</v>
      </c>
      <c r="L198" s="149"/>
      <c r="M198" s="153"/>
      <c r="T198" s="154"/>
      <c r="AT198" s="150" t="s">
        <v>346</v>
      </c>
      <c r="AU198" s="150" t="s">
        <v>90</v>
      </c>
      <c r="AV198" s="148" t="s">
        <v>90</v>
      </c>
      <c r="AW198" s="148" t="s">
        <v>33</v>
      </c>
      <c r="AX198" s="148" t="s">
        <v>80</v>
      </c>
      <c r="AY198" s="150" t="s">
        <v>337</v>
      </c>
    </row>
    <row r="199" spans="2:51" s="141" customFormat="1" x14ac:dyDescent="0.2">
      <c r="B199" s="142"/>
      <c r="D199" s="143" t="s">
        <v>346</v>
      </c>
      <c r="E199" s="144"/>
      <c r="F199" s="145" t="s">
        <v>3108</v>
      </c>
      <c r="H199" s="144"/>
      <c r="L199" s="142"/>
      <c r="M199" s="146"/>
      <c r="T199" s="147"/>
      <c r="AT199" s="144" t="s">
        <v>346</v>
      </c>
      <c r="AU199" s="144" t="s">
        <v>90</v>
      </c>
      <c r="AV199" s="141" t="s">
        <v>87</v>
      </c>
      <c r="AW199" s="141" t="s">
        <v>33</v>
      </c>
      <c r="AX199" s="141" t="s">
        <v>80</v>
      </c>
      <c r="AY199" s="144" t="s">
        <v>337</v>
      </c>
    </row>
    <row r="200" spans="2:51" s="148" customFormat="1" x14ac:dyDescent="0.2">
      <c r="B200" s="149"/>
      <c r="D200" s="143" t="s">
        <v>346</v>
      </c>
      <c r="E200" s="150"/>
      <c r="F200" s="151" t="s">
        <v>3109</v>
      </c>
      <c r="H200" s="152">
        <v>17.55</v>
      </c>
      <c r="L200" s="149"/>
      <c r="M200" s="153"/>
      <c r="T200" s="154"/>
      <c r="AT200" s="150" t="s">
        <v>346</v>
      </c>
      <c r="AU200" s="150" t="s">
        <v>90</v>
      </c>
      <c r="AV200" s="148" t="s">
        <v>90</v>
      </c>
      <c r="AW200" s="148" t="s">
        <v>33</v>
      </c>
      <c r="AX200" s="148" t="s">
        <v>80</v>
      </c>
      <c r="AY200" s="150" t="s">
        <v>337</v>
      </c>
    </row>
    <row r="201" spans="2:51" s="141" customFormat="1" x14ac:dyDescent="0.2">
      <c r="B201" s="142"/>
      <c r="D201" s="143" t="s">
        <v>346</v>
      </c>
      <c r="E201" s="144"/>
      <c r="F201" s="145" t="s">
        <v>3110</v>
      </c>
      <c r="H201" s="144"/>
      <c r="L201" s="142"/>
      <c r="M201" s="146"/>
      <c r="T201" s="147"/>
      <c r="AT201" s="144" t="s">
        <v>346</v>
      </c>
      <c r="AU201" s="144" t="s">
        <v>90</v>
      </c>
      <c r="AV201" s="141" t="s">
        <v>87</v>
      </c>
      <c r="AW201" s="141" t="s">
        <v>33</v>
      </c>
      <c r="AX201" s="141" t="s">
        <v>80</v>
      </c>
      <c r="AY201" s="144" t="s">
        <v>337</v>
      </c>
    </row>
    <row r="202" spans="2:51" s="148" customFormat="1" x14ac:dyDescent="0.2">
      <c r="B202" s="149"/>
      <c r="D202" s="143" t="s">
        <v>346</v>
      </c>
      <c r="E202" s="150"/>
      <c r="F202" s="151" t="s">
        <v>3111</v>
      </c>
      <c r="H202" s="152">
        <v>60.774999999999999</v>
      </c>
      <c r="L202" s="149"/>
      <c r="M202" s="153"/>
      <c r="T202" s="154"/>
      <c r="AT202" s="150" t="s">
        <v>346</v>
      </c>
      <c r="AU202" s="150" t="s">
        <v>90</v>
      </c>
      <c r="AV202" s="148" t="s">
        <v>90</v>
      </c>
      <c r="AW202" s="148" t="s">
        <v>33</v>
      </c>
      <c r="AX202" s="148" t="s">
        <v>80</v>
      </c>
      <c r="AY202" s="150" t="s">
        <v>337</v>
      </c>
    </row>
    <row r="203" spans="2:51" s="141" customFormat="1" x14ac:dyDescent="0.2">
      <c r="B203" s="142"/>
      <c r="D203" s="143" t="s">
        <v>346</v>
      </c>
      <c r="E203" s="144"/>
      <c r="F203" s="145" t="s">
        <v>3112</v>
      </c>
      <c r="H203" s="144"/>
      <c r="L203" s="142"/>
      <c r="M203" s="146"/>
      <c r="T203" s="147"/>
      <c r="AT203" s="144" t="s">
        <v>346</v>
      </c>
      <c r="AU203" s="144" t="s">
        <v>90</v>
      </c>
      <c r="AV203" s="141" t="s">
        <v>87</v>
      </c>
      <c r="AW203" s="141" t="s">
        <v>33</v>
      </c>
      <c r="AX203" s="141" t="s">
        <v>80</v>
      </c>
      <c r="AY203" s="144" t="s">
        <v>337</v>
      </c>
    </row>
    <row r="204" spans="2:51" s="141" customFormat="1" x14ac:dyDescent="0.2">
      <c r="B204" s="142"/>
      <c r="D204" s="143" t="s">
        <v>346</v>
      </c>
      <c r="E204" s="144"/>
      <c r="F204" s="145" t="s">
        <v>3113</v>
      </c>
      <c r="H204" s="144"/>
      <c r="L204" s="142"/>
      <c r="M204" s="146"/>
      <c r="T204" s="147"/>
      <c r="AT204" s="144" t="s">
        <v>346</v>
      </c>
      <c r="AU204" s="144" t="s">
        <v>90</v>
      </c>
      <c r="AV204" s="141" t="s">
        <v>87</v>
      </c>
      <c r="AW204" s="141" t="s">
        <v>33</v>
      </c>
      <c r="AX204" s="141" t="s">
        <v>80</v>
      </c>
      <c r="AY204" s="144" t="s">
        <v>337</v>
      </c>
    </row>
    <row r="205" spans="2:51" s="141" customFormat="1" x14ac:dyDescent="0.2">
      <c r="B205" s="142"/>
      <c r="D205" s="143" t="s">
        <v>346</v>
      </c>
      <c r="E205" s="144"/>
      <c r="F205" s="145" t="s">
        <v>3053</v>
      </c>
      <c r="H205" s="144"/>
      <c r="L205" s="142"/>
      <c r="M205" s="146"/>
      <c r="T205" s="147"/>
      <c r="AT205" s="144" t="s">
        <v>346</v>
      </c>
      <c r="AU205" s="144" t="s">
        <v>90</v>
      </c>
      <c r="AV205" s="141" t="s">
        <v>87</v>
      </c>
      <c r="AW205" s="141" t="s">
        <v>33</v>
      </c>
      <c r="AX205" s="141" t="s">
        <v>80</v>
      </c>
      <c r="AY205" s="144" t="s">
        <v>337</v>
      </c>
    </row>
    <row r="206" spans="2:51" s="148" customFormat="1" x14ac:dyDescent="0.2">
      <c r="B206" s="149"/>
      <c r="D206" s="143" t="s">
        <v>346</v>
      </c>
      <c r="E206" s="150"/>
      <c r="F206" s="151" t="s">
        <v>3114</v>
      </c>
      <c r="H206" s="152">
        <v>57.029000000000003</v>
      </c>
      <c r="L206" s="149"/>
      <c r="M206" s="153"/>
      <c r="T206" s="154"/>
      <c r="AT206" s="150" t="s">
        <v>346</v>
      </c>
      <c r="AU206" s="150" t="s">
        <v>90</v>
      </c>
      <c r="AV206" s="148" t="s">
        <v>90</v>
      </c>
      <c r="AW206" s="148" t="s">
        <v>33</v>
      </c>
      <c r="AX206" s="148" t="s">
        <v>80</v>
      </c>
      <c r="AY206" s="150" t="s">
        <v>337</v>
      </c>
    </row>
    <row r="207" spans="2:51" s="141" customFormat="1" x14ac:dyDescent="0.2">
      <c r="B207" s="142"/>
      <c r="D207" s="143" t="s">
        <v>346</v>
      </c>
      <c r="E207" s="144"/>
      <c r="F207" s="145" t="s">
        <v>3115</v>
      </c>
      <c r="H207" s="144"/>
      <c r="L207" s="142"/>
      <c r="M207" s="146"/>
      <c r="T207" s="147"/>
      <c r="AT207" s="144" t="s">
        <v>346</v>
      </c>
      <c r="AU207" s="144" t="s">
        <v>90</v>
      </c>
      <c r="AV207" s="141" t="s">
        <v>87</v>
      </c>
      <c r="AW207" s="141" t="s">
        <v>33</v>
      </c>
      <c r="AX207" s="141" t="s">
        <v>80</v>
      </c>
      <c r="AY207" s="144" t="s">
        <v>337</v>
      </c>
    </row>
    <row r="208" spans="2:51" s="148" customFormat="1" x14ac:dyDescent="0.2">
      <c r="B208" s="149"/>
      <c r="D208" s="143" t="s">
        <v>346</v>
      </c>
      <c r="E208" s="150"/>
      <c r="F208" s="151" t="s">
        <v>3116</v>
      </c>
      <c r="H208" s="152">
        <v>33.081000000000003</v>
      </c>
      <c r="L208" s="149"/>
      <c r="M208" s="153"/>
      <c r="T208" s="154"/>
      <c r="AT208" s="150" t="s">
        <v>346</v>
      </c>
      <c r="AU208" s="150" t="s">
        <v>90</v>
      </c>
      <c r="AV208" s="148" t="s">
        <v>90</v>
      </c>
      <c r="AW208" s="148" t="s">
        <v>33</v>
      </c>
      <c r="AX208" s="148" t="s">
        <v>80</v>
      </c>
      <c r="AY208" s="150" t="s">
        <v>337</v>
      </c>
    </row>
    <row r="209" spans="2:51" s="141" customFormat="1" x14ac:dyDescent="0.2">
      <c r="B209" s="142"/>
      <c r="D209" s="143" t="s">
        <v>346</v>
      </c>
      <c r="E209" s="144"/>
      <c r="F209" s="145" t="s">
        <v>3117</v>
      </c>
      <c r="H209" s="144"/>
      <c r="L209" s="142"/>
      <c r="M209" s="146"/>
      <c r="T209" s="147"/>
      <c r="AT209" s="144" t="s">
        <v>346</v>
      </c>
      <c r="AU209" s="144" t="s">
        <v>90</v>
      </c>
      <c r="AV209" s="141" t="s">
        <v>87</v>
      </c>
      <c r="AW209" s="141" t="s">
        <v>33</v>
      </c>
      <c r="AX209" s="141" t="s">
        <v>80</v>
      </c>
      <c r="AY209" s="144" t="s">
        <v>337</v>
      </c>
    </row>
    <row r="210" spans="2:51" s="141" customFormat="1" x14ac:dyDescent="0.2">
      <c r="B210" s="142"/>
      <c r="D210" s="143" t="s">
        <v>346</v>
      </c>
      <c r="E210" s="144"/>
      <c r="F210" s="145" t="s">
        <v>757</v>
      </c>
      <c r="H210" s="144"/>
      <c r="L210" s="142"/>
      <c r="M210" s="146"/>
      <c r="T210" s="147"/>
      <c r="AT210" s="144" t="s">
        <v>346</v>
      </c>
      <c r="AU210" s="144" t="s">
        <v>90</v>
      </c>
      <c r="AV210" s="141" t="s">
        <v>87</v>
      </c>
      <c r="AW210" s="141" t="s">
        <v>33</v>
      </c>
      <c r="AX210" s="141" t="s">
        <v>80</v>
      </c>
      <c r="AY210" s="144" t="s">
        <v>337</v>
      </c>
    </row>
    <row r="211" spans="2:51" s="148" customFormat="1" x14ac:dyDescent="0.2">
      <c r="B211" s="149"/>
      <c r="D211" s="143" t="s">
        <v>346</v>
      </c>
      <c r="E211" s="150"/>
      <c r="F211" s="151" t="s">
        <v>3118</v>
      </c>
      <c r="H211" s="152">
        <v>3.55</v>
      </c>
      <c r="L211" s="149"/>
      <c r="M211" s="153"/>
      <c r="T211" s="154"/>
      <c r="AT211" s="150" t="s">
        <v>346</v>
      </c>
      <c r="AU211" s="150" t="s">
        <v>90</v>
      </c>
      <c r="AV211" s="148" t="s">
        <v>90</v>
      </c>
      <c r="AW211" s="148" t="s">
        <v>33</v>
      </c>
      <c r="AX211" s="148" t="s">
        <v>80</v>
      </c>
      <c r="AY211" s="150" t="s">
        <v>337</v>
      </c>
    </row>
    <row r="212" spans="2:51" s="141" customFormat="1" x14ac:dyDescent="0.2">
      <c r="B212" s="142"/>
      <c r="D212" s="143" t="s">
        <v>346</v>
      </c>
      <c r="E212" s="144"/>
      <c r="F212" s="145" t="s">
        <v>759</v>
      </c>
      <c r="H212" s="144"/>
      <c r="L212" s="142"/>
      <c r="M212" s="146"/>
      <c r="T212" s="147"/>
      <c r="AT212" s="144" t="s">
        <v>346</v>
      </c>
      <c r="AU212" s="144" t="s">
        <v>90</v>
      </c>
      <c r="AV212" s="141" t="s">
        <v>87</v>
      </c>
      <c r="AW212" s="141" t="s">
        <v>33</v>
      </c>
      <c r="AX212" s="141" t="s">
        <v>80</v>
      </c>
      <c r="AY212" s="144" t="s">
        <v>337</v>
      </c>
    </row>
    <row r="213" spans="2:51" s="148" customFormat="1" x14ac:dyDescent="0.2">
      <c r="B213" s="149"/>
      <c r="D213" s="143" t="s">
        <v>346</v>
      </c>
      <c r="E213" s="150"/>
      <c r="F213" s="151" t="s">
        <v>3119</v>
      </c>
      <c r="H213" s="152">
        <v>2.65</v>
      </c>
      <c r="L213" s="149"/>
      <c r="M213" s="153"/>
      <c r="T213" s="154"/>
      <c r="AT213" s="150" t="s">
        <v>346</v>
      </c>
      <c r="AU213" s="150" t="s">
        <v>90</v>
      </c>
      <c r="AV213" s="148" t="s">
        <v>90</v>
      </c>
      <c r="AW213" s="148" t="s">
        <v>33</v>
      </c>
      <c r="AX213" s="148" t="s">
        <v>80</v>
      </c>
      <c r="AY213" s="150" t="s">
        <v>337</v>
      </c>
    </row>
    <row r="214" spans="2:51" s="148" customFormat="1" x14ac:dyDescent="0.2">
      <c r="B214" s="149"/>
      <c r="D214" s="143" t="s">
        <v>346</v>
      </c>
      <c r="E214" s="150"/>
      <c r="F214" s="151" t="s">
        <v>3120</v>
      </c>
      <c r="H214" s="152">
        <v>4.75</v>
      </c>
      <c r="L214" s="149"/>
      <c r="M214" s="153"/>
      <c r="T214" s="154"/>
      <c r="AT214" s="150" t="s">
        <v>346</v>
      </c>
      <c r="AU214" s="150" t="s">
        <v>90</v>
      </c>
      <c r="AV214" s="148" t="s">
        <v>90</v>
      </c>
      <c r="AW214" s="148" t="s">
        <v>33</v>
      </c>
      <c r="AX214" s="148" t="s">
        <v>80</v>
      </c>
      <c r="AY214" s="150" t="s">
        <v>337</v>
      </c>
    </row>
    <row r="215" spans="2:51" s="141" customFormat="1" x14ac:dyDescent="0.2">
      <c r="B215" s="142"/>
      <c r="D215" s="143" t="s">
        <v>346</v>
      </c>
      <c r="E215" s="144"/>
      <c r="F215" s="145" t="s">
        <v>3121</v>
      </c>
      <c r="H215" s="144"/>
      <c r="L215" s="142"/>
      <c r="M215" s="146"/>
      <c r="T215" s="147"/>
      <c r="AT215" s="144" t="s">
        <v>346</v>
      </c>
      <c r="AU215" s="144" t="s">
        <v>90</v>
      </c>
      <c r="AV215" s="141" t="s">
        <v>87</v>
      </c>
      <c r="AW215" s="141" t="s">
        <v>33</v>
      </c>
      <c r="AX215" s="141" t="s">
        <v>80</v>
      </c>
      <c r="AY215" s="144" t="s">
        <v>337</v>
      </c>
    </row>
    <row r="216" spans="2:51" s="141" customFormat="1" x14ac:dyDescent="0.2">
      <c r="B216" s="142"/>
      <c r="D216" s="143" t="s">
        <v>346</v>
      </c>
      <c r="E216" s="144"/>
      <c r="F216" s="145" t="s">
        <v>3122</v>
      </c>
      <c r="H216" s="144"/>
      <c r="L216" s="142"/>
      <c r="M216" s="146"/>
      <c r="T216" s="147"/>
      <c r="AT216" s="144" t="s">
        <v>346</v>
      </c>
      <c r="AU216" s="144" t="s">
        <v>90</v>
      </c>
      <c r="AV216" s="141" t="s">
        <v>87</v>
      </c>
      <c r="AW216" s="141" t="s">
        <v>33</v>
      </c>
      <c r="AX216" s="141" t="s">
        <v>80</v>
      </c>
      <c r="AY216" s="144" t="s">
        <v>337</v>
      </c>
    </row>
    <row r="217" spans="2:51" s="148" customFormat="1" x14ac:dyDescent="0.2">
      <c r="B217" s="149"/>
      <c r="D217" s="143" t="s">
        <v>346</v>
      </c>
      <c r="E217" s="150"/>
      <c r="F217" s="151" t="s">
        <v>3123</v>
      </c>
      <c r="H217" s="152">
        <v>33.799999999999997</v>
      </c>
      <c r="L217" s="149"/>
      <c r="M217" s="153"/>
      <c r="T217" s="154"/>
      <c r="AT217" s="150" t="s">
        <v>346</v>
      </c>
      <c r="AU217" s="150" t="s">
        <v>90</v>
      </c>
      <c r="AV217" s="148" t="s">
        <v>90</v>
      </c>
      <c r="AW217" s="148" t="s">
        <v>33</v>
      </c>
      <c r="AX217" s="148" t="s">
        <v>80</v>
      </c>
      <c r="AY217" s="150" t="s">
        <v>337</v>
      </c>
    </row>
    <row r="218" spans="2:51" s="172" customFormat="1" x14ac:dyDescent="0.2">
      <c r="B218" s="173"/>
      <c r="D218" s="143" t="s">
        <v>346</v>
      </c>
      <c r="E218" s="174" t="s">
        <v>3022</v>
      </c>
      <c r="F218" s="175" t="s">
        <v>609</v>
      </c>
      <c r="H218" s="176">
        <v>459.53500000000003</v>
      </c>
      <c r="L218" s="173"/>
      <c r="M218" s="177"/>
      <c r="T218" s="178"/>
      <c r="AT218" s="174" t="s">
        <v>346</v>
      </c>
      <c r="AU218" s="174" t="s">
        <v>90</v>
      </c>
      <c r="AV218" s="172" t="s">
        <v>113</v>
      </c>
      <c r="AW218" s="172" t="s">
        <v>33</v>
      </c>
      <c r="AX218" s="172" t="s">
        <v>80</v>
      </c>
      <c r="AY218" s="174" t="s">
        <v>337</v>
      </c>
    </row>
    <row r="219" spans="2:51" s="141" customFormat="1" x14ac:dyDescent="0.2">
      <c r="B219" s="142"/>
      <c r="D219" s="143" t="s">
        <v>346</v>
      </c>
      <c r="E219" s="144"/>
      <c r="F219" s="145" t="s">
        <v>3067</v>
      </c>
      <c r="H219" s="144"/>
      <c r="L219" s="142"/>
      <c r="M219" s="146"/>
      <c r="T219" s="147"/>
      <c r="AT219" s="144" t="s">
        <v>346</v>
      </c>
      <c r="AU219" s="144" t="s">
        <v>90</v>
      </c>
      <c r="AV219" s="141" t="s">
        <v>87</v>
      </c>
      <c r="AW219" s="141" t="s">
        <v>33</v>
      </c>
      <c r="AX219" s="141" t="s">
        <v>80</v>
      </c>
      <c r="AY219" s="144" t="s">
        <v>337</v>
      </c>
    </row>
    <row r="220" spans="2:51" s="141" customFormat="1" x14ac:dyDescent="0.2">
      <c r="B220" s="142"/>
      <c r="D220" s="143" t="s">
        <v>346</v>
      </c>
      <c r="E220" s="144"/>
      <c r="F220" s="145" t="s">
        <v>3068</v>
      </c>
      <c r="H220" s="144"/>
      <c r="L220" s="142"/>
      <c r="M220" s="146"/>
      <c r="T220" s="147"/>
      <c r="AT220" s="144" t="s">
        <v>346</v>
      </c>
      <c r="AU220" s="144" t="s">
        <v>90</v>
      </c>
      <c r="AV220" s="141" t="s">
        <v>87</v>
      </c>
      <c r="AW220" s="141" t="s">
        <v>33</v>
      </c>
      <c r="AX220" s="141" t="s">
        <v>80</v>
      </c>
      <c r="AY220" s="144" t="s">
        <v>337</v>
      </c>
    </row>
    <row r="221" spans="2:51" s="148" customFormat="1" x14ac:dyDescent="0.2">
      <c r="B221" s="149"/>
      <c r="D221" s="143" t="s">
        <v>346</v>
      </c>
      <c r="E221" s="150"/>
      <c r="F221" s="151" t="s">
        <v>3124</v>
      </c>
      <c r="H221" s="152">
        <v>-183.81399999999999</v>
      </c>
      <c r="L221" s="149"/>
      <c r="M221" s="153"/>
      <c r="T221" s="154"/>
      <c r="AT221" s="150" t="s">
        <v>346</v>
      </c>
      <c r="AU221" s="150" t="s">
        <v>90</v>
      </c>
      <c r="AV221" s="148" t="s">
        <v>90</v>
      </c>
      <c r="AW221" s="148" t="s">
        <v>33</v>
      </c>
      <c r="AX221" s="148" t="s">
        <v>80</v>
      </c>
      <c r="AY221" s="150" t="s">
        <v>337</v>
      </c>
    </row>
    <row r="222" spans="2:51" s="141" customFormat="1" x14ac:dyDescent="0.2">
      <c r="B222" s="142"/>
      <c r="D222" s="143" t="s">
        <v>346</v>
      </c>
      <c r="E222" s="144"/>
      <c r="F222" s="145" t="s">
        <v>3070</v>
      </c>
      <c r="H222" s="144"/>
      <c r="L222" s="142"/>
      <c r="M222" s="146"/>
      <c r="T222" s="147"/>
      <c r="AT222" s="144" t="s">
        <v>346</v>
      </c>
      <c r="AU222" s="144" t="s">
        <v>90</v>
      </c>
      <c r="AV222" s="141" t="s">
        <v>87</v>
      </c>
      <c r="AW222" s="141" t="s">
        <v>33</v>
      </c>
      <c r="AX222" s="141" t="s">
        <v>80</v>
      </c>
      <c r="AY222" s="144" t="s">
        <v>337</v>
      </c>
    </row>
    <row r="223" spans="2:51" s="148" customFormat="1" x14ac:dyDescent="0.2">
      <c r="B223" s="149"/>
      <c r="D223" s="143" t="s">
        <v>346</v>
      </c>
      <c r="E223" s="150"/>
      <c r="F223" s="151" t="s">
        <v>3125</v>
      </c>
      <c r="H223" s="152">
        <v>-45.954000000000001</v>
      </c>
      <c r="L223" s="149"/>
      <c r="M223" s="153"/>
      <c r="T223" s="154"/>
      <c r="AT223" s="150" t="s">
        <v>346</v>
      </c>
      <c r="AU223" s="150" t="s">
        <v>90</v>
      </c>
      <c r="AV223" s="148" t="s">
        <v>90</v>
      </c>
      <c r="AW223" s="148" t="s">
        <v>33</v>
      </c>
      <c r="AX223" s="148" t="s">
        <v>80</v>
      </c>
      <c r="AY223" s="150" t="s">
        <v>337</v>
      </c>
    </row>
    <row r="224" spans="2:51" s="155" customFormat="1" x14ac:dyDescent="0.2">
      <c r="B224" s="156"/>
      <c r="D224" s="143" t="s">
        <v>346</v>
      </c>
      <c r="E224" s="157"/>
      <c r="F224" s="158" t="s">
        <v>351</v>
      </c>
      <c r="H224" s="159">
        <v>229.767</v>
      </c>
      <c r="L224" s="156"/>
      <c r="M224" s="160"/>
      <c r="T224" s="161"/>
      <c r="AT224" s="157" t="s">
        <v>346</v>
      </c>
      <c r="AU224" s="157" t="s">
        <v>90</v>
      </c>
      <c r="AV224" s="155" t="s">
        <v>344</v>
      </c>
      <c r="AW224" s="155" t="s">
        <v>33</v>
      </c>
      <c r="AX224" s="155" t="s">
        <v>87</v>
      </c>
      <c r="AY224" s="157" t="s">
        <v>337</v>
      </c>
    </row>
    <row r="225" spans="2:65" s="16" customFormat="1" ht="21.75" customHeight="1" x14ac:dyDescent="0.2">
      <c r="B225" s="17"/>
      <c r="C225" s="128">
        <v>10</v>
      </c>
      <c r="D225" s="128" t="s">
        <v>339</v>
      </c>
      <c r="E225" s="129" t="s">
        <v>3126</v>
      </c>
      <c r="F225" s="130" t="s">
        <v>3127</v>
      </c>
      <c r="G225" s="131" t="s">
        <v>342</v>
      </c>
      <c r="H225" s="132">
        <v>3.1</v>
      </c>
      <c r="I225" s="133"/>
      <c r="J225" s="134">
        <f>ROUND(I225*H225,2)</f>
        <v>0</v>
      </c>
      <c r="K225" s="130" t="s">
        <v>343</v>
      </c>
      <c r="L225" s="17"/>
      <c r="M225" s="135"/>
      <c r="N225" s="136" t="s">
        <v>45</v>
      </c>
      <c r="P225" s="137">
        <f>O225*H225</f>
        <v>0</v>
      </c>
      <c r="Q225" s="137">
        <v>0</v>
      </c>
      <c r="R225" s="137">
        <f>Q225*H225</f>
        <v>0</v>
      </c>
      <c r="S225" s="137">
        <v>0</v>
      </c>
      <c r="T225" s="138">
        <f>S225*H225</f>
        <v>0</v>
      </c>
      <c r="AR225" s="139" t="s">
        <v>344</v>
      </c>
      <c r="AT225" s="139" t="s">
        <v>339</v>
      </c>
      <c r="AU225" s="139" t="s">
        <v>90</v>
      </c>
      <c r="AY225" s="2" t="s">
        <v>337</v>
      </c>
      <c r="BE225" s="140">
        <f>IF(N225="základní",J225,0)</f>
        <v>0</v>
      </c>
      <c r="BF225" s="140">
        <f>IF(N225="snížená",J225,0)</f>
        <v>0</v>
      </c>
      <c r="BG225" s="140">
        <f>IF(N225="zákl. přenesená",J225,0)</f>
        <v>0</v>
      </c>
      <c r="BH225" s="140">
        <f>IF(N225="sníž. přenesená",J225,0)</f>
        <v>0</v>
      </c>
      <c r="BI225" s="140">
        <f>IF(N225="nulová",J225,0)</f>
        <v>0</v>
      </c>
      <c r="BJ225" s="2" t="s">
        <v>87</v>
      </c>
      <c r="BK225" s="140">
        <f>ROUND(I225*H225,2)</f>
        <v>0</v>
      </c>
      <c r="BL225" s="2" t="s">
        <v>344</v>
      </c>
      <c r="BM225" s="139" t="s">
        <v>3128</v>
      </c>
    </row>
    <row r="226" spans="2:65" s="141" customFormat="1" x14ac:dyDescent="0.2">
      <c r="B226" s="142"/>
      <c r="D226" s="143" t="s">
        <v>346</v>
      </c>
      <c r="E226" s="144"/>
      <c r="F226" s="145" t="s">
        <v>3129</v>
      </c>
      <c r="H226" s="144"/>
      <c r="L226" s="142"/>
      <c r="M226" s="146"/>
      <c r="T226" s="147"/>
      <c r="AT226" s="144" t="s">
        <v>346</v>
      </c>
      <c r="AU226" s="144" t="s">
        <v>90</v>
      </c>
      <c r="AV226" s="141" t="s">
        <v>87</v>
      </c>
      <c r="AW226" s="141" t="s">
        <v>33</v>
      </c>
      <c r="AX226" s="141" t="s">
        <v>80</v>
      </c>
      <c r="AY226" s="144" t="s">
        <v>337</v>
      </c>
    </row>
    <row r="227" spans="2:65" s="148" customFormat="1" x14ac:dyDescent="0.2">
      <c r="B227" s="149"/>
      <c r="D227" s="143" t="s">
        <v>346</v>
      </c>
      <c r="E227" s="150"/>
      <c r="F227" s="151" t="s">
        <v>3130</v>
      </c>
      <c r="H227" s="152">
        <v>3.1</v>
      </c>
      <c r="L227" s="149"/>
      <c r="M227" s="153"/>
      <c r="T227" s="154"/>
      <c r="AT227" s="150" t="s">
        <v>346</v>
      </c>
      <c r="AU227" s="150" t="s">
        <v>90</v>
      </c>
      <c r="AV227" s="148" t="s">
        <v>90</v>
      </c>
      <c r="AW227" s="148" t="s">
        <v>33</v>
      </c>
      <c r="AX227" s="148" t="s">
        <v>87</v>
      </c>
      <c r="AY227" s="150" t="s">
        <v>337</v>
      </c>
    </row>
    <row r="228" spans="2:65" s="16" customFormat="1" ht="21.75" customHeight="1" x14ac:dyDescent="0.2">
      <c r="B228" s="17"/>
      <c r="C228" s="128">
        <v>11</v>
      </c>
      <c r="D228" s="128" t="s">
        <v>339</v>
      </c>
      <c r="E228" s="129" t="s">
        <v>3131</v>
      </c>
      <c r="F228" s="130" t="s">
        <v>3132</v>
      </c>
      <c r="G228" s="131" t="s">
        <v>342</v>
      </c>
      <c r="H228" s="132">
        <v>183.81399999999999</v>
      </c>
      <c r="I228" s="133"/>
      <c r="J228" s="134">
        <f>ROUND(I228*H228,2)</f>
        <v>0</v>
      </c>
      <c r="K228" s="130" t="s">
        <v>343</v>
      </c>
      <c r="L228" s="17"/>
      <c r="M228" s="135"/>
      <c r="N228" s="136" t="s">
        <v>45</v>
      </c>
      <c r="P228" s="137">
        <f>O228*H228</f>
        <v>0</v>
      </c>
      <c r="Q228" s="137">
        <v>0</v>
      </c>
      <c r="R228" s="137">
        <f>Q228*H228</f>
        <v>0</v>
      </c>
      <c r="S228" s="137">
        <v>0</v>
      </c>
      <c r="T228" s="138">
        <f>S228*H228</f>
        <v>0</v>
      </c>
      <c r="AR228" s="139" t="s">
        <v>344</v>
      </c>
      <c r="AT228" s="139" t="s">
        <v>339</v>
      </c>
      <c r="AU228" s="139" t="s">
        <v>90</v>
      </c>
      <c r="AY228" s="2" t="s">
        <v>337</v>
      </c>
      <c r="BE228" s="140">
        <f>IF(N228="základní",J228,0)</f>
        <v>0</v>
      </c>
      <c r="BF228" s="140">
        <f>IF(N228="snížená",J228,0)</f>
        <v>0</v>
      </c>
      <c r="BG228" s="140">
        <f>IF(N228="zákl. přenesená",J228,0)</f>
        <v>0</v>
      </c>
      <c r="BH228" s="140">
        <f>IF(N228="sníž. přenesená",J228,0)</f>
        <v>0</v>
      </c>
      <c r="BI228" s="140">
        <f>IF(N228="nulová",J228,0)</f>
        <v>0</v>
      </c>
      <c r="BJ228" s="2" t="s">
        <v>87</v>
      </c>
      <c r="BK228" s="140">
        <f>ROUND(I228*H228,2)</f>
        <v>0</v>
      </c>
      <c r="BL228" s="2" t="s">
        <v>344</v>
      </c>
      <c r="BM228" s="139" t="s">
        <v>3133</v>
      </c>
    </row>
    <row r="229" spans="2:65" s="141" customFormat="1" x14ac:dyDescent="0.2">
      <c r="B229" s="142"/>
      <c r="D229" s="143" t="s">
        <v>346</v>
      </c>
      <c r="E229" s="144"/>
      <c r="F229" s="145" t="s">
        <v>3079</v>
      </c>
      <c r="H229" s="144"/>
      <c r="L229" s="142"/>
      <c r="M229" s="146"/>
      <c r="T229" s="147"/>
      <c r="AT229" s="144" t="s">
        <v>346</v>
      </c>
      <c r="AU229" s="144" t="s">
        <v>90</v>
      </c>
      <c r="AV229" s="141" t="s">
        <v>87</v>
      </c>
      <c r="AW229" s="141" t="s">
        <v>33</v>
      </c>
      <c r="AX229" s="141" t="s">
        <v>80</v>
      </c>
      <c r="AY229" s="144" t="s">
        <v>337</v>
      </c>
    </row>
    <row r="230" spans="2:65" s="148" customFormat="1" x14ac:dyDescent="0.2">
      <c r="B230" s="149"/>
      <c r="D230" s="143" t="s">
        <v>346</v>
      </c>
      <c r="E230" s="150"/>
      <c r="F230" s="151" t="s">
        <v>3134</v>
      </c>
      <c r="H230" s="152">
        <v>183.81399999999999</v>
      </c>
      <c r="L230" s="149"/>
      <c r="M230" s="153"/>
      <c r="T230" s="154"/>
      <c r="AT230" s="150" t="s">
        <v>346</v>
      </c>
      <c r="AU230" s="150" t="s">
        <v>90</v>
      </c>
      <c r="AV230" s="148" t="s">
        <v>90</v>
      </c>
      <c r="AW230" s="148" t="s">
        <v>33</v>
      </c>
      <c r="AX230" s="148" t="s">
        <v>87</v>
      </c>
      <c r="AY230" s="150" t="s">
        <v>337</v>
      </c>
    </row>
    <row r="231" spans="2:65" s="16" customFormat="1" ht="21.75" customHeight="1" x14ac:dyDescent="0.2">
      <c r="B231" s="17"/>
      <c r="C231" s="128">
        <v>12</v>
      </c>
      <c r="D231" s="128" t="s">
        <v>339</v>
      </c>
      <c r="E231" s="129" t="s">
        <v>3135</v>
      </c>
      <c r="F231" s="130" t="s">
        <v>3136</v>
      </c>
      <c r="G231" s="131" t="s">
        <v>342</v>
      </c>
      <c r="H231" s="132">
        <v>45.954000000000001</v>
      </c>
      <c r="I231" s="133"/>
      <c r="J231" s="134">
        <f>ROUND(I231*H231,2)</f>
        <v>0</v>
      </c>
      <c r="K231" s="130" t="s">
        <v>343</v>
      </c>
      <c r="L231" s="17"/>
      <c r="M231" s="135"/>
      <c r="N231" s="136" t="s">
        <v>45</v>
      </c>
      <c r="P231" s="137">
        <f>O231*H231</f>
        <v>0</v>
      </c>
      <c r="Q231" s="137">
        <v>0</v>
      </c>
      <c r="R231" s="137">
        <f>Q231*H231</f>
        <v>0</v>
      </c>
      <c r="S231" s="137">
        <v>0</v>
      </c>
      <c r="T231" s="138">
        <f>S231*H231</f>
        <v>0</v>
      </c>
      <c r="AR231" s="139" t="s">
        <v>344</v>
      </c>
      <c r="AT231" s="139" t="s">
        <v>339</v>
      </c>
      <c r="AU231" s="139" t="s">
        <v>90</v>
      </c>
      <c r="AY231" s="2" t="s">
        <v>337</v>
      </c>
      <c r="BE231" s="140">
        <f>IF(N231="základní",J231,0)</f>
        <v>0</v>
      </c>
      <c r="BF231" s="140">
        <f>IF(N231="snížená",J231,0)</f>
        <v>0</v>
      </c>
      <c r="BG231" s="140">
        <f>IF(N231="zákl. přenesená",J231,0)</f>
        <v>0</v>
      </c>
      <c r="BH231" s="140">
        <f>IF(N231="sníž. přenesená",J231,0)</f>
        <v>0</v>
      </c>
      <c r="BI231" s="140">
        <f>IF(N231="nulová",J231,0)</f>
        <v>0</v>
      </c>
      <c r="BJ231" s="2" t="s">
        <v>87</v>
      </c>
      <c r="BK231" s="140">
        <f>ROUND(I231*H231,2)</f>
        <v>0</v>
      </c>
      <c r="BL231" s="2" t="s">
        <v>344</v>
      </c>
      <c r="BM231" s="139" t="s">
        <v>3137</v>
      </c>
    </row>
    <row r="232" spans="2:65" s="141" customFormat="1" x14ac:dyDescent="0.2">
      <c r="B232" s="142"/>
      <c r="D232" s="143" t="s">
        <v>346</v>
      </c>
      <c r="E232" s="144"/>
      <c r="F232" s="145" t="s">
        <v>3084</v>
      </c>
      <c r="H232" s="144"/>
      <c r="L232" s="142"/>
      <c r="M232" s="146"/>
      <c r="T232" s="147"/>
      <c r="AT232" s="144" t="s">
        <v>346</v>
      </c>
      <c r="AU232" s="144" t="s">
        <v>90</v>
      </c>
      <c r="AV232" s="141" t="s">
        <v>87</v>
      </c>
      <c r="AW232" s="141" t="s">
        <v>33</v>
      </c>
      <c r="AX232" s="141" t="s">
        <v>80</v>
      </c>
      <c r="AY232" s="144" t="s">
        <v>337</v>
      </c>
    </row>
    <row r="233" spans="2:65" s="148" customFormat="1" x14ac:dyDescent="0.2">
      <c r="B233" s="149"/>
      <c r="D233" s="143" t="s">
        <v>346</v>
      </c>
      <c r="E233" s="150"/>
      <c r="F233" s="151" t="s">
        <v>3138</v>
      </c>
      <c r="H233" s="152">
        <v>45.954000000000001</v>
      </c>
      <c r="L233" s="149"/>
      <c r="M233" s="153"/>
      <c r="T233" s="154"/>
      <c r="AT233" s="150" t="s">
        <v>346</v>
      </c>
      <c r="AU233" s="150" t="s">
        <v>90</v>
      </c>
      <c r="AV233" s="148" t="s">
        <v>90</v>
      </c>
      <c r="AW233" s="148" t="s">
        <v>33</v>
      </c>
      <c r="AX233" s="148" t="s">
        <v>87</v>
      </c>
      <c r="AY233" s="150" t="s">
        <v>337</v>
      </c>
    </row>
    <row r="234" spans="2:65" s="16" customFormat="1" ht="21.75" customHeight="1" x14ac:dyDescent="0.2">
      <c r="B234" s="17"/>
      <c r="C234" s="128">
        <v>13</v>
      </c>
      <c r="D234" s="128" t="s">
        <v>339</v>
      </c>
      <c r="E234" s="129" t="s">
        <v>3139</v>
      </c>
      <c r="F234" s="130" t="s">
        <v>3140</v>
      </c>
      <c r="G234" s="131" t="s">
        <v>342</v>
      </c>
      <c r="H234" s="132">
        <v>3</v>
      </c>
      <c r="I234" s="133"/>
      <c r="J234" s="134">
        <f>ROUND(I234*H234,2)</f>
        <v>0</v>
      </c>
      <c r="K234" s="130" t="s">
        <v>343</v>
      </c>
      <c r="L234" s="17"/>
      <c r="M234" s="135"/>
      <c r="N234" s="136" t="s">
        <v>45</v>
      </c>
      <c r="P234" s="137">
        <f>O234*H234</f>
        <v>0</v>
      </c>
      <c r="Q234" s="137">
        <v>0</v>
      </c>
      <c r="R234" s="137">
        <f>Q234*H234</f>
        <v>0</v>
      </c>
      <c r="S234" s="137">
        <v>0</v>
      </c>
      <c r="T234" s="138">
        <f>S234*H234</f>
        <v>0</v>
      </c>
      <c r="AR234" s="139" t="s">
        <v>344</v>
      </c>
      <c r="AT234" s="139" t="s">
        <v>339</v>
      </c>
      <c r="AU234" s="139" t="s">
        <v>90</v>
      </c>
      <c r="AY234" s="2" t="s">
        <v>337</v>
      </c>
      <c r="BE234" s="140">
        <f>IF(N234="základní",J234,0)</f>
        <v>0</v>
      </c>
      <c r="BF234" s="140">
        <f>IF(N234="snížená",J234,0)</f>
        <v>0</v>
      </c>
      <c r="BG234" s="140">
        <f>IF(N234="zákl. přenesená",J234,0)</f>
        <v>0</v>
      </c>
      <c r="BH234" s="140">
        <f>IF(N234="sníž. přenesená",J234,0)</f>
        <v>0</v>
      </c>
      <c r="BI234" s="140">
        <f>IF(N234="nulová",J234,0)</f>
        <v>0</v>
      </c>
      <c r="BJ234" s="2" t="s">
        <v>87</v>
      </c>
      <c r="BK234" s="140">
        <f>ROUND(I234*H234,2)</f>
        <v>0</v>
      </c>
      <c r="BL234" s="2" t="s">
        <v>344</v>
      </c>
      <c r="BM234" s="139" t="s">
        <v>3141</v>
      </c>
    </row>
    <row r="235" spans="2:65" s="141" customFormat="1" x14ac:dyDescent="0.2">
      <c r="B235" s="142"/>
      <c r="D235" s="143" t="s">
        <v>346</v>
      </c>
      <c r="E235" s="144"/>
      <c r="F235" s="145" t="s">
        <v>3142</v>
      </c>
      <c r="H235" s="144"/>
      <c r="L235" s="142"/>
      <c r="M235" s="146"/>
      <c r="T235" s="147"/>
      <c r="AT235" s="144" t="s">
        <v>346</v>
      </c>
      <c r="AU235" s="144" t="s">
        <v>90</v>
      </c>
      <c r="AV235" s="141" t="s">
        <v>87</v>
      </c>
      <c r="AW235" s="141" t="s">
        <v>33</v>
      </c>
      <c r="AX235" s="141" t="s">
        <v>80</v>
      </c>
      <c r="AY235" s="144" t="s">
        <v>337</v>
      </c>
    </row>
    <row r="236" spans="2:65" s="148" customFormat="1" x14ac:dyDescent="0.2">
      <c r="B236" s="149"/>
      <c r="D236" s="143" t="s">
        <v>346</v>
      </c>
      <c r="E236" s="150"/>
      <c r="F236" s="151" t="s">
        <v>3143</v>
      </c>
      <c r="H236" s="152">
        <v>3</v>
      </c>
      <c r="L236" s="149"/>
      <c r="M236" s="153"/>
      <c r="T236" s="154"/>
      <c r="AT236" s="150" t="s">
        <v>346</v>
      </c>
      <c r="AU236" s="150" t="s">
        <v>90</v>
      </c>
      <c r="AV236" s="148" t="s">
        <v>90</v>
      </c>
      <c r="AW236" s="148" t="s">
        <v>33</v>
      </c>
      <c r="AX236" s="148" t="s">
        <v>87</v>
      </c>
      <c r="AY236" s="150" t="s">
        <v>337</v>
      </c>
    </row>
    <row r="237" spans="2:65" s="16" customFormat="1" ht="16.5" customHeight="1" x14ac:dyDescent="0.2">
      <c r="B237" s="17"/>
      <c r="C237" s="128">
        <v>14</v>
      </c>
      <c r="D237" s="128" t="s">
        <v>339</v>
      </c>
      <c r="E237" s="129" t="s">
        <v>3144</v>
      </c>
      <c r="F237" s="130" t="s">
        <v>3145</v>
      </c>
      <c r="G237" s="131" t="s">
        <v>342</v>
      </c>
      <c r="H237" s="132">
        <v>33.231999999999999</v>
      </c>
      <c r="I237" s="133"/>
      <c r="J237" s="134">
        <f>ROUND(I237*H237,2)</f>
        <v>0</v>
      </c>
      <c r="K237" s="130" t="s">
        <v>343</v>
      </c>
      <c r="L237" s="17"/>
      <c r="M237" s="135"/>
      <c r="N237" s="136" t="s">
        <v>45</v>
      </c>
      <c r="P237" s="137">
        <f>O237*H237</f>
        <v>0</v>
      </c>
      <c r="Q237" s="137">
        <v>0</v>
      </c>
      <c r="R237" s="137">
        <f>Q237*H237</f>
        <v>0</v>
      </c>
      <c r="S237" s="137">
        <v>0</v>
      </c>
      <c r="T237" s="138">
        <f>S237*H237</f>
        <v>0</v>
      </c>
      <c r="AR237" s="139" t="s">
        <v>344</v>
      </c>
      <c r="AT237" s="139" t="s">
        <v>339</v>
      </c>
      <c r="AU237" s="139" t="s">
        <v>90</v>
      </c>
      <c r="AY237" s="2" t="s">
        <v>337</v>
      </c>
      <c r="BE237" s="140">
        <f>IF(N237="základní",J237,0)</f>
        <v>0</v>
      </c>
      <c r="BF237" s="140">
        <f>IF(N237="snížená",J237,0)</f>
        <v>0</v>
      </c>
      <c r="BG237" s="140">
        <f>IF(N237="zákl. přenesená",J237,0)</f>
        <v>0</v>
      </c>
      <c r="BH237" s="140">
        <f>IF(N237="sníž. přenesená",J237,0)</f>
        <v>0</v>
      </c>
      <c r="BI237" s="140">
        <f>IF(N237="nulová",J237,0)</f>
        <v>0</v>
      </c>
      <c r="BJ237" s="2" t="s">
        <v>87</v>
      </c>
      <c r="BK237" s="140">
        <f>ROUND(I237*H237,2)</f>
        <v>0</v>
      </c>
      <c r="BL237" s="2" t="s">
        <v>344</v>
      </c>
      <c r="BM237" s="139" t="s">
        <v>3146</v>
      </c>
    </row>
    <row r="238" spans="2:65" s="141" customFormat="1" x14ac:dyDescent="0.2">
      <c r="B238" s="142"/>
      <c r="D238" s="143" t="s">
        <v>346</v>
      </c>
      <c r="E238" s="144"/>
      <c r="F238" s="145" t="s">
        <v>3147</v>
      </c>
      <c r="H238" s="144"/>
      <c r="L238" s="142"/>
      <c r="M238" s="146"/>
      <c r="T238" s="147"/>
      <c r="AT238" s="144" t="s">
        <v>346</v>
      </c>
      <c r="AU238" s="144" t="s">
        <v>90</v>
      </c>
      <c r="AV238" s="141" t="s">
        <v>87</v>
      </c>
      <c r="AW238" s="141" t="s">
        <v>33</v>
      </c>
      <c r="AX238" s="141" t="s">
        <v>80</v>
      </c>
      <c r="AY238" s="144" t="s">
        <v>337</v>
      </c>
    </row>
    <row r="239" spans="2:65" s="148" customFormat="1" x14ac:dyDescent="0.2">
      <c r="B239" s="149"/>
      <c r="D239" s="143" t="s">
        <v>346</v>
      </c>
      <c r="E239" s="150"/>
      <c r="F239" s="151" t="s">
        <v>3148</v>
      </c>
      <c r="H239" s="152">
        <v>9.9450000000000003</v>
      </c>
      <c r="L239" s="149"/>
      <c r="M239" s="153"/>
      <c r="T239" s="154"/>
      <c r="AT239" s="150" t="s">
        <v>346</v>
      </c>
      <c r="AU239" s="150" t="s">
        <v>90</v>
      </c>
      <c r="AV239" s="148" t="s">
        <v>90</v>
      </c>
      <c r="AW239" s="148" t="s">
        <v>33</v>
      </c>
      <c r="AX239" s="148" t="s">
        <v>80</v>
      </c>
      <c r="AY239" s="150" t="s">
        <v>337</v>
      </c>
    </row>
    <row r="240" spans="2:65" s="148" customFormat="1" x14ac:dyDescent="0.2">
      <c r="B240" s="149"/>
      <c r="D240" s="143" t="s">
        <v>346</v>
      </c>
      <c r="E240" s="150"/>
      <c r="F240" s="151" t="s">
        <v>3149</v>
      </c>
      <c r="H240" s="152">
        <v>0.31</v>
      </c>
      <c r="L240" s="149"/>
      <c r="M240" s="153"/>
      <c r="T240" s="154"/>
      <c r="AT240" s="150" t="s">
        <v>346</v>
      </c>
      <c r="AU240" s="150" t="s">
        <v>90</v>
      </c>
      <c r="AV240" s="148" t="s">
        <v>90</v>
      </c>
      <c r="AW240" s="148" t="s">
        <v>33</v>
      </c>
      <c r="AX240" s="148" t="s">
        <v>80</v>
      </c>
      <c r="AY240" s="150" t="s">
        <v>337</v>
      </c>
    </row>
    <row r="241" spans="2:65" s="148" customFormat="1" x14ac:dyDescent="0.2">
      <c r="B241" s="149"/>
      <c r="D241" s="143" t="s">
        <v>346</v>
      </c>
      <c r="E241" s="150"/>
      <c r="F241" s="151" t="s">
        <v>3150</v>
      </c>
      <c r="H241" s="152">
        <v>22.977</v>
      </c>
      <c r="L241" s="149"/>
      <c r="M241" s="153"/>
      <c r="T241" s="154"/>
      <c r="AT241" s="150" t="s">
        <v>346</v>
      </c>
      <c r="AU241" s="150" t="s">
        <v>90</v>
      </c>
      <c r="AV241" s="148" t="s">
        <v>90</v>
      </c>
      <c r="AW241" s="148" t="s">
        <v>33</v>
      </c>
      <c r="AX241" s="148" t="s">
        <v>80</v>
      </c>
      <c r="AY241" s="150" t="s">
        <v>337</v>
      </c>
    </row>
    <row r="242" spans="2:65" s="155" customFormat="1" x14ac:dyDescent="0.2">
      <c r="B242" s="156"/>
      <c r="D242" s="143" t="s">
        <v>346</v>
      </c>
      <c r="E242" s="157"/>
      <c r="F242" s="158" t="s">
        <v>351</v>
      </c>
      <c r="H242" s="159">
        <v>33.231999999999999</v>
      </c>
      <c r="L242" s="156"/>
      <c r="M242" s="160"/>
      <c r="T242" s="161"/>
      <c r="AT242" s="157" t="s">
        <v>346</v>
      </c>
      <c r="AU242" s="157" t="s">
        <v>90</v>
      </c>
      <c r="AV242" s="155" t="s">
        <v>344</v>
      </c>
      <c r="AW242" s="155" t="s">
        <v>33</v>
      </c>
      <c r="AX242" s="155" t="s">
        <v>87</v>
      </c>
      <c r="AY242" s="157" t="s">
        <v>337</v>
      </c>
    </row>
    <row r="243" spans="2:65" s="16" customFormat="1" ht="16.5" customHeight="1" x14ac:dyDescent="0.2">
      <c r="B243" s="17"/>
      <c r="C243" s="128">
        <v>15</v>
      </c>
      <c r="D243" s="128" t="s">
        <v>339</v>
      </c>
      <c r="E243" s="129" t="s">
        <v>3151</v>
      </c>
      <c r="F243" s="130" t="s">
        <v>3152</v>
      </c>
      <c r="G243" s="131" t="s">
        <v>425</v>
      </c>
      <c r="H243" s="132">
        <v>20</v>
      </c>
      <c r="I243" s="133"/>
      <c r="J243" s="134">
        <f>ROUND(I243*H243,2)</f>
        <v>0</v>
      </c>
      <c r="K243" s="130" t="s">
        <v>343</v>
      </c>
      <c r="L243" s="17"/>
      <c r="M243" s="135"/>
      <c r="N243" s="136" t="s">
        <v>45</v>
      </c>
      <c r="P243" s="137">
        <f>O243*H243</f>
        <v>0</v>
      </c>
      <c r="Q243" s="137">
        <v>6.9999999999999999E-4</v>
      </c>
      <c r="R243" s="137">
        <f>Q243*H243</f>
        <v>1.4E-2</v>
      </c>
      <c r="S243" s="137">
        <v>0</v>
      </c>
      <c r="T243" s="138">
        <f>S243*H243</f>
        <v>0</v>
      </c>
      <c r="AR243" s="139" t="s">
        <v>344</v>
      </c>
      <c r="AT243" s="139" t="s">
        <v>339</v>
      </c>
      <c r="AU243" s="139" t="s">
        <v>90</v>
      </c>
      <c r="AY243" s="2" t="s">
        <v>337</v>
      </c>
      <c r="BE243" s="140">
        <f>IF(N243="základní",J243,0)</f>
        <v>0</v>
      </c>
      <c r="BF243" s="140">
        <f>IF(N243="snížená",J243,0)</f>
        <v>0</v>
      </c>
      <c r="BG243" s="140">
        <f>IF(N243="zákl. přenesená",J243,0)</f>
        <v>0</v>
      </c>
      <c r="BH243" s="140">
        <f>IF(N243="sníž. přenesená",J243,0)</f>
        <v>0</v>
      </c>
      <c r="BI243" s="140">
        <f>IF(N243="nulová",J243,0)</f>
        <v>0</v>
      </c>
      <c r="BJ243" s="2" t="s">
        <v>87</v>
      </c>
      <c r="BK243" s="140">
        <f>ROUND(I243*H243,2)</f>
        <v>0</v>
      </c>
      <c r="BL243" s="2" t="s">
        <v>344</v>
      </c>
      <c r="BM243" s="139" t="s">
        <v>3153</v>
      </c>
    </row>
    <row r="244" spans="2:65" s="141" customFormat="1" ht="22.5" x14ac:dyDescent="0.2">
      <c r="B244" s="142"/>
      <c r="D244" s="143" t="s">
        <v>346</v>
      </c>
      <c r="E244" s="144"/>
      <c r="F244" s="145" t="s">
        <v>3154</v>
      </c>
      <c r="H244" s="144"/>
      <c r="L244" s="142"/>
      <c r="M244" s="146"/>
      <c r="T244" s="147"/>
      <c r="AT244" s="144" t="s">
        <v>346</v>
      </c>
      <c r="AU244" s="144" t="s">
        <v>90</v>
      </c>
      <c r="AV244" s="141" t="s">
        <v>87</v>
      </c>
      <c r="AW244" s="141" t="s">
        <v>33</v>
      </c>
      <c r="AX244" s="141" t="s">
        <v>80</v>
      </c>
      <c r="AY244" s="144" t="s">
        <v>337</v>
      </c>
    </row>
    <row r="245" spans="2:65" s="148" customFormat="1" x14ac:dyDescent="0.2">
      <c r="B245" s="149"/>
      <c r="D245" s="143" t="s">
        <v>346</v>
      </c>
      <c r="E245" s="150"/>
      <c r="F245" s="151" t="s">
        <v>980</v>
      </c>
      <c r="H245" s="152">
        <v>20</v>
      </c>
      <c r="L245" s="149"/>
      <c r="M245" s="153"/>
      <c r="T245" s="154"/>
      <c r="AT245" s="150" t="s">
        <v>346</v>
      </c>
      <c r="AU245" s="150" t="s">
        <v>90</v>
      </c>
      <c r="AV245" s="148" t="s">
        <v>90</v>
      </c>
      <c r="AW245" s="148" t="s">
        <v>33</v>
      </c>
      <c r="AX245" s="148" t="s">
        <v>87</v>
      </c>
      <c r="AY245" s="150" t="s">
        <v>337</v>
      </c>
    </row>
    <row r="246" spans="2:65" s="16" customFormat="1" ht="16.5" customHeight="1" x14ac:dyDescent="0.2">
      <c r="B246" s="17"/>
      <c r="C246" s="128">
        <v>16</v>
      </c>
      <c r="D246" s="128" t="s">
        <v>339</v>
      </c>
      <c r="E246" s="129" t="s">
        <v>3155</v>
      </c>
      <c r="F246" s="130" t="s">
        <v>3156</v>
      </c>
      <c r="G246" s="131" t="s">
        <v>425</v>
      </c>
      <c r="H246" s="132">
        <v>20</v>
      </c>
      <c r="I246" s="133"/>
      <c r="J246" s="134">
        <f>ROUND(I246*H246,2)</f>
        <v>0</v>
      </c>
      <c r="K246" s="130" t="s">
        <v>343</v>
      </c>
      <c r="L246" s="17"/>
      <c r="M246" s="135"/>
      <c r="N246" s="136" t="s">
        <v>45</v>
      </c>
      <c r="P246" s="137">
        <f>O246*H246</f>
        <v>0</v>
      </c>
      <c r="Q246" s="137">
        <v>0</v>
      </c>
      <c r="R246" s="137">
        <f>Q246*H246</f>
        <v>0</v>
      </c>
      <c r="S246" s="137">
        <v>0</v>
      </c>
      <c r="T246" s="138">
        <f>S246*H246</f>
        <v>0</v>
      </c>
      <c r="AR246" s="139" t="s">
        <v>344</v>
      </c>
      <c r="AT246" s="139" t="s">
        <v>339</v>
      </c>
      <c r="AU246" s="139" t="s">
        <v>90</v>
      </c>
      <c r="AY246" s="2" t="s">
        <v>337</v>
      </c>
      <c r="BE246" s="140">
        <f>IF(N246="základní",J246,0)</f>
        <v>0</v>
      </c>
      <c r="BF246" s="140">
        <f>IF(N246="snížená",J246,0)</f>
        <v>0</v>
      </c>
      <c r="BG246" s="140">
        <f>IF(N246="zákl. přenesená",J246,0)</f>
        <v>0</v>
      </c>
      <c r="BH246" s="140">
        <f>IF(N246="sníž. přenesená",J246,0)</f>
        <v>0</v>
      </c>
      <c r="BI246" s="140">
        <f>IF(N246="nulová",J246,0)</f>
        <v>0</v>
      </c>
      <c r="BJ246" s="2" t="s">
        <v>87</v>
      </c>
      <c r="BK246" s="140">
        <f>ROUND(I246*H246,2)</f>
        <v>0</v>
      </c>
      <c r="BL246" s="2" t="s">
        <v>344</v>
      </c>
      <c r="BM246" s="139" t="s">
        <v>3157</v>
      </c>
    </row>
    <row r="247" spans="2:65" s="16" customFormat="1" ht="21.75" customHeight="1" x14ac:dyDescent="0.2">
      <c r="B247" s="17"/>
      <c r="C247" s="128">
        <v>17</v>
      </c>
      <c r="D247" s="128" t="s">
        <v>339</v>
      </c>
      <c r="E247" s="129" t="s">
        <v>3158</v>
      </c>
      <c r="F247" s="130" t="s">
        <v>3159</v>
      </c>
      <c r="G247" s="131" t="s">
        <v>342</v>
      </c>
      <c r="H247" s="132">
        <v>567.33199999999999</v>
      </c>
      <c r="I247" s="133"/>
      <c r="J247" s="134">
        <f>ROUND(I247*H247,2)</f>
        <v>0</v>
      </c>
      <c r="K247" s="130" t="s">
        <v>343</v>
      </c>
      <c r="L247" s="17"/>
      <c r="M247" s="135"/>
      <c r="N247" s="136" t="s">
        <v>45</v>
      </c>
      <c r="P247" s="137">
        <f>O247*H247</f>
        <v>0</v>
      </c>
      <c r="Q247" s="137">
        <v>0</v>
      </c>
      <c r="R247" s="137">
        <f>Q247*H247</f>
        <v>0</v>
      </c>
      <c r="S247" s="137">
        <v>0</v>
      </c>
      <c r="T247" s="138">
        <f>S247*H247</f>
        <v>0</v>
      </c>
      <c r="AR247" s="139" t="s">
        <v>344</v>
      </c>
      <c r="AT247" s="139" t="s">
        <v>339</v>
      </c>
      <c r="AU247" s="139" t="s">
        <v>90</v>
      </c>
      <c r="AY247" s="2" t="s">
        <v>337</v>
      </c>
      <c r="BE247" s="140">
        <f>IF(N247="základní",J247,0)</f>
        <v>0</v>
      </c>
      <c r="BF247" s="140">
        <f>IF(N247="snížená",J247,0)</f>
        <v>0</v>
      </c>
      <c r="BG247" s="140">
        <f>IF(N247="zákl. přenesená",J247,0)</f>
        <v>0</v>
      </c>
      <c r="BH247" s="140">
        <f>IF(N247="sníž. přenesená",J247,0)</f>
        <v>0</v>
      </c>
      <c r="BI247" s="140">
        <f>IF(N247="nulová",J247,0)</f>
        <v>0</v>
      </c>
      <c r="BJ247" s="2" t="s">
        <v>87</v>
      </c>
      <c r="BK247" s="140">
        <f>ROUND(I247*H247,2)</f>
        <v>0</v>
      </c>
      <c r="BL247" s="2" t="s">
        <v>344</v>
      </c>
      <c r="BM247" s="139" t="s">
        <v>3160</v>
      </c>
    </row>
    <row r="248" spans="2:65" s="141" customFormat="1" x14ac:dyDescent="0.2">
      <c r="B248" s="142"/>
      <c r="D248" s="143" t="s">
        <v>346</v>
      </c>
      <c r="E248" s="144"/>
      <c r="F248" s="145" t="s">
        <v>3161</v>
      </c>
      <c r="H248" s="144"/>
      <c r="L248" s="142"/>
      <c r="M248" s="146"/>
      <c r="T248" s="147"/>
      <c r="AT248" s="144" t="s">
        <v>346</v>
      </c>
      <c r="AU248" s="144" t="s">
        <v>90</v>
      </c>
      <c r="AV248" s="141" t="s">
        <v>87</v>
      </c>
      <c r="AW248" s="141" t="s">
        <v>33</v>
      </c>
      <c r="AX248" s="141" t="s">
        <v>80</v>
      </c>
      <c r="AY248" s="144" t="s">
        <v>337</v>
      </c>
    </row>
    <row r="249" spans="2:65" s="141" customFormat="1" x14ac:dyDescent="0.2">
      <c r="B249" s="142"/>
      <c r="D249" s="143" t="s">
        <v>346</v>
      </c>
      <c r="E249" s="144"/>
      <c r="F249" s="145" t="s">
        <v>3162</v>
      </c>
      <c r="H249" s="144"/>
      <c r="L249" s="142"/>
      <c r="M249" s="146"/>
      <c r="T249" s="147"/>
      <c r="AT249" s="144" t="s">
        <v>346</v>
      </c>
      <c r="AU249" s="144" t="s">
        <v>90</v>
      </c>
      <c r="AV249" s="141" t="s">
        <v>87</v>
      </c>
      <c r="AW249" s="141" t="s">
        <v>33</v>
      </c>
      <c r="AX249" s="141" t="s">
        <v>80</v>
      </c>
      <c r="AY249" s="144" t="s">
        <v>337</v>
      </c>
    </row>
    <row r="250" spans="2:65" s="148" customFormat="1" x14ac:dyDescent="0.2">
      <c r="B250" s="149"/>
      <c r="D250" s="143" t="s">
        <v>346</v>
      </c>
      <c r="E250" s="150"/>
      <c r="F250" s="151" t="s">
        <v>3163</v>
      </c>
      <c r="H250" s="152">
        <v>274.541</v>
      </c>
      <c r="L250" s="149"/>
      <c r="M250" s="153"/>
      <c r="T250" s="154"/>
      <c r="AT250" s="150" t="s">
        <v>346</v>
      </c>
      <c r="AU250" s="150" t="s">
        <v>90</v>
      </c>
      <c r="AV250" s="148" t="s">
        <v>90</v>
      </c>
      <c r="AW250" s="148" t="s">
        <v>33</v>
      </c>
      <c r="AX250" s="148" t="s">
        <v>80</v>
      </c>
      <c r="AY250" s="150" t="s">
        <v>337</v>
      </c>
    </row>
    <row r="251" spans="2:65" s="148" customFormat="1" x14ac:dyDescent="0.2">
      <c r="B251" s="149"/>
      <c r="D251" s="143" t="s">
        <v>346</v>
      </c>
      <c r="E251" s="150"/>
      <c r="F251" s="151" t="s">
        <v>3033</v>
      </c>
      <c r="H251" s="152">
        <v>9.125</v>
      </c>
      <c r="L251" s="149"/>
      <c r="M251" s="153"/>
      <c r="T251" s="154"/>
      <c r="AT251" s="150" t="s">
        <v>346</v>
      </c>
      <c r="AU251" s="150" t="s">
        <v>90</v>
      </c>
      <c r="AV251" s="148" t="s">
        <v>90</v>
      </c>
      <c r="AW251" s="148" t="s">
        <v>33</v>
      </c>
      <c r="AX251" s="148" t="s">
        <v>80</v>
      </c>
      <c r="AY251" s="150" t="s">
        <v>337</v>
      </c>
    </row>
    <row r="252" spans="2:65" s="141" customFormat="1" x14ac:dyDescent="0.2">
      <c r="B252" s="142"/>
      <c r="D252" s="143" t="s">
        <v>346</v>
      </c>
      <c r="E252" s="144"/>
      <c r="F252" s="145" t="s">
        <v>3164</v>
      </c>
      <c r="H252" s="144"/>
      <c r="L252" s="142"/>
      <c r="M252" s="146"/>
      <c r="T252" s="147"/>
      <c r="AT252" s="144" t="s">
        <v>346</v>
      </c>
      <c r="AU252" s="144" t="s">
        <v>90</v>
      </c>
      <c r="AV252" s="141" t="s">
        <v>87</v>
      </c>
      <c r="AW252" s="141" t="s">
        <v>33</v>
      </c>
      <c r="AX252" s="141" t="s">
        <v>80</v>
      </c>
      <c r="AY252" s="144" t="s">
        <v>337</v>
      </c>
    </row>
    <row r="253" spans="2:65" s="148" customFormat="1" x14ac:dyDescent="0.2">
      <c r="B253" s="149"/>
      <c r="D253" s="143" t="s">
        <v>346</v>
      </c>
      <c r="E253" s="150"/>
      <c r="F253" s="151" t="s">
        <v>3163</v>
      </c>
      <c r="H253" s="152">
        <v>274.541</v>
      </c>
      <c r="L253" s="149"/>
      <c r="M253" s="153"/>
      <c r="T253" s="154"/>
      <c r="AT253" s="150" t="s">
        <v>346</v>
      </c>
      <c r="AU253" s="150" t="s">
        <v>90</v>
      </c>
      <c r="AV253" s="148" t="s">
        <v>90</v>
      </c>
      <c r="AW253" s="148" t="s">
        <v>33</v>
      </c>
      <c r="AX253" s="148" t="s">
        <v>80</v>
      </c>
      <c r="AY253" s="150" t="s">
        <v>337</v>
      </c>
    </row>
    <row r="254" spans="2:65" s="148" customFormat="1" x14ac:dyDescent="0.2">
      <c r="B254" s="149"/>
      <c r="D254" s="143" t="s">
        <v>346</v>
      </c>
      <c r="E254" s="150"/>
      <c r="F254" s="151" t="s">
        <v>3033</v>
      </c>
      <c r="H254" s="152">
        <v>9.125</v>
      </c>
      <c r="L254" s="149"/>
      <c r="M254" s="153"/>
      <c r="T254" s="154"/>
      <c r="AT254" s="150" t="s">
        <v>346</v>
      </c>
      <c r="AU254" s="150" t="s">
        <v>90</v>
      </c>
      <c r="AV254" s="148" t="s">
        <v>90</v>
      </c>
      <c r="AW254" s="148" t="s">
        <v>33</v>
      </c>
      <c r="AX254" s="148" t="s">
        <v>80</v>
      </c>
      <c r="AY254" s="150" t="s">
        <v>337</v>
      </c>
    </row>
    <row r="255" spans="2:65" s="155" customFormat="1" x14ac:dyDescent="0.2">
      <c r="B255" s="156"/>
      <c r="D255" s="143" t="s">
        <v>346</v>
      </c>
      <c r="E255" s="157"/>
      <c r="F255" s="158" t="s">
        <v>351</v>
      </c>
      <c r="H255" s="159">
        <v>567.33199999999999</v>
      </c>
      <c r="L255" s="156"/>
      <c r="M255" s="160"/>
      <c r="T255" s="161"/>
      <c r="AT255" s="157" t="s">
        <v>346</v>
      </c>
      <c r="AU255" s="157" t="s">
        <v>90</v>
      </c>
      <c r="AV255" s="155" t="s">
        <v>344</v>
      </c>
      <c r="AW255" s="155" t="s">
        <v>33</v>
      </c>
      <c r="AX255" s="155" t="s">
        <v>87</v>
      </c>
      <c r="AY255" s="157" t="s">
        <v>337</v>
      </c>
    </row>
    <row r="256" spans="2:65" s="16" customFormat="1" ht="21.75" customHeight="1" x14ac:dyDescent="0.2">
      <c r="B256" s="17"/>
      <c r="C256" s="128">
        <v>18</v>
      </c>
      <c r="D256" s="128" t="s">
        <v>339</v>
      </c>
      <c r="E256" s="129" t="s">
        <v>3165</v>
      </c>
      <c r="F256" s="130" t="s">
        <v>3166</v>
      </c>
      <c r="G256" s="131" t="s">
        <v>342</v>
      </c>
      <c r="H256" s="132">
        <v>549.08199999999999</v>
      </c>
      <c r="I256" s="133"/>
      <c r="J256" s="134">
        <f>ROUND(I256*H256,2)</f>
        <v>0</v>
      </c>
      <c r="K256" s="130" t="s">
        <v>343</v>
      </c>
      <c r="L256" s="17"/>
      <c r="M256" s="135"/>
      <c r="N256" s="136" t="s">
        <v>45</v>
      </c>
      <c r="P256" s="137">
        <f>O256*H256</f>
        <v>0</v>
      </c>
      <c r="Q256" s="137">
        <v>0</v>
      </c>
      <c r="R256" s="137">
        <f>Q256*H256</f>
        <v>0</v>
      </c>
      <c r="S256" s="137">
        <v>0</v>
      </c>
      <c r="T256" s="138">
        <f>S256*H256</f>
        <v>0</v>
      </c>
      <c r="AR256" s="139" t="s">
        <v>344</v>
      </c>
      <c r="AT256" s="139" t="s">
        <v>339</v>
      </c>
      <c r="AU256" s="139" t="s">
        <v>90</v>
      </c>
      <c r="AY256" s="2" t="s">
        <v>337</v>
      </c>
      <c r="BE256" s="140">
        <f>IF(N256="základní",J256,0)</f>
        <v>0</v>
      </c>
      <c r="BF256" s="140">
        <f>IF(N256="snížená",J256,0)</f>
        <v>0</v>
      </c>
      <c r="BG256" s="140">
        <f>IF(N256="zákl. přenesená",J256,0)</f>
        <v>0</v>
      </c>
      <c r="BH256" s="140">
        <f>IF(N256="sníž. přenesená",J256,0)</f>
        <v>0</v>
      </c>
      <c r="BI256" s="140">
        <f>IF(N256="nulová",J256,0)</f>
        <v>0</v>
      </c>
      <c r="BJ256" s="2" t="s">
        <v>87</v>
      </c>
      <c r="BK256" s="140">
        <f>ROUND(I256*H256,2)</f>
        <v>0</v>
      </c>
      <c r="BL256" s="2" t="s">
        <v>344</v>
      </c>
      <c r="BM256" s="139" t="s">
        <v>3167</v>
      </c>
    </row>
    <row r="257" spans="2:65" s="141" customFormat="1" x14ac:dyDescent="0.2">
      <c r="B257" s="142"/>
      <c r="D257" s="143" t="s">
        <v>346</v>
      </c>
      <c r="E257" s="144"/>
      <c r="F257" s="145" t="s">
        <v>3161</v>
      </c>
      <c r="H257" s="144"/>
      <c r="L257" s="142"/>
      <c r="M257" s="146"/>
      <c r="T257" s="147"/>
      <c r="AT257" s="144" t="s">
        <v>346</v>
      </c>
      <c r="AU257" s="144" t="s">
        <v>90</v>
      </c>
      <c r="AV257" s="141" t="s">
        <v>87</v>
      </c>
      <c r="AW257" s="141" t="s">
        <v>33</v>
      </c>
      <c r="AX257" s="141" t="s">
        <v>80</v>
      </c>
      <c r="AY257" s="144" t="s">
        <v>337</v>
      </c>
    </row>
    <row r="258" spans="2:65" s="141" customFormat="1" x14ac:dyDescent="0.2">
      <c r="B258" s="142"/>
      <c r="D258" s="143" t="s">
        <v>346</v>
      </c>
      <c r="E258" s="144"/>
      <c r="F258" s="145" t="s">
        <v>3162</v>
      </c>
      <c r="H258" s="144"/>
      <c r="L258" s="142"/>
      <c r="M258" s="146"/>
      <c r="T258" s="147"/>
      <c r="AT258" s="144" t="s">
        <v>346</v>
      </c>
      <c r="AU258" s="144" t="s">
        <v>90</v>
      </c>
      <c r="AV258" s="141" t="s">
        <v>87</v>
      </c>
      <c r="AW258" s="141" t="s">
        <v>33</v>
      </c>
      <c r="AX258" s="141" t="s">
        <v>80</v>
      </c>
      <c r="AY258" s="144" t="s">
        <v>337</v>
      </c>
    </row>
    <row r="259" spans="2:65" s="148" customFormat="1" x14ac:dyDescent="0.2">
      <c r="B259" s="149"/>
      <c r="D259" s="143" t="s">
        <v>346</v>
      </c>
      <c r="E259" s="150"/>
      <c r="F259" s="151" t="s">
        <v>3163</v>
      </c>
      <c r="H259" s="152">
        <v>274.541</v>
      </c>
      <c r="L259" s="149"/>
      <c r="M259" s="153"/>
      <c r="T259" s="154"/>
      <c r="AT259" s="150" t="s">
        <v>346</v>
      </c>
      <c r="AU259" s="150" t="s">
        <v>90</v>
      </c>
      <c r="AV259" s="148" t="s">
        <v>90</v>
      </c>
      <c r="AW259" s="148" t="s">
        <v>33</v>
      </c>
      <c r="AX259" s="148" t="s">
        <v>80</v>
      </c>
      <c r="AY259" s="150" t="s">
        <v>337</v>
      </c>
    </row>
    <row r="260" spans="2:65" s="141" customFormat="1" x14ac:dyDescent="0.2">
      <c r="B260" s="142"/>
      <c r="D260" s="143" t="s">
        <v>346</v>
      </c>
      <c r="E260" s="144"/>
      <c r="F260" s="145" t="s">
        <v>3164</v>
      </c>
      <c r="H260" s="144"/>
      <c r="L260" s="142"/>
      <c r="M260" s="146"/>
      <c r="T260" s="147"/>
      <c r="AT260" s="144" t="s">
        <v>346</v>
      </c>
      <c r="AU260" s="144" t="s">
        <v>90</v>
      </c>
      <c r="AV260" s="141" t="s">
        <v>87</v>
      </c>
      <c r="AW260" s="141" t="s">
        <v>33</v>
      </c>
      <c r="AX260" s="141" t="s">
        <v>80</v>
      </c>
      <c r="AY260" s="144" t="s">
        <v>337</v>
      </c>
    </row>
    <row r="261" spans="2:65" s="148" customFormat="1" x14ac:dyDescent="0.2">
      <c r="B261" s="149"/>
      <c r="D261" s="143" t="s">
        <v>346</v>
      </c>
      <c r="E261" s="150"/>
      <c r="F261" s="151" t="s">
        <v>3163</v>
      </c>
      <c r="H261" s="152">
        <v>274.541</v>
      </c>
      <c r="L261" s="149"/>
      <c r="M261" s="153"/>
      <c r="T261" s="154"/>
      <c r="AT261" s="150" t="s">
        <v>346</v>
      </c>
      <c r="AU261" s="150" t="s">
        <v>90</v>
      </c>
      <c r="AV261" s="148" t="s">
        <v>90</v>
      </c>
      <c r="AW261" s="148" t="s">
        <v>33</v>
      </c>
      <c r="AX261" s="148" t="s">
        <v>80</v>
      </c>
      <c r="AY261" s="150" t="s">
        <v>337</v>
      </c>
    </row>
    <row r="262" spans="2:65" s="155" customFormat="1" x14ac:dyDescent="0.2">
      <c r="B262" s="156"/>
      <c r="D262" s="143" t="s">
        <v>346</v>
      </c>
      <c r="E262" s="157"/>
      <c r="F262" s="158" t="s">
        <v>351</v>
      </c>
      <c r="H262" s="159">
        <v>549.08199999999999</v>
      </c>
      <c r="L262" s="156"/>
      <c r="M262" s="160"/>
      <c r="T262" s="161"/>
      <c r="AT262" s="157" t="s">
        <v>346</v>
      </c>
      <c r="AU262" s="157" t="s">
        <v>90</v>
      </c>
      <c r="AV262" s="155" t="s">
        <v>344</v>
      </c>
      <c r="AW262" s="155" t="s">
        <v>33</v>
      </c>
      <c r="AX262" s="155" t="s">
        <v>87</v>
      </c>
      <c r="AY262" s="157" t="s">
        <v>337</v>
      </c>
    </row>
    <row r="263" spans="2:65" s="16" customFormat="1" ht="21.75" customHeight="1" x14ac:dyDescent="0.2">
      <c r="B263" s="17"/>
      <c r="C263" s="128">
        <v>19</v>
      </c>
      <c r="D263" s="128" t="s">
        <v>339</v>
      </c>
      <c r="E263" s="129" t="s">
        <v>3168</v>
      </c>
      <c r="F263" s="130" t="s">
        <v>3169</v>
      </c>
      <c r="G263" s="131" t="s">
        <v>342</v>
      </c>
      <c r="H263" s="132">
        <v>115.548</v>
      </c>
      <c r="I263" s="133"/>
      <c r="J263" s="134">
        <f>ROUND(I263*H263,2)</f>
        <v>0</v>
      </c>
      <c r="K263" s="130" t="s">
        <v>343</v>
      </c>
      <c r="L263" s="17"/>
      <c r="M263" s="135"/>
      <c r="N263" s="136" t="s">
        <v>45</v>
      </c>
      <c r="P263" s="137">
        <f>O263*H263</f>
        <v>0</v>
      </c>
      <c r="Q263" s="137">
        <v>0</v>
      </c>
      <c r="R263" s="137">
        <f>Q263*H263</f>
        <v>0</v>
      </c>
      <c r="S263" s="137">
        <v>0</v>
      </c>
      <c r="T263" s="138">
        <f>S263*H263</f>
        <v>0</v>
      </c>
      <c r="AR263" s="139" t="s">
        <v>344</v>
      </c>
      <c r="AT263" s="139" t="s">
        <v>339</v>
      </c>
      <c r="AU263" s="139" t="s">
        <v>90</v>
      </c>
      <c r="AY263" s="2" t="s">
        <v>337</v>
      </c>
      <c r="BE263" s="140">
        <f>IF(N263="základní",J263,0)</f>
        <v>0</v>
      </c>
      <c r="BF263" s="140">
        <f>IF(N263="snížená",J263,0)</f>
        <v>0</v>
      </c>
      <c r="BG263" s="140">
        <f>IF(N263="zákl. přenesená",J263,0)</f>
        <v>0</v>
      </c>
      <c r="BH263" s="140">
        <f>IF(N263="sníž. přenesená",J263,0)</f>
        <v>0</v>
      </c>
      <c r="BI263" s="140">
        <f>IF(N263="nulová",J263,0)</f>
        <v>0</v>
      </c>
      <c r="BJ263" s="2" t="s">
        <v>87</v>
      </c>
      <c r="BK263" s="140">
        <f>ROUND(I263*H263,2)</f>
        <v>0</v>
      </c>
      <c r="BL263" s="2" t="s">
        <v>344</v>
      </c>
      <c r="BM263" s="139" t="s">
        <v>3170</v>
      </c>
    </row>
    <row r="264" spans="2:65" s="141" customFormat="1" x14ac:dyDescent="0.2">
      <c r="B264" s="142"/>
      <c r="D264" s="143" t="s">
        <v>346</v>
      </c>
      <c r="E264" s="144"/>
      <c r="F264" s="145" t="s">
        <v>3171</v>
      </c>
      <c r="H264" s="144"/>
      <c r="L264" s="142"/>
      <c r="M264" s="146"/>
      <c r="T264" s="147"/>
      <c r="AT264" s="144" t="s">
        <v>346</v>
      </c>
      <c r="AU264" s="144" t="s">
        <v>90</v>
      </c>
      <c r="AV264" s="141" t="s">
        <v>87</v>
      </c>
      <c r="AW264" s="141" t="s">
        <v>33</v>
      </c>
      <c r="AX264" s="141" t="s">
        <v>80</v>
      </c>
      <c r="AY264" s="144" t="s">
        <v>337</v>
      </c>
    </row>
    <row r="265" spans="2:65" s="141" customFormat="1" x14ac:dyDescent="0.2">
      <c r="B265" s="142"/>
      <c r="D265" s="143" t="s">
        <v>346</v>
      </c>
      <c r="E265" s="144"/>
      <c r="F265" s="145" t="s">
        <v>3172</v>
      </c>
      <c r="H265" s="144"/>
      <c r="L265" s="142"/>
      <c r="M265" s="146"/>
      <c r="T265" s="147"/>
      <c r="AT265" s="144" t="s">
        <v>346</v>
      </c>
      <c r="AU265" s="144" t="s">
        <v>90</v>
      </c>
      <c r="AV265" s="141" t="s">
        <v>87</v>
      </c>
      <c r="AW265" s="141" t="s">
        <v>33</v>
      </c>
      <c r="AX265" s="141" t="s">
        <v>80</v>
      </c>
      <c r="AY265" s="144" t="s">
        <v>337</v>
      </c>
    </row>
    <row r="266" spans="2:65" s="148" customFormat="1" x14ac:dyDescent="0.2">
      <c r="B266" s="149"/>
      <c r="D266" s="143" t="s">
        <v>346</v>
      </c>
      <c r="E266" s="150"/>
      <c r="F266" s="151" t="s">
        <v>2995</v>
      </c>
      <c r="H266" s="152">
        <v>198.89599999999999</v>
      </c>
      <c r="L266" s="149"/>
      <c r="M266" s="153"/>
      <c r="T266" s="154"/>
      <c r="AT266" s="150" t="s">
        <v>346</v>
      </c>
      <c r="AU266" s="150" t="s">
        <v>90</v>
      </c>
      <c r="AV266" s="148" t="s">
        <v>90</v>
      </c>
      <c r="AW266" s="148" t="s">
        <v>33</v>
      </c>
      <c r="AX266" s="148" t="s">
        <v>80</v>
      </c>
      <c r="AY266" s="150" t="s">
        <v>337</v>
      </c>
    </row>
    <row r="267" spans="2:65" s="148" customFormat="1" x14ac:dyDescent="0.2">
      <c r="B267" s="149"/>
      <c r="D267" s="143" t="s">
        <v>346</v>
      </c>
      <c r="E267" s="150"/>
      <c r="F267" s="151" t="s">
        <v>3024</v>
      </c>
      <c r="H267" s="152">
        <v>6.1989999999999998</v>
      </c>
      <c r="L267" s="149"/>
      <c r="M267" s="153"/>
      <c r="T267" s="154"/>
      <c r="AT267" s="150" t="s">
        <v>346</v>
      </c>
      <c r="AU267" s="150" t="s">
        <v>90</v>
      </c>
      <c r="AV267" s="148" t="s">
        <v>90</v>
      </c>
      <c r="AW267" s="148" t="s">
        <v>33</v>
      </c>
      <c r="AX267" s="148" t="s">
        <v>80</v>
      </c>
      <c r="AY267" s="150" t="s">
        <v>337</v>
      </c>
    </row>
    <row r="268" spans="2:65" s="148" customFormat="1" x14ac:dyDescent="0.2">
      <c r="B268" s="149"/>
      <c r="D268" s="143" t="s">
        <v>346</v>
      </c>
      <c r="E268" s="150"/>
      <c r="F268" s="151" t="s">
        <v>3022</v>
      </c>
      <c r="H268" s="152">
        <v>459.53500000000003</v>
      </c>
      <c r="L268" s="149"/>
      <c r="M268" s="153"/>
      <c r="T268" s="154"/>
      <c r="AT268" s="150" t="s">
        <v>346</v>
      </c>
      <c r="AU268" s="150" t="s">
        <v>90</v>
      </c>
      <c r="AV268" s="148" t="s">
        <v>90</v>
      </c>
      <c r="AW268" s="148" t="s">
        <v>33</v>
      </c>
      <c r="AX268" s="148" t="s">
        <v>80</v>
      </c>
      <c r="AY268" s="150" t="s">
        <v>337</v>
      </c>
    </row>
    <row r="269" spans="2:65" s="141" customFormat="1" x14ac:dyDescent="0.2">
      <c r="B269" s="142"/>
      <c r="D269" s="143" t="s">
        <v>346</v>
      </c>
      <c r="E269" s="144"/>
      <c r="F269" s="145" t="s">
        <v>3173</v>
      </c>
      <c r="H269" s="144"/>
      <c r="L269" s="142"/>
      <c r="M269" s="146"/>
      <c r="T269" s="147"/>
      <c r="AT269" s="144" t="s">
        <v>346</v>
      </c>
      <c r="AU269" s="144" t="s">
        <v>90</v>
      </c>
      <c r="AV269" s="141" t="s">
        <v>87</v>
      </c>
      <c r="AW269" s="141" t="s">
        <v>33</v>
      </c>
      <c r="AX269" s="141" t="s">
        <v>80</v>
      </c>
      <c r="AY269" s="144" t="s">
        <v>337</v>
      </c>
    </row>
    <row r="270" spans="2:65" s="148" customFormat="1" x14ac:dyDescent="0.2">
      <c r="B270" s="149"/>
      <c r="D270" s="143" t="s">
        <v>346</v>
      </c>
      <c r="E270" s="150"/>
      <c r="F270" s="151" t="s">
        <v>3174</v>
      </c>
      <c r="H270" s="152">
        <v>-549.08199999999999</v>
      </c>
      <c r="L270" s="149"/>
      <c r="M270" s="153"/>
      <c r="T270" s="154"/>
      <c r="AT270" s="150" t="s">
        <v>346</v>
      </c>
      <c r="AU270" s="150" t="s">
        <v>90</v>
      </c>
      <c r="AV270" s="148" t="s">
        <v>90</v>
      </c>
      <c r="AW270" s="148" t="s">
        <v>33</v>
      </c>
      <c r="AX270" s="148" t="s">
        <v>80</v>
      </c>
      <c r="AY270" s="150" t="s">
        <v>337</v>
      </c>
    </row>
    <row r="271" spans="2:65" s="155" customFormat="1" x14ac:dyDescent="0.2">
      <c r="B271" s="156"/>
      <c r="D271" s="143" t="s">
        <v>346</v>
      </c>
      <c r="E271" s="157" t="s">
        <v>3014</v>
      </c>
      <c r="F271" s="158" t="s">
        <v>351</v>
      </c>
      <c r="H271" s="159">
        <v>115.548</v>
      </c>
      <c r="L271" s="156"/>
      <c r="M271" s="160"/>
      <c r="T271" s="161"/>
      <c r="AT271" s="157" t="s">
        <v>346</v>
      </c>
      <c r="AU271" s="157" t="s">
        <v>90</v>
      </c>
      <c r="AV271" s="155" t="s">
        <v>344</v>
      </c>
      <c r="AW271" s="155" t="s">
        <v>33</v>
      </c>
      <c r="AX271" s="155" t="s">
        <v>87</v>
      </c>
      <c r="AY271" s="157" t="s">
        <v>337</v>
      </c>
    </row>
    <row r="272" spans="2:65" s="16" customFormat="1" ht="24.2" customHeight="1" x14ac:dyDescent="0.2">
      <c r="B272" s="17"/>
      <c r="C272" s="128">
        <v>20</v>
      </c>
      <c r="D272" s="128" t="s">
        <v>339</v>
      </c>
      <c r="E272" s="129" t="s">
        <v>3175</v>
      </c>
      <c r="F272" s="130" t="s">
        <v>3176</v>
      </c>
      <c r="G272" s="131" t="s">
        <v>342</v>
      </c>
      <c r="H272" s="132">
        <v>577.74</v>
      </c>
      <c r="I272" s="133"/>
      <c r="J272" s="134">
        <f>ROUND(I272*H272,2)</f>
        <v>0</v>
      </c>
      <c r="K272" s="130" t="s">
        <v>343</v>
      </c>
      <c r="L272" s="17"/>
      <c r="M272" s="135"/>
      <c r="N272" s="136" t="s">
        <v>45</v>
      </c>
      <c r="P272" s="137">
        <f>O272*H272</f>
        <v>0</v>
      </c>
      <c r="Q272" s="137">
        <v>0</v>
      </c>
      <c r="R272" s="137">
        <f>Q272*H272</f>
        <v>0</v>
      </c>
      <c r="S272" s="137">
        <v>0</v>
      </c>
      <c r="T272" s="138">
        <f>S272*H272</f>
        <v>0</v>
      </c>
      <c r="AR272" s="139" t="s">
        <v>344</v>
      </c>
      <c r="AT272" s="139" t="s">
        <v>339</v>
      </c>
      <c r="AU272" s="139" t="s">
        <v>90</v>
      </c>
      <c r="AY272" s="2" t="s">
        <v>337</v>
      </c>
      <c r="BE272" s="140">
        <f>IF(N272="základní",J272,0)</f>
        <v>0</v>
      </c>
      <c r="BF272" s="140">
        <f>IF(N272="snížená",J272,0)</f>
        <v>0</v>
      </c>
      <c r="BG272" s="140">
        <f>IF(N272="zákl. přenesená",J272,0)</f>
        <v>0</v>
      </c>
      <c r="BH272" s="140">
        <f>IF(N272="sníž. přenesená",J272,0)</f>
        <v>0</v>
      </c>
      <c r="BI272" s="140">
        <f>IF(N272="nulová",J272,0)</f>
        <v>0</v>
      </c>
      <c r="BJ272" s="2" t="s">
        <v>87</v>
      </c>
      <c r="BK272" s="140">
        <f>ROUND(I272*H272,2)</f>
        <v>0</v>
      </c>
      <c r="BL272" s="2" t="s">
        <v>344</v>
      </c>
      <c r="BM272" s="139" t="s">
        <v>3177</v>
      </c>
    </row>
    <row r="273" spans="2:65" s="148" customFormat="1" x14ac:dyDescent="0.2">
      <c r="B273" s="149"/>
      <c r="D273" s="143" t="s">
        <v>346</v>
      </c>
      <c r="E273" s="150"/>
      <c r="F273" s="151" t="s">
        <v>3178</v>
      </c>
      <c r="H273" s="152">
        <v>577.74</v>
      </c>
      <c r="L273" s="149"/>
      <c r="M273" s="153"/>
      <c r="T273" s="154"/>
      <c r="AT273" s="150" t="s">
        <v>346</v>
      </c>
      <c r="AU273" s="150" t="s">
        <v>90</v>
      </c>
      <c r="AV273" s="148" t="s">
        <v>90</v>
      </c>
      <c r="AW273" s="148" t="s">
        <v>33</v>
      </c>
      <c r="AX273" s="148" t="s">
        <v>87</v>
      </c>
      <c r="AY273" s="150" t="s">
        <v>337</v>
      </c>
    </row>
    <row r="274" spans="2:65" s="16" customFormat="1" ht="16.5" customHeight="1" x14ac:dyDescent="0.2">
      <c r="B274" s="17"/>
      <c r="C274" s="128">
        <v>21</v>
      </c>
      <c r="D274" s="128" t="s">
        <v>339</v>
      </c>
      <c r="E274" s="129" t="s">
        <v>3179</v>
      </c>
      <c r="F274" s="130" t="s">
        <v>3180</v>
      </c>
      <c r="G274" s="131" t="s">
        <v>342</v>
      </c>
      <c r="H274" s="132">
        <v>274.541</v>
      </c>
      <c r="I274" s="133"/>
      <c r="J274" s="134">
        <f>ROUND(I274*H274,2)</f>
        <v>0</v>
      </c>
      <c r="K274" s="130" t="s">
        <v>343</v>
      </c>
      <c r="L274" s="17"/>
      <c r="M274" s="135"/>
      <c r="N274" s="136" t="s">
        <v>45</v>
      </c>
      <c r="P274" s="137">
        <f>O274*H274</f>
        <v>0</v>
      </c>
      <c r="Q274" s="137">
        <v>0</v>
      </c>
      <c r="R274" s="137">
        <f>Q274*H274</f>
        <v>0</v>
      </c>
      <c r="S274" s="137">
        <v>0</v>
      </c>
      <c r="T274" s="138">
        <f>S274*H274</f>
        <v>0</v>
      </c>
      <c r="AR274" s="139" t="s">
        <v>344</v>
      </c>
      <c r="AT274" s="139" t="s">
        <v>339</v>
      </c>
      <c r="AU274" s="139" t="s">
        <v>90</v>
      </c>
      <c r="AY274" s="2" t="s">
        <v>337</v>
      </c>
      <c r="BE274" s="140">
        <f>IF(N274="základní",J274,0)</f>
        <v>0</v>
      </c>
      <c r="BF274" s="140">
        <f>IF(N274="snížená",J274,0)</f>
        <v>0</v>
      </c>
      <c r="BG274" s="140">
        <f>IF(N274="zákl. přenesená",J274,0)</f>
        <v>0</v>
      </c>
      <c r="BH274" s="140">
        <f>IF(N274="sníž. přenesená",J274,0)</f>
        <v>0</v>
      </c>
      <c r="BI274" s="140">
        <f>IF(N274="nulová",J274,0)</f>
        <v>0</v>
      </c>
      <c r="BJ274" s="2" t="s">
        <v>87</v>
      </c>
      <c r="BK274" s="140">
        <f>ROUND(I274*H274,2)</f>
        <v>0</v>
      </c>
      <c r="BL274" s="2" t="s">
        <v>344</v>
      </c>
      <c r="BM274" s="139" t="s">
        <v>3181</v>
      </c>
    </row>
    <row r="275" spans="2:65" s="141" customFormat="1" x14ac:dyDescent="0.2">
      <c r="B275" s="142"/>
      <c r="D275" s="143" t="s">
        <v>346</v>
      </c>
      <c r="E275" s="144"/>
      <c r="F275" s="145" t="s">
        <v>3182</v>
      </c>
      <c r="H275" s="144"/>
      <c r="L275" s="142"/>
      <c r="M275" s="146"/>
      <c r="T275" s="147"/>
      <c r="AT275" s="144" t="s">
        <v>346</v>
      </c>
      <c r="AU275" s="144" t="s">
        <v>90</v>
      </c>
      <c r="AV275" s="141" t="s">
        <v>87</v>
      </c>
      <c r="AW275" s="141" t="s">
        <v>33</v>
      </c>
      <c r="AX275" s="141" t="s">
        <v>80</v>
      </c>
      <c r="AY275" s="144" t="s">
        <v>337</v>
      </c>
    </row>
    <row r="276" spans="2:65" s="148" customFormat="1" x14ac:dyDescent="0.2">
      <c r="B276" s="149"/>
      <c r="D276" s="143" t="s">
        <v>346</v>
      </c>
      <c r="E276" s="150"/>
      <c r="F276" s="151" t="s">
        <v>3163</v>
      </c>
      <c r="H276" s="152">
        <v>274.541</v>
      </c>
      <c r="L276" s="149"/>
      <c r="M276" s="153"/>
      <c r="T276" s="154"/>
      <c r="AT276" s="150" t="s">
        <v>346</v>
      </c>
      <c r="AU276" s="150" t="s">
        <v>90</v>
      </c>
      <c r="AV276" s="148" t="s">
        <v>90</v>
      </c>
      <c r="AW276" s="148" t="s">
        <v>33</v>
      </c>
      <c r="AX276" s="148" t="s">
        <v>87</v>
      </c>
      <c r="AY276" s="150" t="s">
        <v>337</v>
      </c>
    </row>
    <row r="277" spans="2:65" s="16" customFormat="1" ht="16.5" customHeight="1" x14ac:dyDescent="0.2">
      <c r="B277" s="17"/>
      <c r="C277" s="128">
        <v>22</v>
      </c>
      <c r="D277" s="128" t="s">
        <v>339</v>
      </c>
      <c r="E277" s="129" t="s">
        <v>3183</v>
      </c>
      <c r="F277" s="130" t="s">
        <v>3184</v>
      </c>
      <c r="G277" s="131" t="s">
        <v>342</v>
      </c>
      <c r="H277" s="132">
        <v>274.541</v>
      </c>
      <c r="I277" s="133"/>
      <c r="J277" s="134">
        <f>ROUND(I277*H277,2)</f>
        <v>0</v>
      </c>
      <c r="K277" s="130" t="s">
        <v>343</v>
      </c>
      <c r="L277" s="17"/>
      <c r="M277" s="135"/>
      <c r="N277" s="136" t="s">
        <v>45</v>
      </c>
      <c r="P277" s="137">
        <f>O277*H277</f>
        <v>0</v>
      </c>
      <c r="Q277" s="137">
        <v>0</v>
      </c>
      <c r="R277" s="137">
        <f>Q277*H277</f>
        <v>0</v>
      </c>
      <c r="S277" s="137">
        <v>0</v>
      </c>
      <c r="T277" s="138">
        <f>S277*H277</f>
        <v>0</v>
      </c>
      <c r="AR277" s="139" t="s">
        <v>344</v>
      </c>
      <c r="AT277" s="139" t="s">
        <v>339</v>
      </c>
      <c r="AU277" s="139" t="s">
        <v>90</v>
      </c>
      <c r="AY277" s="2" t="s">
        <v>337</v>
      </c>
      <c r="BE277" s="140">
        <f>IF(N277="základní",J277,0)</f>
        <v>0</v>
      </c>
      <c r="BF277" s="140">
        <f>IF(N277="snížená",J277,0)</f>
        <v>0</v>
      </c>
      <c r="BG277" s="140">
        <f>IF(N277="zákl. přenesená",J277,0)</f>
        <v>0</v>
      </c>
      <c r="BH277" s="140">
        <f>IF(N277="sníž. přenesená",J277,0)</f>
        <v>0</v>
      </c>
      <c r="BI277" s="140">
        <f>IF(N277="nulová",J277,0)</f>
        <v>0</v>
      </c>
      <c r="BJ277" s="2" t="s">
        <v>87</v>
      </c>
      <c r="BK277" s="140">
        <f>ROUND(I277*H277,2)</f>
        <v>0</v>
      </c>
      <c r="BL277" s="2" t="s">
        <v>344</v>
      </c>
      <c r="BM277" s="139" t="s">
        <v>3185</v>
      </c>
    </row>
    <row r="278" spans="2:65" s="141" customFormat="1" x14ac:dyDescent="0.2">
      <c r="B278" s="142"/>
      <c r="D278" s="143" t="s">
        <v>346</v>
      </c>
      <c r="E278" s="144"/>
      <c r="F278" s="145" t="s">
        <v>3182</v>
      </c>
      <c r="H278" s="144"/>
      <c r="L278" s="142"/>
      <c r="M278" s="146"/>
      <c r="T278" s="147"/>
      <c r="AT278" s="144" t="s">
        <v>346</v>
      </c>
      <c r="AU278" s="144" t="s">
        <v>90</v>
      </c>
      <c r="AV278" s="141" t="s">
        <v>87</v>
      </c>
      <c r="AW278" s="141" t="s">
        <v>33</v>
      </c>
      <c r="AX278" s="141" t="s">
        <v>80</v>
      </c>
      <c r="AY278" s="144" t="s">
        <v>337</v>
      </c>
    </row>
    <row r="279" spans="2:65" s="148" customFormat="1" x14ac:dyDescent="0.2">
      <c r="B279" s="149"/>
      <c r="D279" s="143" t="s">
        <v>346</v>
      </c>
      <c r="E279" s="150"/>
      <c r="F279" s="151" t="s">
        <v>3163</v>
      </c>
      <c r="H279" s="152">
        <v>274.541</v>
      </c>
      <c r="L279" s="149"/>
      <c r="M279" s="153"/>
      <c r="T279" s="154"/>
      <c r="AT279" s="150" t="s">
        <v>346</v>
      </c>
      <c r="AU279" s="150" t="s">
        <v>90</v>
      </c>
      <c r="AV279" s="148" t="s">
        <v>90</v>
      </c>
      <c r="AW279" s="148" t="s">
        <v>33</v>
      </c>
      <c r="AX279" s="148" t="s">
        <v>87</v>
      </c>
      <c r="AY279" s="150" t="s">
        <v>337</v>
      </c>
    </row>
    <row r="280" spans="2:65" s="16" customFormat="1" ht="16.5" customHeight="1" x14ac:dyDescent="0.2">
      <c r="B280" s="17"/>
      <c r="C280" s="128">
        <v>23</v>
      </c>
      <c r="D280" s="128" t="s">
        <v>339</v>
      </c>
      <c r="E280" s="129" t="s">
        <v>3186</v>
      </c>
      <c r="F280" s="130" t="s">
        <v>3187</v>
      </c>
      <c r="G280" s="131" t="s">
        <v>990</v>
      </c>
      <c r="H280" s="132">
        <v>207.98599999999999</v>
      </c>
      <c r="I280" s="133"/>
      <c r="J280" s="134">
        <f>ROUND(I280*H280,2)</f>
        <v>0</v>
      </c>
      <c r="K280" s="130" t="s">
        <v>343</v>
      </c>
      <c r="L280" s="17"/>
      <c r="M280" s="135"/>
      <c r="N280" s="136" t="s">
        <v>45</v>
      </c>
      <c r="P280" s="137">
        <f>O280*H280</f>
        <v>0</v>
      </c>
      <c r="Q280" s="137">
        <v>0</v>
      </c>
      <c r="R280" s="137">
        <f>Q280*H280</f>
        <v>0</v>
      </c>
      <c r="S280" s="137">
        <v>0</v>
      </c>
      <c r="T280" s="138">
        <f>S280*H280</f>
        <v>0</v>
      </c>
      <c r="AR280" s="139" t="s">
        <v>344</v>
      </c>
      <c r="AT280" s="139" t="s">
        <v>339</v>
      </c>
      <c r="AU280" s="139" t="s">
        <v>90</v>
      </c>
      <c r="AY280" s="2" t="s">
        <v>337</v>
      </c>
      <c r="BE280" s="140">
        <f>IF(N280="základní",J280,0)</f>
        <v>0</v>
      </c>
      <c r="BF280" s="140">
        <f>IF(N280="snížená",J280,0)</f>
        <v>0</v>
      </c>
      <c r="BG280" s="140">
        <f>IF(N280="zákl. přenesená",J280,0)</f>
        <v>0</v>
      </c>
      <c r="BH280" s="140">
        <f>IF(N280="sníž. přenesená",J280,0)</f>
        <v>0</v>
      </c>
      <c r="BI280" s="140">
        <f>IF(N280="nulová",J280,0)</f>
        <v>0</v>
      </c>
      <c r="BJ280" s="2" t="s">
        <v>87</v>
      </c>
      <c r="BK280" s="140">
        <f>ROUND(I280*H280,2)</f>
        <v>0</v>
      </c>
      <c r="BL280" s="2" t="s">
        <v>344</v>
      </c>
      <c r="BM280" s="139" t="s">
        <v>3188</v>
      </c>
    </row>
    <row r="281" spans="2:65" s="148" customFormat="1" x14ac:dyDescent="0.2">
      <c r="B281" s="149"/>
      <c r="D281" s="143" t="s">
        <v>346</v>
      </c>
      <c r="E281" s="150"/>
      <c r="F281" s="151" t="s">
        <v>3189</v>
      </c>
      <c r="H281" s="152">
        <v>207.98599999999999</v>
      </c>
      <c r="L281" s="149"/>
      <c r="M281" s="153"/>
      <c r="T281" s="154"/>
      <c r="AT281" s="150" t="s">
        <v>346</v>
      </c>
      <c r="AU281" s="150" t="s">
        <v>90</v>
      </c>
      <c r="AV281" s="148" t="s">
        <v>90</v>
      </c>
      <c r="AW281" s="148" t="s">
        <v>33</v>
      </c>
      <c r="AX281" s="148" t="s">
        <v>87</v>
      </c>
      <c r="AY281" s="150" t="s">
        <v>337</v>
      </c>
    </row>
    <row r="282" spans="2:65" s="16" customFormat="1" ht="16.5" customHeight="1" x14ac:dyDescent="0.2">
      <c r="B282" s="17"/>
      <c r="C282" s="128">
        <v>24</v>
      </c>
      <c r="D282" s="128" t="s">
        <v>339</v>
      </c>
      <c r="E282" s="129" t="s">
        <v>3190</v>
      </c>
      <c r="F282" s="130" t="s">
        <v>3191</v>
      </c>
      <c r="G282" s="131" t="s">
        <v>342</v>
      </c>
      <c r="H282" s="132">
        <v>664.63</v>
      </c>
      <c r="I282" s="133"/>
      <c r="J282" s="134">
        <f>ROUND(I282*H282,2)</f>
        <v>0</v>
      </c>
      <c r="K282" s="130" t="s">
        <v>343</v>
      </c>
      <c r="L282" s="17"/>
      <c r="M282" s="135"/>
      <c r="N282" s="136" t="s">
        <v>45</v>
      </c>
      <c r="P282" s="137">
        <f>O282*H282</f>
        <v>0</v>
      </c>
      <c r="Q282" s="137">
        <v>0</v>
      </c>
      <c r="R282" s="137">
        <f>Q282*H282</f>
        <v>0</v>
      </c>
      <c r="S282" s="137">
        <v>0</v>
      </c>
      <c r="T282" s="138">
        <f>S282*H282</f>
        <v>0</v>
      </c>
      <c r="AR282" s="139" t="s">
        <v>344</v>
      </c>
      <c r="AT282" s="139" t="s">
        <v>339</v>
      </c>
      <c r="AU282" s="139" t="s">
        <v>90</v>
      </c>
      <c r="AY282" s="2" t="s">
        <v>337</v>
      </c>
      <c r="BE282" s="140">
        <f>IF(N282="základní",J282,0)</f>
        <v>0</v>
      </c>
      <c r="BF282" s="140">
        <f>IF(N282="snížená",J282,0)</f>
        <v>0</v>
      </c>
      <c r="BG282" s="140">
        <f>IF(N282="zákl. přenesená",J282,0)</f>
        <v>0</v>
      </c>
      <c r="BH282" s="140">
        <f>IF(N282="sníž. přenesená",J282,0)</f>
        <v>0</v>
      </c>
      <c r="BI282" s="140">
        <f>IF(N282="nulová",J282,0)</f>
        <v>0</v>
      </c>
      <c r="BJ282" s="2" t="s">
        <v>87</v>
      </c>
      <c r="BK282" s="140">
        <f>ROUND(I282*H282,2)</f>
        <v>0</v>
      </c>
      <c r="BL282" s="2" t="s">
        <v>344</v>
      </c>
      <c r="BM282" s="139" t="s">
        <v>3192</v>
      </c>
    </row>
    <row r="283" spans="2:65" s="141" customFormat="1" x14ac:dyDescent="0.2">
      <c r="B283" s="142"/>
      <c r="D283" s="143" t="s">
        <v>346</v>
      </c>
      <c r="E283" s="144"/>
      <c r="F283" s="145" t="s">
        <v>3193</v>
      </c>
      <c r="H283" s="144"/>
      <c r="L283" s="142"/>
      <c r="M283" s="146"/>
      <c r="T283" s="147"/>
      <c r="AT283" s="144" t="s">
        <v>346</v>
      </c>
      <c r="AU283" s="144" t="s">
        <v>90</v>
      </c>
      <c r="AV283" s="141" t="s">
        <v>87</v>
      </c>
      <c r="AW283" s="141" t="s">
        <v>33</v>
      </c>
      <c r="AX283" s="141" t="s">
        <v>80</v>
      </c>
      <c r="AY283" s="144" t="s">
        <v>337</v>
      </c>
    </row>
    <row r="284" spans="2:65" s="148" customFormat="1" x14ac:dyDescent="0.2">
      <c r="B284" s="149"/>
      <c r="D284" s="143" t="s">
        <v>346</v>
      </c>
      <c r="E284" s="150"/>
      <c r="F284" s="151" t="s">
        <v>3031</v>
      </c>
      <c r="H284" s="152">
        <v>549.08199999999999</v>
      </c>
      <c r="L284" s="149"/>
      <c r="M284" s="153"/>
      <c r="T284" s="154"/>
      <c r="AT284" s="150" t="s">
        <v>346</v>
      </c>
      <c r="AU284" s="150" t="s">
        <v>90</v>
      </c>
      <c r="AV284" s="148" t="s">
        <v>90</v>
      </c>
      <c r="AW284" s="148" t="s">
        <v>33</v>
      </c>
      <c r="AX284" s="148" t="s">
        <v>80</v>
      </c>
      <c r="AY284" s="150" t="s">
        <v>337</v>
      </c>
    </row>
    <row r="285" spans="2:65" s="141" customFormat="1" x14ac:dyDescent="0.2">
      <c r="B285" s="142"/>
      <c r="D285" s="143" t="s">
        <v>346</v>
      </c>
      <c r="E285" s="144"/>
      <c r="F285" s="145" t="s">
        <v>3194</v>
      </c>
      <c r="H285" s="144"/>
      <c r="L285" s="142"/>
      <c r="M285" s="146"/>
      <c r="T285" s="147"/>
      <c r="AT285" s="144" t="s">
        <v>346</v>
      </c>
      <c r="AU285" s="144" t="s">
        <v>90</v>
      </c>
      <c r="AV285" s="141" t="s">
        <v>87</v>
      </c>
      <c r="AW285" s="141" t="s">
        <v>33</v>
      </c>
      <c r="AX285" s="141" t="s">
        <v>80</v>
      </c>
      <c r="AY285" s="144" t="s">
        <v>337</v>
      </c>
    </row>
    <row r="286" spans="2:65" s="148" customFormat="1" x14ac:dyDescent="0.2">
      <c r="B286" s="149"/>
      <c r="D286" s="143" t="s">
        <v>346</v>
      </c>
      <c r="E286" s="150"/>
      <c r="F286" s="151" t="s">
        <v>3014</v>
      </c>
      <c r="H286" s="152">
        <v>115.548</v>
      </c>
      <c r="L286" s="149"/>
      <c r="M286" s="153"/>
      <c r="T286" s="154"/>
      <c r="AT286" s="150" t="s">
        <v>346</v>
      </c>
      <c r="AU286" s="150" t="s">
        <v>90</v>
      </c>
      <c r="AV286" s="148" t="s">
        <v>90</v>
      </c>
      <c r="AW286" s="148" t="s">
        <v>33</v>
      </c>
      <c r="AX286" s="148" t="s">
        <v>80</v>
      </c>
      <c r="AY286" s="150" t="s">
        <v>337</v>
      </c>
    </row>
    <row r="287" spans="2:65" s="155" customFormat="1" x14ac:dyDescent="0.2">
      <c r="B287" s="156"/>
      <c r="D287" s="143" t="s">
        <v>346</v>
      </c>
      <c r="E287" s="157"/>
      <c r="F287" s="158" t="s">
        <v>351</v>
      </c>
      <c r="H287" s="159">
        <v>664.63</v>
      </c>
      <c r="L287" s="156"/>
      <c r="M287" s="160"/>
      <c r="T287" s="161"/>
      <c r="AT287" s="157" t="s">
        <v>346</v>
      </c>
      <c r="AU287" s="157" t="s">
        <v>90</v>
      </c>
      <c r="AV287" s="155" t="s">
        <v>344</v>
      </c>
      <c r="AW287" s="155" t="s">
        <v>33</v>
      </c>
      <c r="AX287" s="155" t="s">
        <v>87</v>
      </c>
      <c r="AY287" s="157" t="s">
        <v>337</v>
      </c>
    </row>
    <row r="288" spans="2:65" s="16" customFormat="1" ht="16.5" customHeight="1" x14ac:dyDescent="0.2">
      <c r="B288" s="17"/>
      <c r="C288" s="128">
        <v>25</v>
      </c>
      <c r="D288" s="128" t="s">
        <v>339</v>
      </c>
      <c r="E288" s="129" t="s">
        <v>3195</v>
      </c>
      <c r="F288" s="130" t="s">
        <v>3196</v>
      </c>
      <c r="G288" s="131" t="s">
        <v>342</v>
      </c>
      <c r="H288" s="132">
        <v>549.08199999999999</v>
      </c>
      <c r="I288" s="133"/>
      <c r="J288" s="134">
        <f>ROUND(I288*H288,2)</f>
        <v>0</v>
      </c>
      <c r="K288" s="130" t="s">
        <v>343</v>
      </c>
      <c r="L288" s="17"/>
      <c r="M288" s="135"/>
      <c r="N288" s="136" t="s">
        <v>45</v>
      </c>
      <c r="P288" s="137">
        <f>O288*H288</f>
        <v>0</v>
      </c>
      <c r="Q288" s="137">
        <v>0</v>
      </c>
      <c r="R288" s="137">
        <f>Q288*H288</f>
        <v>0</v>
      </c>
      <c r="S288" s="137">
        <v>0</v>
      </c>
      <c r="T288" s="138">
        <f>S288*H288</f>
        <v>0</v>
      </c>
      <c r="AR288" s="139" t="s">
        <v>344</v>
      </c>
      <c r="AT288" s="139" t="s">
        <v>339</v>
      </c>
      <c r="AU288" s="139" t="s">
        <v>90</v>
      </c>
      <c r="AY288" s="2" t="s">
        <v>337</v>
      </c>
      <c r="BE288" s="140">
        <f>IF(N288="základní",J288,0)</f>
        <v>0</v>
      </c>
      <c r="BF288" s="140">
        <f>IF(N288="snížená",J288,0)</f>
        <v>0</v>
      </c>
      <c r="BG288" s="140">
        <f>IF(N288="zákl. přenesená",J288,0)</f>
        <v>0</v>
      </c>
      <c r="BH288" s="140">
        <f>IF(N288="sníž. přenesená",J288,0)</f>
        <v>0</v>
      </c>
      <c r="BI288" s="140">
        <f>IF(N288="nulová",J288,0)</f>
        <v>0</v>
      </c>
      <c r="BJ288" s="2" t="s">
        <v>87</v>
      </c>
      <c r="BK288" s="140">
        <f>ROUND(I288*H288,2)</f>
        <v>0</v>
      </c>
      <c r="BL288" s="2" t="s">
        <v>344</v>
      </c>
      <c r="BM288" s="139" t="s">
        <v>3197</v>
      </c>
    </row>
    <row r="289" spans="2:65" s="141" customFormat="1" x14ac:dyDescent="0.2">
      <c r="B289" s="142"/>
      <c r="D289" s="143" t="s">
        <v>346</v>
      </c>
      <c r="E289" s="144"/>
      <c r="F289" s="145" t="s">
        <v>3172</v>
      </c>
      <c r="H289" s="144"/>
      <c r="L289" s="142"/>
      <c r="M289" s="146"/>
      <c r="T289" s="147"/>
      <c r="AT289" s="144" t="s">
        <v>346</v>
      </c>
      <c r="AU289" s="144" t="s">
        <v>90</v>
      </c>
      <c r="AV289" s="141" t="s">
        <v>87</v>
      </c>
      <c r="AW289" s="141" t="s">
        <v>33</v>
      </c>
      <c r="AX289" s="141" t="s">
        <v>80</v>
      </c>
      <c r="AY289" s="144" t="s">
        <v>337</v>
      </c>
    </row>
    <row r="290" spans="2:65" s="148" customFormat="1" x14ac:dyDescent="0.2">
      <c r="B290" s="149"/>
      <c r="D290" s="143" t="s">
        <v>346</v>
      </c>
      <c r="E290" s="150"/>
      <c r="F290" s="151" t="s">
        <v>2995</v>
      </c>
      <c r="H290" s="152">
        <v>198.89599999999999</v>
      </c>
      <c r="L290" s="149"/>
      <c r="M290" s="153"/>
      <c r="T290" s="154"/>
      <c r="AT290" s="150" t="s">
        <v>346</v>
      </c>
      <c r="AU290" s="150" t="s">
        <v>90</v>
      </c>
      <c r="AV290" s="148" t="s">
        <v>90</v>
      </c>
      <c r="AW290" s="148" t="s">
        <v>33</v>
      </c>
      <c r="AX290" s="148" t="s">
        <v>80</v>
      </c>
      <c r="AY290" s="150" t="s">
        <v>337</v>
      </c>
    </row>
    <row r="291" spans="2:65" s="148" customFormat="1" x14ac:dyDescent="0.2">
      <c r="B291" s="149"/>
      <c r="D291" s="143" t="s">
        <v>346</v>
      </c>
      <c r="E291" s="150"/>
      <c r="F291" s="151" t="s">
        <v>3024</v>
      </c>
      <c r="H291" s="152">
        <v>6.1989999999999998</v>
      </c>
      <c r="L291" s="149"/>
      <c r="M291" s="153"/>
      <c r="T291" s="154"/>
      <c r="AT291" s="150" t="s">
        <v>346</v>
      </c>
      <c r="AU291" s="150" t="s">
        <v>90</v>
      </c>
      <c r="AV291" s="148" t="s">
        <v>90</v>
      </c>
      <c r="AW291" s="148" t="s">
        <v>33</v>
      </c>
      <c r="AX291" s="148" t="s">
        <v>80</v>
      </c>
      <c r="AY291" s="150" t="s">
        <v>337</v>
      </c>
    </row>
    <row r="292" spans="2:65" s="148" customFormat="1" x14ac:dyDescent="0.2">
      <c r="B292" s="149"/>
      <c r="D292" s="143" t="s">
        <v>346</v>
      </c>
      <c r="E292" s="150"/>
      <c r="F292" s="151" t="s">
        <v>3022</v>
      </c>
      <c r="H292" s="152">
        <v>459.53500000000003</v>
      </c>
      <c r="L292" s="149"/>
      <c r="M292" s="153"/>
      <c r="T292" s="154"/>
      <c r="AT292" s="150" t="s">
        <v>346</v>
      </c>
      <c r="AU292" s="150" t="s">
        <v>90</v>
      </c>
      <c r="AV292" s="148" t="s">
        <v>90</v>
      </c>
      <c r="AW292" s="148" t="s">
        <v>33</v>
      </c>
      <c r="AX292" s="148" t="s">
        <v>80</v>
      </c>
      <c r="AY292" s="150" t="s">
        <v>337</v>
      </c>
    </row>
    <row r="293" spans="2:65" s="141" customFormat="1" x14ac:dyDescent="0.2">
      <c r="B293" s="142"/>
      <c r="D293" s="143" t="s">
        <v>346</v>
      </c>
      <c r="E293" s="144"/>
      <c r="F293" s="145" t="s">
        <v>3198</v>
      </c>
      <c r="H293" s="144"/>
      <c r="L293" s="142"/>
      <c r="M293" s="146"/>
      <c r="T293" s="147"/>
      <c r="AT293" s="144" t="s">
        <v>346</v>
      </c>
      <c r="AU293" s="144" t="s">
        <v>90</v>
      </c>
      <c r="AV293" s="141" t="s">
        <v>87</v>
      </c>
      <c r="AW293" s="141" t="s">
        <v>33</v>
      </c>
      <c r="AX293" s="141" t="s">
        <v>80</v>
      </c>
      <c r="AY293" s="144" t="s">
        <v>337</v>
      </c>
    </row>
    <row r="294" spans="2:65" s="148" customFormat="1" x14ac:dyDescent="0.2">
      <c r="B294" s="149"/>
      <c r="D294" s="143" t="s">
        <v>346</v>
      </c>
      <c r="E294" s="150"/>
      <c r="F294" s="151" t="s">
        <v>3199</v>
      </c>
      <c r="H294" s="152">
        <v>-58.548000000000002</v>
      </c>
      <c r="L294" s="149"/>
      <c r="M294" s="153"/>
      <c r="T294" s="154"/>
      <c r="AT294" s="150" t="s">
        <v>346</v>
      </c>
      <c r="AU294" s="150" t="s">
        <v>90</v>
      </c>
      <c r="AV294" s="148" t="s">
        <v>90</v>
      </c>
      <c r="AW294" s="148" t="s">
        <v>33</v>
      </c>
      <c r="AX294" s="148" t="s">
        <v>80</v>
      </c>
      <c r="AY294" s="150" t="s">
        <v>337</v>
      </c>
    </row>
    <row r="295" spans="2:65" s="141" customFormat="1" x14ac:dyDescent="0.2">
      <c r="B295" s="142"/>
      <c r="D295" s="143" t="s">
        <v>346</v>
      </c>
      <c r="E295" s="144"/>
      <c r="F295" s="145" t="s">
        <v>3200</v>
      </c>
      <c r="H295" s="144"/>
      <c r="L295" s="142"/>
      <c r="M295" s="146"/>
      <c r="T295" s="147"/>
      <c r="AT295" s="144" t="s">
        <v>346</v>
      </c>
      <c r="AU295" s="144" t="s">
        <v>90</v>
      </c>
      <c r="AV295" s="141" t="s">
        <v>87</v>
      </c>
      <c r="AW295" s="141" t="s">
        <v>33</v>
      </c>
      <c r="AX295" s="141" t="s">
        <v>80</v>
      </c>
      <c r="AY295" s="144" t="s">
        <v>337</v>
      </c>
    </row>
    <row r="296" spans="2:65" s="148" customFormat="1" x14ac:dyDescent="0.2">
      <c r="B296" s="149"/>
      <c r="D296" s="143" t="s">
        <v>346</v>
      </c>
      <c r="E296" s="150"/>
      <c r="F296" s="151" t="s">
        <v>3201</v>
      </c>
      <c r="H296" s="152">
        <v>-57</v>
      </c>
      <c r="L296" s="149"/>
      <c r="M296" s="153"/>
      <c r="T296" s="154"/>
      <c r="AT296" s="150" t="s">
        <v>346</v>
      </c>
      <c r="AU296" s="150" t="s">
        <v>90</v>
      </c>
      <c r="AV296" s="148" t="s">
        <v>90</v>
      </c>
      <c r="AW296" s="148" t="s">
        <v>33</v>
      </c>
      <c r="AX296" s="148" t="s">
        <v>80</v>
      </c>
      <c r="AY296" s="150" t="s">
        <v>337</v>
      </c>
    </row>
    <row r="297" spans="2:65" s="155" customFormat="1" x14ac:dyDescent="0.2">
      <c r="B297" s="156"/>
      <c r="D297" s="143" t="s">
        <v>346</v>
      </c>
      <c r="E297" s="157" t="s">
        <v>3031</v>
      </c>
      <c r="F297" s="158" t="s">
        <v>351</v>
      </c>
      <c r="H297" s="159">
        <v>549.08199999999999</v>
      </c>
      <c r="L297" s="156"/>
      <c r="M297" s="160"/>
      <c r="T297" s="161"/>
      <c r="AT297" s="157" t="s">
        <v>346</v>
      </c>
      <c r="AU297" s="157" t="s">
        <v>90</v>
      </c>
      <c r="AV297" s="155" t="s">
        <v>344</v>
      </c>
      <c r="AW297" s="155" t="s">
        <v>33</v>
      </c>
      <c r="AX297" s="155" t="s">
        <v>87</v>
      </c>
      <c r="AY297" s="157" t="s">
        <v>337</v>
      </c>
    </row>
    <row r="298" spans="2:65" s="16" customFormat="1" ht="16.5" customHeight="1" x14ac:dyDescent="0.2">
      <c r="B298" s="17"/>
      <c r="C298" s="128">
        <v>26</v>
      </c>
      <c r="D298" s="128" t="s">
        <v>339</v>
      </c>
      <c r="E298" s="129" t="s">
        <v>3202</v>
      </c>
      <c r="F298" s="130" t="s">
        <v>3203</v>
      </c>
      <c r="G298" s="131" t="s">
        <v>342</v>
      </c>
      <c r="H298" s="132">
        <v>9.125</v>
      </c>
      <c r="I298" s="133"/>
      <c r="J298" s="134">
        <f>ROUND(I298*H298,2)</f>
        <v>0</v>
      </c>
      <c r="K298" s="130" t="s">
        <v>343</v>
      </c>
      <c r="L298" s="17"/>
      <c r="M298" s="135"/>
      <c r="N298" s="136" t="s">
        <v>45</v>
      </c>
      <c r="P298" s="137">
        <f>O298*H298</f>
        <v>0</v>
      </c>
      <c r="Q298" s="137">
        <v>0</v>
      </c>
      <c r="R298" s="137">
        <f>Q298*H298</f>
        <v>0</v>
      </c>
      <c r="S298" s="137">
        <v>0</v>
      </c>
      <c r="T298" s="138">
        <f>S298*H298</f>
        <v>0</v>
      </c>
      <c r="AR298" s="139" t="s">
        <v>344</v>
      </c>
      <c r="AT298" s="139" t="s">
        <v>339</v>
      </c>
      <c r="AU298" s="139" t="s">
        <v>90</v>
      </c>
      <c r="AY298" s="2" t="s">
        <v>337</v>
      </c>
      <c r="BE298" s="140">
        <f>IF(N298="základní",J298,0)</f>
        <v>0</v>
      </c>
      <c r="BF298" s="140">
        <f>IF(N298="snížená",J298,0)</f>
        <v>0</v>
      </c>
      <c r="BG298" s="140">
        <f>IF(N298="zákl. přenesená",J298,0)</f>
        <v>0</v>
      </c>
      <c r="BH298" s="140">
        <f>IF(N298="sníž. přenesená",J298,0)</f>
        <v>0</v>
      </c>
      <c r="BI298" s="140">
        <f>IF(N298="nulová",J298,0)</f>
        <v>0</v>
      </c>
      <c r="BJ298" s="2" t="s">
        <v>87</v>
      </c>
      <c r="BK298" s="140">
        <f>ROUND(I298*H298,2)</f>
        <v>0</v>
      </c>
      <c r="BL298" s="2" t="s">
        <v>344</v>
      </c>
      <c r="BM298" s="139" t="s">
        <v>3204</v>
      </c>
    </row>
    <row r="299" spans="2:65" s="141" customFormat="1" x14ac:dyDescent="0.2">
      <c r="B299" s="142"/>
      <c r="D299" s="143" t="s">
        <v>346</v>
      </c>
      <c r="E299" s="144"/>
      <c r="F299" s="145" t="s">
        <v>3205</v>
      </c>
      <c r="H299" s="144"/>
      <c r="L299" s="142"/>
      <c r="M299" s="146"/>
      <c r="T299" s="147"/>
      <c r="AT299" s="144" t="s">
        <v>346</v>
      </c>
      <c r="AU299" s="144" t="s">
        <v>90</v>
      </c>
      <c r="AV299" s="141" t="s">
        <v>87</v>
      </c>
      <c r="AW299" s="141" t="s">
        <v>33</v>
      </c>
      <c r="AX299" s="141" t="s">
        <v>80</v>
      </c>
      <c r="AY299" s="144" t="s">
        <v>337</v>
      </c>
    </row>
    <row r="300" spans="2:65" s="148" customFormat="1" x14ac:dyDescent="0.2">
      <c r="B300" s="149"/>
      <c r="D300" s="143" t="s">
        <v>346</v>
      </c>
      <c r="E300" s="150"/>
      <c r="F300" s="151" t="s">
        <v>3206</v>
      </c>
      <c r="H300" s="152">
        <v>5.2640000000000002</v>
      </c>
      <c r="L300" s="149"/>
      <c r="M300" s="153"/>
      <c r="T300" s="154"/>
      <c r="AT300" s="150" t="s">
        <v>346</v>
      </c>
      <c r="AU300" s="150" t="s">
        <v>90</v>
      </c>
      <c r="AV300" s="148" t="s">
        <v>90</v>
      </c>
      <c r="AW300" s="148" t="s">
        <v>33</v>
      </c>
      <c r="AX300" s="148" t="s">
        <v>80</v>
      </c>
      <c r="AY300" s="150" t="s">
        <v>337</v>
      </c>
    </row>
    <row r="301" spans="2:65" s="148" customFormat="1" x14ac:dyDescent="0.2">
      <c r="B301" s="149"/>
      <c r="D301" s="143" t="s">
        <v>346</v>
      </c>
      <c r="E301" s="150"/>
      <c r="F301" s="151" t="s">
        <v>3207</v>
      </c>
      <c r="H301" s="152">
        <v>1.1879999999999999</v>
      </c>
      <c r="L301" s="149"/>
      <c r="M301" s="153"/>
      <c r="T301" s="154"/>
      <c r="AT301" s="150" t="s">
        <v>346</v>
      </c>
      <c r="AU301" s="150" t="s">
        <v>90</v>
      </c>
      <c r="AV301" s="148" t="s">
        <v>90</v>
      </c>
      <c r="AW301" s="148" t="s">
        <v>33</v>
      </c>
      <c r="AX301" s="148" t="s">
        <v>80</v>
      </c>
      <c r="AY301" s="150" t="s">
        <v>337</v>
      </c>
    </row>
    <row r="302" spans="2:65" s="148" customFormat="1" x14ac:dyDescent="0.2">
      <c r="B302" s="149"/>
      <c r="D302" s="143" t="s">
        <v>346</v>
      </c>
      <c r="E302" s="150"/>
      <c r="F302" s="151" t="s">
        <v>3208</v>
      </c>
      <c r="H302" s="152">
        <v>2.673</v>
      </c>
      <c r="L302" s="149"/>
      <c r="M302" s="153"/>
      <c r="T302" s="154"/>
      <c r="AT302" s="150" t="s">
        <v>346</v>
      </c>
      <c r="AU302" s="150" t="s">
        <v>90</v>
      </c>
      <c r="AV302" s="148" t="s">
        <v>90</v>
      </c>
      <c r="AW302" s="148" t="s">
        <v>33</v>
      </c>
      <c r="AX302" s="148" t="s">
        <v>80</v>
      </c>
      <c r="AY302" s="150" t="s">
        <v>337</v>
      </c>
    </row>
    <row r="303" spans="2:65" s="155" customFormat="1" x14ac:dyDescent="0.2">
      <c r="B303" s="156"/>
      <c r="D303" s="143" t="s">
        <v>346</v>
      </c>
      <c r="E303" s="157" t="s">
        <v>3033</v>
      </c>
      <c r="F303" s="158" t="s">
        <v>351</v>
      </c>
      <c r="H303" s="159">
        <v>9.125</v>
      </c>
      <c r="L303" s="156"/>
      <c r="M303" s="160"/>
      <c r="T303" s="161"/>
      <c r="AT303" s="157" t="s">
        <v>346</v>
      </c>
      <c r="AU303" s="157" t="s">
        <v>90</v>
      </c>
      <c r="AV303" s="155" t="s">
        <v>344</v>
      </c>
      <c r="AW303" s="155" t="s">
        <v>33</v>
      </c>
      <c r="AX303" s="155" t="s">
        <v>87</v>
      </c>
      <c r="AY303" s="157" t="s">
        <v>337</v>
      </c>
    </row>
    <row r="304" spans="2:65" s="16" customFormat="1" ht="16.5" customHeight="1" x14ac:dyDescent="0.2">
      <c r="B304" s="17"/>
      <c r="C304" s="128">
        <v>27</v>
      </c>
      <c r="D304" s="128" t="s">
        <v>339</v>
      </c>
      <c r="E304" s="129" t="s">
        <v>3209</v>
      </c>
      <c r="F304" s="130" t="s">
        <v>3210</v>
      </c>
      <c r="G304" s="131" t="s">
        <v>425</v>
      </c>
      <c r="H304" s="132">
        <v>80.67</v>
      </c>
      <c r="I304" s="133"/>
      <c r="J304" s="134">
        <f>ROUND(I304*H304,2)</f>
        <v>0</v>
      </c>
      <c r="K304" s="130" t="s">
        <v>343</v>
      </c>
      <c r="L304" s="17"/>
      <c r="M304" s="135"/>
      <c r="N304" s="136" t="s">
        <v>45</v>
      </c>
      <c r="P304" s="137">
        <f>O304*H304</f>
        <v>0</v>
      </c>
      <c r="Q304" s="137">
        <v>0</v>
      </c>
      <c r="R304" s="137">
        <f>Q304*H304</f>
        <v>0</v>
      </c>
      <c r="S304" s="137">
        <v>0</v>
      </c>
      <c r="T304" s="138">
        <f>S304*H304</f>
        <v>0</v>
      </c>
      <c r="AR304" s="139" t="s">
        <v>344</v>
      </c>
      <c r="AT304" s="139" t="s">
        <v>339</v>
      </c>
      <c r="AU304" s="139" t="s">
        <v>90</v>
      </c>
      <c r="AY304" s="2" t="s">
        <v>337</v>
      </c>
      <c r="BE304" s="140">
        <f>IF(N304="základní",J304,0)</f>
        <v>0</v>
      </c>
      <c r="BF304" s="140">
        <f>IF(N304="snížená",J304,0)</f>
        <v>0</v>
      </c>
      <c r="BG304" s="140">
        <f>IF(N304="zákl. přenesená",J304,0)</f>
        <v>0</v>
      </c>
      <c r="BH304" s="140">
        <f>IF(N304="sníž. přenesená",J304,0)</f>
        <v>0</v>
      </c>
      <c r="BI304" s="140">
        <f>IF(N304="nulová",J304,0)</f>
        <v>0</v>
      </c>
      <c r="BJ304" s="2" t="s">
        <v>87</v>
      </c>
      <c r="BK304" s="140">
        <f>ROUND(I304*H304,2)</f>
        <v>0</v>
      </c>
      <c r="BL304" s="2" t="s">
        <v>344</v>
      </c>
      <c r="BM304" s="139" t="s">
        <v>3211</v>
      </c>
    </row>
    <row r="305" spans="2:65" s="141" customFormat="1" ht="22.5" x14ac:dyDescent="0.2">
      <c r="B305" s="142"/>
      <c r="D305" s="143" t="s">
        <v>346</v>
      </c>
      <c r="E305" s="144"/>
      <c r="F305" s="145" t="s">
        <v>3212</v>
      </c>
      <c r="H305" s="144"/>
      <c r="L305" s="142"/>
      <c r="M305" s="146"/>
      <c r="T305" s="147"/>
      <c r="AT305" s="144" t="s">
        <v>346</v>
      </c>
      <c r="AU305" s="144" t="s">
        <v>90</v>
      </c>
      <c r="AV305" s="141" t="s">
        <v>87</v>
      </c>
      <c r="AW305" s="141" t="s">
        <v>33</v>
      </c>
      <c r="AX305" s="141" t="s">
        <v>80</v>
      </c>
      <c r="AY305" s="144" t="s">
        <v>337</v>
      </c>
    </row>
    <row r="306" spans="2:65" s="141" customFormat="1" x14ac:dyDescent="0.2">
      <c r="B306" s="142"/>
      <c r="D306" s="143" t="s">
        <v>346</v>
      </c>
      <c r="E306" s="144"/>
      <c r="F306" s="145" t="s">
        <v>3051</v>
      </c>
      <c r="H306" s="144"/>
      <c r="L306" s="142"/>
      <c r="M306" s="146"/>
      <c r="T306" s="147"/>
      <c r="AT306" s="144" t="s">
        <v>346</v>
      </c>
      <c r="AU306" s="144" t="s">
        <v>90</v>
      </c>
      <c r="AV306" s="141" t="s">
        <v>87</v>
      </c>
      <c r="AW306" s="141" t="s">
        <v>33</v>
      </c>
      <c r="AX306" s="141" t="s">
        <v>80</v>
      </c>
      <c r="AY306" s="144" t="s">
        <v>337</v>
      </c>
    </row>
    <row r="307" spans="2:65" s="141" customFormat="1" x14ac:dyDescent="0.2">
      <c r="B307" s="142"/>
      <c r="D307" s="143" t="s">
        <v>346</v>
      </c>
      <c r="E307" s="144"/>
      <c r="F307" s="145" t="s">
        <v>3052</v>
      </c>
      <c r="H307" s="144"/>
      <c r="L307" s="142"/>
      <c r="M307" s="146"/>
      <c r="T307" s="147"/>
      <c r="AT307" s="144" t="s">
        <v>346</v>
      </c>
      <c r="AU307" s="144" t="s">
        <v>90</v>
      </c>
      <c r="AV307" s="141" t="s">
        <v>87</v>
      </c>
      <c r="AW307" s="141" t="s">
        <v>33</v>
      </c>
      <c r="AX307" s="141" t="s">
        <v>80</v>
      </c>
      <c r="AY307" s="144" t="s">
        <v>337</v>
      </c>
    </row>
    <row r="308" spans="2:65" s="148" customFormat="1" x14ac:dyDescent="0.2">
      <c r="B308" s="149"/>
      <c r="D308" s="143" t="s">
        <v>346</v>
      </c>
      <c r="E308" s="150"/>
      <c r="F308" s="151" t="s">
        <v>80</v>
      </c>
      <c r="H308" s="152">
        <v>0</v>
      </c>
      <c r="L308" s="149"/>
      <c r="M308" s="153"/>
      <c r="T308" s="154"/>
      <c r="AT308" s="150" t="s">
        <v>346</v>
      </c>
      <c r="AU308" s="150" t="s">
        <v>90</v>
      </c>
      <c r="AV308" s="148" t="s">
        <v>90</v>
      </c>
      <c r="AW308" s="148" t="s">
        <v>33</v>
      </c>
      <c r="AX308" s="148" t="s">
        <v>80</v>
      </c>
      <c r="AY308" s="150" t="s">
        <v>337</v>
      </c>
    </row>
    <row r="309" spans="2:65" s="141" customFormat="1" x14ac:dyDescent="0.2">
      <c r="B309" s="142"/>
      <c r="D309" s="143" t="s">
        <v>346</v>
      </c>
      <c r="E309" s="144"/>
      <c r="F309" s="145" t="s">
        <v>3053</v>
      </c>
      <c r="H309" s="144"/>
      <c r="L309" s="142"/>
      <c r="M309" s="146"/>
      <c r="T309" s="147"/>
      <c r="AT309" s="144" t="s">
        <v>346</v>
      </c>
      <c r="AU309" s="144" t="s">
        <v>90</v>
      </c>
      <c r="AV309" s="141" t="s">
        <v>87</v>
      </c>
      <c r="AW309" s="141" t="s">
        <v>33</v>
      </c>
      <c r="AX309" s="141" t="s">
        <v>80</v>
      </c>
      <c r="AY309" s="144" t="s">
        <v>337</v>
      </c>
    </row>
    <row r="310" spans="2:65" s="148" customFormat="1" x14ac:dyDescent="0.2">
      <c r="B310" s="149"/>
      <c r="D310" s="143" t="s">
        <v>346</v>
      </c>
      <c r="E310" s="150"/>
      <c r="F310" s="151" t="s">
        <v>3054</v>
      </c>
      <c r="H310" s="152">
        <v>57.42</v>
      </c>
      <c r="L310" s="149"/>
      <c r="M310" s="153"/>
      <c r="T310" s="154"/>
      <c r="AT310" s="150" t="s">
        <v>346</v>
      </c>
      <c r="AU310" s="150" t="s">
        <v>90</v>
      </c>
      <c r="AV310" s="148" t="s">
        <v>90</v>
      </c>
      <c r="AW310" s="148" t="s">
        <v>33</v>
      </c>
      <c r="AX310" s="148" t="s">
        <v>80</v>
      </c>
      <c r="AY310" s="150" t="s">
        <v>337</v>
      </c>
    </row>
    <row r="311" spans="2:65" s="141" customFormat="1" x14ac:dyDescent="0.2">
      <c r="B311" s="142"/>
      <c r="D311" s="143" t="s">
        <v>346</v>
      </c>
      <c r="E311" s="144"/>
      <c r="F311" s="145" t="s">
        <v>3055</v>
      </c>
      <c r="H311" s="144"/>
      <c r="L311" s="142"/>
      <c r="M311" s="146"/>
      <c r="T311" s="147"/>
      <c r="AT311" s="144" t="s">
        <v>346</v>
      </c>
      <c r="AU311" s="144" t="s">
        <v>90</v>
      </c>
      <c r="AV311" s="141" t="s">
        <v>87</v>
      </c>
      <c r="AW311" s="141" t="s">
        <v>33</v>
      </c>
      <c r="AX311" s="141" t="s">
        <v>80</v>
      </c>
      <c r="AY311" s="144" t="s">
        <v>337</v>
      </c>
    </row>
    <row r="312" spans="2:65" s="148" customFormat="1" x14ac:dyDescent="0.2">
      <c r="B312" s="149"/>
      <c r="D312" s="143" t="s">
        <v>346</v>
      </c>
      <c r="E312" s="150"/>
      <c r="F312" s="151" t="s">
        <v>3056</v>
      </c>
      <c r="H312" s="152">
        <v>23.25</v>
      </c>
      <c r="L312" s="149"/>
      <c r="M312" s="153"/>
      <c r="T312" s="154"/>
      <c r="AT312" s="150" t="s">
        <v>346</v>
      </c>
      <c r="AU312" s="150" t="s">
        <v>90</v>
      </c>
      <c r="AV312" s="148" t="s">
        <v>90</v>
      </c>
      <c r="AW312" s="148" t="s">
        <v>33</v>
      </c>
      <c r="AX312" s="148" t="s">
        <v>80</v>
      </c>
      <c r="AY312" s="150" t="s">
        <v>337</v>
      </c>
    </row>
    <row r="313" spans="2:65" s="155" customFormat="1" x14ac:dyDescent="0.2">
      <c r="B313" s="156"/>
      <c r="D313" s="143" t="s">
        <v>346</v>
      </c>
      <c r="E313" s="157"/>
      <c r="F313" s="158" t="s">
        <v>351</v>
      </c>
      <c r="H313" s="159">
        <v>80.67</v>
      </c>
      <c r="L313" s="156"/>
      <c r="M313" s="160"/>
      <c r="T313" s="161"/>
      <c r="AT313" s="157" t="s">
        <v>346</v>
      </c>
      <c r="AU313" s="157" t="s">
        <v>90</v>
      </c>
      <c r="AV313" s="155" t="s">
        <v>344</v>
      </c>
      <c r="AW313" s="155" t="s">
        <v>33</v>
      </c>
      <c r="AX313" s="155" t="s">
        <v>87</v>
      </c>
      <c r="AY313" s="157" t="s">
        <v>337</v>
      </c>
    </row>
    <row r="314" spans="2:65" s="16" customFormat="1" ht="16.5" customHeight="1" x14ac:dyDescent="0.2">
      <c r="B314" s="17"/>
      <c r="C314" s="128">
        <v>28</v>
      </c>
      <c r="D314" s="128" t="s">
        <v>339</v>
      </c>
      <c r="E314" s="129" t="s">
        <v>3213</v>
      </c>
      <c r="F314" s="130" t="s">
        <v>3214</v>
      </c>
      <c r="G314" s="131" t="s">
        <v>425</v>
      </c>
      <c r="H314" s="132">
        <v>80.67</v>
      </c>
      <c r="I314" s="133"/>
      <c r="J314" s="134">
        <f>ROUND(I314*H314,2)</f>
        <v>0</v>
      </c>
      <c r="K314" s="130" t="s">
        <v>343</v>
      </c>
      <c r="L314" s="17"/>
      <c r="M314" s="135"/>
      <c r="N314" s="136" t="s">
        <v>45</v>
      </c>
      <c r="P314" s="137">
        <f>O314*H314</f>
        <v>0</v>
      </c>
      <c r="Q314" s="137">
        <v>0</v>
      </c>
      <c r="R314" s="137">
        <f>Q314*H314</f>
        <v>0</v>
      </c>
      <c r="S314" s="137">
        <v>0</v>
      </c>
      <c r="T314" s="138">
        <f>S314*H314</f>
        <v>0</v>
      </c>
      <c r="AR314" s="139" t="s">
        <v>344</v>
      </c>
      <c r="AT314" s="139" t="s">
        <v>339</v>
      </c>
      <c r="AU314" s="139" t="s">
        <v>90</v>
      </c>
      <c r="AY314" s="2" t="s">
        <v>337</v>
      </c>
      <c r="BE314" s="140">
        <f>IF(N314="základní",J314,0)</f>
        <v>0</v>
      </c>
      <c r="BF314" s="140">
        <f>IF(N314="snížená",J314,0)</f>
        <v>0</v>
      </c>
      <c r="BG314" s="140">
        <f>IF(N314="zákl. přenesená",J314,0)</f>
        <v>0</v>
      </c>
      <c r="BH314" s="140">
        <f>IF(N314="sníž. přenesená",J314,0)</f>
        <v>0</v>
      </c>
      <c r="BI314" s="140">
        <f>IF(N314="nulová",J314,0)</f>
        <v>0</v>
      </c>
      <c r="BJ314" s="2" t="s">
        <v>87</v>
      </c>
      <c r="BK314" s="140">
        <f>ROUND(I314*H314,2)</f>
        <v>0</v>
      </c>
      <c r="BL314" s="2" t="s">
        <v>344</v>
      </c>
      <c r="BM314" s="139" t="s">
        <v>3215</v>
      </c>
    </row>
    <row r="315" spans="2:65" s="141" customFormat="1" x14ac:dyDescent="0.2">
      <c r="B315" s="142"/>
      <c r="D315" s="143" t="s">
        <v>346</v>
      </c>
      <c r="E315" s="144"/>
      <c r="F315" s="145" t="s">
        <v>3216</v>
      </c>
      <c r="H315" s="144"/>
      <c r="L315" s="142"/>
      <c r="M315" s="146"/>
      <c r="T315" s="147"/>
      <c r="AT315" s="144" t="s">
        <v>346</v>
      </c>
      <c r="AU315" s="144" t="s">
        <v>90</v>
      </c>
      <c r="AV315" s="141" t="s">
        <v>87</v>
      </c>
      <c r="AW315" s="141" t="s">
        <v>33</v>
      </c>
      <c r="AX315" s="141" t="s">
        <v>80</v>
      </c>
      <c r="AY315" s="144" t="s">
        <v>337</v>
      </c>
    </row>
    <row r="316" spans="2:65" s="148" customFormat="1" x14ac:dyDescent="0.2">
      <c r="B316" s="149"/>
      <c r="D316" s="143" t="s">
        <v>346</v>
      </c>
      <c r="E316" s="150"/>
      <c r="F316" s="151" t="s">
        <v>3217</v>
      </c>
      <c r="H316" s="152">
        <v>80.67</v>
      </c>
      <c r="L316" s="149"/>
      <c r="M316" s="153"/>
      <c r="T316" s="154"/>
      <c r="AT316" s="150" t="s">
        <v>346</v>
      </c>
      <c r="AU316" s="150" t="s">
        <v>90</v>
      </c>
      <c r="AV316" s="148" t="s">
        <v>90</v>
      </c>
      <c r="AW316" s="148" t="s">
        <v>33</v>
      </c>
      <c r="AX316" s="148" t="s">
        <v>87</v>
      </c>
      <c r="AY316" s="150" t="s">
        <v>337</v>
      </c>
    </row>
    <row r="317" spans="2:65" s="16" customFormat="1" ht="16.5" customHeight="1" x14ac:dyDescent="0.2">
      <c r="B317" s="17"/>
      <c r="C317" s="162">
        <v>29</v>
      </c>
      <c r="D317" s="162" t="s">
        <v>519</v>
      </c>
      <c r="E317" s="163" t="s">
        <v>3218</v>
      </c>
      <c r="F317" s="164" t="s">
        <v>3219</v>
      </c>
      <c r="G317" s="165" t="s">
        <v>535</v>
      </c>
      <c r="H317" s="166">
        <v>1.613</v>
      </c>
      <c r="I317" s="167"/>
      <c r="J317" s="168">
        <f>ROUND(I317*H317,2)</f>
        <v>0</v>
      </c>
      <c r="K317" s="164" t="s">
        <v>343</v>
      </c>
      <c r="L317" s="169"/>
      <c r="M317" s="170"/>
      <c r="N317" s="171" t="s">
        <v>45</v>
      </c>
      <c r="P317" s="137">
        <f>O317*H317</f>
        <v>0</v>
      </c>
      <c r="Q317" s="137">
        <v>1E-3</v>
      </c>
      <c r="R317" s="137">
        <f>Q317*H317</f>
        <v>1.6130000000000001E-3</v>
      </c>
      <c r="S317" s="137">
        <v>0</v>
      </c>
      <c r="T317" s="138">
        <f>S317*H317</f>
        <v>0</v>
      </c>
      <c r="AR317" s="139" t="s">
        <v>446</v>
      </c>
      <c r="AT317" s="139" t="s">
        <v>519</v>
      </c>
      <c r="AU317" s="139" t="s">
        <v>90</v>
      </c>
      <c r="AY317" s="2" t="s">
        <v>337</v>
      </c>
      <c r="BE317" s="140">
        <f>IF(N317="základní",J317,0)</f>
        <v>0</v>
      </c>
      <c r="BF317" s="140">
        <f>IF(N317="snížená",J317,0)</f>
        <v>0</v>
      </c>
      <c r="BG317" s="140">
        <f>IF(N317="zákl. přenesená",J317,0)</f>
        <v>0</v>
      </c>
      <c r="BH317" s="140">
        <f>IF(N317="sníž. přenesená",J317,0)</f>
        <v>0</v>
      </c>
      <c r="BI317" s="140">
        <f>IF(N317="nulová",J317,0)</f>
        <v>0</v>
      </c>
      <c r="BJ317" s="2" t="s">
        <v>87</v>
      </c>
      <c r="BK317" s="140">
        <f>ROUND(I317*H317,2)</f>
        <v>0</v>
      </c>
      <c r="BL317" s="2" t="s">
        <v>344</v>
      </c>
      <c r="BM317" s="139" t="s">
        <v>3220</v>
      </c>
    </row>
    <row r="318" spans="2:65" s="148" customFormat="1" x14ac:dyDescent="0.2">
      <c r="B318" s="149"/>
      <c r="D318" s="143" t="s">
        <v>346</v>
      </c>
      <c r="F318" s="151" t="s">
        <v>3221</v>
      </c>
      <c r="H318" s="152">
        <v>1.613</v>
      </c>
      <c r="L318" s="149"/>
      <c r="M318" s="153"/>
      <c r="T318" s="154"/>
      <c r="AT318" s="150" t="s">
        <v>346</v>
      </c>
      <c r="AU318" s="150" t="s">
        <v>90</v>
      </c>
      <c r="AV318" s="148" t="s">
        <v>90</v>
      </c>
      <c r="AW318" s="148" t="s">
        <v>3</v>
      </c>
      <c r="AX318" s="148" t="s">
        <v>87</v>
      </c>
      <c r="AY318" s="150" t="s">
        <v>337</v>
      </c>
    </row>
    <row r="319" spans="2:65" s="16" customFormat="1" ht="16.5" customHeight="1" x14ac:dyDescent="0.2">
      <c r="B319" s="17"/>
      <c r="C319" s="128">
        <v>30</v>
      </c>
      <c r="D319" s="128" t="s">
        <v>339</v>
      </c>
      <c r="E319" s="129" t="s">
        <v>3222</v>
      </c>
      <c r="F319" s="130" t="s">
        <v>3223</v>
      </c>
      <c r="G319" s="131" t="s">
        <v>425</v>
      </c>
      <c r="H319" s="132">
        <v>60.15</v>
      </c>
      <c r="I319" s="133"/>
      <c r="J319" s="134">
        <f>ROUND(I319*H319,2)</f>
        <v>0</v>
      </c>
      <c r="K319" s="130" t="s">
        <v>343</v>
      </c>
      <c r="L319" s="17"/>
      <c r="M319" s="135"/>
      <c r="N319" s="136" t="s">
        <v>45</v>
      </c>
      <c r="P319" s="137">
        <f>O319*H319</f>
        <v>0</v>
      </c>
      <c r="Q319" s="137">
        <v>0</v>
      </c>
      <c r="R319" s="137">
        <f>Q319*H319</f>
        <v>0</v>
      </c>
      <c r="S319" s="137">
        <v>0</v>
      </c>
      <c r="T319" s="138">
        <f>S319*H319</f>
        <v>0</v>
      </c>
      <c r="AR319" s="139" t="s">
        <v>344</v>
      </c>
      <c r="AT319" s="139" t="s">
        <v>339</v>
      </c>
      <c r="AU319" s="139" t="s">
        <v>90</v>
      </c>
      <c r="AY319" s="2" t="s">
        <v>337</v>
      </c>
      <c r="BE319" s="140">
        <f>IF(N319="základní",J319,0)</f>
        <v>0</v>
      </c>
      <c r="BF319" s="140">
        <f>IF(N319="snížená",J319,0)</f>
        <v>0</v>
      </c>
      <c r="BG319" s="140">
        <f>IF(N319="zákl. přenesená",J319,0)</f>
        <v>0</v>
      </c>
      <c r="BH319" s="140">
        <f>IF(N319="sníž. přenesená",J319,0)</f>
        <v>0</v>
      </c>
      <c r="BI319" s="140">
        <f>IF(N319="nulová",J319,0)</f>
        <v>0</v>
      </c>
      <c r="BJ319" s="2" t="s">
        <v>87</v>
      </c>
      <c r="BK319" s="140">
        <f>ROUND(I319*H319,2)</f>
        <v>0</v>
      </c>
      <c r="BL319" s="2" t="s">
        <v>344</v>
      </c>
      <c r="BM319" s="139" t="s">
        <v>3224</v>
      </c>
    </row>
    <row r="320" spans="2:65" s="141" customFormat="1" x14ac:dyDescent="0.2">
      <c r="B320" s="142"/>
      <c r="D320" s="143" t="s">
        <v>346</v>
      </c>
      <c r="E320" s="144"/>
      <c r="F320" s="145" t="s">
        <v>3225</v>
      </c>
      <c r="H320" s="144"/>
      <c r="L320" s="142"/>
      <c r="M320" s="146"/>
      <c r="T320" s="147"/>
      <c r="AT320" s="144" t="s">
        <v>346</v>
      </c>
      <c r="AU320" s="144" t="s">
        <v>90</v>
      </c>
      <c r="AV320" s="141" t="s">
        <v>87</v>
      </c>
      <c r="AW320" s="141" t="s">
        <v>33</v>
      </c>
      <c r="AX320" s="141" t="s">
        <v>80</v>
      </c>
      <c r="AY320" s="144" t="s">
        <v>337</v>
      </c>
    </row>
    <row r="321" spans="2:65" s="148" customFormat="1" x14ac:dyDescent="0.2">
      <c r="B321" s="149"/>
      <c r="D321" s="143" t="s">
        <v>346</v>
      </c>
      <c r="E321" s="150"/>
      <c r="F321" s="151" t="s">
        <v>3016</v>
      </c>
      <c r="H321" s="152">
        <v>7.75</v>
      </c>
      <c r="L321" s="149"/>
      <c r="M321" s="153"/>
      <c r="T321" s="154"/>
      <c r="AT321" s="150" t="s">
        <v>346</v>
      </c>
      <c r="AU321" s="150" t="s">
        <v>90</v>
      </c>
      <c r="AV321" s="148" t="s">
        <v>90</v>
      </c>
      <c r="AW321" s="148" t="s">
        <v>33</v>
      </c>
      <c r="AX321" s="148" t="s">
        <v>80</v>
      </c>
      <c r="AY321" s="150" t="s">
        <v>337</v>
      </c>
    </row>
    <row r="322" spans="2:65" s="141" customFormat="1" x14ac:dyDescent="0.2">
      <c r="B322" s="142"/>
      <c r="D322" s="143" t="s">
        <v>346</v>
      </c>
      <c r="E322" s="144"/>
      <c r="F322" s="145" t="s">
        <v>3226</v>
      </c>
      <c r="H322" s="144"/>
      <c r="L322" s="142"/>
      <c r="M322" s="146"/>
      <c r="T322" s="147"/>
      <c r="AT322" s="144" t="s">
        <v>346</v>
      </c>
      <c r="AU322" s="144" t="s">
        <v>90</v>
      </c>
      <c r="AV322" s="141" t="s">
        <v>87</v>
      </c>
      <c r="AW322" s="141" t="s">
        <v>33</v>
      </c>
      <c r="AX322" s="141" t="s">
        <v>80</v>
      </c>
      <c r="AY322" s="144" t="s">
        <v>337</v>
      </c>
    </row>
    <row r="323" spans="2:65" s="148" customFormat="1" x14ac:dyDescent="0.2">
      <c r="B323" s="149"/>
      <c r="D323" s="143" t="s">
        <v>346</v>
      </c>
      <c r="E323" s="150"/>
      <c r="F323" s="151" t="s">
        <v>3026</v>
      </c>
      <c r="H323" s="152">
        <v>52.4</v>
      </c>
      <c r="L323" s="149"/>
      <c r="M323" s="153"/>
      <c r="T323" s="154"/>
      <c r="AT323" s="150" t="s">
        <v>346</v>
      </c>
      <c r="AU323" s="150" t="s">
        <v>90</v>
      </c>
      <c r="AV323" s="148" t="s">
        <v>90</v>
      </c>
      <c r="AW323" s="148" t="s">
        <v>33</v>
      </c>
      <c r="AX323" s="148" t="s">
        <v>80</v>
      </c>
      <c r="AY323" s="150" t="s">
        <v>337</v>
      </c>
    </row>
    <row r="324" spans="2:65" s="155" customFormat="1" x14ac:dyDescent="0.2">
      <c r="B324" s="156"/>
      <c r="D324" s="143" t="s">
        <v>346</v>
      </c>
      <c r="E324" s="157"/>
      <c r="F324" s="158" t="s">
        <v>351</v>
      </c>
      <c r="H324" s="159">
        <v>60.15</v>
      </c>
      <c r="L324" s="156"/>
      <c r="M324" s="160"/>
      <c r="T324" s="161"/>
      <c r="AT324" s="157" t="s">
        <v>346</v>
      </c>
      <c r="AU324" s="157" t="s">
        <v>90</v>
      </c>
      <c r="AV324" s="155" t="s">
        <v>344</v>
      </c>
      <c r="AW324" s="155" t="s">
        <v>33</v>
      </c>
      <c r="AX324" s="155" t="s">
        <v>87</v>
      </c>
      <c r="AY324" s="157" t="s">
        <v>337</v>
      </c>
    </row>
    <row r="325" spans="2:65" s="16" customFormat="1" ht="16.5" customHeight="1" x14ac:dyDescent="0.2">
      <c r="B325" s="17"/>
      <c r="C325" s="128">
        <v>31</v>
      </c>
      <c r="D325" s="128" t="s">
        <v>339</v>
      </c>
      <c r="E325" s="129" t="s">
        <v>3227</v>
      </c>
      <c r="F325" s="130" t="s">
        <v>3228</v>
      </c>
      <c r="G325" s="131" t="s">
        <v>425</v>
      </c>
      <c r="H325" s="132">
        <v>80.67</v>
      </c>
      <c r="I325" s="133"/>
      <c r="J325" s="134">
        <f>ROUND(I325*H325,2)</f>
        <v>0</v>
      </c>
      <c r="K325" s="130" t="s">
        <v>343</v>
      </c>
      <c r="L325" s="17"/>
      <c r="M325" s="135"/>
      <c r="N325" s="136" t="s">
        <v>45</v>
      </c>
      <c r="P325" s="137">
        <f>O325*H325</f>
        <v>0</v>
      </c>
      <c r="Q325" s="137">
        <v>0</v>
      </c>
      <c r="R325" s="137">
        <f>Q325*H325</f>
        <v>0</v>
      </c>
      <c r="S325" s="137">
        <v>0</v>
      </c>
      <c r="T325" s="138">
        <f>S325*H325</f>
        <v>0</v>
      </c>
      <c r="AR325" s="139" t="s">
        <v>344</v>
      </c>
      <c r="AT325" s="139" t="s">
        <v>339</v>
      </c>
      <c r="AU325" s="139" t="s">
        <v>90</v>
      </c>
      <c r="AY325" s="2" t="s">
        <v>337</v>
      </c>
      <c r="BE325" s="140">
        <f>IF(N325="základní",J325,0)</f>
        <v>0</v>
      </c>
      <c r="BF325" s="140">
        <f>IF(N325="snížená",J325,0)</f>
        <v>0</v>
      </c>
      <c r="BG325" s="140">
        <f>IF(N325="zákl. přenesená",J325,0)</f>
        <v>0</v>
      </c>
      <c r="BH325" s="140">
        <f>IF(N325="sníž. přenesená",J325,0)</f>
        <v>0</v>
      </c>
      <c r="BI325" s="140">
        <f>IF(N325="nulová",J325,0)</f>
        <v>0</v>
      </c>
      <c r="BJ325" s="2" t="s">
        <v>87</v>
      </c>
      <c r="BK325" s="140">
        <f>ROUND(I325*H325,2)</f>
        <v>0</v>
      </c>
      <c r="BL325" s="2" t="s">
        <v>344</v>
      </c>
      <c r="BM325" s="139" t="s">
        <v>3229</v>
      </c>
    </row>
    <row r="326" spans="2:65" s="16" customFormat="1" ht="19.5" x14ac:dyDescent="0.2">
      <c r="B326" s="17"/>
      <c r="D326" s="143" t="s">
        <v>644</v>
      </c>
      <c r="F326" s="179" t="s">
        <v>3230</v>
      </c>
      <c r="L326" s="17"/>
      <c r="M326" s="180"/>
      <c r="T326" s="41"/>
      <c r="AT326" s="2" t="s">
        <v>644</v>
      </c>
      <c r="AU326" s="2" t="s">
        <v>90</v>
      </c>
    </row>
    <row r="327" spans="2:65" s="16" customFormat="1" ht="16.5" customHeight="1" x14ac:dyDescent="0.2">
      <c r="B327" s="17"/>
      <c r="C327" s="128">
        <v>32</v>
      </c>
      <c r="D327" s="128" t="s">
        <v>339</v>
      </c>
      <c r="E327" s="129" t="s">
        <v>3231</v>
      </c>
      <c r="F327" s="130" t="s">
        <v>3232</v>
      </c>
      <c r="G327" s="131" t="s">
        <v>425</v>
      </c>
      <c r="H327" s="132">
        <v>80.67</v>
      </c>
      <c r="I327" s="133"/>
      <c r="J327" s="134">
        <f>ROUND(I327*H327,2)</f>
        <v>0</v>
      </c>
      <c r="K327" s="130"/>
      <c r="L327" s="17"/>
      <c r="M327" s="135"/>
      <c r="N327" s="136" t="s">
        <v>45</v>
      </c>
      <c r="P327" s="137">
        <f>O327*H327</f>
        <v>0</v>
      </c>
      <c r="Q327" s="137">
        <v>0</v>
      </c>
      <c r="R327" s="137">
        <f>Q327*H327</f>
        <v>0</v>
      </c>
      <c r="S327" s="137">
        <v>0</v>
      </c>
      <c r="T327" s="138">
        <f>S327*H327</f>
        <v>0</v>
      </c>
      <c r="AR327" s="139" t="s">
        <v>344</v>
      </c>
      <c r="AT327" s="139" t="s">
        <v>339</v>
      </c>
      <c r="AU327" s="139" t="s">
        <v>90</v>
      </c>
      <c r="AY327" s="2" t="s">
        <v>337</v>
      </c>
      <c r="BE327" s="140">
        <f>IF(N327="základní",J327,0)</f>
        <v>0</v>
      </c>
      <c r="BF327" s="140">
        <f>IF(N327="snížená",J327,0)</f>
        <v>0</v>
      </c>
      <c r="BG327" s="140">
        <f>IF(N327="zákl. přenesená",J327,0)</f>
        <v>0</v>
      </c>
      <c r="BH327" s="140">
        <f>IF(N327="sníž. přenesená",J327,0)</f>
        <v>0</v>
      </c>
      <c r="BI327" s="140">
        <f>IF(N327="nulová",J327,0)</f>
        <v>0</v>
      </c>
      <c r="BJ327" s="2" t="s">
        <v>87</v>
      </c>
      <c r="BK327" s="140">
        <f>ROUND(I327*H327,2)</f>
        <v>0</v>
      </c>
      <c r="BL327" s="2" t="s">
        <v>344</v>
      </c>
      <c r="BM327" s="139" t="s">
        <v>3233</v>
      </c>
    </row>
    <row r="328" spans="2:65" s="16" customFormat="1" ht="16.5" customHeight="1" x14ac:dyDescent="0.2">
      <c r="B328" s="17"/>
      <c r="C328" s="128">
        <v>33</v>
      </c>
      <c r="D328" s="128" t="s">
        <v>339</v>
      </c>
      <c r="E328" s="129" t="s">
        <v>3234</v>
      </c>
      <c r="F328" s="130" t="s">
        <v>3235</v>
      </c>
      <c r="G328" s="131" t="s">
        <v>425</v>
      </c>
      <c r="H328" s="132">
        <v>80.67</v>
      </c>
      <c r="I328" s="133"/>
      <c r="J328" s="134">
        <f>ROUND(I328*H328,2)</f>
        <v>0</v>
      </c>
      <c r="K328" s="130" t="s">
        <v>343</v>
      </c>
      <c r="L328" s="17"/>
      <c r="M328" s="135"/>
      <c r="N328" s="136" t="s">
        <v>45</v>
      </c>
      <c r="P328" s="137">
        <f>O328*H328</f>
        <v>0</v>
      </c>
      <c r="Q328" s="137">
        <v>0</v>
      </c>
      <c r="R328" s="137">
        <f>Q328*H328</f>
        <v>0</v>
      </c>
      <c r="S328" s="137">
        <v>0</v>
      </c>
      <c r="T328" s="138">
        <f>S328*H328</f>
        <v>0</v>
      </c>
      <c r="AR328" s="139" t="s">
        <v>344</v>
      </c>
      <c r="AT328" s="139" t="s">
        <v>339</v>
      </c>
      <c r="AU328" s="139" t="s">
        <v>90</v>
      </c>
      <c r="AY328" s="2" t="s">
        <v>337</v>
      </c>
      <c r="BE328" s="140">
        <f>IF(N328="základní",J328,0)</f>
        <v>0</v>
      </c>
      <c r="BF328" s="140">
        <f>IF(N328="snížená",J328,0)</f>
        <v>0</v>
      </c>
      <c r="BG328" s="140">
        <f>IF(N328="zákl. přenesená",J328,0)</f>
        <v>0</v>
      </c>
      <c r="BH328" s="140">
        <f>IF(N328="sníž. přenesená",J328,0)</f>
        <v>0</v>
      </c>
      <c r="BI328" s="140">
        <f>IF(N328="nulová",J328,0)</f>
        <v>0</v>
      </c>
      <c r="BJ328" s="2" t="s">
        <v>87</v>
      </c>
      <c r="BK328" s="140">
        <f>ROUND(I328*H328,2)</f>
        <v>0</v>
      </c>
      <c r="BL328" s="2" t="s">
        <v>344</v>
      </c>
      <c r="BM328" s="139" t="s">
        <v>3236</v>
      </c>
    </row>
    <row r="329" spans="2:65" s="116" customFormat="1" ht="22.9" customHeight="1" x14ac:dyDescent="0.2">
      <c r="B329" s="117"/>
      <c r="D329" s="118" t="s">
        <v>79</v>
      </c>
      <c r="E329" s="126" t="s">
        <v>90</v>
      </c>
      <c r="F329" s="126" t="s">
        <v>338</v>
      </c>
      <c r="J329" s="127">
        <f>BK329</f>
        <v>0</v>
      </c>
      <c r="L329" s="117"/>
      <c r="M329" s="121"/>
      <c r="P329" s="122">
        <f>SUM(P330:P379)</f>
        <v>0</v>
      </c>
      <c r="R329" s="122">
        <f>SUM(R330:R379)</f>
        <v>95.823086999999987</v>
      </c>
      <c r="T329" s="123">
        <f>SUM(T330:T379)</f>
        <v>0</v>
      </c>
      <c r="AR329" s="118" t="s">
        <v>87</v>
      </c>
      <c r="AT329" s="124" t="s">
        <v>79</v>
      </c>
      <c r="AU329" s="124" t="s">
        <v>87</v>
      </c>
      <c r="AY329" s="118" t="s">
        <v>337</v>
      </c>
      <c r="BK329" s="125">
        <f>SUM(BK330:BK379)</f>
        <v>0</v>
      </c>
    </row>
    <row r="330" spans="2:65" s="16" customFormat="1" ht="16.5" customHeight="1" x14ac:dyDescent="0.2">
      <c r="B330" s="17"/>
      <c r="C330" s="128">
        <v>34</v>
      </c>
      <c r="D330" s="128" t="s">
        <v>339</v>
      </c>
      <c r="E330" s="129" t="s">
        <v>3237</v>
      </c>
      <c r="F330" s="130" t="s">
        <v>3238</v>
      </c>
      <c r="G330" s="131" t="s">
        <v>425</v>
      </c>
      <c r="H330" s="132">
        <v>362.44</v>
      </c>
      <c r="I330" s="133"/>
      <c r="J330" s="134">
        <f>ROUND(I330*H330,2)</f>
        <v>0</v>
      </c>
      <c r="K330" s="130" t="s">
        <v>343</v>
      </c>
      <c r="L330" s="17"/>
      <c r="M330" s="135"/>
      <c r="N330" s="136" t="s">
        <v>45</v>
      </c>
      <c r="P330" s="137">
        <f>O330*H330</f>
        <v>0</v>
      </c>
      <c r="Q330" s="137">
        <v>3.1E-4</v>
      </c>
      <c r="R330" s="137">
        <f>Q330*H330</f>
        <v>0.1123564</v>
      </c>
      <c r="S330" s="137">
        <v>0</v>
      </c>
      <c r="T330" s="138">
        <f>S330*H330</f>
        <v>0</v>
      </c>
      <c r="AR330" s="139" t="s">
        <v>344</v>
      </c>
      <c r="AT330" s="139" t="s">
        <v>339</v>
      </c>
      <c r="AU330" s="139" t="s">
        <v>90</v>
      </c>
      <c r="AY330" s="2" t="s">
        <v>337</v>
      </c>
      <c r="BE330" s="140">
        <f>IF(N330="základní",J330,0)</f>
        <v>0</v>
      </c>
      <c r="BF330" s="140">
        <f>IF(N330="snížená",J330,0)</f>
        <v>0</v>
      </c>
      <c r="BG330" s="140">
        <f>IF(N330="zákl. přenesená",J330,0)</f>
        <v>0</v>
      </c>
      <c r="BH330" s="140">
        <f>IF(N330="sníž. přenesená",J330,0)</f>
        <v>0</v>
      </c>
      <c r="BI330" s="140">
        <f>IF(N330="nulová",J330,0)</f>
        <v>0</v>
      </c>
      <c r="BJ330" s="2" t="s">
        <v>87</v>
      </c>
      <c r="BK330" s="140">
        <f>ROUND(I330*H330,2)</f>
        <v>0</v>
      </c>
      <c r="BL330" s="2" t="s">
        <v>344</v>
      </c>
      <c r="BM330" s="139" t="s">
        <v>3239</v>
      </c>
    </row>
    <row r="331" spans="2:65" s="148" customFormat="1" x14ac:dyDescent="0.2">
      <c r="B331" s="149"/>
      <c r="D331" s="143" t="s">
        <v>346</v>
      </c>
      <c r="E331" s="150"/>
      <c r="F331" s="151" t="s">
        <v>3240</v>
      </c>
      <c r="H331" s="152">
        <v>362.44</v>
      </c>
      <c r="L331" s="149"/>
      <c r="M331" s="153"/>
      <c r="T331" s="154"/>
      <c r="AT331" s="150" t="s">
        <v>346</v>
      </c>
      <c r="AU331" s="150" t="s">
        <v>90</v>
      </c>
      <c r="AV331" s="148" t="s">
        <v>90</v>
      </c>
      <c r="AW331" s="148" t="s">
        <v>33</v>
      </c>
      <c r="AX331" s="148" t="s">
        <v>87</v>
      </c>
      <c r="AY331" s="150" t="s">
        <v>337</v>
      </c>
    </row>
    <row r="332" spans="2:65" s="16" customFormat="1" ht="16.5" customHeight="1" x14ac:dyDescent="0.2">
      <c r="B332" s="17"/>
      <c r="C332" s="162">
        <v>35</v>
      </c>
      <c r="D332" s="162" t="s">
        <v>519</v>
      </c>
      <c r="E332" s="163" t="s">
        <v>3241</v>
      </c>
      <c r="F332" s="164" t="s">
        <v>3242</v>
      </c>
      <c r="G332" s="165" t="s">
        <v>425</v>
      </c>
      <c r="H332" s="166">
        <v>380.56200000000001</v>
      </c>
      <c r="I332" s="167"/>
      <c r="J332" s="168">
        <f>ROUND(I332*H332,2)</f>
        <v>0</v>
      </c>
      <c r="K332" s="164" t="s">
        <v>343</v>
      </c>
      <c r="L332" s="169"/>
      <c r="M332" s="170"/>
      <c r="N332" s="171" t="s">
        <v>45</v>
      </c>
      <c r="P332" s="137">
        <f>O332*H332</f>
        <v>0</v>
      </c>
      <c r="Q332" s="137">
        <v>2.9999999999999997E-4</v>
      </c>
      <c r="R332" s="137">
        <f>Q332*H332</f>
        <v>0.1141686</v>
      </c>
      <c r="S332" s="137">
        <v>0</v>
      </c>
      <c r="T332" s="138">
        <f>S332*H332</f>
        <v>0</v>
      </c>
      <c r="AR332" s="139" t="s">
        <v>621</v>
      </c>
      <c r="AT332" s="139" t="s">
        <v>519</v>
      </c>
      <c r="AU332" s="139" t="s">
        <v>90</v>
      </c>
      <c r="AY332" s="2" t="s">
        <v>337</v>
      </c>
      <c r="BE332" s="140">
        <f>IF(N332="základní",J332,0)</f>
        <v>0</v>
      </c>
      <c r="BF332" s="140">
        <f>IF(N332="snížená",J332,0)</f>
        <v>0</v>
      </c>
      <c r="BG332" s="140">
        <f>IF(N332="zákl. přenesená",J332,0)</f>
        <v>0</v>
      </c>
      <c r="BH332" s="140">
        <f>IF(N332="sníž. přenesená",J332,0)</f>
        <v>0</v>
      </c>
      <c r="BI332" s="140">
        <f>IF(N332="nulová",J332,0)</f>
        <v>0</v>
      </c>
      <c r="BJ332" s="2" t="s">
        <v>87</v>
      </c>
      <c r="BK332" s="140">
        <f>ROUND(I332*H332,2)</f>
        <v>0</v>
      </c>
      <c r="BL332" s="2" t="s">
        <v>496</v>
      </c>
      <c r="BM332" s="139" t="s">
        <v>3243</v>
      </c>
    </row>
    <row r="333" spans="2:65" s="148" customFormat="1" x14ac:dyDescent="0.2">
      <c r="B333" s="149"/>
      <c r="D333" s="143" t="s">
        <v>346</v>
      </c>
      <c r="F333" s="151" t="s">
        <v>3244</v>
      </c>
      <c r="H333" s="152">
        <v>380.56200000000001</v>
      </c>
      <c r="L333" s="149"/>
      <c r="M333" s="153"/>
      <c r="T333" s="154"/>
      <c r="AT333" s="150" t="s">
        <v>346</v>
      </c>
      <c r="AU333" s="150" t="s">
        <v>90</v>
      </c>
      <c r="AV333" s="148" t="s">
        <v>90</v>
      </c>
      <c r="AW333" s="148" t="s">
        <v>3</v>
      </c>
      <c r="AX333" s="148" t="s">
        <v>87</v>
      </c>
      <c r="AY333" s="150" t="s">
        <v>337</v>
      </c>
    </row>
    <row r="334" spans="2:65" s="16" customFormat="1" ht="16.5" customHeight="1" x14ac:dyDescent="0.2">
      <c r="B334" s="17"/>
      <c r="C334" s="128">
        <v>36</v>
      </c>
      <c r="D334" s="128" t="s">
        <v>339</v>
      </c>
      <c r="E334" s="129" t="s">
        <v>3245</v>
      </c>
      <c r="F334" s="130" t="s">
        <v>3246</v>
      </c>
      <c r="G334" s="131" t="s">
        <v>342</v>
      </c>
      <c r="H334" s="132">
        <v>58.548000000000002</v>
      </c>
      <c r="I334" s="133"/>
      <c r="J334" s="134">
        <f>ROUND(I334*H334,2)</f>
        <v>0</v>
      </c>
      <c r="K334" s="130" t="s">
        <v>343</v>
      </c>
      <c r="L334" s="17"/>
      <c r="M334" s="135"/>
      <c r="N334" s="136" t="s">
        <v>45</v>
      </c>
      <c r="P334" s="137">
        <f>O334*H334</f>
        <v>0</v>
      </c>
      <c r="Q334" s="137">
        <v>1.63</v>
      </c>
      <c r="R334" s="137">
        <f>Q334*H334</f>
        <v>95.433239999999998</v>
      </c>
      <c r="S334" s="137">
        <v>0</v>
      </c>
      <c r="T334" s="138">
        <f>S334*H334</f>
        <v>0</v>
      </c>
      <c r="AR334" s="139" t="s">
        <v>344</v>
      </c>
      <c r="AT334" s="139" t="s">
        <v>339</v>
      </c>
      <c r="AU334" s="139" t="s">
        <v>90</v>
      </c>
      <c r="AY334" s="2" t="s">
        <v>337</v>
      </c>
      <c r="BE334" s="140">
        <f>IF(N334="základní",J334,0)</f>
        <v>0</v>
      </c>
      <c r="BF334" s="140">
        <f>IF(N334="snížená",J334,0)</f>
        <v>0</v>
      </c>
      <c r="BG334" s="140">
        <f>IF(N334="zákl. přenesená",J334,0)</f>
        <v>0</v>
      </c>
      <c r="BH334" s="140">
        <f>IF(N334="sníž. přenesená",J334,0)</f>
        <v>0</v>
      </c>
      <c r="BI334" s="140">
        <f>IF(N334="nulová",J334,0)</f>
        <v>0</v>
      </c>
      <c r="BJ334" s="2" t="s">
        <v>87</v>
      </c>
      <c r="BK334" s="140">
        <f>ROUND(I334*H334,2)</f>
        <v>0</v>
      </c>
      <c r="BL334" s="2" t="s">
        <v>344</v>
      </c>
      <c r="BM334" s="139" t="s">
        <v>3247</v>
      </c>
    </row>
    <row r="335" spans="2:65" s="141" customFormat="1" x14ac:dyDescent="0.2">
      <c r="B335" s="142"/>
      <c r="D335" s="143" t="s">
        <v>346</v>
      </c>
      <c r="E335" s="144"/>
      <c r="F335" s="145" t="s">
        <v>3248</v>
      </c>
      <c r="H335" s="144"/>
      <c r="L335" s="142"/>
      <c r="M335" s="146"/>
      <c r="T335" s="147"/>
      <c r="AT335" s="144" t="s">
        <v>346</v>
      </c>
      <c r="AU335" s="144" t="s">
        <v>90</v>
      </c>
      <c r="AV335" s="141" t="s">
        <v>87</v>
      </c>
      <c r="AW335" s="141" t="s">
        <v>33</v>
      </c>
      <c r="AX335" s="141" t="s">
        <v>80</v>
      </c>
      <c r="AY335" s="144" t="s">
        <v>337</v>
      </c>
    </row>
    <row r="336" spans="2:65" s="148" customFormat="1" x14ac:dyDescent="0.2">
      <c r="B336" s="149"/>
      <c r="D336" s="143" t="s">
        <v>346</v>
      </c>
      <c r="E336" s="150"/>
      <c r="F336" s="151" t="s">
        <v>3249</v>
      </c>
      <c r="H336" s="152">
        <v>58.548000000000002</v>
      </c>
      <c r="L336" s="149"/>
      <c r="M336" s="153"/>
      <c r="T336" s="154"/>
      <c r="AT336" s="150" t="s">
        <v>346</v>
      </c>
      <c r="AU336" s="150" t="s">
        <v>90</v>
      </c>
      <c r="AV336" s="148" t="s">
        <v>90</v>
      </c>
      <c r="AW336" s="148" t="s">
        <v>33</v>
      </c>
      <c r="AX336" s="148" t="s">
        <v>87</v>
      </c>
      <c r="AY336" s="150" t="s">
        <v>337</v>
      </c>
    </row>
    <row r="337" spans="2:65" s="16" customFormat="1" ht="16.5" customHeight="1" x14ac:dyDescent="0.2">
      <c r="B337" s="17"/>
      <c r="C337" s="128">
        <v>37</v>
      </c>
      <c r="D337" s="128" t="s">
        <v>339</v>
      </c>
      <c r="E337" s="129" t="s">
        <v>3250</v>
      </c>
      <c r="F337" s="130" t="s">
        <v>3251</v>
      </c>
      <c r="G337" s="131" t="s">
        <v>724</v>
      </c>
      <c r="H337" s="132">
        <v>139.4</v>
      </c>
      <c r="I337" s="133"/>
      <c r="J337" s="134">
        <f>ROUND(I337*H337,2)</f>
        <v>0</v>
      </c>
      <c r="K337" s="130" t="s">
        <v>343</v>
      </c>
      <c r="L337" s="17"/>
      <c r="M337" s="135"/>
      <c r="N337" s="136" t="s">
        <v>45</v>
      </c>
      <c r="P337" s="137">
        <f>O337*H337</f>
        <v>0</v>
      </c>
      <c r="Q337" s="137">
        <v>7.2999999999999996E-4</v>
      </c>
      <c r="R337" s="137">
        <f>Q337*H337</f>
        <v>0.10176200000000001</v>
      </c>
      <c r="S337" s="137">
        <v>0</v>
      </c>
      <c r="T337" s="138">
        <f>S337*H337</f>
        <v>0</v>
      </c>
      <c r="AR337" s="139" t="s">
        <v>344</v>
      </c>
      <c r="AT337" s="139" t="s">
        <v>339</v>
      </c>
      <c r="AU337" s="139" t="s">
        <v>90</v>
      </c>
      <c r="AY337" s="2" t="s">
        <v>337</v>
      </c>
      <c r="BE337" s="140">
        <f>IF(N337="základní",J337,0)</f>
        <v>0</v>
      </c>
      <c r="BF337" s="140">
        <f>IF(N337="snížená",J337,0)</f>
        <v>0</v>
      </c>
      <c r="BG337" s="140">
        <f>IF(N337="zákl. přenesená",J337,0)</f>
        <v>0</v>
      </c>
      <c r="BH337" s="140">
        <f>IF(N337="sníž. přenesená",J337,0)</f>
        <v>0</v>
      </c>
      <c r="BI337" s="140">
        <f>IF(N337="nulová",J337,0)</f>
        <v>0</v>
      </c>
      <c r="BJ337" s="2" t="s">
        <v>87</v>
      </c>
      <c r="BK337" s="140">
        <f>ROUND(I337*H337,2)</f>
        <v>0</v>
      </c>
      <c r="BL337" s="2" t="s">
        <v>344</v>
      </c>
      <c r="BM337" s="139" t="s">
        <v>3252</v>
      </c>
    </row>
    <row r="338" spans="2:65" s="141" customFormat="1" x14ac:dyDescent="0.2">
      <c r="B338" s="142"/>
      <c r="D338" s="143" t="s">
        <v>346</v>
      </c>
      <c r="E338" s="144"/>
      <c r="F338" s="145" t="s">
        <v>3253</v>
      </c>
      <c r="H338" s="144"/>
      <c r="L338" s="142"/>
      <c r="M338" s="146"/>
      <c r="T338" s="147"/>
      <c r="AT338" s="144" t="s">
        <v>346</v>
      </c>
      <c r="AU338" s="144" t="s">
        <v>90</v>
      </c>
      <c r="AV338" s="141" t="s">
        <v>87</v>
      </c>
      <c r="AW338" s="141" t="s">
        <v>33</v>
      </c>
      <c r="AX338" s="141" t="s">
        <v>80</v>
      </c>
      <c r="AY338" s="144" t="s">
        <v>337</v>
      </c>
    </row>
    <row r="339" spans="2:65" s="148" customFormat="1" x14ac:dyDescent="0.2">
      <c r="B339" s="149"/>
      <c r="D339" s="143" t="s">
        <v>346</v>
      </c>
      <c r="E339" s="150"/>
      <c r="F339" s="151" t="s">
        <v>3254</v>
      </c>
      <c r="H339" s="152">
        <v>69</v>
      </c>
      <c r="L339" s="149"/>
      <c r="M339" s="153"/>
      <c r="T339" s="154"/>
      <c r="AT339" s="150" t="s">
        <v>346</v>
      </c>
      <c r="AU339" s="150" t="s">
        <v>90</v>
      </c>
      <c r="AV339" s="148" t="s">
        <v>90</v>
      </c>
      <c r="AW339" s="148" t="s">
        <v>33</v>
      </c>
      <c r="AX339" s="148" t="s">
        <v>80</v>
      </c>
      <c r="AY339" s="150" t="s">
        <v>337</v>
      </c>
    </row>
    <row r="340" spans="2:65" s="141" customFormat="1" x14ac:dyDescent="0.2">
      <c r="B340" s="142"/>
      <c r="D340" s="143" t="s">
        <v>346</v>
      </c>
      <c r="E340" s="144"/>
      <c r="F340" s="145" t="s">
        <v>3101</v>
      </c>
      <c r="H340" s="144"/>
      <c r="L340" s="142"/>
      <c r="M340" s="146"/>
      <c r="T340" s="147"/>
      <c r="AT340" s="144" t="s">
        <v>346</v>
      </c>
      <c r="AU340" s="144" t="s">
        <v>90</v>
      </c>
      <c r="AV340" s="141" t="s">
        <v>87</v>
      </c>
      <c r="AW340" s="141" t="s">
        <v>33</v>
      </c>
      <c r="AX340" s="141" t="s">
        <v>80</v>
      </c>
      <c r="AY340" s="144" t="s">
        <v>337</v>
      </c>
    </row>
    <row r="341" spans="2:65" s="141" customFormat="1" x14ac:dyDescent="0.2">
      <c r="B341" s="142"/>
      <c r="D341" s="143" t="s">
        <v>346</v>
      </c>
      <c r="E341" s="144"/>
      <c r="F341" s="145" t="s">
        <v>3102</v>
      </c>
      <c r="H341" s="144"/>
      <c r="L341" s="142"/>
      <c r="M341" s="146"/>
      <c r="T341" s="147"/>
      <c r="AT341" s="144" t="s">
        <v>346</v>
      </c>
      <c r="AU341" s="144" t="s">
        <v>90</v>
      </c>
      <c r="AV341" s="141" t="s">
        <v>87</v>
      </c>
      <c r="AW341" s="141" t="s">
        <v>33</v>
      </c>
      <c r="AX341" s="141" t="s">
        <v>80</v>
      </c>
      <c r="AY341" s="144" t="s">
        <v>337</v>
      </c>
    </row>
    <row r="342" spans="2:65" s="148" customFormat="1" x14ac:dyDescent="0.2">
      <c r="B342" s="149"/>
      <c r="D342" s="143" t="s">
        <v>346</v>
      </c>
      <c r="E342" s="150"/>
      <c r="F342" s="151" t="s">
        <v>3255</v>
      </c>
      <c r="H342" s="152">
        <v>6</v>
      </c>
      <c r="L342" s="149"/>
      <c r="M342" s="153"/>
      <c r="T342" s="154"/>
      <c r="AT342" s="150" t="s">
        <v>346</v>
      </c>
      <c r="AU342" s="150" t="s">
        <v>90</v>
      </c>
      <c r="AV342" s="148" t="s">
        <v>90</v>
      </c>
      <c r="AW342" s="148" t="s">
        <v>33</v>
      </c>
      <c r="AX342" s="148" t="s">
        <v>80</v>
      </c>
      <c r="AY342" s="150" t="s">
        <v>337</v>
      </c>
    </row>
    <row r="343" spans="2:65" s="141" customFormat="1" x14ac:dyDescent="0.2">
      <c r="B343" s="142"/>
      <c r="D343" s="143" t="s">
        <v>346</v>
      </c>
      <c r="E343" s="144"/>
      <c r="F343" s="145" t="s">
        <v>3104</v>
      </c>
      <c r="H343" s="144"/>
      <c r="L343" s="142"/>
      <c r="M343" s="146"/>
      <c r="T343" s="147"/>
      <c r="AT343" s="144" t="s">
        <v>346</v>
      </c>
      <c r="AU343" s="144" t="s">
        <v>90</v>
      </c>
      <c r="AV343" s="141" t="s">
        <v>87</v>
      </c>
      <c r="AW343" s="141" t="s">
        <v>33</v>
      </c>
      <c r="AX343" s="141" t="s">
        <v>80</v>
      </c>
      <c r="AY343" s="144" t="s">
        <v>337</v>
      </c>
    </row>
    <row r="344" spans="2:65" s="148" customFormat="1" x14ac:dyDescent="0.2">
      <c r="B344" s="149"/>
      <c r="D344" s="143" t="s">
        <v>346</v>
      </c>
      <c r="E344" s="150"/>
      <c r="F344" s="151" t="s">
        <v>3256</v>
      </c>
      <c r="H344" s="152">
        <v>0.6</v>
      </c>
      <c r="L344" s="149"/>
      <c r="M344" s="153"/>
      <c r="T344" s="154"/>
      <c r="AT344" s="150" t="s">
        <v>346</v>
      </c>
      <c r="AU344" s="150" t="s">
        <v>90</v>
      </c>
      <c r="AV344" s="148" t="s">
        <v>90</v>
      </c>
      <c r="AW344" s="148" t="s">
        <v>33</v>
      </c>
      <c r="AX344" s="148" t="s">
        <v>80</v>
      </c>
      <c r="AY344" s="150" t="s">
        <v>337</v>
      </c>
    </row>
    <row r="345" spans="2:65" s="141" customFormat="1" x14ac:dyDescent="0.2">
      <c r="B345" s="142"/>
      <c r="D345" s="143" t="s">
        <v>346</v>
      </c>
      <c r="E345" s="144"/>
      <c r="F345" s="145" t="s">
        <v>3106</v>
      </c>
      <c r="H345" s="144"/>
      <c r="L345" s="142"/>
      <c r="M345" s="146"/>
      <c r="T345" s="147"/>
      <c r="AT345" s="144" t="s">
        <v>346</v>
      </c>
      <c r="AU345" s="144" t="s">
        <v>90</v>
      </c>
      <c r="AV345" s="141" t="s">
        <v>87</v>
      </c>
      <c r="AW345" s="141" t="s">
        <v>33</v>
      </c>
      <c r="AX345" s="141" t="s">
        <v>80</v>
      </c>
      <c r="AY345" s="144" t="s">
        <v>337</v>
      </c>
    </row>
    <row r="346" spans="2:65" s="148" customFormat="1" x14ac:dyDescent="0.2">
      <c r="B346" s="149"/>
      <c r="D346" s="143" t="s">
        <v>346</v>
      </c>
      <c r="E346" s="150"/>
      <c r="F346" s="151" t="s">
        <v>3257</v>
      </c>
      <c r="H346" s="152">
        <v>10.4</v>
      </c>
      <c r="L346" s="149"/>
      <c r="M346" s="153"/>
      <c r="T346" s="154"/>
      <c r="AT346" s="150" t="s">
        <v>346</v>
      </c>
      <c r="AU346" s="150" t="s">
        <v>90</v>
      </c>
      <c r="AV346" s="148" t="s">
        <v>90</v>
      </c>
      <c r="AW346" s="148" t="s">
        <v>33</v>
      </c>
      <c r="AX346" s="148" t="s">
        <v>80</v>
      </c>
      <c r="AY346" s="150" t="s">
        <v>337</v>
      </c>
    </row>
    <row r="347" spans="2:65" s="141" customFormat="1" x14ac:dyDescent="0.2">
      <c r="B347" s="142"/>
      <c r="D347" s="143" t="s">
        <v>346</v>
      </c>
      <c r="E347" s="144"/>
      <c r="F347" s="145" t="s">
        <v>3108</v>
      </c>
      <c r="H347" s="144"/>
      <c r="L347" s="142"/>
      <c r="M347" s="146"/>
      <c r="T347" s="147"/>
      <c r="AT347" s="144" t="s">
        <v>346</v>
      </c>
      <c r="AU347" s="144" t="s">
        <v>90</v>
      </c>
      <c r="AV347" s="141" t="s">
        <v>87</v>
      </c>
      <c r="AW347" s="141" t="s">
        <v>33</v>
      </c>
      <c r="AX347" s="141" t="s">
        <v>80</v>
      </c>
      <c r="AY347" s="144" t="s">
        <v>337</v>
      </c>
    </row>
    <row r="348" spans="2:65" s="148" customFormat="1" x14ac:dyDescent="0.2">
      <c r="B348" s="149"/>
      <c r="D348" s="143" t="s">
        <v>346</v>
      </c>
      <c r="E348" s="150"/>
      <c r="F348" s="151" t="s">
        <v>3258</v>
      </c>
      <c r="H348" s="152">
        <v>5.4</v>
      </c>
      <c r="L348" s="149"/>
      <c r="M348" s="153"/>
      <c r="T348" s="154"/>
      <c r="AT348" s="150" t="s">
        <v>346</v>
      </c>
      <c r="AU348" s="150" t="s">
        <v>90</v>
      </c>
      <c r="AV348" s="148" t="s">
        <v>90</v>
      </c>
      <c r="AW348" s="148" t="s">
        <v>33</v>
      </c>
      <c r="AX348" s="148" t="s">
        <v>80</v>
      </c>
      <c r="AY348" s="150" t="s">
        <v>337</v>
      </c>
    </row>
    <row r="349" spans="2:65" s="141" customFormat="1" x14ac:dyDescent="0.2">
      <c r="B349" s="142"/>
      <c r="D349" s="143" t="s">
        <v>346</v>
      </c>
      <c r="E349" s="144"/>
      <c r="F349" s="145" t="s">
        <v>3259</v>
      </c>
      <c r="H349" s="144"/>
      <c r="L349" s="142"/>
      <c r="M349" s="146"/>
      <c r="T349" s="147"/>
      <c r="AT349" s="144" t="s">
        <v>346</v>
      </c>
      <c r="AU349" s="144" t="s">
        <v>90</v>
      </c>
      <c r="AV349" s="141" t="s">
        <v>87</v>
      </c>
      <c r="AW349" s="141" t="s">
        <v>33</v>
      </c>
      <c r="AX349" s="141" t="s">
        <v>80</v>
      </c>
      <c r="AY349" s="144" t="s">
        <v>337</v>
      </c>
    </row>
    <row r="350" spans="2:65" s="148" customFormat="1" x14ac:dyDescent="0.2">
      <c r="B350" s="149"/>
      <c r="D350" s="143" t="s">
        <v>346</v>
      </c>
      <c r="E350" s="150"/>
      <c r="F350" s="151" t="s">
        <v>3260</v>
      </c>
      <c r="H350" s="152">
        <v>17</v>
      </c>
      <c r="L350" s="149"/>
      <c r="M350" s="153"/>
      <c r="T350" s="154"/>
      <c r="AT350" s="150" t="s">
        <v>346</v>
      </c>
      <c r="AU350" s="150" t="s">
        <v>90</v>
      </c>
      <c r="AV350" s="148" t="s">
        <v>90</v>
      </c>
      <c r="AW350" s="148" t="s">
        <v>33</v>
      </c>
      <c r="AX350" s="148" t="s">
        <v>80</v>
      </c>
      <c r="AY350" s="150" t="s">
        <v>337</v>
      </c>
    </row>
    <row r="351" spans="2:65" s="141" customFormat="1" x14ac:dyDescent="0.2">
      <c r="B351" s="142"/>
      <c r="D351" s="143" t="s">
        <v>346</v>
      </c>
      <c r="E351" s="144"/>
      <c r="F351" s="145" t="s">
        <v>3112</v>
      </c>
      <c r="H351" s="144"/>
      <c r="L351" s="142"/>
      <c r="M351" s="146"/>
      <c r="T351" s="147"/>
      <c r="AT351" s="144" t="s">
        <v>346</v>
      </c>
      <c r="AU351" s="144" t="s">
        <v>90</v>
      </c>
      <c r="AV351" s="141" t="s">
        <v>87</v>
      </c>
      <c r="AW351" s="141" t="s">
        <v>33</v>
      </c>
      <c r="AX351" s="141" t="s">
        <v>80</v>
      </c>
      <c r="AY351" s="144" t="s">
        <v>337</v>
      </c>
    </row>
    <row r="352" spans="2:65" s="141" customFormat="1" x14ac:dyDescent="0.2">
      <c r="B352" s="142"/>
      <c r="D352" s="143" t="s">
        <v>346</v>
      </c>
      <c r="E352" s="144"/>
      <c r="F352" s="145" t="s">
        <v>3261</v>
      </c>
      <c r="H352" s="144"/>
      <c r="L352" s="142"/>
      <c r="M352" s="146"/>
      <c r="T352" s="147"/>
      <c r="AT352" s="144" t="s">
        <v>346</v>
      </c>
      <c r="AU352" s="144" t="s">
        <v>90</v>
      </c>
      <c r="AV352" s="141" t="s">
        <v>87</v>
      </c>
      <c r="AW352" s="141" t="s">
        <v>33</v>
      </c>
      <c r="AX352" s="141" t="s">
        <v>80</v>
      </c>
      <c r="AY352" s="144" t="s">
        <v>337</v>
      </c>
    </row>
    <row r="353" spans="2:65" s="148" customFormat="1" x14ac:dyDescent="0.2">
      <c r="B353" s="149"/>
      <c r="D353" s="143" t="s">
        <v>346</v>
      </c>
      <c r="E353" s="150"/>
      <c r="F353" s="151" t="s">
        <v>3262</v>
      </c>
      <c r="H353" s="152">
        <v>18</v>
      </c>
      <c r="L353" s="149"/>
      <c r="M353" s="153"/>
      <c r="T353" s="154"/>
      <c r="AT353" s="150" t="s">
        <v>346</v>
      </c>
      <c r="AU353" s="150" t="s">
        <v>90</v>
      </c>
      <c r="AV353" s="148" t="s">
        <v>90</v>
      </c>
      <c r="AW353" s="148" t="s">
        <v>33</v>
      </c>
      <c r="AX353" s="148" t="s">
        <v>80</v>
      </c>
      <c r="AY353" s="150" t="s">
        <v>337</v>
      </c>
    </row>
    <row r="354" spans="2:65" s="141" customFormat="1" x14ac:dyDescent="0.2">
      <c r="B354" s="142"/>
      <c r="D354" s="143" t="s">
        <v>346</v>
      </c>
      <c r="E354" s="144"/>
      <c r="F354" s="145" t="s">
        <v>3122</v>
      </c>
      <c r="H354" s="144"/>
      <c r="L354" s="142"/>
      <c r="M354" s="146"/>
      <c r="T354" s="147"/>
      <c r="AT354" s="144" t="s">
        <v>346</v>
      </c>
      <c r="AU354" s="144" t="s">
        <v>90</v>
      </c>
      <c r="AV354" s="141" t="s">
        <v>87</v>
      </c>
      <c r="AW354" s="141" t="s">
        <v>33</v>
      </c>
      <c r="AX354" s="141" t="s">
        <v>80</v>
      </c>
      <c r="AY354" s="144" t="s">
        <v>337</v>
      </c>
    </row>
    <row r="355" spans="2:65" s="148" customFormat="1" x14ac:dyDescent="0.2">
      <c r="B355" s="149"/>
      <c r="D355" s="143" t="s">
        <v>346</v>
      </c>
      <c r="E355" s="150"/>
      <c r="F355" s="151" t="s">
        <v>3263</v>
      </c>
      <c r="H355" s="152">
        <v>13</v>
      </c>
      <c r="L355" s="149"/>
      <c r="M355" s="153"/>
      <c r="T355" s="154"/>
      <c r="AT355" s="150" t="s">
        <v>346</v>
      </c>
      <c r="AU355" s="150" t="s">
        <v>90</v>
      </c>
      <c r="AV355" s="148" t="s">
        <v>90</v>
      </c>
      <c r="AW355" s="148" t="s">
        <v>33</v>
      </c>
      <c r="AX355" s="148" t="s">
        <v>80</v>
      </c>
      <c r="AY355" s="150" t="s">
        <v>337</v>
      </c>
    </row>
    <row r="356" spans="2:65" s="141" customFormat="1" ht="22.5" x14ac:dyDescent="0.2">
      <c r="B356" s="142"/>
      <c r="D356" s="143" t="s">
        <v>346</v>
      </c>
      <c r="E356" s="144"/>
      <c r="F356" s="145" t="s">
        <v>3264</v>
      </c>
      <c r="H356" s="144"/>
      <c r="L356" s="142"/>
      <c r="M356" s="146"/>
      <c r="T356" s="147"/>
      <c r="AT356" s="144" t="s">
        <v>346</v>
      </c>
      <c r="AU356" s="144" t="s">
        <v>90</v>
      </c>
      <c r="AV356" s="141" t="s">
        <v>87</v>
      </c>
      <c r="AW356" s="141" t="s">
        <v>33</v>
      </c>
      <c r="AX356" s="141" t="s">
        <v>80</v>
      </c>
      <c r="AY356" s="144" t="s">
        <v>337</v>
      </c>
    </row>
    <row r="357" spans="2:65" s="141" customFormat="1" x14ac:dyDescent="0.2">
      <c r="B357" s="142"/>
      <c r="D357" s="143" t="s">
        <v>346</v>
      </c>
      <c r="E357" s="144"/>
      <c r="F357" s="145" t="s">
        <v>3265</v>
      </c>
      <c r="H357" s="144"/>
      <c r="L357" s="142"/>
      <c r="M357" s="146"/>
      <c r="T357" s="147"/>
      <c r="AT357" s="144" t="s">
        <v>346</v>
      </c>
      <c r="AU357" s="144" t="s">
        <v>90</v>
      </c>
      <c r="AV357" s="141" t="s">
        <v>87</v>
      </c>
      <c r="AW357" s="141" t="s">
        <v>33</v>
      </c>
      <c r="AX357" s="141" t="s">
        <v>80</v>
      </c>
      <c r="AY357" s="144" t="s">
        <v>337</v>
      </c>
    </row>
    <row r="358" spans="2:65" s="155" customFormat="1" x14ac:dyDescent="0.2">
      <c r="B358" s="156"/>
      <c r="D358" s="143" t="s">
        <v>346</v>
      </c>
      <c r="E358" s="157" t="s">
        <v>2981</v>
      </c>
      <c r="F358" s="158" t="s">
        <v>351</v>
      </c>
      <c r="H358" s="159">
        <v>139.4</v>
      </c>
      <c r="L358" s="156"/>
      <c r="M358" s="160"/>
      <c r="T358" s="161"/>
      <c r="AT358" s="157" t="s">
        <v>346</v>
      </c>
      <c r="AU358" s="157" t="s">
        <v>90</v>
      </c>
      <c r="AV358" s="155" t="s">
        <v>344</v>
      </c>
      <c r="AW358" s="155" t="s">
        <v>33</v>
      </c>
      <c r="AX358" s="155" t="s">
        <v>87</v>
      </c>
      <c r="AY358" s="157" t="s">
        <v>337</v>
      </c>
    </row>
    <row r="359" spans="2:65" s="16" customFormat="1" ht="24.2" customHeight="1" x14ac:dyDescent="0.2">
      <c r="B359" s="17"/>
      <c r="C359" s="128">
        <v>38</v>
      </c>
      <c r="D359" s="128" t="s">
        <v>339</v>
      </c>
      <c r="E359" s="129" t="s">
        <v>3266</v>
      </c>
      <c r="F359" s="130" t="s">
        <v>3267</v>
      </c>
      <c r="G359" s="131" t="s">
        <v>449</v>
      </c>
      <c r="H359" s="132">
        <v>20</v>
      </c>
      <c r="I359" s="133"/>
      <c r="J359" s="134">
        <f>ROUND(I359*H359,2)</f>
        <v>0</v>
      </c>
      <c r="K359" s="130" t="s">
        <v>343</v>
      </c>
      <c r="L359" s="17"/>
      <c r="M359" s="135"/>
      <c r="N359" s="136" t="s">
        <v>45</v>
      </c>
      <c r="P359" s="137">
        <f>O359*H359</f>
        <v>0</v>
      </c>
      <c r="Q359" s="137">
        <v>1.0000000000000001E-5</v>
      </c>
      <c r="R359" s="137">
        <f>Q359*H359</f>
        <v>2.0000000000000001E-4</v>
      </c>
      <c r="S359" s="137">
        <v>0</v>
      </c>
      <c r="T359" s="138">
        <f>S359*H359</f>
        <v>0</v>
      </c>
      <c r="AR359" s="139" t="s">
        <v>344</v>
      </c>
      <c r="AT359" s="139" t="s">
        <v>339</v>
      </c>
      <c r="AU359" s="139" t="s">
        <v>90</v>
      </c>
      <c r="AY359" s="2" t="s">
        <v>337</v>
      </c>
      <c r="BE359" s="140">
        <f>IF(N359="základní",J359,0)</f>
        <v>0</v>
      </c>
      <c r="BF359" s="140">
        <f>IF(N359="snížená",J359,0)</f>
        <v>0</v>
      </c>
      <c r="BG359" s="140">
        <f>IF(N359="zákl. přenesená",J359,0)</f>
        <v>0</v>
      </c>
      <c r="BH359" s="140">
        <f>IF(N359="sníž. přenesená",J359,0)</f>
        <v>0</v>
      </c>
      <c r="BI359" s="140">
        <f>IF(N359="nulová",J359,0)</f>
        <v>0</v>
      </c>
      <c r="BJ359" s="2" t="s">
        <v>87</v>
      </c>
      <c r="BK359" s="140">
        <f>ROUND(I359*H359,2)</f>
        <v>0</v>
      </c>
      <c r="BL359" s="2" t="s">
        <v>344</v>
      </c>
      <c r="BM359" s="139" t="s">
        <v>3268</v>
      </c>
    </row>
    <row r="360" spans="2:65" s="141" customFormat="1" x14ac:dyDescent="0.2">
      <c r="B360" s="142"/>
      <c r="D360" s="143" t="s">
        <v>346</v>
      </c>
      <c r="E360" s="144"/>
      <c r="F360" s="145" t="s">
        <v>3269</v>
      </c>
      <c r="H360" s="144"/>
      <c r="L360" s="142"/>
      <c r="M360" s="146"/>
      <c r="T360" s="147"/>
      <c r="AT360" s="144" t="s">
        <v>346</v>
      </c>
      <c r="AU360" s="144" t="s">
        <v>90</v>
      </c>
      <c r="AV360" s="141" t="s">
        <v>87</v>
      </c>
      <c r="AW360" s="141" t="s">
        <v>33</v>
      </c>
      <c r="AX360" s="141" t="s">
        <v>80</v>
      </c>
      <c r="AY360" s="144" t="s">
        <v>337</v>
      </c>
    </row>
    <row r="361" spans="2:65" s="148" customFormat="1" x14ac:dyDescent="0.2">
      <c r="B361" s="149"/>
      <c r="D361" s="143" t="s">
        <v>346</v>
      </c>
      <c r="E361" s="150"/>
      <c r="F361" s="151" t="s">
        <v>473</v>
      </c>
      <c r="H361" s="152">
        <v>13</v>
      </c>
      <c r="L361" s="149"/>
      <c r="M361" s="153"/>
      <c r="T361" s="154"/>
      <c r="AT361" s="150" t="s">
        <v>346</v>
      </c>
      <c r="AU361" s="150" t="s">
        <v>90</v>
      </c>
      <c r="AV361" s="148" t="s">
        <v>90</v>
      </c>
      <c r="AW361" s="148" t="s">
        <v>33</v>
      </c>
      <c r="AX361" s="148" t="s">
        <v>80</v>
      </c>
      <c r="AY361" s="150" t="s">
        <v>337</v>
      </c>
    </row>
    <row r="362" spans="2:65" s="141" customFormat="1" x14ac:dyDescent="0.2">
      <c r="B362" s="142"/>
      <c r="D362" s="143" t="s">
        <v>346</v>
      </c>
      <c r="E362" s="144"/>
      <c r="F362" s="145" t="s">
        <v>3259</v>
      </c>
      <c r="H362" s="144"/>
      <c r="L362" s="142"/>
      <c r="M362" s="146"/>
      <c r="T362" s="147"/>
      <c r="AT362" s="144" t="s">
        <v>346</v>
      </c>
      <c r="AU362" s="144" t="s">
        <v>90</v>
      </c>
      <c r="AV362" s="141" t="s">
        <v>87</v>
      </c>
      <c r="AW362" s="141" t="s">
        <v>33</v>
      </c>
      <c r="AX362" s="141" t="s">
        <v>80</v>
      </c>
      <c r="AY362" s="144" t="s">
        <v>337</v>
      </c>
    </row>
    <row r="363" spans="2:65" s="148" customFormat="1" x14ac:dyDescent="0.2">
      <c r="B363" s="149"/>
      <c r="D363" s="143" t="s">
        <v>346</v>
      </c>
      <c r="E363" s="150"/>
      <c r="F363" s="151" t="s">
        <v>113</v>
      </c>
      <c r="H363" s="152">
        <v>3</v>
      </c>
      <c r="L363" s="149"/>
      <c r="M363" s="153"/>
      <c r="T363" s="154"/>
      <c r="AT363" s="150" t="s">
        <v>346</v>
      </c>
      <c r="AU363" s="150" t="s">
        <v>90</v>
      </c>
      <c r="AV363" s="148" t="s">
        <v>90</v>
      </c>
      <c r="AW363" s="148" t="s">
        <v>33</v>
      </c>
      <c r="AX363" s="148" t="s">
        <v>80</v>
      </c>
      <c r="AY363" s="150" t="s">
        <v>337</v>
      </c>
    </row>
    <row r="364" spans="2:65" s="141" customFormat="1" x14ac:dyDescent="0.2">
      <c r="B364" s="142"/>
      <c r="D364" s="143" t="s">
        <v>346</v>
      </c>
      <c r="E364" s="144"/>
      <c r="F364" s="145" t="s">
        <v>3112</v>
      </c>
      <c r="H364" s="144"/>
      <c r="L364" s="142"/>
      <c r="M364" s="146"/>
      <c r="T364" s="147"/>
      <c r="AT364" s="144" t="s">
        <v>346</v>
      </c>
      <c r="AU364" s="144" t="s">
        <v>90</v>
      </c>
      <c r="AV364" s="141" t="s">
        <v>87</v>
      </c>
      <c r="AW364" s="141" t="s">
        <v>33</v>
      </c>
      <c r="AX364" s="141" t="s">
        <v>80</v>
      </c>
      <c r="AY364" s="144" t="s">
        <v>337</v>
      </c>
    </row>
    <row r="365" spans="2:65" s="141" customFormat="1" x14ac:dyDescent="0.2">
      <c r="B365" s="142"/>
      <c r="D365" s="143" t="s">
        <v>346</v>
      </c>
      <c r="E365" s="144"/>
      <c r="F365" s="145" t="s">
        <v>3261</v>
      </c>
      <c r="H365" s="144"/>
      <c r="L365" s="142"/>
      <c r="M365" s="146"/>
      <c r="T365" s="147"/>
      <c r="AT365" s="144" t="s">
        <v>346</v>
      </c>
      <c r="AU365" s="144" t="s">
        <v>90</v>
      </c>
      <c r="AV365" s="141" t="s">
        <v>87</v>
      </c>
      <c r="AW365" s="141" t="s">
        <v>33</v>
      </c>
      <c r="AX365" s="141" t="s">
        <v>80</v>
      </c>
      <c r="AY365" s="144" t="s">
        <v>337</v>
      </c>
    </row>
    <row r="366" spans="2:65" s="148" customFormat="1" x14ac:dyDescent="0.2">
      <c r="B366" s="149"/>
      <c r="D366" s="143" t="s">
        <v>346</v>
      </c>
      <c r="E366" s="150"/>
      <c r="F366" s="151" t="s">
        <v>344</v>
      </c>
      <c r="H366" s="152">
        <v>4</v>
      </c>
      <c r="L366" s="149"/>
      <c r="M366" s="153"/>
      <c r="T366" s="154"/>
      <c r="AT366" s="150" t="s">
        <v>346</v>
      </c>
      <c r="AU366" s="150" t="s">
        <v>90</v>
      </c>
      <c r="AV366" s="148" t="s">
        <v>90</v>
      </c>
      <c r="AW366" s="148" t="s">
        <v>33</v>
      </c>
      <c r="AX366" s="148" t="s">
        <v>80</v>
      </c>
      <c r="AY366" s="150" t="s">
        <v>337</v>
      </c>
    </row>
    <row r="367" spans="2:65" s="155" customFormat="1" x14ac:dyDescent="0.2">
      <c r="B367" s="156"/>
      <c r="D367" s="143" t="s">
        <v>346</v>
      </c>
      <c r="E367" s="157"/>
      <c r="F367" s="158" t="s">
        <v>351</v>
      </c>
      <c r="H367" s="159">
        <v>20</v>
      </c>
      <c r="L367" s="156"/>
      <c r="M367" s="160"/>
      <c r="T367" s="161"/>
      <c r="AT367" s="157" t="s">
        <v>346</v>
      </c>
      <c r="AU367" s="157" t="s">
        <v>90</v>
      </c>
      <c r="AV367" s="155" t="s">
        <v>344</v>
      </c>
      <c r="AW367" s="155" t="s">
        <v>33</v>
      </c>
      <c r="AX367" s="155" t="s">
        <v>87</v>
      </c>
      <c r="AY367" s="157" t="s">
        <v>337</v>
      </c>
    </row>
    <row r="368" spans="2:65" s="16" customFormat="1" ht="24.2" customHeight="1" x14ac:dyDescent="0.2">
      <c r="B368" s="17"/>
      <c r="C368" s="128">
        <v>39</v>
      </c>
      <c r="D368" s="128" t="s">
        <v>339</v>
      </c>
      <c r="E368" s="129" t="s">
        <v>3270</v>
      </c>
      <c r="F368" s="130" t="s">
        <v>3271</v>
      </c>
      <c r="G368" s="131" t="s">
        <v>449</v>
      </c>
      <c r="H368" s="132">
        <v>56</v>
      </c>
      <c r="I368" s="133"/>
      <c r="J368" s="134">
        <f>ROUND(I368*H368,2)</f>
        <v>0</v>
      </c>
      <c r="K368" s="130" t="s">
        <v>343</v>
      </c>
      <c r="L368" s="17"/>
      <c r="M368" s="135"/>
      <c r="N368" s="136" t="s">
        <v>45</v>
      </c>
      <c r="P368" s="137">
        <f>O368*H368</f>
        <v>0</v>
      </c>
      <c r="Q368" s="137">
        <v>1.0000000000000001E-5</v>
      </c>
      <c r="R368" s="137">
        <f>Q368*H368</f>
        <v>5.6000000000000006E-4</v>
      </c>
      <c r="S368" s="137">
        <v>0</v>
      </c>
      <c r="T368" s="138">
        <f>S368*H368</f>
        <v>0</v>
      </c>
      <c r="AR368" s="139" t="s">
        <v>344</v>
      </c>
      <c r="AT368" s="139" t="s">
        <v>339</v>
      </c>
      <c r="AU368" s="139" t="s">
        <v>90</v>
      </c>
      <c r="AY368" s="2" t="s">
        <v>337</v>
      </c>
      <c r="BE368" s="140">
        <f>IF(N368="základní",J368,0)</f>
        <v>0</v>
      </c>
      <c r="BF368" s="140">
        <f>IF(N368="snížená",J368,0)</f>
        <v>0</v>
      </c>
      <c r="BG368" s="140">
        <f>IF(N368="zákl. přenesená",J368,0)</f>
        <v>0</v>
      </c>
      <c r="BH368" s="140">
        <f>IF(N368="sníž. přenesená",J368,0)</f>
        <v>0</v>
      </c>
      <c r="BI368" s="140">
        <f>IF(N368="nulová",J368,0)</f>
        <v>0</v>
      </c>
      <c r="BJ368" s="2" t="s">
        <v>87</v>
      </c>
      <c r="BK368" s="140">
        <f>ROUND(I368*H368,2)</f>
        <v>0</v>
      </c>
      <c r="BL368" s="2" t="s">
        <v>344</v>
      </c>
      <c r="BM368" s="139" t="s">
        <v>3272</v>
      </c>
    </row>
    <row r="369" spans="2:65" s="141" customFormat="1" x14ac:dyDescent="0.2">
      <c r="B369" s="142"/>
      <c r="D369" s="143" t="s">
        <v>346</v>
      </c>
      <c r="E369" s="144"/>
      <c r="F369" s="145" t="s">
        <v>3253</v>
      </c>
      <c r="H369" s="144"/>
      <c r="L369" s="142"/>
      <c r="M369" s="146"/>
      <c r="T369" s="147"/>
      <c r="AT369" s="144" t="s">
        <v>346</v>
      </c>
      <c r="AU369" s="144" t="s">
        <v>90</v>
      </c>
      <c r="AV369" s="141" t="s">
        <v>87</v>
      </c>
      <c r="AW369" s="141" t="s">
        <v>33</v>
      </c>
      <c r="AX369" s="141" t="s">
        <v>80</v>
      </c>
      <c r="AY369" s="144" t="s">
        <v>337</v>
      </c>
    </row>
    <row r="370" spans="2:65" s="148" customFormat="1" x14ac:dyDescent="0.2">
      <c r="B370" s="149"/>
      <c r="D370" s="143" t="s">
        <v>346</v>
      </c>
      <c r="E370" s="150"/>
      <c r="F370" s="151" t="s">
        <v>3273</v>
      </c>
      <c r="H370" s="152">
        <v>39</v>
      </c>
      <c r="L370" s="149"/>
      <c r="M370" s="153"/>
      <c r="T370" s="154"/>
      <c r="AT370" s="150" t="s">
        <v>346</v>
      </c>
      <c r="AU370" s="150" t="s">
        <v>90</v>
      </c>
      <c r="AV370" s="148" t="s">
        <v>90</v>
      </c>
      <c r="AW370" s="148" t="s">
        <v>33</v>
      </c>
      <c r="AX370" s="148" t="s">
        <v>80</v>
      </c>
      <c r="AY370" s="150" t="s">
        <v>337</v>
      </c>
    </row>
    <row r="371" spans="2:65" s="141" customFormat="1" x14ac:dyDescent="0.2">
      <c r="B371" s="142"/>
      <c r="D371" s="143" t="s">
        <v>346</v>
      </c>
      <c r="E371" s="144"/>
      <c r="F371" s="145" t="s">
        <v>3110</v>
      </c>
      <c r="H371" s="144"/>
      <c r="L371" s="142"/>
      <c r="M371" s="146"/>
      <c r="T371" s="147"/>
      <c r="AT371" s="144" t="s">
        <v>346</v>
      </c>
      <c r="AU371" s="144" t="s">
        <v>90</v>
      </c>
      <c r="AV371" s="141" t="s">
        <v>87</v>
      </c>
      <c r="AW371" s="141" t="s">
        <v>33</v>
      </c>
      <c r="AX371" s="141" t="s">
        <v>80</v>
      </c>
      <c r="AY371" s="144" t="s">
        <v>337</v>
      </c>
    </row>
    <row r="372" spans="2:65" s="148" customFormat="1" x14ac:dyDescent="0.2">
      <c r="B372" s="149"/>
      <c r="D372" s="143" t="s">
        <v>346</v>
      </c>
      <c r="E372" s="150"/>
      <c r="F372" s="151" t="s">
        <v>3274</v>
      </c>
      <c r="H372" s="152">
        <v>9</v>
      </c>
      <c r="L372" s="149"/>
      <c r="M372" s="153"/>
      <c r="T372" s="154"/>
      <c r="AT372" s="150" t="s">
        <v>346</v>
      </c>
      <c r="AU372" s="150" t="s">
        <v>90</v>
      </c>
      <c r="AV372" s="148" t="s">
        <v>90</v>
      </c>
      <c r="AW372" s="148" t="s">
        <v>33</v>
      </c>
      <c r="AX372" s="148" t="s">
        <v>80</v>
      </c>
      <c r="AY372" s="150" t="s">
        <v>337</v>
      </c>
    </row>
    <row r="373" spans="2:65" s="141" customFormat="1" x14ac:dyDescent="0.2">
      <c r="B373" s="142"/>
      <c r="D373" s="143" t="s">
        <v>346</v>
      </c>
      <c r="E373" s="144"/>
      <c r="F373" s="145" t="s">
        <v>3112</v>
      </c>
      <c r="H373" s="144"/>
      <c r="L373" s="142"/>
      <c r="M373" s="146"/>
      <c r="T373" s="147"/>
      <c r="AT373" s="144" t="s">
        <v>346</v>
      </c>
      <c r="AU373" s="144" t="s">
        <v>90</v>
      </c>
      <c r="AV373" s="141" t="s">
        <v>87</v>
      </c>
      <c r="AW373" s="141" t="s">
        <v>33</v>
      </c>
      <c r="AX373" s="141" t="s">
        <v>80</v>
      </c>
      <c r="AY373" s="144" t="s">
        <v>337</v>
      </c>
    </row>
    <row r="374" spans="2:65" s="141" customFormat="1" x14ac:dyDescent="0.2">
      <c r="B374" s="142"/>
      <c r="D374" s="143" t="s">
        <v>346</v>
      </c>
      <c r="E374" s="144"/>
      <c r="F374" s="145" t="s">
        <v>3261</v>
      </c>
      <c r="H374" s="144"/>
      <c r="L374" s="142"/>
      <c r="M374" s="146"/>
      <c r="T374" s="147"/>
      <c r="AT374" s="144" t="s">
        <v>346</v>
      </c>
      <c r="AU374" s="144" t="s">
        <v>90</v>
      </c>
      <c r="AV374" s="141" t="s">
        <v>87</v>
      </c>
      <c r="AW374" s="141" t="s">
        <v>33</v>
      </c>
      <c r="AX374" s="141" t="s">
        <v>80</v>
      </c>
      <c r="AY374" s="144" t="s">
        <v>337</v>
      </c>
    </row>
    <row r="375" spans="2:65" s="148" customFormat="1" x14ac:dyDescent="0.2">
      <c r="B375" s="149"/>
      <c r="D375" s="143" t="s">
        <v>346</v>
      </c>
      <c r="E375" s="150"/>
      <c r="F375" s="151" t="s">
        <v>3275</v>
      </c>
      <c r="H375" s="152">
        <v>8</v>
      </c>
      <c r="L375" s="149"/>
      <c r="M375" s="153"/>
      <c r="T375" s="154"/>
      <c r="AT375" s="150" t="s">
        <v>346</v>
      </c>
      <c r="AU375" s="150" t="s">
        <v>90</v>
      </c>
      <c r="AV375" s="148" t="s">
        <v>90</v>
      </c>
      <c r="AW375" s="148" t="s">
        <v>33</v>
      </c>
      <c r="AX375" s="148" t="s">
        <v>80</v>
      </c>
      <c r="AY375" s="150" t="s">
        <v>337</v>
      </c>
    </row>
    <row r="376" spans="2:65" s="155" customFormat="1" x14ac:dyDescent="0.2">
      <c r="B376" s="156"/>
      <c r="D376" s="143" t="s">
        <v>346</v>
      </c>
      <c r="E376" s="157"/>
      <c r="F376" s="158" t="s">
        <v>351</v>
      </c>
      <c r="H376" s="159">
        <v>56</v>
      </c>
      <c r="L376" s="156"/>
      <c r="M376" s="160"/>
      <c r="T376" s="161"/>
      <c r="AT376" s="157" t="s">
        <v>346</v>
      </c>
      <c r="AU376" s="157" t="s">
        <v>90</v>
      </c>
      <c r="AV376" s="155" t="s">
        <v>344</v>
      </c>
      <c r="AW376" s="155" t="s">
        <v>33</v>
      </c>
      <c r="AX376" s="155" t="s">
        <v>87</v>
      </c>
      <c r="AY376" s="157" t="s">
        <v>337</v>
      </c>
    </row>
    <row r="377" spans="2:65" s="16" customFormat="1" ht="21.75" customHeight="1" x14ac:dyDescent="0.2">
      <c r="B377" s="17"/>
      <c r="C377" s="128">
        <v>40</v>
      </c>
      <c r="D377" s="128" t="s">
        <v>339</v>
      </c>
      <c r="E377" s="129" t="s">
        <v>3276</v>
      </c>
      <c r="F377" s="130" t="s">
        <v>3277</v>
      </c>
      <c r="G377" s="131" t="s">
        <v>449</v>
      </c>
      <c r="H377" s="132">
        <v>40</v>
      </c>
      <c r="I377" s="133"/>
      <c r="J377" s="134">
        <f>ROUND(I377*H377,2)</f>
        <v>0</v>
      </c>
      <c r="K377" s="130" t="s">
        <v>343</v>
      </c>
      <c r="L377" s="17"/>
      <c r="M377" s="135"/>
      <c r="N377" s="136" t="s">
        <v>45</v>
      </c>
      <c r="P377" s="137">
        <f>O377*H377</f>
        <v>0</v>
      </c>
      <c r="Q377" s="137">
        <v>6.9999999999999994E-5</v>
      </c>
      <c r="R377" s="137">
        <f>Q377*H377</f>
        <v>2.7999999999999995E-3</v>
      </c>
      <c r="S377" s="137">
        <v>0</v>
      </c>
      <c r="T377" s="138">
        <f>S377*H377</f>
        <v>0</v>
      </c>
      <c r="AR377" s="139" t="s">
        <v>344</v>
      </c>
      <c r="AT377" s="139" t="s">
        <v>339</v>
      </c>
      <c r="AU377" s="139" t="s">
        <v>90</v>
      </c>
      <c r="AY377" s="2" t="s">
        <v>337</v>
      </c>
      <c r="BE377" s="140">
        <f>IF(N377="základní",J377,0)</f>
        <v>0</v>
      </c>
      <c r="BF377" s="140">
        <f>IF(N377="snížená",J377,0)</f>
        <v>0</v>
      </c>
      <c r="BG377" s="140">
        <f>IF(N377="zákl. přenesená",J377,0)</f>
        <v>0</v>
      </c>
      <c r="BH377" s="140">
        <f>IF(N377="sníž. přenesená",J377,0)</f>
        <v>0</v>
      </c>
      <c r="BI377" s="140">
        <f>IF(N377="nulová",J377,0)</f>
        <v>0</v>
      </c>
      <c r="BJ377" s="2" t="s">
        <v>87</v>
      </c>
      <c r="BK377" s="140">
        <f>ROUND(I377*H377,2)</f>
        <v>0</v>
      </c>
      <c r="BL377" s="2" t="s">
        <v>344</v>
      </c>
      <c r="BM377" s="139" t="s">
        <v>3278</v>
      </c>
    </row>
    <row r="378" spans="2:65" s="148" customFormat="1" x14ac:dyDescent="0.2">
      <c r="B378" s="149"/>
      <c r="D378" s="143" t="s">
        <v>346</v>
      </c>
      <c r="E378" s="150"/>
      <c r="F378" s="151" t="s">
        <v>3279</v>
      </c>
      <c r="H378" s="152">
        <v>40</v>
      </c>
      <c r="L378" s="149"/>
      <c r="M378" s="153"/>
      <c r="T378" s="154"/>
      <c r="AT378" s="150" t="s">
        <v>346</v>
      </c>
      <c r="AU378" s="150" t="s">
        <v>90</v>
      </c>
      <c r="AV378" s="148" t="s">
        <v>90</v>
      </c>
      <c r="AW378" s="148" t="s">
        <v>33</v>
      </c>
      <c r="AX378" s="148" t="s">
        <v>87</v>
      </c>
      <c r="AY378" s="150" t="s">
        <v>337</v>
      </c>
    </row>
    <row r="379" spans="2:65" s="16" customFormat="1" ht="16.5" customHeight="1" x14ac:dyDescent="0.2">
      <c r="B379" s="17"/>
      <c r="C379" s="128">
        <v>41</v>
      </c>
      <c r="D379" s="128" t="s">
        <v>339</v>
      </c>
      <c r="E379" s="129" t="s">
        <v>3280</v>
      </c>
      <c r="F379" s="130" t="s">
        <v>3281</v>
      </c>
      <c r="G379" s="131" t="s">
        <v>449</v>
      </c>
      <c r="H379" s="132">
        <v>20</v>
      </c>
      <c r="I379" s="133"/>
      <c r="J379" s="134">
        <f>ROUND(I379*H379,2)</f>
        <v>0</v>
      </c>
      <c r="K379" s="130"/>
      <c r="L379" s="17"/>
      <c r="M379" s="135"/>
      <c r="N379" s="136" t="s">
        <v>45</v>
      </c>
      <c r="P379" s="137">
        <f>O379*H379</f>
        <v>0</v>
      </c>
      <c r="Q379" s="137">
        <v>2.8999999999999998E-3</v>
      </c>
      <c r="R379" s="137">
        <f>Q379*H379</f>
        <v>5.7999999999999996E-2</v>
      </c>
      <c r="S379" s="137">
        <v>0</v>
      </c>
      <c r="T379" s="138">
        <f>S379*H379</f>
        <v>0</v>
      </c>
      <c r="AR379" s="139" t="s">
        <v>344</v>
      </c>
      <c r="AT379" s="139" t="s">
        <v>339</v>
      </c>
      <c r="AU379" s="139" t="s">
        <v>90</v>
      </c>
      <c r="AY379" s="2" t="s">
        <v>337</v>
      </c>
      <c r="BE379" s="140">
        <f>IF(N379="základní",J379,0)</f>
        <v>0</v>
      </c>
      <c r="BF379" s="140">
        <f>IF(N379="snížená",J379,0)</f>
        <v>0</v>
      </c>
      <c r="BG379" s="140">
        <f>IF(N379="zákl. přenesená",J379,0)</f>
        <v>0</v>
      </c>
      <c r="BH379" s="140">
        <f>IF(N379="sníž. přenesená",J379,0)</f>
        <v>0</v>
      </c>
      <c r="BI379" s="140">
        <f>IF(N379="nulová",J379,0)</f>
        <v>0</v>
      </c>
      <c r="BJ379" s="2" t="s">
        <v>87</v>
      </c>
      <c r="BK379" s="140">
        <f>ROUND(I379*H379,2)</f>
        <v>0</v>
      </c>
      <c r="BL379" s="2" t="s">
        <v>344</v>
      </c>
      <c r="BM379" s="139" t="s">
        <v>3282</v>
      </c>
    </row>
    <row r="380" spans="2:65" s="116" customFormat="1" ht="22.9" customHeight="1" x14ac:dyDescent="0.2">
      <c r="B380" s="117"/>
      <c r="D380" s="118" t="s">
        <v>79</v>
      </c>
      <c r="E380" s="126" t="s">
        <v>422</v>
      </c>
      <c r="F380" s="126" t="s">
        <v>3283</v>
      </c>
      <c r="J380" s="127">
        <f>BK380</f>
        <v>0</v>
      </c>
      <c r="L380" s="117"/>
      <c r="M380" s="121"/>
      <c r="P380" s="122">
        <f>SUM(P381:P402)</f>
        <v>0</v>
      </c>
      <c r="R380" s="122">
        <f>SUM(R381:R402)</f>
        <v>0</v>
      </c>
      <c r="T380" s="123">
        <f>SUM(T381:T402)</f>
        <v>0</v>
      </c>
      <c r="AR380" s="118" t="s">
        <v>87</v>
      </c>
      <c r="AT380" s="124" t="s">
        <v>79</v>
      </c>
      <c r="AU380" s="124" t="s">
        <v>87</v>
      </c>
      <c r="AY380" s="118" t="s">
        <v>337</v>
      </c>
      <c r="BK380" s="125">
        <f>SUM(BK381:BK402)</f>
        <v>0</v>
      </c>
    </row>
    <row r="381" spans="2:65" s="16" customFormat="1" ht="16.5" customHeight="1" x14ac:dyDescent="0.2">
      <c r="B381" s="17"/>
      <c r="C381" s="128">
        <v>42</v>
      </c>
      <c r="D381" s="128" t="s">
        <v>339</v>
      </c>
      <c r="E381" s="129" t="s">
        <v>3284</v>
      </c>
      <c r="F381" s="130" t="s">
        <v>3285</v>
      </c>
      <c r="G381" s="131" t="s">
        <v>425</v>
      </c>
      <c r="H381" s="132">
        <v>60.15</v>
      </c>
      <c r="I381" s="133"/>
      <c r="J381" s="134">
        <f>ROUND(I381*H381,2)</f>
        <v>0</v>
      </c>
      <c r="K381" s="130" t="s">
        <v>343</v>
      </c>
      <c r="L381" s="17"/>
      <c r="M381" s="135"/>
      <c r="N381" s="136" t="s">
        <v>45</v>
      </c>
      <c r="P381" s="137">
        <f>O381*H381</f>
        <v>0</v>
      </c>
      <c r="Q381" s="137">
        <v>0</v>
      </c>
      <c r="R381" s="137">
        <f>Q381*H381</f>
        <v>0</v>
      </c>
      <c r="S381" s="137">
        <v>0</v>
      </c>
      <c r="T381" s="138">
        <f>S381*H381</f>
        <v>0</v>
      </c>
      <c r="AR381" s="139" t="s">
        <v>344</v>
      </c>
      <c r="AT381" s="139" t="s">
        <v>339</v>
      </c>
      <c r="AU381" s="139" t="s">
        <v>90</v>
      </c>
      <c r="AY381" s="2" t="s">
        <v>337</v>
      </c>
      <c r="BE381" s="140">
        <f>IF(N381="základní",J381,0)</f>
        <v>0</v>
      </c>
      <c r="BF381" s="140">
        <f>IF(N381="snížená",J381,0)</f>
        <v>0</v>
      </c>
      <c r="BG381" s="140">
        <f>IF(N381="zákl. přenesená",J381,0)</f>
        <v>0</v>
      </c>
      <c r="BH381" s="140">
        <f>IF(N381="sníž. přenesená",J381,0)</f>
        <v>0</v>
      </c>
      <c r="BI381" s="140">
        <f>IF(N381="nulová",J381,0)</f>
        <v>0</v>
      </c>
      <c r="BJ381" s="2" t="s">
        <v>87</v>
      </c>
      <c r="BK381" s="140">
        <f>ROUND(I381*H381,2)</f>
        <v>0</v>
      </c>
      <c r="BL381" s="2" t="s">
        <v>344</v>
      </c>
      <c r="BM381" s="139" t="s">
        <v>3286</v>
      </c>
    </row>
    <row r="382" spans="2:65" s="141" customFormat="1" x14ac:dyDescent="0.2">
      <c r="B382" s="142"/>
      <c r="D382" s="143" t="s">
        <v>346</v>
      </c>
      <c r="E382" s="144"/>
      <c r="F382" s="145" t="s">
        <v>3287</v>
      </c>
      <c r="H382" s="144"/>
      <c r="L382" s="142"/>
      <c r="M382" s="146"/>
      <c r="T382" s="147"/>
      <c r="AT382" s="144" t="s">
        <v>346</v>
      </c>
      <c r="AU382" s="144" t="s">
        <v>90</v>
      </c>
      <c r="AV382" s="141" t="s">
        <v>87</v>
      </c>
      <c r="AW382" s="141" t="s">
        <v>33</v>
      </c>
      <c r="AX382" s="141" t="s">
        <v>80</v>
      </c>
      <c r="AY382" s="144" t="s">
        <v>337</v>
      </c>
    </row>
    <row r="383" spans="2:65" s="148" customFormat="1" x14ac:dyDescent="0.2">
      <c r="B383" s="149"/>
      <c r="D383" s="143" t="s">
        <v>346</v>
      </c>
      <c r="E383" s="150"/>
      <c r="F383" s="151" t="s">
        <v>3016</v>
      </c>
      <c r="H383" s="152">
        <v>7.75</v>
      </c>
      <c r="L383" s="149"/>
      <c r="M383" s="153"/>
      <c r="T383" s="154"/>
      <c r="AT383" s="150" t="s">
        <v>346</v>
      </c>
      <c r="AU383" s="150" t="s">
        <v>90</v>
      </c>
      <c r="AV383" s="148" t="s">
        <v>90</v>
      </c>
      <c r="AW383" s="148" t="s">
        <v>33</v>
      </c>
      <c r="AX383" s="148" t="s">
        <v>80</v>
      </c>
      <c r="AY383" s="150" t="s">
        <v>337</v>
      </c>
    </row>
    <row r="384" spans="2:65" s="172" customFormat="1" x14ac:dyDescent="0.2">
      <c r="B384" s="173"/>
      <c r="D384" s="143" t="s">
        <v>346</v>
      </c>
      <c r="E384" s="174"/>
      <c r="F384" s="175" t="s">
        <v>609</v>
      </c>
      <c r="H384" s="176">
        <v>7.75</v>
      </c>
      <c r="L384" s="173"/>
      <c r="M384" s="177"/>
      <c r="T384" s="178"/>
      <c r="AT384" s="174" t="s">
        <v>346</v>
      </c>
      <c r="AU384" s="174" t="s">
        <v>90</v>
      </c>
      <c r="AV384" s="172" t="s">
        <v>113</v>
      </c>
      <c r="AW384" s="172" t="s">
        <v>33</v>
      </c>
      <c r="AX384" s="172" t="s">
        <v>80</v>
      </c>
      <c r="AY384" s="174" t="s">
        <v>337</v>
      </c>
    </row>
    <row r="385" spans="2:65" s="141" customFormat="1" x14ac:dyDescent="0.2">
      <c r="B385" s="142"/>
      <c r="D385" s="143" t="s">
        <v>346</v>
      </c>
      <c r="E385" s="144"/>
      <c r="F385" s="145" t="s">
        <v>3288</v>
      </c>
      <c r="H385" s="144"/>
      <c r="L385" s="142"/>
      <c r="M385" s="146"/>
      <c r="T385" s="147"/>
      <c r="AT385" s="144" t="s">
        <v>346</v>
      </c>
      <c r="AU385" s="144" t="s">
        <v>90</v>
      </c>
      <c r="AV385" s="141" t="s">
        <v>87</v>
      </c>
      <c r="AW385" s="141" t="s">
        <v>33</v>
      </c>
      <c r="AX385" s="141" t="s">
        <v>80</v>
      </c>
      <c r="AY385" s="144" t="s">
        <v>337</v>
      </c>
    </row>
    <row r="386" spans="2:65" s="141" customFormat="1" x14ac:dyDescent="0.2">
      <c r="B386" s="142"/>
      <c r="D386" s="143" t="s">
        <v>346</v>
      </c>
      <c r="E386" s="144"/>
      <c r="F386" s="145" t="s">
        <v>3289</v>
      </c>
      <c r="H386" s="144"/>
      <c r="L386" s="142"/>
      <c r="M386" s="146"/>
      <c r="T386" s="147"/>
      <c r="AT386" s="144" t="s">
        <v>346</v>
      </c>
      <c r="AU386" s="144" t="s">
        <v>90</v>
      </c>
      <c r="AV386" s="141" t="s">
        <v>87</v>
      </c>
      <c r="AW386" s="141" t="s">
        <v>33</v>
      </c>
      <c r="AX386" s="141" t="s">
        <v>80</v>
      </c>
      <c r="AY386" s="144" t="s">
        <v>337</v>
      </c>
    </row>
    <row r="387" spans="2:65" s="148" customFormat="1" x14ac:dyDescent="0.2">
      <c r="B387" s="149"/>
      <c r="D387" s="143" t="s">
        <v>346</v>
      </c>
      <c r="E387" s="150"/>
      <c r="F387" s="151" t="s">
        <v>3290</v>
      </c>
      <c r="H387" s="152">
        <v>47.15</v>
      </c>
      <c r="L387" s="149"/>
      <c r="M387" s="153"/>
      <c r="T387" s="154"/>
      <c r="AT387" s="150" t="s">
        <v>346</v>
      </c>
      <c r="AU387" s="150" t="s">
        <v>90</v>
      </c>
      <c r="AV387" s="148" t="s">
        <v>90</v>
      </c>
      <c r="AW387" s="148" t="s">
        <v>33</v>
      </c>
      <c r="AX387" s="148" t="s">
        <v>80</v>
      </c>
      <c r="AY387" s="150" t="s">
        <v>337</v>
      </c>
    </row>
    <row r="388" spans="2:65" s="141" customFormat="1" x14ac:dyDescent="0.2">
      <c r="B388" s="142"/>
      <c r="D388" s="143" t="s">
        <v>346</v>
      </c>
      <c r="E388" s="144"/>
      <c r="F388" s="145" t="s">
        <v>3291</v>
      </c>
      <c r="H388" s="144"/>
      <c r="L388" s="142"/>
      <c r="M388" s="146"/>
      <c r="T388" s="147"/>
      <c r="AT388" s="144" t="s">
        <v>346</v>
      </c>
      <c r="AU388" s="144" t="s">
        <v>90</v>
      </c>
      <c r="AV388" s="141" t="s">
        <v>87</v>
      </c>
      <c r="AW388" s="141" t="s">
        <v>33</v>
      </c>
      <c r="AX388" s="141" t="s">
        <v>80</v>
      </c>
      <c r="AY388" s="144" t="s">
        <v>337</v>
      </c>
    </row>
    <row r="389" spans="2:65" s="148" customFormat="1" x14ac:dyDescent="0.2">
      <c r="B389" s="149"/>
      <c r="D389" s="143" t="s">
        <v>346</v>
      </c>
      <c r="E389" s="150"/>
      <c r="F389" s="151" t="s">
        <v>3292</v>
      </c>
      <c r="H389" s="152">
        <v>5.25</v>
      </c>
      <c r="L389" s="149"/>
      <c r="M389" s="153"/>
      <c r="T389" s="154"/>
      <c r="AT389" s="150" t="s">
        <v>346</v>
      </c>
      <c r="AU389" s="150" t="s">
        <v>90</v>
      </c>
      <c r="AV389" s="148" t="s">
        <v>90</v>
      </c>
      <c r="AW389" s="148" t="s">
        <v>33</v>
      </c>
      <c r="AX389" s="148" t="s">
        <v>80</v>
      </c>
      <c r="AY389" s="150" t="s">
        <v>337</v>
      </c>
    </row>
    <row r="390" spans="2:65" s="172" customFormat="1" x14ac:dyDescent="0.2">
      <c r="B390" s="173"/>
      <c r="D390" s="143" t="s">
        <v>346</v>
      </c>
      <c r="E390" s="174" t="s">
        <v>2979</v>
      </c>
      <c r="F390" s="175" t="s">
        <v>609</v>
      </c>
      <c r="H390" s="176">
        <v>52.4</v>
      </c>
      <c r="L390" s="173"/>
      <c r="M390" s="177"/>
      <c r="T390" s="178"/>
      <c r="AT390" s="174" t="s">
        <v>346</v>
      </c>
      <c r="AU390" s="174" t="s">
        <v>90</v>
      </c>
      <c r="AV390" s="172" t="s">
        <v>113</v>
      </c>
      <c r="AW390" s="172" t="s">
        <v>33</v>
      </c>
      <c r="AX390" s="172" t="s">
        <v>80</v>
      </c>
      <c r="AY390" s="174" t="s">
        <v>337</v>
      </c>
    </row>
    <row r="391" spans="2:65" s="141" customFormat="1" ht="22.5" x14ac:dyDescent="0.2">
      <c r="B391" s="142"/>
      <c r="D391" s="143" t="s">
        <v>346</v>
      </c>
      <c r="E391" s="144"/>
      <c r="F391" s="145" t="s">
        <v>3293</v>
      </c>
      <c r="H391" s="144"/>
      <c r="L391" s="142"/>
      <c r="M391" s="146"/>
      <c r="T391" s="147"/>
      <c r="AT391" s="144" t="s">
        <v>346</v>
      </c>
      <c r="AU391" s="144" t="s">
        <v>90</v>
      </c>
      <c r="AV391" s="141" t="s">
        <v>87</v>
      </c>
      <c r="AW391" s="141" t="s">
        <v>33</v>
      </c>
      <c r="AX391" s="141" t="s">
        <v>80</v>
      </c>
      <c r="AY391" s="144" t="s">
        <v>337</v>
      </c>
    </row>
    <row r="392" spans="2:65" s="155" customFormat="1" x14ac:dyDescent="0.2">
      <c r="B392" s="156"/>
      <c r="D392" s="143" t="s">
        <v>346</v>
      </c>
      <c r="E392" s="157"/>
      <c r="F392" s="158" t="s">
        <v>351</v>
      </c>
      <c r="H392" s="159">
        <v>60.15</v>
      </c>
      <c r="L392" s="156"/>
      <c r="M392" s="160"/>
      <c r="T392" s="161"/>
      <c r="AT392" s="157" t="s">
        <v>346</v>
      </c>
      <c r="AU392" s="157" t="s">
        <v>90</v>
      </c>
      <c r="AV392" s="155" t="s">
        <v>344</v>
      </c>
      <c r="AW392" s="155" t="s">
        <v>33</v>
      </c>
      <c r="AX392" s="155" t="s">
        <v>87</v>
      </c>
      <c r="AY392" s="157" t="s">
        <v>337</v>
      </c>
    </row>
    <row r="393" spans="2:65" s="16" customFormat="1" ht="16.5" customHeight="1" x14ac:dyDescent="0.2">
      <c r="B393" s="17"/>
      <c r="C393" s="128">
        <v>43</v>
      </c>
      <c r="D393" s="128" t="s">
        <v>339</v>
      </c>
      <c r="E393" s="129" t="s">
        <v>3294</v>
      </c>
      <c r="F393" s="130" t="s">
        <v>3295</v>
      </c>
      <c r="G393" s="131" t="s">
        <v>425</v>
      </c>
      <c r="H393" s="132">
        <v>52.4</v>
      </c>
      <c r="I393" s="133"/>
      <c r="J393" s="134">
        <f>ROUND(I393*H393,2)</f>
        <v>0</v>
      </c>
      <c r="K393" s="130" t="s">
        <v>343</v>
      </c>
      <c r="L393" s="17"/>
      <c r="M393" s="135"/>
      <c r="N393" s="136" t="s">
        <v>45</v>
      </c>
      <c r="P393" s="137">
        <f>O393*H393</f>
        <v>0</v>
      </c>
      <c r="Q393" s="137">
        <v>0</v>
      </c>
      <c r="R393" s="137">
        <f>Q393*H393</f>
        <v>0</v>
      </c>
      <c r="S393" s="137">
        <v>0</v>
      </c>
      <c r="T393" s="138">
        <f>S393*H393</f>
        <v>0</v>
      </c>
      <c r="AR393" s="139" t="s">
        <v>344</v>
      </c>
      <c r="AT393" s="139" t="s">
        <v>339</v>
      </c>
      <c r="AU393" s="139" t="s">
        <v>90</v>
      </c>
      <c r="AY393" s="2" t="s">
        <v>337</v>
      </c>
      <c r="BE393" s="140">
        <f>IF(N393="základní",J393,0)</f>
        <v>0</v>
      </c>
      <c r="BF393" s="140">
        <f>IF(N393="snížená",J393,0)</f>
        <v>0</v>
      </c>
      <c r="BG393" s="140">
        <f>IF(N393="zákl. přenesená",J393,0)</f>
        <v>0</v>
      </c>
      <c r="BH393" s="140">
        <f>IF(N393="sníž. přenesená",J393,0)</f>
        <v>0</v>
      </c>
      <c r="BI393" s="140">
        <f>IF(N393="nulová",J393,0)</f>
        <v>0</v>
      </c>
      <c r="BJ393" s="2" t="s">
        <v>87</v>
      </c>
      <c r="BK393" s="140">
        <f>ROUND(I393*H393,2)</f>
        <v>0</v>
      </c>
      <c r="BL393" s="2" t="s">
        <v>344</v>
      </c>
      <c r="BM393" s="139" t="s">
        <v>3296</v>
      </c>
    </row>
    <row r="394" spans="2:65" s="148" customFormat="1" x14ac:dyDescent="0.2">
      <c r="B394" s="149"/>
      <c r="D394" s="143" t="s">
        <v>346</v>
      </c>
      <c r="E394" s="150"/>
      <c r="F394" s="151" t="s">
        <v>2979</v>
      </c>
      <c r="H394" s="152">
        <v>52.4</v>
      </c>
      <c r="L394" s="149"/>
      <c r="M394" s="153"/>
      <c r="T394" s="154"/>
      <c r="AT394" s="150" t="s">
        <v>346</v>
      </c>
      <c r="AU394" s="150" t="s">
        <v>90</v>
      </c>
      <c r="AV394" s="148" t="s">
        <v>90</v>
      </c>
      <c r="AW394" s="148" t="s">
        <v>33</v>
      </c>
      <c r="AX394" s="148" t="s">
        <v>87</v>
      </c>
      <c r="AY394" s="150" t="s">
        <v>337</v>
      </c>
    </row>
    <row r="395" spans="2:65" s="16" customFormat="1" ht="16.5" customHeight="1" x14ac:dyDescent="0.2">
      <c r="B395" s="17"/>
      <c r="C395" s="128">
        <v>44</v>
      </c>
      <c r="D395" s="128" t="s">
        <v>339</v>
      </c>
      <c r="E395" s="129" t="s">
        <v>3297</v>
      </c>
      <c r="F395" s="130" t="s">
        <v>3298</v>
      </c>
      <c r="G395" s="131" t="s">
        <v>425</v>
      </c>
      <c r="H395" s="132">
        <v>52.4</v>
      </c>
      <c r="I395" s="133"/>
      <c r="J395" s="134">
        <f>ROUND(I395*H395,2)</f>
        <v>0</v>
      </c>
      <c r="K395" s="130" t="s">
        <v>343</v>
      </c>
      <c r="L395" s="17"/>
      <c r="M395" s="135"/>
      <c r="N395" s="136" t="s">
        <v>45</v>
      </c>
      <c r="P395" s="137">
        <f>O395*H395</f>
        <v>0</v>
      </c>
      <c r="Q395" s="137">
        <v>0</v>
      </c>
      <c r="R395" s="137">
        <f>Q395*H395</f>
        <v>0</v>
      </c>
      <c r="S395" s="137">
        <v>0</v>
      </c>
      <c r="T395" s="138">
        <f>S395*H395</f>
        <v>0</v>
      </c>
      <c r="AR395" s="139" t="s">
        <v>344</v>
      </c>
      <c r="AT395" s="139" t="s">
        <v>339</v>
      </c>
      <c r="AU395" s="139" t="s">
        <v>90</v>
      </c>
      <c r="AY395" s="2" t="s">
        <v>337</v>
      </c>
      <c r="BE395" s="140">
        <f>IF(N395="základní",J395,0)</f>
        <v>0</v>
      </c>
      <c r="BF395" s="140">
        <f>IF(N395="snížená",J395,0)</f>
        <v>0</v>
      </c>
      <c r="BG395" s="140">
        <f>IF(N395="zákl. přenesená",J395,0)</f>
        <v>0</v>
      </c>
      <c r="BH395" s="140">
        <f>IF(N395="sníž. přenesená",J395,0)</f>
        <v>0</v>
      </c>
      <c r="BI395" s="140">
        <f>IF(N395="nulová",J395,0)</f>
        <v>0</v>
      </c>
      <c r="BJ395" s="2" t="s">
        <v>87</v>
      </c>
      <c r="BK395" s="140">
        <f>ROUND(I395*H395,2)</f>
        <v>0</v>
      </c>
      <c r="BL395" s="2" t="s">
        <v>344</v>
      </c>
      <c r="BM395" s="139" t="s">
        <v>3299</v>
      </c>
    </row>
    <row r="396" spans="2:65" s="148" customFormat="1" x14ac:dyDescent="0.2">
      <c r="B396" s="149"/>
      <c r="D396" s="143" t="s">
        <v>346</v>
      </c>
      <c r="E396" s="150"/>
      <c r="F396" s="151" t="s">
        <v>2979</v>
      </c>
      <c r="H396" s="152">
        <v>52.4</v>
      </c>
      <c r="L396" s="149"/>
      <c r="M396" s="153"/>
      <c r="T396" s="154"/>
      <c r="AT396" s="150" t="s">
        <v>346</v>
      </c>
      <c r="AU396" s="150" t="s">
        <v>90</v>
      </c>
      <c r="AV396" s="148" t="s">
        <v>90</v>
      </c>
      <c r="AW396" s="148" t="s">
        <v>33</v>
      </c>
      <c r="AX396" s="148" t="s">
        <v>87</v>
      </c>
      <c r="AY396" s="150" t="s">
        <v>337</v>
      </c>
    </row>
    <row r="397" spans="2:65" s="16" customFormat="1" ht="16.5" customHeight="1" x14ac:dyDescent="0.2">
      <c r="B397" s="17"/>
      <c r="C397" s="128">
        <v>45</v>
      </c>
      <c r="D397" s="128" t="s">
        <v>339</v>
      </c>
      <c r="E397" s="129" t="s">
        <v>3300</v>
      </c>
      <c r="F397" s="130" t="s">
        <v>3301</v>
      </c>
      <c r="G397" s="131" t="s">
        <v>425</v>
      </c>
      <c r="H397" s="132">
        <v>52.4</v>
      </c>
      <c r="I397" s="133"/>
      <c r="J397" s="134">
        <f>ROUND(I397*H397,2)</f>
        <v>0</v>
      </c>
      <c r="K397" s="130" t="s">
        <v>343</v>
      </c>
      <c r="L397" s="17"/>
      <c r="M397" s="135"/>
      <c r="N397" s="136" t="s">
        <v>45</v>
      </c>
      <c r="P397" s="137">
        <f>O397*H397</f>
        <v>0</v>
      </c>
      <c r="Q397" s="137">
        <v>0</v>
      </c>
      <c r="R397" s="137">
        <f>Q397*H397</f>
        <v>0</v>
      </c>
      <c r="S397" s="137">
        <v>0</v>
      </c>
      <c r="T397" s="138">
        <f>S397*H397</f>
        <v>0</v>
      </c>
      <c r="AR397" s="139" t="s">
        <v>344</v>
      </c>
      <c r="AT397" s="139" t="s">
        <v>339</v>
      </c>
      <c r="AU397" s="139" t="s">
        <v>90</v>
      </c>
      <c r="AY397" s="2" t="s">
        <v>337</v>
      </c>
      <c r="BE397" s="140">
        <f>IF(N397="základní",J397,0)</f>
        <v>0</v>
      </c>
      <c r="BF397" s="140">
        <f>IF(N397="snížená",J397,0)</f>
        <v>0</v>
      </c>
      <c r="BG397" s="140">
        <f>IF(N397="zákl. přenesená",J397,0)</f>
        <v>0</v>
      </c>
      <c r="BH397" s="140">
        <f>IF(N397="sníž. přenesená",J397,0)</f>
        <v>0</v>
      </c>
      <c r="BI397" s="140">
        <f>IF(N397="nulová",J397,0)</f>
        <v>0</v>
      </c>
      <c r="BJ397" s="2" t="s">
        <v>87</v>
      </c>
      <c r="BK397" s="140">
        <f>ROUND(I397*H397,2)</f>
        <v>0</v>
      </c>
      <c r="BL397" s="2" t="s">
        <v>344</v>
      </c>
      <c r="BM397" s="139" t="s">
        <v>3302</v>
      </c>
    </row>
    <row r="398" spans="2:65" s="148" customFormat="1" x14ac:dyDescent="0.2">
      <c r="B398" s="149"/>
      <c r="D398" s="143" t="s">
        <v>346</v>
      </c>
      <c r="E398" s="150"/>
      <c r="F398" s="151" t="s">
        <v>2979</v>
      </c>
      <c r="H398" s="152">
        <v>52.4</v>
      </c>
      <c r="L398" s="149"/>
      <c r="M398" s="153"/>
      <c r="T398" s="154"/>
      <c r="AT398" s="150" t="s">
        <v>346</v>
      </c>
      <c r="AU398" s="150" t="s">
        <v>90</v>
      </c>
      <c r="AV398" s="148" t="s">
        <v>90</v>
      </c>
      <c r="AW398" s="148" t="s">
        <v>33</v>
      </c>
      <c r="AX398" s="148" t="s">
        <v>87</v>
      </c>
      <c r="AY398" s="150" t="s">
        <v>337</v>
      </c>
    </row>
    <row r="399" spans="2:65" s="16" customFormat="1" ht="16.5" customHeight="1" x14ac:dyDescent="0.2">
      <c r="B399" s="17"/>
      <c r="C399" s="128">
        <v>46</v>
      </c>
      <c r="D399" s="128" t="s">
        <v>339</v>
      </c>
      <c r="E399" s="129" t="s">
        <v>3303</v>
      </c>
      <c r="F399" s="130" t="s">
        <v>3304</v>
      </c>
      <c r="G399" s="131" t="s">
        <v>425</v>
      </c>
      <c r="H399" s="132">
        <v>52.4</v>
      </c>
      <c r="I399" s="133"/>
      <c r="J399" s="134">
        <f>ROUND(I399*H399,2)</f>
        <v>0</v>
      </c>
      <c r="K399" s="130" t="s">
        <v>343</v>
      </c>
      <c r="L399" s="17"/>
      <c r="M399" s="135"/>
      <c r="N399" s="136" t="s">
        <v>45</v>
      </c>
      <c r="P399" s="137">
        <f>O399*H399</f>
        <v>0</v>
      </c>
      <c r="Q399" s="137">
        <v>0</v>
      </c>
      <c r="R399" s="137">
        <f>Q399*H399</f>
        <v>0</v>
      </c>
      <c r="S399" s="137">
        <v>0</v>
      </c>
      <c r="T399" s="138">
        <f>S399*H399</f>
        <v>0</v>
      </c>
      <c r="AR399" s="139" t="s">
        <v>344</v>
      </c>
      <c r="AT399" s="139" t="s">
        <v>339</v>
      </c>
      <c r="AU399" s="139" t="s">
        <v>90</v>
      </c>
      <c r="AY399" s="2" t="s">
        <v>337</v>
      </c>
      <c r="BE399" s="140">
        <f>IF(N399="základní",J399,0)</f>
        <v>0</v>
      </c>
      <c r="BF399" s="140">
        <f>IF(N399="snížená",J399,0)</f>
        <v>0</v>
      </c>
      <c r="BG399" s="140">
        <f>IF(N399="zákl. přenesená",J399,0)</f>
        <v>0</v>
      </c>
      <c r="BH399" s="140">
        <f>IF(N399="sníž. přenesená",J399,0)</f>
        <v>0</v>
      </c>
      <c r="BI399" s="140">
        <f>IF(N399="nulová",J399,0)</f>
        <v>0</v>
      </c>
      <c r="BJ399" s="2" t="s">
        <v>87</v>
      </c>
      <c r="BK399" s="140">
        <f>ROUND(I399*H399,2)</f>
        <v>0</v>
      </c>
      <c r="BL399" s="2" t="s">
        <v>344</v>
      </c>
      <c r="BM399" s="139" t="s">
        <v>3305</v>
      </c>
    </row>
    <row r="400" spans="2:65" s="148" customFormat="1" x14ac:dyDescent="0.2">
      <c r="B400" s="149"/>
      <c r="D400" s="143" t="s">
        <v>346</v>
      </c>
      <c r="E400" s="150"/>
      <c r="F400" s="151" t="s">
        <v>2979</v>
      </c>
      <c r="H400" s="152">
        <v>52.4</v>
      </c>
      <c r="L400" s="149"/>
      <c r="M400" s="153"/>
      <c r="T400" s="154"/>
      <c r="AT400" s="150" t="s">
        <v>346</v>
      </c>
      <c r="AU400" s="150" t="s">
        <v>90</v>
      </c>
      <c r="AV400" s="148" t="s">
        <v>90</v>
      </c>
      <c r="AW400" s="148" t="s">
        <v>33</v>
      </c>
      <c r="AX400" s="148" t="s">
        <v>87</v>
      </c>
      <c r="AY400" s="150" t="s">
        <v>337</v>
      </c>
    </row>
    <row r="401" spans="2:65" s="16" customFormat="1" ht="16.5" customHeight="1" x14ac:dyDescent="0.2">
      <c r="B401" s="17"/>
      <c r="C401" s="128">
        <v>47</v>
      </c>
      <c r="D401" s="128" t="s">
        <v>339</v>
      </c>
      <c r="E401" s="129" t="s">
        <v>3306</v>
      </c>
      <c r="F401" s="130" t="s">
        <v>3307</v>
      </c>
      <c r="G401" s="131" t="s">
        <v>425</v>
      </c>
      <c r="H401" s="132">
        <v>52.4</v>
      </c>
      <c r="I401" s="133"/>
      <c r="J401" s="134">
        <f>ROUND(I401*H401,2)</f>
        <v>0</v>
      </c>
      <c r="K401" s="130" t="s">
        <v>343</v>
      </c>
      <c r="L401" s="17"/>
      <c r="M401" s="135"/>
      <c r="N401" s="136" t="s">
        <v>45</v>
      </c>
      <c r="P401" s="137">
        <f>O401*H401</f>
        <v>0</v>
      </c>
      <c r="Q401" s="137">
        <v>0</v>
      </c>
      <c r="R401" s="137">
        <f>Q401*H401</f>
        <v>0</v>
      </c>
      <c r="S401" s="137">
        <v>0</v>
      </c>
      <c r="T401" s="138">
        <f>S401*H401</f>
        <v>0</v>
      </c>
      <c r="AR401" s="139" t="s">
        <v>344</v>
      </c>
      <c r="AT401" s="139" t="s">
        <v>339</v>
      </c>
      <c r="AU401" s="139" t="s">
        <v>90</v>
      </c>
      <c r="AY401" s="2" t="s">
        <v>337</v>
      </c>
      <c r="BE401" s="140">
        <f>IF(N401="základní",J401,0)</f>
        <v>0</v>
      </c>
      <c r="BF401" s="140">
        <f>IF(N401="snížená",J401,0)</f>
        <v>0</v>
      </c>
      <c r="BG401" s="140">
        <f>IF(N401="zákl. přenesená",J401,0)</f>
        <v>0</v>
      </c>
      <c r="BH401" s="140">
        <f>IF(N401="sníž. přenesená",J401,0)</f>
        <v>0</v>
      </c>
      <c r="BI401" s="140">
        <f>IF(N401="nulová",J401,0)</f>
        <v>0</v>
      </c>
      <c r="BJ401" s="2" t="s">
        <v>87</v>
      </c>
      <c r="BK401" s="140">
        <f>ROUND(I401*H401,2)</f>
        <v>0</v>
      </c>
      <c r="BL401" s="2" t="s">
        <v>344</v>
      </c>
      <c r="BM401" s="139" t="s">
        <v>3308</v>
      </c>
    </row>
    <row r="402" spans="2:65" s="148" customFormat="1" x14ac:dyDescent="0.2">
      <c r="B402" s="149"/>
      <c r="D402" s="143" t="s">
        <v>346</v>
      </c>
      <c r="E402" s="150"/>
      <c r="F402" s="151" t="s">
        <v>2979</v>
      </c>
      <c r="H402" s="152">
        <v>52.4</v>
      </c>
      <c r="L402" s="149"/>
      <c r="M402" s="153"/>
      <c r="T402" s="154"/>
      <c r="AT402" s="150" t="s">
        <v>346</v>
      </c>
      <c r="AU402" s="150" t="s">
        <v>90</v>
      </c>
      <c r="AV402" s="148" t="s">
        <v>90</v>
      </c>
      <c r="AW402" s="148" t="s">
        <v>33</v>
      </c>
      <c r="AX402" s="148" t="s">
        <v>87</v>
      </c>
      <c r="AY402" s="150" t="s">
        <v>337</v>
      </c>
    </row>
    <row r="403" spans="2:65" s="116" customFormat="1" ht="22.9" customHeight="1" x14ac:dyDescent="0.2">
      <c r="B403" s="117"/>
      <c r="D403" s="118" t="s">
        <v>79</v>
      </c>
      <c r="E403" s="126" t="s">
        <v>430</v>
      </c>
      <c r="F403" s="126" t="s">
        <v>565</v>
      </c>
      <c r="J403" s="127">
        <f>BK403</f>
        <v>0</v>
      </c>
      <c r="L403" s="117"/>
      <c r="M403" s="121"/>
      <c r="P403" s="122">
        <f>SUM(P404:P1110)</f>
        <v>0</v>
      </c>
      <c r="R403" s="122">
        <f>SUM(R404:R1110)</f>
        <v>208.78914035</v>
      </c>
      <c r="T403" s="123">
        <f>SUM(T404:T1110)</f>
        <v>0</v>
      </c>
      <c r="AR403" s="118" t="s">
        <v>87</v>
      </c>
      <c r="AT403" s="124" t="s">
        <v>79</v>
      </c>
      <c r="AU403" s="124" t="s">
        <v>87</v>
      </c>
      <c r="AY403" s="118" t="s">
        <v>337</v>
      </c>
      <c r="BK403" s="125">
        <f>SUM(BK404:BK1110)</f>
        <v>0</v>
      </c>
    </row>
    <row r="404" spans="2:65" s="16" customFormat="1" ht="16.5" customHeight="1" x14ac:dyDescent="0.2">
      <c r="B404" s="17"/>
      <c r="C404" s="128">
        <v>48</v>
      </c>
      <c r="D404" s="128" t="s">
        <v>339</v>
      </c>
      <c r="E404" s="129" t="s">
        <v>3309</v>
      </c>
      <c r="F404" s="130" t="s">
        <v>3310</v>
      </c>
      <c r="G404" s="131" t="s">
        <v>425</v>
      </c>
      <c r="H404" s="132">
        <v>295.45</v>
      </c>
      <c r="I404" s="133"/>
      <c r="J404" s="134">
        <f>ROUND(I404*H404,2)</f>
        <v>0</v>
      </c>
      <c r="K404" s="130" t="s">
        <v>343</v>
      </c>
      <c r="L404" s="17"/>
      <c r="M404" s="135"/>
      <c r="N404" s="136" t="s">
        <v>45</v>
      </c>
      <c r="P404" s="137">
        <f>O404*H404</f>
        <v>0</v>
      </c>
      <c r="Q404" s="137">
        <v>2.5999999999999998E-4</v>
      </c>
      <c r="R404" s="137">
        <f>Q404*H404</f>
        <v>7.6816999999999996E-2</v>
      </c>
      <c r="S404" s="137">
        <v>0</v>
      </c>
      <c r="T404" s="138">
        <f>S404*H404</f>
        <v>0</v>
      </c>
      <c r="AR404" s="139" t="s">
        <v>344</v>
      </c>
      <c r="AT404" s="139" t="s">
        <v>339</v>
      </c>
      <c r="AU404" s="139" t="s">
        <v>90</v>
      </c>
      <c r="AY404" s="2" t="s">
        <v>337</v>
      </c>
      <c r="BE404" s="140">
        <f>IF(N404="základní",J404,0)</f>
        <v>0</v>
      </c>
      <c r="BF404" s="140">
        <f>IF(N404="snížená",J404,0)</f>
        <v>0</v>
      </c>
      <c r="BG404" s="140">
        <f>IF(N404="zákl. přenesená",J404,0)</f>
        <v>0</v>
      </c>
      <c r="BH404" s="140">
        <f>IF(N404="sníž. přenesená",J404,0)</f>
        <v>0</v>
      </c>
      <c r="BI404" s="140">
        <f>IF(N404="nulová",J404,0)</f>
        <v>0</v>
      </c>
      <c r="BJ404" s="2" t="s">
        <v>87</v>
      </c>
      <c r="BK404" s="140">
        <f>ROUND(I404*H404,2)</f>
        <v>0</v>
      </c>
      <c r="BL404" s="2" t="s">
        <v>344</v>
      </c>
      <c r="BM404" s="139" t="s">
        <v>3311</v>
      </c>
    </row>
    <row r="405" spans="2:65" s="141" customFormat="1" x14ac:dyDescent="0.2">
      <c r="B405" s="142"/>
      <c r="D405" s="143" t="s">
        <v>346</v>
      </c>
      <c r="E405" s="144"/>
      <c r="F405" s="145" t="s">
        <v>3312</v>
      </c>
      <c r="H405" s="144"/>
      <c r="L405" s="142"/>
      <c r="M405" s="146"/>
      <c r="T405" s="147"/>
      <c r="AT405" s="144" t="s">
        <v>346</v>
      </c>
      <c r="AU405" s="144" t="s">
        <v>90</v>
      </c>
      <c r="AV405" s="141" t="s">
        <v>87</v>
      </c>
      <c r="AW405" s="141" t="s">
        <v>33</v>
      </c>
      <c r="AX405" s="141" t="s">
        <v>80</v>
      </c>
      <c r="AY405" s="144" t="s">
        <v>337</v>
      </c>
    </row>
    <row r="406" spans="2:65" s="148" customFormat="1" x14ac:dyDescent="0.2">
      <c r="B406" s="149"/>
      <c r="D406" s="143" t="s">
        <v>346</v>
      </c>
      <c r="E406" s="150"/>
      <c r="F406" s="151" t="s">
        <v>3012</v>
      </c>
      <c r="H406" s="152">
        <v>56.335000000000001</v>
      </c>
      <c r="L406" s="149"/>
      <c r="M406" s="153"/>
      <c r="T406" s="154"/>
      <c r="AT406" s="150" t="s">
        <v>346</v>
      </c>
      <c r="AU406" s="150" t="s">
        <v>90</v>
      </c>
      <c r="AV406" s="148" t="s">
        <v>90</v>
      </c>
      <c r="AW406" s="148" t="s">
        <v>33</v>
      </c>
      <c r="AX406" s="148" t="s">
        <v>80</v>
      </c>
      <c r="AY406" s="150" t="s">
        <v>337</v>
      </c>
    </row>
    <row r="407" spans="2:65" s="148" customFormat="1" x14ac:dyDescent="0.2">
      <c r="B407" s="149"/>
      <c r="D407" s="143" t="s">
        <v>346</v>
      </c>
      <c r="E407" s="150"/>
      <c r="F407" s="151" t="s">
        <v>3010</v>
      </c>
      <c r="H407" s="152">
        <v>239.11500000000001</v>
      </c>
      <c r="L407" s="149"/>
      <c r="M407" s="153"/>
      <c r="T407" s="154"/>
      <c r="AT407" s="150" t="s">
        <v>346</v>
      </c>
      <c r="AU407" s="150" t="s">
        <v>90</v>
      </c>
      <c r="AV407" s="148" t="s">
        <v>90</v>
      </c>
      <c r="AW407" s="148" t="s">
        <v>33</v>
      </c>
      <c r="AX407" s="148" t="s">
        <v>80</v>
      </c>
      <c r="AY407" s="150" t="s">
        <v>337</v>
      </c>
    </row>
    <row r="408" spans="2:65" s="155" customFormat="1" x14ac:dyDescent="0.2">
      <c r="B408" s="156"/>
      <c r="D408" s="143" t="s">
        <v>346</v>
      </c>
      <c r="E408" s="157"/>
      <c r="F408" s="158" t="s">
        <v>351</v>
      </c>
      <c r="H408" s="159">
        <v>295.45</v>
      </c>
      <c r="L408" s="156"/>
      <c r="M408" s="160"/>
      <c r="T408" s="161"/>
      <c r="AT408" s="157" t="s">
        <v>346</v>
      </c>
      <c r="AU408" s="157" t="s">
        <v>90</v>
      </c>
      <c r="AV408" s="155" t="s">
        <v>344</v>
      </c>
      <c r="AW408" s="155" t="s">
        <v>33</v>
      </c>
      <c r="AX408" s="155" t="s">
        <v>87</v>
      </c>
      <c r="AY408" s="157" t="s">
        <v>337</v>
      </c>
    </row>
    <row r="409" spans="2:65" s="16" customFormat="1" ht="16.5" customHeight="1" x14ac:dyDescent="0.2">
      <c r="B409" s="17"/>
      <c r="C409" s="128">
        <v>49</v>
      </c>
      <c r="D409" s="128" t="s">
        <v>339</v>
      </c>
      <c r="E409" s="129" t="s">
        <v>3313</v>
      </c>
      <c r="F409" s="130" t="s">
        <v>3314</v>
      </c>
      <c r="G409" s="131" t="s">
        <v>425</v>
      </c>
      <c r="H409" s="132">
        <v>295.45</v>
      </c>
      <c r="I409" s="133"/>
      <c r="J409" s="134">
        <f>ROUND(I409*H409,2)</f>
        <v>0</v>
      </c>
      <c r="K409" s="130" t="s">
        <v>343</v>
      </c>
      <c r="L409" s="17"/>
      <c r="M409" s="135"/>
      <c r="N409" s="136" t="s">
        <v>45</v>
      </c>
      <c r="P409" s="137">
        <f>O409*H409</f>
        <v>0</v>
      </c>
      <c r="Q409" s="137">
        <v>2.0000000000000001E-4</v>
      </c>
      <c r="R409" s="137">
        <f>Q409*H409</f>
        <v>5.9090000000000004E-2</v>
      </c>
      <c r="S409" s="137">
        <v>0</v>
      </c>
      <c r="T409" s="138">
        <f>S409*H409</f>
        <v>0</v>
      </c>
      <c r="AR409" s="139" t="s">
        <v>344</v>
      </c>
      <c r="AT409" s="139" t="s">
        <v>339</v>
      </c>
      <c r="AU409" s="139" t="s">
        <v>90</v>
      </c>
      <c r="AY409" s="2" t="s">
        <v>337</v>
      </c>
      <c r="BE409" s="140">
        <f>IF(N409="základní",J409,0)</f>
        <v>0</v>
      </c>
      <c r="BF409" s="140">
        <f>IF(N409="snížená",J409,0)</f>
        <v>0</v>
      </c>
      <c r="BG409" s="140">
        <f>IF(N409="zákl. přenesená",J409,0)</f>
        <v>0</v>
      </c>
      <c r="BH409" s="140">
        <f>IF(N409="sníž. přenesená",J409,0)</f>
        <v>0</v>
      </c>
      <c r="BI409" s="140">
        <f>IF(N409="nulová",J409,0)</f>
        <v>0</v>
      </c>
      <c r="BJ409" s="2" t="s">
        <v>87</v>
      </c>
      <c r="BK409" s="140">
        <f>ROUND(I409*H409,2)</f>
        <v>0</v>
      </c>
      <c r="BL409" s="2" t="s">
        <v>344</v>
      </c>
      <c r="BM409" s="139" t="s">
        <v>3315</v>
      </c>
    </row>
    <row r="410" spans="2:65" s="141" customFormat="1" x14ac:dyDescent="0.2">
      <c r="B410" s="142"/>
      <c r="D410" s="143" t="s">
        <v>346</v>
      </c>
      <c r="E410" s="144"/>
      <c r="F410" s="145" t="s">
        <v>3316</v>
      </c>
      <c r="H410" s="144"/>
      <c r="L410" s="142"/>
      <c r="M410" s="146"/>
      <c r="T410" s="147"/>
      <c r="AT410" s="144" t="s">
        <v>346</v>
      </c>
      <c r="AU410" s="144" t="s">
        <v>90</v>
      </c>
      <c r="AV410" s="141" t="s">
        <v>87</v>
      </c>
      <c r="AW410" s="141" t="s">
        <v>33</v>
      </c>
      <c r="AX410" s="141" t="s">
        <v>80</v>
      </c>
      <c r="AY410" s="144" t="s">
        <v>337</v>
      </c>
    </row>
    <row r="411" spans="2:65" s="148" customFormat="1" x14ac:dyDescent="0.2">
      <c r="B411" s="149"/>
      <c r="D411" s="143" t="s">
        <v>346</v>
      </c>
      <c r="E411" s="150"/>
      <c r="F411" s="151" t="s">
        <v>2983</v>
      </c>
      <c r="H411" s="152">
        <v>115.79</v>
      </c>
      <c r="L411" s="149"/>
      <c r="M411" s="153"/>
      <c r="T411" s="154"/>
      <c r="AT411" s="150" t="s">
        <v>346</v>
      </c>
      <c r="AU411" s="150" t="s">
        <v>90</v>
      </c>
      <c r="AV411" s="148" t="s">
        <v>90</v>
      </c>
      <c r="AW411" s="148" t="s">
        <v>33</v>
      </c>
      <c r="AX411" s="148" t="s">
        <v>80</v>
      </c>
      <c r="AY411" s="150" t="s">
        <v>337</v>
      </c>
    </row>
    <row r="412" spans="2:65" s="148" customFormat="1" x14ac:dyDescent="0.2">
      <c r="B412" s="149"/>
      <c r="D412" s="143" t="s">
        <v>346</v>
      </c>
      <c r="E412" s="150"/>
      <c r="F412" s="151" t="s">
        <v>2989</v>
      </c>
      <c r="H412" s="152">
        <v>179.66</v>
      </c>
      <c r="L412" s="149"/>
      <c r="M412" s="153"/>
      <c r="T412" s="154"/>
      <c r="AT412" s="150" t="s">
        <v>346</v>
      </c>
      <c r="AU412" s="150" t="s">
        <v>90</v>
      </c>
      <c r="AV412" s="148" t="s">
        <v>90</v>
      </c>
      <c r="AW412" s="148" t="s">
        <v>33</v>
      </c>
      <c r="AX412" s="148" t="s">
        <v>80</v>
      </c>
      <c r="AY412" s="150" t="s">
        <v>337</v>
      </c>
    </row>
    <row r="413" spans="2:65" s="155" customFormat="1" x14ac:dyDescent="0.2">
      <c r="B413" s="156"/>
      <c r="D413" s="143" t="s">
        <v>346</v>
      </c>
      <c r="E413" s="157"/>
      <c r="F413" s="158" t="s">
        <v>351</v>
      </c>
      <c r="H413" s="159">
        <v>295.45</v>
      </c>
      <c r="L413" s="156"/>
      <c r="M413" s="160"/>
      <c r="T413" s="161"/>
      <c r="AT413" s="157" t="s">
        <v>346</v>
      </c>
      <c r="AU413" s="157" t="s">
        <v>90</v>
      </c>
      <c r="AV413" s="155" t="s">
        <v>344</v>
      </c>
      <c r="AW413" s="155" t="s">
        <v>33</v>
      </c>
      <c r="AX413" s="155" t="s">
        <v>87</v>
      </c>
      <c r="AY413" s="157" t="s">
        <v>337</v>
      </c>
    </row>
    <row r="414" spans="2:65" s="16" customFormat="1" ht="24.2" customHeight="1" x14ac:dyDescent="0.2">
      <c r="B414" s="17"/>
      <c r="C414" s="128">
        <v>50</v>
      </c>
      <c r="D414" s="128" t="s">
        <v>339</v>
      </c>
      <c r="E414" s="129" t="s">
        <v>3317</v>
      </c>
      <c r="F414" s="130" t="s">
        <v>3318</v>
      </c>
      <c r="G414" s="131" t="s">
        <v>425</v>
      </c>
      <c r="H414" s="132">
        <v>56.335000000000001</v>
      </c>
      <c r="I414" s="133"/>
      <c r="J414" s="134">
        <f>ROUND(I414*H414,2)</f>
        <v>0</v>
      </c>
      <c r="K414" s="130" t="s">
        <v>343</v>
      </c>
      <c r="L414" s="17"/>
      <c r="M414" s="135"/>
      <c r="N414" s="136" t="s">
        <v>45</v>
      </c>
      <c r="P414" s="137">
        <f>O414*H414</f>
        <v>0</v>
      </c>
      <c r="Q414" s="137">
        <v>1.1390000000000001E-2</v>
      </c>
      <c r="R414" s="137">
        <f>Q414*H414</f>
        <v>0.64165565000000002</v>
      </c>
      <c r="S414" s="137">
        <v>0</v>
      </c>
      <c r="T414" s="138">
        <f>S414*H414</f>
        <v>0</v>
      </c>
      <c r="AR414" s="139" t="s">
        <v>344</v>
      </c>
      <c r="AT414" s="139" t="s">
        <v>339</v>
      </c>
      <c r="AU414" s="139" t="s">
        <v>90</v>
      </c>
      <c r="AY414" s="2" t="s">
        <v>337</v>
      </c>
      <c r="BE414" s="140">
        <f>IF(N414="základní",J414,0)</f>
        <v>0</v>
      </c>
      <c r="BF414" s="140">
        <f>IF(N414="snížená",J414,0)</f>
        <v>0</v>
      </c>
      <c r="BG414" s="140">
        <f>IF(N414="zákl. přenesená",J414,0)</f>
        <v>0</v>
      </c>
      <c r="BH414" s="140">
        <f>IF(N414="sníž. přenesená",J414,0)</f>
        <v>0</v>
      </c>
      <c r="BI414" s="140">
        <f>IF(N414="nulová",J414,0)</f>
        <v>0</v>
      </c>
      <c r="BJ414" s="2" t="s">
        <v>87</v>
      </c>
      <c r="BK414" s="140">
        <f>ROUND(I414*H414,2)</f>
        <v>0</v>
      </c>
      <c r="BL414" s="2" t="s">
        <v>344</v>
      </c>
      <c r="BM414" s="139" t="s">
        <v>3319</v>
      </c>
    </row>
    <row r="415" spans="2:65" s="141" customFormat="1" x14ac:dyDescent="0.2">
      <c r="B415" s="142"/>
      <c r="D415" s="143" t="s">
        <v>346</v>
      </c>
      <c r="E415" s="144"/>
      <c r="F415" s="145" t="s">
        <v>3320</v>
      </c>
      <c r="H415" s="144"/>
      <c r="L415" s="142"/>
      <c r="M415" s="146"/>
      <c r="T415" s="147"/>
      <c r="AT415" s="144" t="s">
        <v>346</v>
      </c>
      <c r="AU415" s="144" t="s">
        <v>90</v>
      </c>
      <c r="AV415" s="141" t="s">
        <v>87</v>
      </c>
      <c r="AW415" s="141" t="s">
        <v>33</v>
      </c>
      <c r="AX415" s="141" t="s">
        <v>80</v>
      </c>
      <c r="AY415" s="144" t="s">
        <v>337</v>
      </c>
    </row>
    <row r="416" spans="2:65" s="141" customFormat="1" x14ac:dyDescent="0.2">
      <c r="B416" s="142"/>
      <c r="D416" s="143" t="s">
        <v>346</v>
      </c>
      <c r="E416" s="144"/>
      <c r="F416" s="145" t="s">
        <v>3321</v>
      </c>
      <c r="H416" s="144"/>
      <c r="L416" s="142"/>
      <c r="M416" s="146"/>
      <c r="T416" s="147"/>
      <c r="AT416" s="144" t="s">
        <v>346</v>
      </c>
      <c r="AU416" s="144" t="s">
        <v>90</v>
      </c>
      <c r="AV416" s="141" t="s">
        <v>87</v>
      </c>
      <c r="AW416" s="141" t="s">
        <v>33</v>
      </c>
      <c r="AX416" s="141" t="s">
        <v>80</v>
      </c>
      <c r="AY416" s="144" t="s">
        <v>337</v>
      </c>
    </row>
    <row r="417" spans="2:65" s="141" customFormat="1" x14ac:dyDescent="0.2">
      <c r="B417" s="142"/>
      <c r="D417" s="143" t="s">
        <v>346</v>
      </c>
      <c r="E417" s="144"/>
      <c r="F417" s="145" t="s">
        <v>3322</v>
      </c>
      <c r="H417" s="144"/>
      <c r="L417" s="142"/>
      <c r="M417" s="146"/>
      <c r="T417" s="147"/>
      <c r="AT417" s="144" t="s">
        <v>346</v>
      </c>
      <c r="AU417" s="144" t="s">
        <v>90</v>
      </c>
      <c r="AV417" s="141" t="s">
        <v>87</v>
      </c>
      <c r="AW417" s="141" t="s">
        <v>33</v>
      </c>
      <c r="AX417" s="141" t="s">
        <v>80</v>
      </c>
      <c r="AY417" s="144" t="s">
        <v>337</v>
      </c>
    </row>
    <row r="418" spans="2:65" s="148" customFormat="1" x14ac:dyDescent="0.2">
      <c r="B418" s="149"/>
      <c r="D418" s="143" t="s">
        <v>346</v>
      </c>
      <c r="E418" s="150"/>
      <c r="F418" s="151" t="s">
        <v>3323</v>
      </c>
      <c r="H418" s="152">
        <v>15.36</v>
      </c>
      <c r="L418" s="149"/>
      <c r="M418" s="153"/>
      <c r="T418" s="154"/>
      <c r="AT418" s="150" t="s">
        <v>346</v>
      </c>
      <c r="AU418" s="150" t="s">
        <v>90</v>
      </c>
      <c r="AV418" s="148" t="s">
        <v>90</v>
      </c>
      <c r="AW418" s="148" t="s">
        <v>33</v>
      </c>
      <c r="AX418" s="148" t="s">
        <v>80</v>
      </c>
      <c r="AY418" s="150" t="s">
        <v>337</v>
      </c>
    </row>
    <row r="419" spans="2:65" s="148" customFormat="1" x14ac:dyDescent="0.2">
      <c r="B419" s="149"/>
      <c r="D419" s="143" t="s">
        <v>346</v>
      </c>
      <c r="E419" s="150"/>
      <c r="F419" s="151" t="s">
        <v>3324</v>
      </c>
      <c r="H419" s="152">
        <v>40.975000000000001</v>
      </c>
      <c r="L419" s="149"/>
      <c r="M419" s="153"/>
      <c r="T419" s="154"/>
      <c r="AT419" s="150" t="s">
        <v>346</v>
      </c>
      <c r="AU419" s="150" t="s">
        <v>90</v>
      </c>
      <c r="AV419" s="148" t="s">
        <v>90</v>
      </c>
      <c r="AW419" s="148" t="s">
        <v>33</v>
      </c>
      <c r="AX419" s="148" t="s">
        <v>80</v>
      </c>
      <c r="AY419" s="150" t="s">
        <v>337</v>
      </c>
    </row>
    <row r="420" spans="2:65" s="172" customFormat="1" x14ac:dyDescent="0.2">
      <c r="B420" s="173"/>
      <c r="D420" s="143" t="s">
        <v>346</v>
      </c>
      <c r="E420" s="174" t="s">
        <v>3012</v>
      </c>
      <c r="F420" s="175" t="s">
        <v>609</v>
      </c>
      <c r="H420" s="176">
        <v>56.335000000000001</v>
      </c>
      <c r="L420" s="173"/>
      <c r="M420" s="177"/>
      <c r="T420" s="178"/>
      <c r="AT420" s="174" t="s">
        <v>346</v>
      </c>
      <c r="AU420" s="174" t="s">
        <v>90</v>
      </c>
      <c r="AV420" s="172" t="s">
        <v>113</v>
      </c>
      <c r="AW420" s="172" t="s">
        <v>33</v>
      </c>
      <c r="AX420" s="172" t="s">
        <v>87</v>
      </c>
      <c r="AY420" s="174" t="s">
        <v>337</v>
      </c>
    </row>
    <row r="421" spans="2:65" s="172" customFormat="1" x14ac:dyDescent="0.2">
      <c r="B421" s="173"/>
      <c r="D421" s="143"/>
      <c r="E421" s="174"/>
      <c r="F421" s="175" t="s">
        <v>9241</v>
      </c>
      <c r="H421" s="176"/>
      <c r="L421" s="173"/>
      <c r="M421" s="177"/>
      <c r="T421" s="178"/>
      <c r="AT421" s="174"/>
      <c r="AU421" s="174"/>
      <c r="AY421" s="174"/>
    </row>
    <row r="422" spans="2:65" s="16" customFormat="1" ht="16.5" customHeight="1" x14ac:dyDescent="0.2">
      <c r="B422" s="17"/>
      <c r="C422" s="162">
        <v>51</v>
      </c>
      <c r="D422" s="162" t="s">
        <v>519</v>
      </c>
      <c r="E422" s="163" t="s">
        <v>3325</v>
      </c>
      <c r="F422" s="164" t="s">
        <v>3326</v>
      </c>
      <c r="G422" s="165" t="s">
        <v>425</v>
      </c>
      <c r="H422" s="166">
        <v>59.152000000000001</v>
      </c>
      <c r="I422" s="167"/>
      <c r="J422" s="168">
        <f>ROUND(I422*H422,2)</f>
        <v>0</v>
      </c>
      <c r="K422" s="164" t="s">
        <v>343</v>
      </c>
      <c r="L422" s="169"/>
      <c r="M422" s="170"/>
      <c r="N422" s="171" t="s">
        <v>45</v>
      </c>
      <c r="P422" s="137">
        <f>O422*H422</f>
        <v>0</v>
      </c>
      <c r="Q422" s="137">
        <v>7.1999999999999998E-3</v>
      </c>
      <c r="R422" s="137">
        <f>Q422*H422</f>
        <v>0.42589440000000001</v>
      </c>
      <c r="S422" s="137">
        <v>0</v>
      </c>
      <c r="T422" s="138">
        <f>S422*H422</f>
        <v>0</v>
      </c>
      <c r="AR422" s="139" t="s">
        <v>621</v>
      </c>
      <c r="AT422" s="139" t="s">
        <v>519</v>
      </c>
      <c r="AU422" s="139" t="s">
        <v>90</v>
      </c>
      <c r="AY422" s="2" t="s">
        <v>337</v>
      </c>
      <c r="BE422" s="140">
        <f>IF(N422="základní",J422,0)</f>
        <v>0</v>
      </c>
      <c r="BF422" s="140">
        <f>IF(N422="snížená",J422,0)</f>
        <v>0</v>
      </c>
      <c r="BG422" s="140">
        <f>IF(N422="zákl. přenesená",J422,0)</f>
        <v>0</v>
      </c>
      <c r="BH422" s="140">
        <f>IF(N422="sníž. přenesená",J422,0)</f>
        <v>0</v>
      </c>
      <c r="BI422" s="140">
        <f>IF(N422="nulová",J422,0)</f>
        <v>0</v>
      </c>
      <c r="BJ422" s="2" t="s">
        <v>87</v>
      </c>
      <c r="BK422" s="140">
        <f>ROUND(I422*H422,2)</f>
        <v>0</v>
      </c>
      <c r="BL422" s="2" t="s">
        <v>496</v>
      </c>
      <c r="BM422" s="139" t="s">
        <v>3327</v>
      </c>
    </row>
    <row r="423" spans="2:65" s="148" customFormat="1" x14ac:dyDescent="0.2">
      <c r="B423" s="149"/>
      <c r="D423" s="143" t="s">
        <v>346</v>
      </c>
      <c r="F423" s="151" t="s">
        <v>3328</v>
      </c>
      <c r="H423" s="152">
        <v>59.152000000000001</v>
      </c>
      <c r="L423" s="149"/>
      <c r="M423" s="153"/>
      <c r="T423" s="154"/>
      <c r="AT423" s="150" t="s">
        <v>346</v>
      </c>
      <c r="AU423" s="150" t="s">
        <v>90</v>
      </c>
      <c r="AV423" s="148" t="s">
        <v>90</v>
      </c>
      <c r="AW423" s="148" t="s">
        <v>3</v>
      </c>
      <c r="AX423" s="148" t="s">
        <v>87</v>
      </c>
      <c r="AY423" s="150" t="s">
        <v>337</v>
      </c>
    </row>
    <row r="424" spans="2:65" s="16" customFormat="1" ht="24.2" customHeight="1" x14ac:dyDescent="0.2">
      <c r="B424" s="17"/>
      <c r="C424" s="128">
        <v>52</v>
      </c>
      <c r="D424" s="128" t="s">
        <v>339</v>
      </c>
      <c r="E424" s="129" t="s">
        <v>3329</v>
      </c>
      <c r="F424" s="130" t="s">
        <v>3330</v>
      </c>
      <c r="G424" s="131" t="s">
        <v>425</v>
      </c>
      <c r="H424" s="132">
        <v>239.11500000000001</v>
      </c>
      <c r="I424" s="133"/>
      <c r="J424" s="134">
        <f>ROUND(I424*H424,2)</f>
        <v>0</v>
      </c>
      <c r="K424" s="130" t="s">
        <v>343</v>
      </c>
      <c r="L424" s="17"/>
      <c r="M424" s="135"/>
      <c r="N424" s="136" t="s">
        <v>45</v>
      </c>
      <c r="P424" s="137">
        <f>O424*H424</f>
        <v>0</v>
      </c>
      <c r="Q424" s="137">
        <v>1.18E-2</v>
      </c>
      <c r="R424" s="137">
        <f>Q424*H424</f>
        <v>2.8215569999999999</v>
      </c>
      <c r="S424" s="137">
        <v>0</v>
      </c>
      <c r="T424" s="138">
        <f>S424*H424</f>
        <v>0</v>
      </c>
      <c r="AR424" s="139" t="s">
        <v>344</v>
      </c>
      <c r="AT424" s="139" t="s">
        <v>339</v>
      </c>
      <c r="AU424" s="139" t="s">
        <v>90</v>
      </c>
      <c r="AY424" s="2" t="s">
        <v>337</v>
      </c>
      <c r="BE424" s="140">
        <f>IF(N424="základní",J424,0)</f>
        <v>0</v>
      </c>
      <c r="BF424" s="140">
        <f>IF(N424="snížená",J424,0)</f>
        <v>0</v>
      </c>
      <c r="BG424" s="140">
        <f>IF(N424="zákl. přenesená",J424,0)</f>
        <v>0</v>
      </c>
      <c r="BH424" s="140">
        <f>IF(N424="sníž. přenesená",J424,0)</f>
        <v>0</v>
      </c>
      <c r="BI424" s="140">
        <f>IF(N424="nulová",J424,0)</f>
        <v>0</v>
      </c>
      <c r="BJ424" s="2" t="s">
        <v>87</v>
      </c>
      <c r="BK424" s="140">
        <f>ROUND(I424*H424,2)</f>
        <v>0</v>
      </c>
      <c r="BL424" s="2" t="s">
        <v>344</v>
      </c>
      <c r="BM424" s="139" t="s">
        <v>3331</v>
      </c>
    </row>
    <row r="425" spans="2:65" s="141" customFormat="1" x14ac:dyDescent="0.2">
      <c r="B425" s="142"/>
      <c r="D425" s="143" t="s">
        <v>346</v>
      </c>
      <c r="E425" s="144"/>
      <c r="F425" s="145" t="s">
        <v>3332</v>
      </c>
      <c r="H425" s="144"/>
      <c r="L425" s="142"/>
      <c r="M425" s="146"/>
      <c r="T425" s="147"/>
      <c r="AT425" s="144" t="s">
        <v>346</v>
      </c>
      <c r="AU425" s="144" t="s">
        <v>90</v>
      </c>
      <c r="AV425" s="141" t="s">
        <v>87</v>
      </c>
      <c r="AW425" s="141" t="s">
        <v>33</v>
      </c>
      <c r="AX425" s="141" t="s">
        <v>80</v>
      </c>
      <c r="AY425" s="144" t="s">
        <v>337</v>
      </c>
    </row>
    <row r="426" spans="2:65" s="141" customFormat="1" x14ac:dyDescent="0.2">
      <c r="B426" s="142"/>
      <c r="D426" s="143" t="s">
        <v>346</v>
      </c>
      <c r="E426" s="144"/>
      <c r="F426" s="145" t="s">
        <v>3333</v>
      </c>
      <c r="H426" s="144"/>
      <c r="L426" s="142"/>
      <c r="M426" s="146"/>
      <c r="T426" s="147"/>
      <c r="AT426" s="144" t="s">
        <v>346</v>
      </c>
      <c r="AU426" s="144" t="s">
        <v>90</v>
      </c>
      <c r="AV426" s="141" t="s">
        <v>87</v>
      </c>
      <c r="AW426" s="141" t="s">
        <v>33</v>
      </c>
      <c r="AX426" s="141" t="s">
        <v>80</v>
      </c>
      <c r="AY426" s="144" t="s">
        <v>337</v>
      </c>
    </row>
    <row r="427" spans="2:65" s="141" customFormat="1" x14ac:dyDescent="0.2">
      <c r="B427" s="142"/>
      <c r="D427" s="143" t="s">
        <v>346</v>
      </c>
      <c r="E427" s="144"/>
      <c r="F427" s="145" t="s">
        <v>3117</v>
      </c>
      <c r="H427" s="144"/>
      <c r="L427" s="142"/>
      <c r="M427" s="146"/>
      <c r="T427" s="147"/>
      <c r="AT427" s="144" t="s">
        <v>346</v>
      </c>
      <c r="AU427" s="144" t="s">
        <v>90</v>
      </c>
      <c r="AV427" s="141" t="s">
        <v>87</v>
      </c>
      <c r="AW427" s="141" t="s">
        <v>33</v>
      </c>
      <c r="AX427" s="141" t="s">
        <v>80</v>
      </c>
      <c r="AY427" s="144" t="s">
        <v>337</v>
      </c>
    </row>
    <row r="428" spans="2:65" s="141" customFormat="1" x14ac:dyDescent="0.2">
      <c r="B428" s="142"/>
      <c r="D428" s="143" t="s">
        <v>346</v>
      </c>
      <c r="E428" s="144"/>
      <c r="F428" s="145" t="s">
        <v>3334</v>
      </c>
      <c r="H428" s="144"/>
      <c r="L428" s="142"/>
      <c r="M428" s="146"/>
      <c r="T428" s="147"/>
      <c r="AT428" s="144" t="s">
        <v>346</v>
      </c>
      <c r="AU428" s="144" t="s">
        <v>90</v>
      </c>
      <c r="AV428" s="141" t="s">
        <v>87</v>
      </c>
      <c r="AW428" s="141" t="s">
        <v>33</v>
      </c>
      <c r="AX428" s="141" t="s">
        <v>80</v>
      </c>
      <c r="AY428" s="144" t="s">
        <v>337</v>
      </c>
    </row>
    <row r="429" spans="2:65" s="148" customFormat="1" x14ac:dyDescent="0.2">
      <c r="B429" s="149"/>
      <c r="D429" s="143" t="s">
        <v>346</v>
      </c>
      <c r="E429" s="150"/>
      <c r="F429" s="151" t="s">
        <v>3335</v>
      </c>
      <c r="H429" s="152">
        <v>20.475000000000001</v>
      </c>
      <c r="L429" s="149"/>
      <c r="M429" s="153"/>
      <c r="T429" s="154"/>
      <c r="AT429" s="150" t="s">
        <v>346</v>
      </c>
      <c r="AU429" s="150" t="s">
        <v>90</v>
      </c>
      <c r="AV429" s="148" t="s">
        <v>90</v>
      </c>
      <c r="AW429" s="148" t="s">
        <v>33</v>
      </c>
      <c r="AX429" s="148" t="s">
        <v>80</v>
      </c>
      <c r="AY429" s="150" t="s">
        <v>337</v>
      </c>
    </row>
    <row r="430" spans="2:65" s="141" customFormat="1" x14ac:dyDescent="0.2">
      <c r="B430" s="142"/>
      <c r="D430" s="143" t="s">
        <v>346</v>
      </c>
      <c r="E430" s="144"/>
      <c r="F430" s="145" t="s">
        <v>3336</v>
      </c>
      <c r="H430" s="144"/>
      <c r="L430" s="142"/>
      <c r="M430" s="146"/>
      <c r="T430" s="147"/>
      <c r="AT430" s="144" t="s">
        <v>346</v>
      </c>
      <c r="AU430" s="144" t="s">
        <v>90</v>
      </c>
      <c r="AV430" s="141" t="s">
        <v>87</v>
      </c>
      <c r="AW430" s="141" t="s">
        <v>33</v>
      </c>
      <c r="AX430" s="141" t="s">
        <v>80</v>
      </c>
      <c r="AY430" s="144" t="s">
        <v>337</v>
      </c>
    </row>
    <row r="431" spans="2:65" s="141" customFormat="1" x14ac:dyDescent="0.2">
      <c r="B431" s="142"/>
      <c r="D431" s="143" t="s">
        <v>346</v>
      </c>
      <c r="E431" s="144"/>
      <c r="F431" s="145" t="s">
        <v>3337</v>
      </c>
      <c r="H431" s="144"/>
      <c r="L431" s="142"/>
      <c r="M431" s="146"/>
      <c r="T431" s="147"/>
      <c r="AT431" s="144" t="s">
        <v>346</v>
      </c>
      <c r="AU431" s="144" t="s">
        <v>90</v>
      </c>
      <c r="AV431" s="141" t="s">
        <v>87</v>
      </c>
      <c r="AW431" s="141" t="s">
        <v>33</v>
      </c>
      <c r="AX431" s="141" t="s">
        <v>80</v>
      </c>
      <c r="AY431" s="144" t="s">
        <v>337</v>
      </c>
    </row>
    <row r="432" spans="2:65" s="148" customFormat="1" x14ac:dyDescent="0.2">
      <c r="B432" s="149"/>
      <c r="D432" s="143" t="s">
        <v>346</v>
      </c>
      <c r="E432" s="150"/>
      <c r="F432" s="151" t="s">
        <v>3338</v>
      </c>
      <c r="H432" s="152">
        <v>157.30000000000001</v>
      </c>
      <c r="L432" s="149"/>
      <c r="M432" s="153"/>
      <c r="T432" s="154"/>
      <c r="AT432" s="150" t="s">
        <v>346</v>
      </c>
      <c r="AU432" s="150" t="s">
        <v>90</v>
      </c>
      <c r="AV432" s="148" t="s">
        <v>90</v>
      </c>
      <c r="AW432" s="148" t="s">
        <v>33</v>
      </c>
      <c r="AX432" s="148" t="s">
        <v>80</v>
      </c>
      <c r="AY432" s="150" t="s">
        <v>337</v>
      </c>
    </row>
    <row r="433" spans="2:65" s="141" customFormat="1" x14ac:dyDescent="0.2">
      <c r="B433" s="142"/>
      <c r="D433" s="143" t="s">
        <v>346</v>
      </c>
      <c r="E433" s="144"/>
      <c r="F433" s="145" t="s">
        <v>3339</v>
      </c>
      <c r="H433" s="144"/>
      <c r="L433" s="142"/>
      <c r="M433" s="146"/>
      <c r="T433" s="147"/>
      <c r="AT433" s="144" t="s">
        <v>346</v>
      </c>
      <c r="AU433" s="144" t="s">
        <v>90</v>
      </c>
      <c r="AV433" s="141" t="s">
        <v>87</v>
      </c>
      <c r="AW433" s="141" t="s">
        <v>33</v>
      </c>
      <c r="AX433" s="141" t="s">
        <v>80</v>
      </c>
      <c r="AY433" s="144" t="s">
        <v>337</v>
      </c>
    </row>
    <row r="434" spans="2:65" s="148" customFormat="1" x14ac:dyDescent="0.2">
      <c r="B434" s="149"/>
      <c r="D434" s="143" t="s">
        <v>346</v>
      </c>
      <c r="E434" s="150"/>
      <c r="F434" s="151" t="s">
        <v>3340</v>
      </c>
      <c r="H434" s="152">
        <v>56.7</v>
      </c>
      <c r="L434" s="149"/>
      <c r="M434" s="153"/>
      <c r="T434" s="154"/>
      <c r="AT434" s="150" t="s">
        <v>346</v>
      </c>
      <c r="AU434" s="150" t="s">
        <v>90</v>
      </c>
      <c r="AV434" s="148" t="s">
        <v>90</v>
      </c>
      <c r="AW434" s="148" t="s">
        <v>33</v>
      </c>
      <c r="AX434" s="148" t="s">
        <v>80</v>
      </c>
      <c r="AY434" s="150" t="s">
        <v>337</v>
      </c>
    </row>
    <row r="435" spans="2:65" s="141" customFormat="1" x14ac:dyDescent="0.2">
      <c r="B435" s="142"/>
      <c r="D435" s="143" t="s">
        <v>346</v>
      </c>
      <c r="E435" s="144"/>
      <c r="F435" s="145" t="s">
        <v>3341</v>
      </c>
      <c r="H435" s="144"/>
      <c r="L435" s="142"/>
      <c r="M435" s="146"/>
      <c r="T435" s="147"/>
      <c r="AT435" s="144" t="s">
        <v>346</v>
      </c>
      <c r="AU435" s="144" t="s">
        <v>90</v>
      </c>
      <c r="AV435" s="141" t="s">
        <v>87</v>
      </c>
      <c r="AW435" s="141" t="s">
        <v>33</v>
      </c>
      <c r="AX435" s="141" t="s">
        <v>80</v>
      </c>
      <c r="AY435" s="144" t="s">
        <v>337</v>
      </c>
    </row>
    <row r="436" spans="2:65" s="148" customFormat="1" x14ac:dyDescent="0.2">
      <c r="B436" s="149"/>
      <c r="D436" s="143" t="s">
        <v>346</v>
      </c>
      <c r="E436" s="150"/>
      <c r="F436" s="151" t="s">
        <v>3342</v>
      </c>
      <c r="H436" s="152">
        <v>4.6399999999999997</v>
      </c>
      <c r="L436" s="149"/>
      <c r="M436" s="153"/>
      <c r="T436" s="154"/>
      <c r="AT436" s="150" t="s">
        <v>346</v>
      </c>
      <c r="AU436" s="150" t="s">
        <v>90</v>
      </c>
      <c r="AV436" s="148" t="s">
        <v>90</v>
      </c>
      <c r="AW436" s="148" t="s">
        <v>33</v>
      </c>
      <c r="AX436" s="148" t="s">
        <v>80</v>
      </c>
      <c r="AY436" s="150" t="s">
        <v>337</v>
      </c>
    </row>
    <row r="437" spans="2:65" s="172" customFormat="1" x14ac:dyDescent="0.2">
      <c r="B437" s="173"/>
      <c r="D437" s="143" t="s">
        <v>346</v>
      </c>
      <c r="E437" s="174" t="s">
        <v>3010</v>
      </c>
      <c r="F437" s="175" t="s">
        <v>609</v>
      </c>
      <c r="H437" s="176">
        <v>239.11500000000001</v>
      </c>
      <c r="L437" s="173"/>
      <c r="M437" s="177"/>
      <c r="T437" s="178"/>
      <c r="AT437" s="174" t="s">
        <v>346</v>
      </c>
      <c r="AU437" s="174" t="s">
        <v>90</v>
      </c>
      <c r="AV437" s="172" t="s">
        <v>113</v>
      </c>
      <c r="AW437" s="172" t="s">
        <v>33</v>
      </c>
      <c r="AX437" s="172" t="s">
        <v>87</v>
      </c>
      <c r="AY437" s="174" t="s">
        <v>337</v>
      </c>
    </row>
    <row r="438" spans="2:65" s="172" customFormat="1" x14ac:dyDescent="0.2">
      <c r="B438" s="173"/>
      <c r="D438" s="143"/>
      <c r="E438" s="174"/>
      <c r="F438" s="175" t="s">
        <v>9241</v>
      </c>
      <c r="H438" s="176"/>
      <c r="L438" s="173"/>
      <c r="M438" s="177"/>
      <c r="T438" s="178"/>
      <c r="AT438" s="174"/>
      <c r="AU438" s="174"/>
      <c r="AY438" s="174"/>
    </row>
    <row r="439" spans="2:65" s="16" customFormat="1" ht="16.5" customHeight="1" x14ac:dyDescent="0.2">
      <c r="B439" s="17"/>
      <c r="C439" s="162">
        <v>53</v>
      </c>
      <c r="D439" s="162" t="s">
        <v>519</v>
      </c>
      <c r="E439" s="163" t="s">
        <v>3343</v>
      </c>
      <c r="F439" s="164" t="s">
        <v>3344</v>
      </c>
      <c r="G439" s="165" t="s">
        <v>425</v>
      </c>
      <c r="H439" s="166">
        <v>251.071</v>
      </c>
      <c r="I439" s="167"/>
      <c r="J439" s="168">
        <f>ROUND(I439*H439,2)</f>
        <v>0</v>
      </c>
      <c r="K439" s="164" t="s">
        <v>343</v>
      </c>
      <c r="L439" s="169"/>
      <c r="M439" s="170"/>
      <c r="N439" s="171" t="s">
        <v>45</v>
      </c>
      <c r="P439" s="137">
        <f>O439*H439</f>
        <v>0</v>
      </c>
      <c r="Q439" s="137">
        <v>2.8000000000000001E-2</v>
      </c>
      <c r="R439" s="137">
        <f>Q439*H439</f>
        <v>7.0299880000000003</v>
      </c>
      <c r="S439" s="137">
        <v>0</v>
      </c>
      <c r="T439" s="138">
        <f>S439*H439</f>
        <v>0</v>
      </c>
      <c r="AR439" s="139" t="s">
        <v>621</v>
      </c>
      <c r="AT439" s="139" t="s">
        <v>519</v>
      </c>
      <c r="AU439" s="139" t="s">
        <v>90</v>
      </c>
      <c r="AY439" s="2" t="s">
        <v>337</v>
      </c>
      <c r="BE439" s="140">
        <f>IF(N439="základní",J439,0)</f>
        <v>0</v>
      </c>
      <c r="BF439" s="140">
        <f>IF(N439="snížená",J439,0)</f>
        <v>0</v>
      </c>
      <c r="BG439" s="140">
        <f>IF(N439="zákl. přenesená",J439,0)</f>
        <v>0</v>
      </c>
      <c r="BH439" s="140">
        <f>IF(N439="sníž. přenesená",J439,0)</f>
        <v>0</v>
      </c>
      <c r="BI439" s="140">
        <f>IF(N439="nulová",J439,0)</f>
        <v>0</v>
      </c>
      <c r="BJ439" s="2" t="s">
        <v>87</v>
      </c>
      <c r="BK439" s="140">
        <f>ROUND(I439*H439,2)</f>
        <v>0</v>
      </c>
      <c r="BL439" s="2" t="s">
        <v>496</v>
      </c>
      <c r="BM439" s="139" t="s">
        <v>3345</v>
      </c>
    </row>
    <row r="440" spans="2:65" s="148" customFormat="1" x14ac:dyDescent="0.2">
      <c r="B440" s="149"/>
      <c r="D440" s="143" t="s">
        <v>346</v>
      </c>
      <c r="F440" s="151" t="s">
        <v>3346</v>
      </c>
      <c r="H440" s="152">
        <v>251.071</v>
      </c>
      <c r="L440" s="149"/>
      <c r="M440" s="153"/>
      <c r="T440" s="154"/>
      <c r="AT440" s="150" t="s">
        <v>346</v>
      </c>
      <c r="AU440" s="150" t="s">
        <v>90</v>
      </c>
      <c r="AV440" s="148" t="s">
        <v>90</v>
      </c>
      <c r="AW440" s="148" t="s">
        <v>3</v>
      </c>
      <c r="AX440" s="148" t="s">
        <v>87</v>
      </c>
      <c r="AY440" s="150" t="s">
        <v>337</v>
      </c>
    </row>
    <row r="441" spans="2:65" s="16" customFormat="1" ht="16.5" customHeight="1" x14ac:dyDescent="0.2">
      <c r="B441" s="17"/>
      <c r="C441" s="128">
        <v>54</v>
      </c>
      <c r="D441" s="128" t="s">
        <v>339</v>
      </c>
      <c r="E441" s="129" t="s">
        <v>3347</v>
      </c>
      <c r="F441" s="130" t="s">
        <v>3348</v>
      </c>
      <c r="G441" s="131" t="s">
        <v>425</v>
      </c>
      <c r="H441" s="132">
        <v>295.45</v>
      </c>
      <c r="I441" s="133"/>
      <c r="J441" s="134">
        <f>ROUND(I441*H441,2)</f>
        <v>0</v>
      </c>
      <c r="K441" s="130" t="s">
        <v>343</v>
      </c>
      <c r="L441" s="17"/>
      <c r="M441" s="135"/>
      <c r="N441" s="136" t="s">
        <v>45</v>
      </c>
      <c r="P441" s="137">
        <f>O441*H441</f>
        <v>0</v>
      </c>
      <c r="Q441" s="137">
        <v>3.82E-3</v>
      </c>
      <c r="R441" s="137">
        <f>Q441*H441</f>
        <v>1.128619</v>
      </c>
      <c r="S441" s="137">
        <v>0</v>
      </c>
      <c r="T441" s="138">
        <f>S441*H441</f>
        <v>0</v>
      </c>
      <c r="AR441" s="139" t="s">
        <v>344</v>
      </c>
      <c r="AT441" s="139" t="s">
        <v>339</v>
      </c>
      <c r="AU441" s="139" t="s">
        <v>90</v>
      </c>
      <c r="AY441" s="2" t="s">
        <v>337</v>
      </c>
      <c r="BE441" s="140">
        <f>IF(N441="základní",J441,0)</f>
        <v>0</v>
      </c>
      <c r="BF441" s="140">
        <f>IF(N441="snížená",J441,0)</f>
        <v>0</v>
      </c>
      <c r="BG441" s="140">
        <f>IF(N441="zákl. přenesená",J441,0)</f>
        <v>0</v>
      </c>
      <c r="BH441" s="140">
        <f>IF(N441="sníž. přenesená",J441,0)</f>
        <v>0</v>
      </c>
      <c r="BI441" s="140">
        <f>IF(N441="nulová",J441,0)</f>
        <v>0</v>
      </c>
      <c r="BJ441" s="2" t="s">
        <v>87</v>
      </c>
      <c r="BK441" s="140">
        <f>ROUND(I441*H441,2)</f>
        <v>0</v>
      </c>
      <c r="BL441" s="2" t="s">
        <v>344</v>
      </c>
      <c r="BM441" s="139" t="s">
        <v>3349</v>
      </c>
    </row>
    <row r="442" spans="2:65" s="141" customFormat="1" ht="22.5" x14ac:dyDescent="0.2">
      <c r="B442" s="142"/>
      <c r="D442" s="143" t="s">
        <v>346</v>
      </c>
      <c r="E442" s="144"/>
      <c r="F442" s="145" t="s">
        <v>3350</v>
      </c>
      <c r="H442" s="144"/>
      <c r="L442" s="142"/>
      <c r="M442" s="146"/>
      <c r="T442" s="147"/>
      <c r="AT442" s="144" t="s">
        <v>346</v>
      </c>
      <c r="AU442" s="144" t="s">
        <v>90</v>
      </c>
      <c r="AV442" s="141" t="s">
        <v>87</v>
      </c>
      <c r="AW442" s="141" t="s">
        <v>33</v>
      </c>
      <c r="AX442" s="141" t="s">
        <v>80</v>
      </c>
      <c r="AY442" s="144" t="s">
        <v>337</v>
      </c>
    </row>
    <row r="443" spans="2:65" s="141" customFormat="1" x14ac:dyDescent="0.2">
      <c r="B443" s="142"/>
      <c r="D443" s="143" t="s">
        <v>346</v>
      </c>
      <c r="E443" s="144"/>
      <c r="F443" s="145" t="s">
        <v>3351</v>
      </c>
      <c r="H443" s="144"/>
      <c r="L443" s="142"/>
      <c r="M443" s="146"/>
      <c r="T443" s="147"/>
      <c r="AT443" s="144" t="s">
        <v>346</v>
      </c>
      <c r="AU443" s="144" t="s">
        <v>90</v>
      </c>
      <c r="AV443" s="141" t="s">
        <v>87</v>
      </c>
      <c r="AW443" s="141" t="s">
        <v>33</v>
      </c>
      <c r="AX443" s="141" t="s">
        <v>80</v>
      </c>
      <c r="AY443" s="144" t="s">
        <v>337</v>
      </c>
    </row>
    <row r="444" spans="2:65" s="148" customFormat="1" x14ac:dyDescent="0.2">
      <c r="B444" s="149"/>
      <c r="D444" s="143" t="s">
        <v>346</v>
      </c>
      <c r="E444" s="150"/>
      <c r="F444" s="151" t="s">
        <v>3012</v>
      </c>
      <c r="H444" s="152">
        <v>56.335000000000001</v>
      </c>
      <c r="L444" s="149"/>
      <c r="M444" s="153"/>
      <c r="T444" s="154"/>
      <c r="AT444" s="150" t="s">
        <v>346</v>
      </c>
      <c r="AU444" s="150" t="s">
        <v>90</v>
      </c>
      <c r="AV444" s="148" t="s">
        <v>90</v>
      </c>
      <c r="AW444" s="148" t="s">
        <v>33</v>
      </c>
      <c r="AX444" s="148" t="s">
        <v>80</v>
      </c>
      <c r="AY444" s="150" t="s">
        <v>337</v>
      </c>
    </row>
    <row r="445" spans="2:65" s="148" customFormat="1" x14ac:dyDescent="0.2">
      <c r="B445" s="149"/>
      <c r="D445" s="143" t="s">
        <v>346</v>
      </c>
      <c r="E445" s="150"/>
      <c r="F445" s="151" t="s">
        <v>3010</v>
      </c>
      <c r="H445" s="152">
        <v>239.11500000000001</v>
      </c>
      <c r="L445" s="149"/>
      <c r="M445" s="153"/>
      <c r="T445" s="154"/>
      <c r="AT445" s="150" t="s">
        <v>346</v>
      </c>
      <c r="AU445" s="150" t="s">
        <v>90</v>
      </c>
      <c r="AV445" s="148" t="s">
        <v>90</v>
      </c>
      <c r="AW445" s="148" t="s">
        <v>33</v>
      </c>
      <c r="AX445" s="148" t="s">
        <v>80</v>
      </c>
      <c r="AY445" s="150" t="s">
        <v>337</v>
      </c>
    </row>
    <row r="446" spans="2:65" s="155" customFormat="1" x14ac:dyDescent="0.2">
      <c r="B446" s="156"/>
      <c r="D446" s="143" t="s">
        <v>346</v>
      </c>
      <c r="E446" s="157"/>
      <c r="F446" s="158" t="s">
        <v>351</v>
      </c>
      <c r="H446" s="159">
        <v>295.45</v>
      </c>
      <c r="L446" s="156"/>
      <c r="M446" s="160"/>
      <c r="T446" s="161"/>
      <c r="AT446" s="157" t="s">
        <v>346</v>
      </c>
      <c r="AU446" s="157" t="s">
        <v>90</v>
      </c>
      <c r="AV446" s="155" t="s">
        <v>344</v>
      </c>
      <c r="AW446" s="155" t="s">
        <v>33</v>
      </c>
      <c r="AX446" s="155" t="s">
        <v>87</v>
      </c>
      <c r="AY446" s="157" t="s">
        <v>337</v>
      </c>
    </row>
    <row r="447" spans="2:65" s="16" customFormat="1" ht="16.5" customHeight="1" x14ac:dyDescent="0.2">
      <c r="B447" s="17"/>
      <c r="C447" s="128">
        <v>55</v>
      </c>
      <c r="D447" s="128" t="s">
        <v>339</v>
      </c>
      <c r="E447" s="129" t="s">
        <v>3352</v>
      </c>
      <c r="F447" s="130" t="s">
        <v>3353</v>
      </c>
      <c r="G447" s="131" t="s">
        <v>425</v>
      </c>
      <c r="H447" s="132">
        <v>179.66</v>
      </c>
      <c r="I447" s="133"/>
      <c r="J447" s="134">
        <f>ROUND(I447*H447,2)</f>
        <v>0</v>
      </c>
      <c r="K447" s="130" t="s">
        <v>343</v>
      </c>
      <c r="L447" s="17"/>
      <c r="M447" s="135"/>
      <c r="N447" s="136" t="s">
        <v>45</v>
      </c>
      <c r="P447" s="137">
        <f>O447*H447</f>
        <v>0</v>
      </c>
      <c r="Q447" s="137">
        <v>3.3800000000000002E-3</v>
      </c>
      <c r="R447" s="137">
        <f>Q447*H447</f>
        <v>0.60725079999999998</v>
      </c>
      <c r="S447" s="137">
        <v>0</v>
      </c>
      <c r="T447" s="138">
        <f>S447*H447</f>
        <v>0</v>
      </c>
      <c r="AR447" s="139" t="s">
        <v>344</v>
      </c>
      <c r="AT447" s="139" t="s">
        <v>339</v>
      </c>
      <c r="AU447" s="139" t="s">
        <v>90</v>
      </c>
      <c r="AY447" s="2" t="s">
        <v>337</v>
      </c>
      <c r="BE447" s="140">
        <f>IF(N447="základní",J447,0)</f>
        <v>0</v>
      </c>
      <c r="BF447" s="140">
        <f>IF(N447="snížená",J447,0)</f>
        <v>0</v>
      </c>
      <c r="BG447" s="140">
        <f>IF(N447="zákl. přenesená",J447,0)</f>
        <v>0</v>
      </c>
      <c r="BH447" s="140">
        <f>IF(N447="sníž. přenesená",J447,0)</f>
        <v>0</v>
      </c>
      <c r="BI447" s="140">
        <f>IF(N447="nulová",J447,0)</f>
        <v>0</v>
      </c>
      <c r="BJ447" s="2" t="s">
        <v>87</v>
      </c>
      <c r="BK447" s="140">
        <f>ROUND(I447*H447,2)</f>
        <v>0</v>
      </c>
      <c r="BL447" s="2" t="s">
        <v>344</v>
      </c>
      <c r="BM447" s="139" t="s">
        <v>3354</v>
      </c>
    </row>
    <row r="448" spans="2:65" s="141" customFormat="1" x14ac:dyDescent="0.2">
      <c r="B448" s="142"/>
      <c r="D448" s="143" t="s">
        <v>346</v>
      </c>
      <c r="E448" s="144"/>
      <c r="F448" s="145" t="s">
        <v>3355</v>
      </c>
      <c r="H448" s="144"/>
      <c r="L448" s="142"/>
      <c r="M448" s="146"/>
      <c r="T448" s="147"/>
      <c r="AT448" s="144" t="s">
        <v>346</v>
      </c>
      <c r="AU448" s="144" t="s">
        <v>90</v>
      </c>
      <c r="AV448" s="141" t="s">
        <v>87</v>
      </c>
      <c r="AW448" s="141" t="s">
        <v>33</v>
      </c>
      <c r="AX448" s="141" t="s">
        <v>80</v>
      </c>
      <c r="AY448" s="144" t="s">
        <v>337</v>
      </c>
    </row>
    <row r="449" spans="2:65" s="148" customFormat="1" x14ac:dyDescent="0.2">
      <c r="B449" s="149"/>
      <c r="D449" s="143" t="s">
        <v>346</v>
      </c>
      <c r="E449" s="150"/>
      <c r="F449" s="151" t="s">
        <v>3335</v>
      </c>
      <c r="H449" s="152">
        <v>20.475000000000001</v>
      </c>
      <c r="L449" s="149"/>
      <c r="M449" s="153"/>
      <c r="T449" s="154"/>
      <c r="AT449" s="150" t="s">
        <v>346</v>
      </c>
      <c r="AU449" s="150" t="s">
        <v>90</v>
      </c>
      <c r="AV449" s="148" t="s">
        <v>90</v>
      </c>
      <c r="AW449" s="148" t="s">
        <v>33</v>
      </c>
      <c r="AX449" s="148" t="s">
        <v>80</v>
      </c>
      <c r="AY449" s="150" t="s">
        <v>337</v>
      </c>
    </row>
    <row r="450" spans="2:65" s="141" customFormat="1" x14ac:dyDescent="0.2">
      <c r="B450" s="142"/>
      <c r="D450" s="143" t="s">
        <v>346</v>
      </c>
      <c r="E450" s="144"/>
      <c r="F450" s="145" t="s">
        <v>3337</v>
      </c>
      <c r="H450" s="144"/>
      <c r="L450" s="142"/>
      <c r="M450" s="146"/>
      <c r="T450" s="147"/>
      <c r="AT450" s="144" t="s">
        <v>346</v>
      </c>
      <c r="AU450" s="144" t="s">
        <v>90</v>
      </c>
      <c r="AV450" s="141" t="s">
        <v>87</v>
      </c>
      <c r="AW450" s="141" t="s">
        <v>33</v>
      </c>
      <c r="AX450" s="141" t="s">
        <v>80</v>
      </c>
      <c r="AY450" s="144" t="s">
        <v>337</v>
      </c>
    </row>
    <row r="451" spans="2:65" s="148" customFormat="1" x14ac:dyDescent="0.2">
      <c r="B451" s="149"/>
      <c r="D451" s="143" t="s">
        <v>346</v>
      </c>
      <c r="E451" s="150"/>
      <c r="F451" s="151" t="s">
        <v>912</v>
      </c>
      <c r="H451" s="152">
        <v>102.85</v>
      </c>
      <c r="L451" s="149"/>
      <c r="M451" s="153"/>
      <c r="T451" s="154"/>
      <c r="AT451" s="150" t="s">
        <v>346</v>
      </c>
      <c r="AU451" s="150" t="s">
        <v>90</v>
      </c>
      <c r="AV451" s="148" t="s">
        <v>90</v>
      </c>
      <c r="AW451" s="148" t="s">
        <v>33</v>
      </c>
      <c r="AX451" s="148" t="s">
        <v>80</v>
      </c>
      <c r="AY451" s="150" t="s">
        <v>337</v>
      </c>
    </row>
    <row r="452" spans="2:65" s="141" customFormat="1" x14ac:dyDescent="0.2">
      <c r="B452" s="142"/>
      <c r="D452" s="143" t="s">
        <v>346</v>
      </c>
      <c r="E452" s="144"/>
      <c r="F452" s="145" t="s">
        <v>3322</v>
      </c>
      <c r="H452" s="144"/>
      <c r="L452" s="142"/>
      <c r="M452" s="146"/>
      <c r="T452" s="147"/>
      <c r="AT452" s="144" t="s">
        <v>346</v>
      </c>
      <c r="AU452" s="144" t="s">
        <v>90</v>
      </c>
      <c r="AV452" s="141" t="s">
        <v>87</v>
      </c>
      <c r="AW452" s="141" t="s">
        <v>33</v>
      </c>
      <c r="AX452" s="141" t="s">
        <v>80</v>
      </c>
      <c r="AY452" s="144" t="s">
        <v>337</v>
      </c>
    </row>
    <row r="453" spans="2:65" s="148" customFormat="1" x14ac:dyDescent="0.2">
      <c r="B453" s="149"/>
      <c r="D453" s="143" t="s">
        <v>346</v>
      </c>
      <c r="E453" s="150"/>
      <c r="F453" s="151" t="s">
        <v>3323</v>
      </c>
      <c r="H453" s="152">
        <v>15.36</v>
      </c>
      <c r="L453" s="149"/>
      <c r="M453" s="153"/>
      <c r="T453" s="154"/>
      <c r="AT453" s="150" t="s">
        <v>346</v>
      </c>
      <c r="AU453" s="150" t="s">
        <v>90</v>
      </c>
      <c r="AV453" s="148" t="s">
        <v>90</v>
      </c>
      <c r="AW453" s="148" t="s">
        <v>33</v>
      </c>
      <c r="AX453" s="148" t="s">
        <v>80</v>
      </c>
      <c r="AY453" s="150" t="s">
        <v>337</v>
      </c>
    </row>
    <row r="454" spans="2:65" s="148" customFormat="1" x14ac:dyDescent="0.2">
      <c r="B454" s="149"/>
      <c r="D454" s="143" t="s">
        <v>346</v>
      </c>
      <c r="E454" s="150"/>
      <c r="F454" s="151" t="s">
        <v>3324</v>
      </c>
      <c r="H454" s="152">
        <v>40.975000000000001</v>
      </c>
      <c r="L454" s="149"/>
      <c r="M454" s="153"/>
      <c r="T454" s="154"/>
      <c r="AT454" s="150" t="s">
        <v>346</v>
      </c>
      <c r="AU454" s="150" t="s">
        <v>90</v>
      </c>
      <c r="AV454" s="148" t="s">
        <v>90</v>
      </c>
      <c r="AW454" s="148" t="s">
        <v>33</v>
      </c>
      <c r="AX454" s="148" t="s">
        <v>80</v>
      </c>
      <c r="AY454" s="150" t="s">
        <v>337</v>
      </c>
    </row>
    <row r="455" spans="2:65" s="172" customFormat="1" x14ac:dyDescent="0.2">
      <c r="B455" s="173"/>
      <c r="D455" s="143" t="s">
        <v>346</v>
      </c>
      <c r="E455" s="174" t="s">
        <v>2989</v>
      </c>
      <c r="F455" s="175" t="s">
        <v>609</v>
      </c>
      <c r="H455" s="176">
        <v>179.66</v>
      </c>
      <c r="L455" s="173"/>
      <c r="M455" s="177"/>
      <c r="T455" s="178"/>
      <c r="AT455" s="174" t="s">
        <v>346</v>
      </c>
      <c r="AU455" s="174" t="s">
        <v>90</v>
      </c>
      <c r="AV455" s="172" t="s">
        <v>113</v>
      </c>
      <c r="AW455" s="172" t="s">
        <v>33</v>
      </c>
      <c r="AX455" s="172" t="s">
        <v>87</v>
      </c>
      <c r="AY455" s="174" t="s">
        <v>337</v>
      </c>
    </row>
    <row r="456" spans="2:65" s="16" customFormat="1" ht="16.5" customHeight="1" x14ac:dyDescent="0.2">
      <c r="B456" s="17"/>
      <c r="C456" s="128">
        <v>56</v>
      </c>
      <c r="D456" s="128" t="s">
        <v>339</v>
      </c>
      <c r="E456" s="129" t="s">
        <v>3356</v>
      </c>
      <c r="F456" s="130" t="s">
        <v>3357</v>
      </c>
      <c r="G456" s="131" t="s">
        <v>425</v>
      </c>
      <c r="H456" s="132">
        <v>115.79</v>
      </c>
      <c r="I456" s="133"/>
      <c r="J456" s="134">
        <f>ROUND(I456*H456,2)</f>
        <v>0</v>
      </c>
      <c r="K456" s="130"/>
      <c r="L456" s="17"/>
      <c r="M456" s="135"/>
      <c r="N456" s="136" t="s">
        <v>45</v>
      </c>
      <c r="P456" s="137">
        <f>O456*H456</f>
        <v>0</v>
      </c>
      <c r="Q456" s="137">
        <v>3.3800000000000002E-3</v>
      </c>
      <c r="R456" s="137">
        <f>Q456*H456</f>
        <v>0.39137020000000006</v>
      </c>
      <c r="S456" s="137">
        <v>0</v>
      </c>
      <c r="T456" s="138">
        <f>S456*H456</f>
        <v>0</v>
      </c>
      <c r="AR456" s="139" t="s">
        <v>344</v>
      </c>
      <c r="AT456" s="139" t="s">
        <v>339</v>
      </c>
      <c r="AU456" s="139" t="s">
        <v>90</v>
      </c>
      <c r="AY456" s="2" t="s">
        <v>337</v>
      </c>
      <c r="BE456" s="140">
        <f>IF(N456="základní",J456,0)</f>
        <v>0</v>
      </c>
      <c r="BF456" s="140">
        <f>IF(N456="snížená",J456,0)</f>
        <v>0</v>
      </c>
      <c r="BG456" s="140">
        <f>IF(N456="zákl. přenesená",J456,0)</f>
        <v>0</v>
      </c>
      <c r="BH456" s="140">
        <f>IF(N456="sníž. přenesená",J456,0)</f>
        <v>0</v>
      </c>
      <c r="BI456" s="140">
        <f>IF(N456="nulová",J456,0)</f>
        <v>0</v>
      </c>
      <c r="BJ456" s="2" t="s">
        <v>87</v>
      </c>
      <c r="BK456" s="140">
        <f>ROUND(I456*H456,2)</f>
        <v>0</v>
      </c>
      <c r="BL456" s="2" t="s">
        <v>344</v>
      </c>
      <c r="BM456" s="139" t="s">
        <v>3358</v>
      </c>
    </row>
    <row r="457" spans="2:65" s="141" customFormat="1" x14ac:dyDescent="0.2">
      <c r="B457" s="142"/>
      <c r="D457" s="143" t="s">
        <v>346</v>
      </c>
      <c r="E457" s="144"/>
      <c r="F457" s="145" t="s">
        <v>3359</v>
      </c>
      <c r="H457" s="144"/>
      <c r="L457" s="142"/>
      <c r="M457" s="146"/>
      <c r="T457" s="147"/>
      <c r="AT457" s="144" t="s">
        <v>346</v>
      </c>
      <c r="AU457" s="144" t="s">
        <v>90</v>
      </c>
      <c r="AV457" s="141" t="s">
        <v>87</v>
      </c>
      <c r="AW457" s="141" t="s">
        <v>33</v>
      </c>
      <c r="AX457" s="141" t="s">
        <v>80</v>
      </c>
      <c r="AY457" s="144" t="s">
        <v>337</v>
      </c>
    </row>
    <row r="458" spans="2:65" s="148" customFormat="1" x14ac:dyDescent="0.2">
      <c r="B458" s="149"/>
      <c r="D458" s="143" t="s">
        <v>346</v>
      </c>
      <c r="E458" s="150"/>
      <c r="F458" s="151" t="s">
        <v>3012</v>
      </c>
      <c r="H458" s="152">
        <v>56.335000000000001</v>
      </c>
      <c r="L458" s="149"/>
      <c r="M458" s="153"/>
      <c r="T458" s="154"/>
      <c r="AT458" s="150" t="s">
        <v>346</v>
      </c>
      <c r="AU458" s="150" t="s">
        <v>90</v>
      </c>
      <c r="AV458" s="148" t="s">
        <v>90</v>
      </c>
      <c r="AW458" s="148" t="s">
        <v>33</v>
      </c>
      <c r="AX458" s="148" t="s">
        <v>80</v>
      </c>
      <c r="AY458" s="150" t="s">
        <v>337</v>
      </c>
    </row>
    <row r="459" spans="2:65" s="148" customFormat="1" x14ac:dyDescent="0.2">
      <c r="B459" s="149"/>
      <c r="D459" s="143" t="s">
        <v>346</v>
      </c>
      <c r="E459" s="150"/>
      <c r="F459" s="151" t="s">
        <v>3010</v>
      </c>
      <c r="H459" s="152">
        <v>239.11500000000001</v>
      </c>
      <c r="L459" s="149"/>
      <c r="M459" s="153"/>
      <c r="T459" s="154"/>
      <c r="AT459" s="150" t="s">
        <v>346</v>
      </c>
      <c r="AU459" s="150" t="s">
        <v>90</v>
      </c>
      <c r="AV459" s="148" t="s">
        <v>90</v>
      </c>
      <c r="AW459" s="148" t="s">
        <v>33</v>
      </c>
      <c r="AX459" s="148" t="s">
        <v>80</v>
      </c>
      <c r="AY459" s="150" t="s">
        <v>337</v>
      </c>
    </row>
    <row r="460" spans="2:65" s="141" customFormat="1" x14ac:dyDescent="0.2">
      <c r="B460" s="142"/>
      <c r="D460" s="143" t="s">
        <v>346</v>
      </c>
      <c r="E460" s="144"/>
      <c r="F460" s="145" t="s">
        <v>3360</v>
      </c>
      <c r="H460" s="144"/>
      <c r="L460" s="142"/>
      <c r="M460" s="146"/>
      <c r="T460" s="147"/>
      <c r="AT460" s="144" t="s">
        <v>346</v>
      </c>
      <c r="AU460" s="144" t="s">
        <v>90</v>
      </c>
      <c r="AV460" s="141" t="s">
        <v>87</v>
      </c>
      <c r="AW460" s="141" t="s">
        <v>33</v>
      </c>
      <c r="AX460" s="141" t="s">
        <v>80</v>
      </c>
      <c r="AY460" s="144" t="s">
        <v>337</v>
      </c>
    </row>
    <row r="461" spans="2:65" s="148" customFormat="1" x14ac:dyDescent="0.2">
      <c r="B461" s="149"/>
      <c r="D461" s="143" t="s">
        <v>346</v>
      </c>
      <c r="E461" s="150"/>
      <c r="F461" s="151" t="s">
        <v>3361</v>
      </c>
      <c r="H461" s="152">
        <v>-179.66</v>
      </c>
      <c r="L461" s="149"/>
      <c r="M461" s="153"/>
      <c r="T461" s="154"/>
      <c r="AT461" s="150" t="s">
        <v>346</v>
      </c>
      <c r="AU461" s="150" t="s">
        <v>90</v>
      </c>
      <c r="AV461" s="148" t="s">
        <v>90</v>
      </c>
      <c r="AW461" s="148" t="s">
        <v>33</v>
      </c>
      <c r="AX461" s="148" t="s">
        <v>80</v>
      </c>
      <c r="AY461" s="150" t="s">
        <v>337</v>
      </c>
    </row>
    <row r="462" spans="2:65" s="172" customFormat="1" x14ac:dyDescent="0.2">
      <c r="B462" s="173"/>
      <c r="D462" s="143" t="s">
        <v>346</v>
      </c>
      <c r="E462" s="174" t="s">
        <v>2983</v>
      </c>
      <c r="F462" s="175" t="s">
        <v>609</v>
      </c>
      <c r="H462" s="176">
        <v>115.79</v>
      </c>
      <c r="L462" s="173"/>
      <c r="M462" s="177"/>
      <c r="T462" s="178"/>
      <c r="AT462" s="174" t="s">
        <v>346</v>
      </c>
      <c r="AU462" s="174" t="s">
        <v>90</v>
      </c>
      <c r="AV462" s="172" t="s">
        <v>113</v>
      </c>
      <c r="AW462" s="172" t="s">
        <v>33</v>
      </c>
      <c r="AX462" s="172" t="s">
        <v>87</v>
      </c>
      <c r="AY462" s="174" t="s">
        <v>337</v>
      </c>
    </row>
    <row r="463" spans="2:65" s="16" customFormat="1" ht="16.5" customHeight="1" x14ac:dyDescent="0.2">
      <c r="B463" s="17"/>
      <c r="C463" s="128">
        <v>57</v>
      </c>
      <c r="D463" s="128" t="s">
        <v>339</v>
      </c>
      <c r="E463" s="129" t="s">
        <v>3362</v>
      </c>
      <c r="F463" s="130" t="s">
        <v>3363</v>
      </c>
      <c r="G463" s="131" t="s">
        <v>425</v>
      </c>
      <c r="H463" s="132">
        <v>411.51100000000002</v>
      </c>
      <c r="I463" s="133"/>
      <c r="J463" s="134">
        <f>ROUND(I463*H463,2)</f>
        <v>0</v>
      </c>
      <c r="K463" s="130" t="s">
        <v>343</v>
      </c>
      <c r="L463" s="17"/>
      <c r="M463" s="135"/>
      <c r="N463" s="136" t="s">
        <v>45</v>
      </c>
      <c r="P463" s="137">
        <f>O463*H463</f>
        <v>0</v>
      </c>
      <c r="Q463" s="137">
        <v>7.3499999999999998E-3</v>
      </c>
      <c r="R463" s="137">
        <f>Q463*H463</f>
        <v>3.0246058499999999</v>
      </c>
      <c r="S463" s="137">
        <v>0</v>
      </c>
      <c r="T463" s="138">
        <f>S463*H463</f>
        <v>0</v>
      </c>
      <c r="AR463" s="139" t="s">
        <v>344</v>
      </c>
      <c r="AT463" s="139" t="s">
        <v>339</v>
      </c>
      <c r="AU463" s="139" t="s">
        <v>90</v>
      </c>
      <c r="AY463" s="2" t="s">
        <v>337</v>
      </c>
      <c r="BE463" s="140">
        <f>IF(N463="základní",J463,0)</f>
        <v>0</v>
      </c>
      <c r="BF463" s="140">
        <f>IF(N463="snížená",J463,0)</f>
        <v>0</v>
      </c>
      <c r="BG463" s="140">
        <f>IF(N463="zákl. přenesená",J463,0)</f>
        <v>0</v>
      </c>
      <c r="BH463" s="140">
        <f>IF(N463="sníž. přenesená",J463,0)</f>
        <v>0</v>
      </c>
      <c r="BI463" s="140">
        <f>IF(N463="nulová",J463,0)</f>
        <v>0</v>
      </c>
      <c r="BJ463" s="2" t="s">
        <v>87</v>
      </c>
      <c r="BK463" s="140">
        <f>ROUND(I463*H463,2)</f>
        <v>0</v>
      </c>
      <c r="BL463" s="2" t="s">
        <v>344</v>
      </c>
      <c r="BM463" s="139" t="s">
        <v>3364</v>
      </c>
    </row>
    <row r="464" spans="2:65" s="148" customFormat="1" x14ac:dyDescent="0.2">
      <c r="B464" s="149"/>
      <c r="D464" s="143" t="s">
        <v>346</v>
      </c>
      <c r="E464" s="150"/>
      <c r="F464" s="151" t="s">
        <v>3018</v>
      </c>
      <c r="H464" s="152">
        <v>400.06099999999998</v>
      </c>
      <c r="L464" s="149"/>
      <c r="M464" s="153"/>
      <c r="T464" s="154"/>
      <c r="AT464" s="150" t="s">
        <v>346</v>
      </c>
      <c r="AU464" s="150" t="s">
        <v>90</v>
      </c>
      <c r="AV464" s="148" t="s">
        <v>90</v>
      </c>
      <c r="AW464" s="148" t="s">
        <v>33</v>
      </c>
      <c r="AX464" s="148" t="s">
        <v>80</v>
      </c>
      <c r="AY464" s="150" t="s">
        <v>337</v>
      </c>
    </row>
    <row r="465" spans="2:65" s="148" customFormat="1" x14ac:dyDescent="0.2">
      <c r="B465" s="149"/>
      <c r="D465" s="143" t="s">
        <v>346</v>
      </c>
      <c r="E465" s="150"/>
      <c r="F465" s="151" t="s">
        <v>3020</v>
      </c>
      <c r="H465" s="152">
        <v>11.45</v>
      </c>
      <c r="L465" s="149"/>
      <c r="M465" s="153"/>
      <c r="T465" s="154"/>
      <c r="AT465" s="150" t="s">
        <v>346</v>
      </c>
      <c r="AU465" s="150" t="s">
        <v>90</v>
      </c>
      <c r="AV465" s="148" t="s">
        <v>90</v>
      </c>
      <c r="AW465" s="148" t="s">
        <v>33</v>
      </c>
      <c r="AX465" s="148" t="s">
        <v>80</v>
      </c>
      <c r="AY465" s="150" t="s">
        <v>337</v>
      </c>
    </row>
    <row r="466" spans="2:65" s="155" customFormat="1" x14ac:dyDescent="0.2">
      <c r="B466" s="156"/>
      <c r="D466" s="143" t="s">
        <v>346</v>
      </c>
      <c r="E466" s="157"/>
      <c r="F466" s="158" t="s">
        <v>351</v>
      </c>
      <c r="H466" s="159">
        <v>411.51100000000002</v>
      </c>
      <c r="L466" s="156"/>
      <c r="M466" s="160"/>
      <c r="T466" s="161"/>
      <c r="AT466" s="157" t="s">
        <v>346</v>
      </c>
      <c r="AU466" s="157" t="s">
        <v>90</v>
      </c>
      <c r="AV466" s="155" t="s">
        <v>344</v>
      </c>
      <c r="AW466" s="155" t="s">
        <v>33</v>
      </c>
      <c r="AX466" s="155" t="s">
        <v>87</v>
      </c>
      <c r="AY466" s="157" t="s">
        <v>337</v>
      </c>
    </row>
    <row r="467" spans="2:65" s="16" customFormat="1" ht="16.5" customHeight="1" x14ac:dyDescent="0.2">
      <c r="B467" s="17"/>
      <c r="C467" s="128">
        <v>58</v>
      </c>
      <c r="D467" s="128" t="s">
        <v>339</v>
      </c>
      <c r="E467" s="129" t="s">
        <v>3365</v>
      </c>
      <c r="F467" s="130" t="s">
        <v>3366</v>
      </c>
      <c r="G467" s="131" t="s">
        <v>425</v>
      </c>
      <c r="H467" s="132">
        <v>3379.48</v>
      </c>
      <c r="I467" s="133"/>
      <c r="J467" s="134">
        <f>ROUND(I467*H467,2)</f>
        <v>0</v>
      </c>
      <c r="K467" s="130" t="s">
        <v>343</v>
      </c>
      <c r="L467" s="17"/>
      <c r="M467" s="135"/>
      <c r="N467" s="136" t="s">
        <v>45</v>
      </c>
      <c r="P467" s="137">
        <f>O467*H467</f>
        <v>0</v>
      </c>
      <c r="Q467" s="137">
        <v>2.5999999999999998E-4</v>
      </c>
      <c r="R467" s="137">
        <f>Q467*H467</f>
        <v>0.87866479999999991</v>
      </c>
      <c r="S467" s="137">
        <v>0</v>
      </c>
      <c r="T467" s="138">
        <f>S467*H467</f>
        <v>0</v>
      </c>
      <c r="AR467" s="139" t="s">
        <v>344</v>
      </c>
      <c r="AT467" s="139" t="s">
        <v>339</v>
      </c>
      <c r="AU467" s="139" t="s">
        <v>90</v>
      </c>
      <c r="AY467" s="2" t="s">
        <v>337</v>
      </c>
      <c r="BE467" s="140">
        <f>IF(N467="základní",J467,0)</f>
        <v>0</v>
      </c>
      <c r="BF467" s="140">
        <f>IF(N467="snížená",J467,0)</f>
        <v>0</v>
      </c>
      <c r="BG467" s="140">
        <f>IF(N467="zákl. přenesená",J467,0)</f>
        <v>0</v>
      </c>
      <c r="BH467" s="140">
        <f>IF(N467="sníž. přenesená",J467,0)</f>
        <v>0</v>
      </c>
      <c r="BI467" s="140">
        <f>IF(N467="nulová",J467,0)</f>
        <v>0</v>
      </c>
      <c r="BJ467" s="2" t="s">
        <v>87</v>
      </c>
      <c r="BK467" s="140">
        <f>ROUND(I467*H467,2)</f>
        <v>0</v>
      </c>
      <c r="BL467" s="2" t="s">
        <v>344</v>
      </c>
      <c r="BM467" s="139" t="s">
        <v>3367</v>
      </c>
    </row>
    <row r="468" spans="2:65" s="141" customFormat="1" x14ac:dyDescent="0.2">
      <c r="B468" s="142"/>
      <c r="D468" s="143" t="s">
        <v>346</v>
      </c>
      <c r="E468" s="144"/>
      <c r="F468" s="145" t="s">
        <v>3312</v>
      </c>
      <c r="H468" s="144"/>
      <c r="L468" s="142"/>
      <c r="M468" s="146"/>
      <c r="T468" s="147"/>
      <c r="AT468" s="144" t="s">
        <v>346</v>
      </c>
      <c r="AU468" s="144" t="s">
        <v>90</v>
      </c>
      <c r="AV468" s="141" t="s">
        <v>87</v>
      </c>
      <c r="AW468" s="141" t="s">
        <v>33</v>
      </c>
      <c r="AX468" s="141" t="s">
        <v>80</v>
      </c>
      <c r="AY468" s="144" t="s">
        <v>337</v>
      </c>
    </row>
    <row r="469" spans="2:65" s="148" customFormat="1" x14ac:dyDescent="0.2">
      <c r="B469" s="149"/>
      <c r="D469" s="143" t="s">
        <v>346</v>
      </c>
      <c r="E469" s="150"/>
      <c r="F469" s="151" t="s">
        <v>3004</v>
      </c>
      <c r="H469" s="152">
        <v>3.95</v>
      </c>
      <c r="L469" s="149"/>
      <c r="M469" s="153"/>
      <c r="T469" s="154"/>
      <c r="AT469" s="150" t="s">
        <v>346</v>
      </c>
      <c r="AU469" s="150" t="s">
        <v>90</v>
      </c>
      <c r="AV469" s="148" t="s">
        <v>90</v>
      </c>
      <c r="AW469" s="148" t="s">
        <v>33</v>
      </c>
      <c r="AX469" s="148" t="s">
        <v>80</v>
      </c>
      <c r="AY469" s="150" t="s">
        <v>337</v>
      </c>
    </row>
    <row r="470" spans="2:65" s="148" customFormat="1" x14ac:dyDescent="0.2">
      <c r="B470" s="149"/>
      <c r="D470" s="143" t="s">
        <v>346</v>
      </c>
      <c r="E470" s="150"/>
      <c r="F470" s="151" t="s">
        <v>3008</v>
      </c>
      <c r="H470" s="152">
        <v>42.542999999999999</v>
      </c>
      <c r="L470" s="149"/>
      <c r="M470" s="153"/>
      <c r="T470" s="154"/>
      <c r="AT470" s="150" t="s">
        <v>346</v>
      </c>
      <c r="AU470" s="150" t="s">
        <v>90</v>
      </c>
      <c r="AV470" s="148" t="s">
        <v>90</v>
      </c>
      <c r="AW470" s="148" t="s">
        <v>33</v>
      </c>
      <c r="AX470" s="148" t="s">
        <v>80</v>
      </c>
      <c r="AY470" s="150" t="s">
        <v>337</v>
      </c>
    </row>
    <row r="471" spans="2:65" s="148" customFormat="1" x14ac:dyDescent="0.2">
      <c r="B471" s="149"/>
      <c r="D471" s="143" t="s">
        <v>346</v>
      </c>
      <c r="E471" s="150"/>
      <c r="F471" s="151" t="s">
        <v>3000</v>
      </c>
      <c r="H471" s="152">
        <v>140.36000000000001</v>
      </c>
      <c r="L471" s="149"/>
      <c r="M471" s="153"/>
      <c r="T471" s="154"/>
      <c r="AT471" s="150" t="s">
        <v>346</v>
      </c>
      <c r="AU471" s="150" t="s">
        <v>90</v>
      </c>
      <c r="AV471" s="148" t="s">
        <v>90</v>
      </c>
      <c r="AW471" s="148" t="s">
        <v>33</v>
      </c>
      <c r="AX471" s="148" t="s">
        <v>80</v>
      </c>
      <c r="AY471" s="150" t="s">
        <v>337</v>
      </c>
    </row>
    <row r="472" spans="2:65" s="148" customFormat="1" x14ac:dyDescent="0.2">
      <c r="B472" s="149"/>
      <c r="D472" s="143" t="s">
        <v>346</v>
      </c>
      <c r="E472" s="150"/>
      <c r="F472" s="151" t="s">
        <v>3002</v>
      </c>
      <c r="H472" s="152">
        <v>2545.8339999999998</v>
      </c>
      <c r="L472" s="149"/>
      <c r="M472" s="153"/>
      <c r="T472" s="154"/>
      <c r="AT472" s="150" t="s">
        <v>346</v>
      </c>
      <c r="AU472" s="150" t="s">
        <v>90</v>
      </c>
      <c r="AV472" s="148" t="s">
        <v>90</v>
      </c>
      <c r="AW472" s="148" t="s">
        <v>33</v>
      </c>
      <c r="AX472" s="148" t="s">
        <v>80</v>
      </c>
      <c r="AY472" s="150" t="s">
        <v>337</v>
      </c>
    </row>
    <row r="473" spans="2:65" s="148" customFormat="1" x14ac:dyDescent="0.2">
      <c r="B473" s="149"/>
      <c r="D473" s="143" t="s">
        <v>346</v>
      </c>
      <c r="E473" s="150"/>
      <c r="F473" s="151" t="s">
        <v>2998</v>
      </c>
      <c r="H473" s="152">
        <v>342.56200000000001</v>
      </c>
      <c r="L473" s="149"/>
      <c r="M473" s="153"/>
      <c r="T473" s="154"/>
      <c r="AT473" s="150" t="s">
        <v>346</v>
      </c>
      <c r="AU473" s="150" t="s">
        <v>90</v>
      </c>
      <c r="AV473" s="148" t="s">
        <v>90</v>
      </c>
      <c r="AW473" s="148" t="s">
        <v>33</v>
      </c>
      <c r="AX473" s="148" t="s">
        <v>80</v>
      </c>
      <c r="AY473" s="150" t="s">
        <v>337</v>
      </c>
    </row>
    <row r="474" spans="2:65" s="148" customFormat="1" x14ac:dyDescent="0.2">
      <c r="B474" s="149"/>
      <c r="D474" s="143" t="s">
        <v>346</v>
      </c>
      <c r="E474" s="150"/>
      <c r="F474" s="151" t="s">
        <v>3027</v>
      </c>
      <c r="H474" s="152">
        <v>101.66</v>
      </c>
      <c r="L474" s="149"/>
      <c r="M474" s="153"/>
      <c r="T474" s="154"/>
      <c r="AT474" s="150" t="s">
        <v>346</v>
      </c>
      <c r="AU474" s="150" t="s">
        <v>90</v>
      </c>
      <c r="AV474" s="148" t="s">
        <v>90</v>
      </c>
      <c r="AW474" s="148" t="s">
        <v>33</v>
      </c>
      <c r="AX474" s="148" t="s">
        <v>80</v>
      </c>
      <c r="AY474" s="150" t="s">
        <v>337</v>
      </c>
    </row>
    <row r="475" spans="2:65" s="148" customFormat="1" x14ac:dyDescent="0.2">
      <c r="B475" s="149"/>
      <c r="D475" s="143" t="s">
        <v>346</v>
      </c>
      <c r="E475" s="150"/>
      <c r="F475" s="151" t="s">
        <v>3368</v>
      </c>
      <c r="H475" s="152">
        <v>202.571</v>
      </c>
      <c r="L475" s="149"/>
      <c r="M475" s="153"/>
      <c r="T475" s="154"/>
      <c r="AT475" s="150" t="s">
        <v>346</v>
      </c>
      <c r="AU475" s="150" t="s">
        <v>90</v>
      </c>
      <c r="AV475" s="148" t="s">
        <v>90</v>
      </c>
      <c r="AW475" s="148" t="s">
        <v>33</v>
      </c>
      <c r="AX475" s="148" t="s">
        <v>80</v>
      </c>
      <c r="AY475" s="150" t="s">
        <v>337</v>
      </c>
    </row>
    <row r="476" spans="2:65" s="155" customFormat="1" x14ac:dyDescent="0.2">
      <c r="B476" s="156"/>
      <c r="D476" s="143" t="s">
        <v>346</v>
      </c>
      <c r="E476" s="157"/>
      <c r="F476" s="158" t="s">
        <v>351</v>
      </c>
      <c r="H476" s="159">
        <v>3379.48</v>
      </c>
      <c r="L476" s="156"/>
      <c r="M476" s="160"/>
      <c r="T476" s="161"/>
      <c r="AT476" s="157" t="s">
        <v>346</v>
      </c>
      <c r="AU476" s="157" t="s">
        <v>90</v>
      </c>
      <c r="AV476" s="155" t="s">
        <v>344</v>
      </c>
      <c r="AW476" s="155" t="s">
        <v>33</v>
      </c>
      <c r="AX476" s="155" t="s">
        <v>87</v>
      </c>
      <c r="AY476" s="157" t="s">
        <v>337</v>
      </c>
    </row>
    <row r="477" spans="2:65" s="16" customFormat="1" ht="16.5" customHeight="1" x14ac:dyDescent="0.2">
      <c r="B477" s="17"/>
      <c r="C477" s="128">
        <v>59</v>
      </c>
      <c r="D477" s="128" t="s">
        <v>339</v>
      </c>
      <c r="E477" s="129" t="s">
        <v>3369</v>
      </c>
      <c r="F477" s="130" t="s">
        <v>3370</v>
      </c>
      <c r="G477" s="131" t="s">
        <v>425</v>
      </c>
      <c r="H477" s="132">
        <v>3211.22</v>
      </c>
      <c r="I477" s="133"/>
      <c r="J477" s="134">
        <f>ROUND(I477*H477,2)</f>
        <v>0</v>
      </c>
      <c r="K477" s="130" t="s">
        <v>343</v>
      </c>
      <c r="L477" s="17"/>
      <c r="M477" s="135"/>
      <c r="N477" s="136" t="s">
        <v>45</v>
      </c>
      <c r="P477" s="137">
        <f>O477*H477</f>
        <v>0</v>
      </c>
      <c r="Q477" s="137">
        <v>2.0000000000000001E-4</v>
      </c>
      <c r="R477" s="137">
        <f>Q477*H477</f>
        <v>0.64224400000000004</v>
      </c>
      <c r="S477" s="137">
        <v>0</v>
      </c>
      <c r="T477" s="138">
        <f>S477*H477</f>
        <v>0</v>
      </c>
      <c r="AR477" s="139" t="s">
        <v>344</v>
      </c>
      <c r="AT477" s="139" t="s">
        <v>339</v>
      </c>
      <c r="AU477" s="139" t="s">
        <v>90</v>
      </c>
      <c r="AY477" s="2" t="s">
        <v>337</v>
      </c>
      <c r="BE477" s="140">
        <f>IF(N477="základní",J477,0)</f>
        <v>0</v>
      </c>
      <c r="BF477" s="140">
        <f>IF(N477="snížená",J477,0)</f>
        <v>0</v>
      </c>
      <c r="BG477" s="140">
        <f>IF(N477="zákl. přenesená",J477,0)</f>
        <v>0</v>
      </c>
      <c r="BH477" s="140">
        <f>IF(N477="sníž. přenesená",J477,0)</f>
        <v>0</v>
      </c>
      <c r="BI477" s="140">
        <f>IF(N477="nulová",J477,0)</f>
        <v>0</v>
      </c>
      <c r="BJ477" s="2" t="s">
        <v>87</v>
      </c>
      <c r="BK477" s="140">
        <f>ROUND(I477*H477,2)</f>
        <v>0</v>
      </c>
      <c r="BL477" s="2" t="s">
        <v>344</v>
      </c>
      <c r="BM477" s="139" t="s">
        <v>3371</v>
      </c>
    </row>
    <row r="478" spans="2:65" s="141" customFormat="1" x14ac:dyDescent="0.2">
      <c r="B478" s="142"/>
      <c r="D478" s="143" t="s">
        <v>346</v>
      </c>
      <c r="E478" s="144"/>
      <c r="F478" s="145" t="s">
        <v>3316</v>
      </c>
      <c r="H478" s="144"/>
      <c r="L478" s="142"/>
      <c r="M478" s="146"/>
      <c r="T478" s="147"/>
      <c r="AT478" s="144" t="s">
        <v>346</v>
      </c>
      <c r="AU478" s="144" t="s">
        <v>90</v>
      </c>
      <c r="AV478" s="141" t="s">
        <v>87</v>
      </c>
      <c r="AW478" s="141" t="s">
        <v>33</v>
      </c>
      <c r="AX478" s="141" t="s">
        <v>80</v>
      </c>
      <c r="AY478" s="144" t="s">
        <v>337</v>
      </c>
    </row>
    <row r="479" spans="2:65" s="148" customFormat="1" x14ac:dyDescent="0.2">
      <c r="B479" s="149"/>
      <c r="D479" s="143" t="s">
        <v>346</v>
      </c>
      <c r="E479" s="150"/>
      <c r="F479" s="151" t="s">
        <v>2987</v>
      </c>
      <c r="H479" s="152">
        <v>1789.6020000000001</v>
      </c>
      <c r="L479" s="149"/>
      <c r="M479" s="153"/>
      <c r="T479" s="154"/>
      <c r="AT479" s="150" t="s">
        <v>346</v>
      </c>
      <c r="AU479" s="150" t="s">
        <v>90</v>
      </c>
      <c r="AV479" s="148" t="s">
        <v>90</v>
      </c>
      <c r="AW479" s="148" t="s">
        <v>33</v>
      </c>
      <c r="AX479" s="148" t="s">
        <v>80</v>
      </c>
      <c r="AY479" s="150" t="s">
        <v>337</v>
      </c>
    </row>
    <row r="480" spans="2:65" s="148" customFormat="1" x14ac:dyDescent="0.2">
      <c r="B480" s="149"/>
      <c r="D480" s="143" t="s">
        <v>346</v>
      </c>
      <c r="E480" s="150"/>
      <c r="F480" s="151" t="s">
        <v>2991</v>
      </c>
      <c r="H480" s="152">
        <v>1421.6179999999999</v>
      </c>
      <c r="L480" s="149"/>
      <c r="M480" s="153"/>
      <c r="T480" s="154"/>
      <c r="AT480" s="150" t="s">
        <v>346</v>
      </c>
      <c r="AU480" s="150" t="s">
        <v>90</v>
      </c>
      <c r="AV480" s="148" t="s">
        <v>90</v>
      </c>
      <c r="AW480" s="148" t="s">
        <v>33</v>
      </c>
      <c r="AX480" s="148" t="s">
        <v>80</v>
      </c>
      <c r="AY480" s="150" t="s">
        <v>337</v>
      </c>
    </row>
    <row r="481" spans="2:65" s="155" customFormat="1" x14ac:dyDescent="0.2">
      <c r="B481" s="156"/>
      <c r="D481" s="143" t="s">
        <v>346</v>
      </c>
      <c r="E481" s="157"/>
      <c r="F481" s="158" t="s">
        <v>351</v>
      </c>
      <c r="H481" s="159">
        <v>3211.22</v>
      </c>
      <c r="L481" s="156"/>
      <c r="M481" s="160"/>
      <c r="T481" s="161"/>
      <c r="AT481" s="157" t="s">
        <v>346</v>
      </c>
      <c r="AU481" s="157" t="s">
        <v>90</v>
      </c>
      <c r="AV481" s="155" t="s">
        <v>344</v>
      </c>
      <c r="AW481" s="155" t="s">
        <v>33</v>
      </c>
      <c r="AX481" s="155" t="s">
        <v>87</v>
      </c>
      <c r="AY481" s="157" t="s">
        <v>337</v>
      </c>
    </row>
    <row r="482" spans="2:65" s="16" customFormat="1" ht="16.5" customHeight="1" x14ac:dyDescent="0.2">
      <c r="B482" s="17"/>
      <c r="C482" s="128">
        <v>60</v>
      </c>
      <c r="D482" s="128" t="s">
        <v>339</v>
      </c>
      <c r="E482" s="129" t="s">
        <v>3372</v>
      </c>
      <c r="F482" s="130" t="s">
        <v>3373</v>
      </c>
      <c r="G482" s="131" t="s">
        <v>425</v>
      </c>
      <c r="H482" s="132">
        <v>101.66</v>
      </c>
      <c r="I482" s="133"/>
      <c r="J482" s="134">
        <f>ROUND(I482*H482,2)</f>
        <v>0</v>
      </c>
      <c r="K482" s="130" t="s">
        <v>343</v>
      </c>
      <c r="L482" s="17"/>
      <c r="M482" s="135"/>
      <c r="N482" s="136" t="s">
        <v>45</v>
      </c>
      <c r="P482" s="137">
        <f>O482*H482</f>
        <v>0</v>
      </c>
      <c r="Q482" s="137">
        <v>1.8000000000000001E-4</v>
      </c>
      <c r="R482" s="137">
        <f>Q482*H482</f>
        <v>1.82988E-2</v>
      </c>
      <c r="S482" s="137">
        <v>0</v>
      </c>
      <c r="T482" s="138">
        <f>S482*H482</f>
        <v>0</v>
      </c>
      <c r="AR482" s="139" t="s">
        <v>344</v>
      </c>
      <c r="AT482" s="139" t="s">
        <v>339</v>
      </c>
      <c r="AU482" s="139" t="s">
        <v>90</v>
      </c>
      <c r="AY482" s="2" t="s">
        <v>337</v>
      </c>
      <c r="BE482" s="140">
        <f>IF(N482="základní",J482,0)</f>
        <v>0</v>
      </c>
      <c r="BF482" s="140">
        <f>IF(N482="snížená",J482,0)</f>
        <v>0</v>
      </c>
      <c r="BG482" s="140">
        <f>IF(N482="zákl. přenesená",J482,0)</f>
        <v>0</v>
      </c>
      <c r="BH482" s="140">
        <f>IF(N482="sníž. přenesená",J482,0)</f>
        <v>0</v>
      </c>
      <c r="BI482" s="140">
        <f>IF(N482="nulová",J482,0)</f>
        <v>0</v>
      </c>
      <c r="BJ482" s="2" t="s">
        <v>87</v>
      </c>
      <c r="BK482" s="140">
        <f>ROUND(I482*H482,2)</f>
        <v>0</v>
      </c>
      <c r="BL482" s="2" t="s">
        <v>344</v>
      </c>
      <c r="BM482" s="139" t="s">
        <v>3374</v>
      </c>
    </row>
    <row r="483" spans="2:65" s="16" customFormat="1" ht="24.2" customHeight="1" x14ac:dyDescent="0.2">
      <c r="B483" s="17"/>
      <c r="C483" s="128">
        <v>61</v>
      </c>
      <c r="D483" s="128" t="s">
        <v>339</v>
      </c>
      <c r="E483" s="129" t="s">
        <v>3375</v>
      </c>
      <c r="F483" s="130" t="s">
        <v>3376</v>
      </c>
      <c r="G483" s="131" t="s">
        <v>425</v>
      </c>
      <c r="H483" s="132">
        <v>101.66</v>
      </c>
      <c r="I483" s="133"/>
      <c r="J483" s="134">
        <f>ROUND(I483*H483,2)</f>
        <v>0</v>
      </c>
      <c r="K483" s="130" t="s">
        <v>343</v>
      </c>
      <c r="L483" s="17"/>
      <c r="M483" s="135"/>
      <c r="N483" s="136" t="s">
        <v>45</v>
      </c>
      <c r="P483" s="137">
        <f>O483*H483</f>
        <v>0</v>
      </c>
      <c r="Q483" s="137">
        <v>8.6800000000000002E-3</v>
      </c>
      <c r="R483" s="137">
        <f>Q483*H483</f>
        <v>0.88240879999999999</v>
      </c>
      <c r="S483" s="137">
        <v>0</v>
      </c>
      <c r="T483" s="138">
        <f>S483*H483</f>
        <v>0</v>
      </c>
      <c r="AR483" s="139" t="s">
        <v>344</v>
      </c>
      <c r="AT483" s="139" t="s">
        <v>339</v>
      </c>
      <c r="AU483" s="139" t="s">
        <v>90</v>
      </c>
      <c r="AY483" s="2" t="s">
        <v>337</v>
      </c>
      <c r="BE483" s="140">
        <f>IF(N483="základní",J483,0)</f>
        <v>0</v>
      </c>
      <c r="BF483" s="140">
        <f>IF(N483="snížená",J483,0)</f>
        <v>0</v>
      </c>
      <c r="BG483" s="140">
        <f>IF(N483="zákl. přenesená",J483,0)</f>
        <v>0</v>
      </c>
      <c r="BH483" s="140">
        <f>IF(N483="sníž. přenesená",J483,0)</f>
        <v>0</v>
      </c>
      <c r="BI483" s="140">
        <f>IF(N483="nulová",J483,0)</f>
        <v>0</v>
      </c>
      <c r="BJ483" s="2" t="s">
        <v>87</v>
      </c>
      <c r="BK483" s="140">
        <f>ROUND(I483*H483,2)</f>
        <v>0</v>
      </c>
      <c r="BL483" s="2" t="s">
        <v>344</v>
      </c>
      <c r="BM483" s="139" t="s">
        <v>3377</v>
      </c>
    </row>
    <row r="484" spans="2:65" s="141" customFormat="1" x14ac:dyDescent="0.2">
      <c r="B484" s="142"/>
      <c r="D484" s="143" t="s">
        <v>346</v>
      </c>
      <c r="E484" s="144"/>
      <c r="F484" s="145" t="s">
        <v>3378</v>
      </c>
      <c r="H484" s="144"/>
      <c r="L484" s="142"/>
      <c r="M484" s="146"/>
      <c r="T484" s="147"/>
      <c r="AT484" s="144" t="s">
        <v>346</v>
      </c>
      <c r="AU484" s="144" t="s">
        <v>90</v>
      </c>
      <c r="AV484" s="141" t="s">
        <v>87</v>
      </c>
      <c r="AW484" s="141" t="s">
        <v>33</v>
      </c>
      <c r="AX484" s="141" t="s">
        <v>80</v>
      </c>
      <c r="AY484" s="144" t="s">
        <v>337</v>
      </c>
    </row>
    <row r="485" spans="2:65" s="141" customFormat="1" x14ac:dyDescent="0.2">
      <c r="B485" s="142"/>
      <c r="D485" s="143" t="s">
        <v>346</v>
      </c>
      <c r="E485" s="144"/>
      <c r="F485" s="145" t="s">
        <v>3098</v>
      </c>
      <c r="H485" s="144"/>
      <c r="L485" s="142"/>
      <c r="M485" s="146"/>
      <c r="T485" s="147"/>
      <c r="AT485" s="144" t="s">
        <v>346</v>
      </c>
      <c r="AU485" s="144" t="s">
        <v>90</v>
      </c>
      <c r="AV485" s="141" t="s">
        <v>87</v>
      </c>
      <c r="AW485" s="141" t="s">
        <v>33</v>
      </c>
      <c r="AX485" s="141" t="s">
        <v>80</v>
      </c>
      <c r="AY485" s="144" t="s">
        <v>337</v>
      </c>
    </row>
    <row r="486" spans="2:65" s="141" customFormat="1" x14ac:dyDescent="0.2">
      <c r="B486" s="142"/>
      <c r="D486" s="143" t="s">
        <v>346</v>
      </c>
      <c r="E486" s="144"/>
      <c r="F486" s="145" t="s">
        <v>3253</v>
      </c>
      <c r="H486" s="144"/>
      <c r="L486" s="142"/>
      <c r="M486" s="146"/>
      <c r="T486" s="147"/>
      <c r="AT486" s="144" t="s">
        <v>346</v>
      </c>
      <c r="AU486" s="144" t="s">
        <v>90</v>
      </c>
      <c r="AV486" s="141" t="s">
        <v>87</v>
      </c>
      <c r="AW486" s="141" t="s">
        <v>33</v>
      </c>
      <c r="AX486" s="141" t="s">
        <v>80</v>
      </c>
      <c r="AY486" s="144" t="s">
        <v>337</v>
      </c>
    </row>
    <row r="487" spans="2:65" s="141" customFormat="1" x14ac:dyDescent="0.2">
      <c r="B487" s="142"/>
      <c r="D487" s="143" t="s">
        <v>346</v>
      </c>
      <c r="E487" s="144"/>
      <c r="F487" s="145" t="s">
        <v>3379</v>
      </c>
      <c r="H487" s="144"/>
      <c r="L487" s="142"/>
      <c r="M487" s="146"/>
      <c r="T487" s="147"/>
      <c r="AT487" s="144" t="s">
        <v>346</v>
      </c>
      <c r="AU487" s="144" t="s">
        <v>90</v>
      </c>
      <c r="AV487" s="141" t="s">
        <v>87</v>
      </c>
      <c r="AW487" s="141" t="s">
        <v>33</v>
      </c>
      <c r="AX487" s="141" t="s">
        <v>80</v>
      </c>
      <c r="AY487" s="144" t="s">
        <v>337</v>
      </c>
    </row>
    <row r="488" spans="2:65" s="148" customFormat="1" x14ac:dyDescent="0.2">
      <c r="B488" s="149"/>
      <c r="D488" s="143" t="s">
        <v>346</v>
      </c>
      <c r="E488" s="150"/>
      <c r="F488" s="151" t="s">
        <v>3380</v>
      </c>
      <c r="H488" s="152">
        <v>3.2749999999999999</v>
      </c>
      <c r="L488" s="149"/>
      <c r="M488" s="153"/>
      <c r="T488" s="154"/>
      <c r="AT488" s="150" t="s">
        <v>346</v>
      </c>
      <c r="AU488" s="150" t="s">
        <v>90</v>
      </c>
      <c r="AV488" s="148" t="s">
        <v>90</v>
      </c>
      <c r="AW488" s="148" t="s">
        <v>33</v>
      </c>
      <c r="AX488" s="148" t="s">
        <v>80</v>
      </c>
      <c r="AY488" s="150" t="s">
        <v>337</v>
      </c>
    </row>
    <row r="489" spans="2:65" s="141" customFormat="1" x14ac:dyDescent="0.2">
      <c r="B489" s="142"/>
      <c r="D489" s="143" t="s">
        <v>346</v>
      </c>
      <c r="E489" s="144"/>
      <c r="F489" s="145" t="s">
        <v>3381</v>
      </c>
      <c r="H489" s="144"/>
      <c r="L489" s="142"/>
      <c r="M489" s="146"/>
      <c r="T489" s="147"/>
      <c r="AT489" s="144" t="s">
        <v>346</v>
      </c>
      <c r="AU489" s="144" t="s">
        <v>90</v>
      </c>
      <c r="AV489" s="141" t="s">
        <v>87</v>
      </c>
      <c r="AW489" s="141" t="s">
        <v>33</v>
      </c>
      <c r="AX489" s="141" t="s">
        <v>80</v>
      </c>
      <c r="AY489" s="144" t="s">
        <v>337</v>
      </c>
    </row>
    <row r="490" spans="2:65" s="148" customFormat="1" x14ac:dyDescent="0.2">
      <c r="B490" s="149"/>
      <c r="D490" s="143" t="s">
        <v>346</v>
      </c>
      <c r="E490" s="150"/>
      <c r="F490" s="151" t="s">
        <v>3382</v>
      </c>
      <c r="H490" s="152">
        <v>25.164999999999999</v>
      </c>
      <c r="L490" s="149"/>
      <c r="M490" s="153"/>
      <c r="T490" s="154"/>
      <c r="AT490" s="150" t="s">
        <v>346</v>
      </c>
      <c r="AU490" s="150" t="s">
        <v>90</v>
      </c>
      <c r="AV490" s="148" t="s">
        <v>90</v>
      </c>
      <c r="AW490" s="148" t="s">
        <v>33</v>
      </c>
      <c r="AX490" s="148" t="s">
        <v>80</v>
      </c>
      <c r="AY490" s="150" t="s">
        <v>337</v>
      </c>
    </row>
    <row r="491" spans="2:65" s="141" customFormat="1" x14ac:dyDescent="0.2">
      <c r="B491" s="142"/>
      <c r="D491" s="143" t="s">
        <v>346</v>
      </c>
      <c r="E491" s="144"/>
      <c r="F491" s="145" t="s">
        <v>3383</v>
      </c>
      <c r="H491" s="144"/>
      <c r="L491" s="142"/>
      <c r="M491" s="146"/>
      <c r="T491" s="147"/>
      <c r="AT491" s="144" t="s">
        <v>346</v>
      </c>
      <c r="AU491" s="144" t="s">
        <v>90</v>
      </c>
      <c r="AV491" s="141" t="s">
        <v>87</v>
      </c>
      <c r="AW491" s="141" t="s">
        <v>33</v>
      </c>
      <c r="AX491" s="141" t="s">
        <v>80</v>
      </c>
      <c r="AY491" s="144" t="s">
        <v>337</v>
      </c>
    </row>
    <row r="492" spans="2:65" s="148" customFormat="1" x14ac:dyDescent="0.2">
      <c r="B492" s="149"/>
      <c r="D492" s="143" t="s">
        <v>346</v>
      </c>
      <c r="E492" s="150"/>
      <c r="F492" s="151" t="s">
        <v>3384</v>
      </c>
      <c r="H492" s="152">
        <v>5.8</v>
      </c>
      <c r="L492" s="149"/>
      <c r="M492" s="153"/>
      <c r="T492" s="154"/>
      <c r="AT492" s="150" t="s">
        <v>346</v>
      </c>
      <c r="AU492" s="150" t="s">
        <v>90</v>
      </c>
      <c r="AV492" s="148" t="s">
        <v>90</v>
      </c>
      <c r="AW492" s="148" t="s">
        <v>33</v>
      </c>
      <c r="AX492" s="148" t="s">
        <v>80</v>
      </c>
      <c r="AY492" s="150" t="s">
        <v>337</v>
      </c>
    </row>
    <row r="493" spans="2:65" s="141" customFormat="1" x14ac:dyDescent="0.2">
      <c r="B493" s="142"/>
      <c r="D493" s="143" t="s">
        <v>346</v>
      </c>
      <c r="E493" s="144"/>
      <c r="F493" s="145" t="s">
        <v>3101</v>
      </c>
      <c r="H493" s="144"/>
      <c r="L493" s="142"/>
      <c r="M493" s="146"/>
      <c r="T493" s="147"/>
      <c r="AT493" s="144" t="s">
        <v>346</v>
      </c>
      <c r="AU493" s="144" t="s">
        <v>90</v>
      </c>
      <c r="AV493" s="141" t="s">
        <v>87</v>
      </c>
      <c r="AW493" s="141" t="s">
        <v>33</v>
      </c>
      <c r="AX493" s="141" t="s">
        <v>80</v>
      </c>
      <c r="AY493" s="144" t="s">
        <v>337</v>
      </c>
    </row>
    <row r="494" spans="2:65" s="141" customFormat="1" x14ac:dyDescent="0.2">
      <c r="B494" s="142"/>
      <c r="D494" s="143" t="s">
        <v>346</v>
      </c>
      <c r="E494" s="144"/>
      <c r="F494" s="145" t="s">
        <v>3102</v>
      </c>
      <c r="H494" s="144"/>
      <c r="L494" s="142"/>
      <c r="M494" s="146"/>
      <c r="T494" s="147"/>
      <c r="AT494" s="144" t="s">
        <v>346</v>
      </c>
      <c r="AU494" s="144" t="s">
        <v>90</v>
      </c>
      <c r="AV494" s="141" t="s">
        <v>87</v>
      </c>
      <c r="AW494" s="141" t="s">
        <v>33</v>
      </c>
      <c r="AX494" s="141" t="s">
        <v>80</v>
      </c>
      <c r="AY494" s="144" t="s">
        <v>337</v>
      </c>
    </row>
    <row r="495" spans="2:65" s="148" customFormat="1" x14ac:dyDescent="0.2">
      <c r="B495" s="149"/>
      <c r="D495" s="143" t="s">
        <v>346</v>
      </c>
      <c r="E495" s="150"/>
      <c r="F495" s="151" t="s">
        <v>3385</v>
      </c>
      <c r="H495" s="152">
        <v>3</v>
      </c>
      <c r="L495" s="149"/>
      <c r="M495" s="153"/>
      <c r="T495" s="154"/>
      <c r="AT495" s="150" t="s">
        <v>346</v>
      </c>
      <c r="AU495" s="150" t="s">
        <v>90</v>
      </c>
      <c r="AV495" s="148" t="s">
        <v>90</v>
      </c>
      <c r="AW495" s="148" t="s">
        <v>33</v>
      </c>
      <c r="AX495" s="148" t="s">
        <v>80</v>
      </c>
      <c r="AY495" s="150" t="s">
        <v>337</v>
      </c>
    </row>
    <row r="496" spans="2:65" s="141" customFormat="1" x14ac:dyDescent="0.2">
      <c r="B496" s="142"/>
      <c r="D496" s="143" t="s">
        <v>346</v>
      </c>
      <c r="E496" s="144"/>
      <c r="F496" s="145" t="s">
        <v>3104</v>
      </c>
      <c r="H496" s="144"/>
      <c r="L496" s="142"/>
      <c r="M496" s="146"/>
      <c r="T496" s="147"/>
      <c r="AT496" s="144" t="s">
        <v>346</v>
      </c>
      <c r="AU496" s="144" t="s">
        <v>90</v>
      </c>
      <c r="AV496" s="141" t="s">
        <v>87</v>
      </c>
      <c r="AW496" s="141" t="s">
        <v>33</v>
      </c>
      <c r="AX496" s="141" t="s">
        <v>80</v>
      </c>
      <c r="AY496" s="144" t="s">
        <v>337</v>
      </c>
    </row>
    <row r="497" spans="2:51" s="148" customFormat="1" x14ac:dyDescent="0.2">
      <c r="B497" s="149"/>
      <c r="D497" s="143" t="s">
        <v>346</v>
      </c>
      <c r="E497" s="150"/>
      <c r="F497" s="151" t="s">
        <v>3386</v>
      </c>
      <c r="H497" s="152">
        <v>0.3</v>
      </c>
      <c r="L497" s="149"/>
      <c r="M497" s="153"/>
      <c r="T497" s="154"/>
      <c r="AT497" s="150" t="s">
        <v>346</v>
      </c>
      <c r="AU497" s="150" t="s">
        <v>90</v>
      </c>
      <c r="AV497" s="148" t="s">
        <v>90</v>
      </c>
      <c r="AW497" s="148" t="s">
        <v>33</v>
      </c>
      <c r="AX497" s="148" t="s">
        <v>80</v>
      </c>
      <c r="AY497" s="150" t="s">
        <v>337</v>
      </c>
    </row>
    <row r="498" spans="2:51" s="141" customFormat="1" x14ac:dyDescent="0.2">
      <c r="B498" s="142"/>
      <c r="D498" s="143" t="s">
        <v>346</v>
      </c>
      <c r="E498" s="144"/>
      <c r="F498" s="145" t="s">
        <v>3106</v>
      </c>
      <c r="H498" s="144"/>
      <c r="L498" s="142"/>
      <c r="M498" s="146"/>
      <c r="T498" s="147"/>
      <c r="AT498" s="144" t="s">
        <v>346</v>
      </c>
      <c r="AU498" s="144" t="s">
        <v>90</v>
      </c>
      <c r="AV498" s="141" t="s">
        <v>87</v>
      </c>
      <c r="AW498" s="141" t="s">
        <v>33</v>
      </c>
      <c r="AX498" s="141" t="s">
        <v>80</v>
      </c>
      <c r="AY498" s="144" t="s">
        <v>337</v>
      </c>
    </row>
    <row r="499" spans="2:51" s="148" customFormat="1" x14ac:dyDescent="0.2">
      <c r="B499" s="149"/>
      <c r="D499" s="143" t="s">
        <v>346</v>
      </c>
      <c r="E499" s="150"/>
      <c r="F499" s="151" t="s">
        <v>3387</v>
      </c>
      <c r="H499" s="152">
        <v>5.2</v>
      </c>
      <c r="L499" s="149"/>
      <c r="M499" s="153"/>
      <c r="T499" s="154"/>
      <c r="AT499" s="150" t="s">
        <v>346</v>
      </c>
      <c r="AU499" s="150" t="s">
        <v>90</v>
      </c>
      <c r="AV499" s="148" t="s">
        <v>90</v>
      </c>
      <c r="AW499" s="148" t="s">
        <v>33</v>
      </c>
      <c r="AX499" s="148" t="s">
        <v>80</v>
      </c>
      <c r="AY499" s="150" t="s">
        <v>337</v>
      </c>
    </row>
    <row r="500" spans="2:51" s="141" customFormat="1" x14ac:dyDescent="0.2">
      <c r="B500" s="142"/>
      <c r="D500" s="143" t="s">
        <v>346</v>
      </c>
      <c r="E500" s="144"/>
      <c r="F500" s="145" t="s">
        <v>3108</v>
      </c>
      <c r="H500" s="144"/>
      <c r="L500" s="142"/>
      <c r="M500" s="146"/>
      <c r="T500" s="147"/>
      <c r="AT500" s="144" t="s">
        <v>346</v>
      </c>
      <c r="AU500" s="144" t="s">
        <v>90</v>
      </c>
      <c r="AV500" s="141" t="s">
        <v>87</v>
      </c>
      <c r="AW500" s="141" t="s">
        <v>33</v>
      </c>
      <c r="AX500" s="141" t="s">
        <v>80</v>
      </c>
      <c r="AY500" s="144" t="s">
        <v>337</v>
      </c>
    </row>
    <row r="501" spans="2:51" s="148" customFormat="1" x14ac:dyDescent="0.2">
      <c r="B501" s="149"/>
      <c r="D501" s="143" t="s">
        <v>346</v>
      </c>
      <c r="E501" s="150"/>
      <c r="F501" s="151" t="s">
        <v>3388</v>
      </c>
      <c r="H501" s="152">
        <v>2.7</v>
      </c>
      <c r="L501" s="149"/>
      <c r="M501" s="153"/>
      <c r="T501" s="154"/>
      <c r="AT501" s="150" t="s">
        <v>346</v>
      </c>
      <c r="AU501" s="150" t="s">
        <v>90</v>
      </c>
      <c r="AV501" s="148" t="s">
        <v>90</v>
      </c>
      <c r="AW501" s="148" t="s">
        <v>33</v>
      </c>
      <c r="AX501" s="148" t="s">
        <v>80</v>
      </c>
      <c r="AY501" s="150" t="s">
        <v>337</v>
      </c>
    </row>
    <row r="502" spans="2:51" s="141" customFormat="1" x14ac:dyDescent="0.2">
      <c r="B502" s="142"/>
      <c r="D502" s="143" t="s">
        <v>346</v>
      </c>
      <c r="E502" s="144"/>
      <c r="F502" s="145" t="s">
        <v>3259</v>
      </c>
      <c r="H502" s="144"/>
      <c r="L502" s="142"/>
      <c r="M502" s="146"/>
      <c r="T502" s="147"/>
      <c r="AT502" s="144" t="s">
        <v>346</v>
      </c>
      <c r="AU502" s="144" t="s">
        <v>90</v>
      </c>
      <c r="AV502" s="141" t="s">
        <v>87</v>
      </c>
      <c r="AW502" s="141" t="s">
        <v>33</v>
      </c>
      <c r="AX502" s="141" t="s">
        <v>80</v>
      </c>
      <c r="AY502" s="144" t="s">
        <v>337</v>
      </c>
    </row>
    <row r="503" spans="2:51" s="141" customFormat="1" x14ac:dyDescent="0.2">
      <c r="B503" s="142"/>
      <c r="D503" s="143" t="s">
        <v>346</v>
      </c>
      <c r="E503" s="144"/>
      <c r="F503" s="145" t="s">
        <v>3389</v>
      </c>
      <c r="H503" s="144"/>
      <c r="L503" s="142"/>
      <c r="M503" s="146"/>
      <c r="T503" s="147"/>
      <c r="AT503" s="144" t="s">
        <v>346</v>
      </c>
      <c r="AU503" s="144" t="s">
        <v>90</v>
      </c>
      <c r="AV503" s="141" t="s">
        <v>87</v>
      </c>
      <c r="AW503" s="141" t="s">
        <v>33</v>
      </c>
      <c r="AX503" s="141" t="s">
        <v>80</v>
      </c>
      <c r="AY503" s="144" t="s">
        <v>337</v>
      </c>
    </row>
    <row r="504" spans="2:51" s="141" customFormat="1" x14ac:dyDescent="0.2">
      <c r="B504" s="142"/>
      <c r="D504" s="143" t="s">
        <v>346</v>
      </c>
      <c r="E504" s="144"/>
      <c r="F504" s="145" t="s">
        <v>3390</v>
      </c>
      <c r="H504" s="144"/>
      <c r="L504" s="142"/>
      <c r="M504" s="146"/>
      <c r="T504" s="147"/>
      <c r="AT504" s="144" t="s">
        <v>346</v>
      </c>
      <c r="AU504" s="144" t="s">
        <v>90</v>
      </c>
      <c r="AV504" s="141" t="s">
        <v>87</v>
      </c>
      <c r="AW504" s="141" t="s">
        <v>33</v>
      </c>
      <c r="AX504" s="141" t="s">
        <v>80</v>
      </c>
      <c r="AY504" s="144" t="s">
        <v>337</v>
      </c>
    </row>
    <row r="505" spans="2:51" s="148" customFormat="1" x14ac:dyDescent="0.2">
      <c r="B505" s="149"/>
      <c r="D505" s="143" t="s">
        <v>346</v>
      </c>
      <c r="E505" s="150"/>
      <c r="F505" s="151" t="s">
        <v>3391</v>
      </c>
      <c r="H505" s="152">
        <v>4.7249999999999996</v>
      </c>
      <c r="L505" s="149"/>
      <c r="M505" s="153"/>
      <c r="T505" s="154"/>
      <c r="AT505" s="150" t="s">
        <v>346</v>
      </c>
      <c r="AU505" s="150" t="s">
        <v>90</v>
      </c>
      <c r="AV505" s="148" t="s">
        <v>90</v>
      </c>
      <c r="AW505" s="148" t="s">
        <v>33</v>
      </c>
      <c r="AX505" s="148" t="s">
        <v>80</v>
      </c>
      <c r="AY505" s="150" t="s">
        <v>337</v>
      </c>
    </row>
    <row r="506" spans="2:51" s="141" customFormat="1" x14ac:dyDescent="0.2">
      <c r="B506" s="142"/>
      <c r="D506" s="143" t="s">
        <v>346</v>
      </c>
      <c r="E506" s="144"/>
      <c r="F506" s="145" t="s">
        <v>3392</v>
      </c>
      <c r="H506" s="144"/>
      <c r="L506" s="142"/>
      <c r="M506" s="146"/>
      <c r="T506" s="147"/>
      <c r="AT506" s="144" t="s">
        <v>346</v>
      </c>
      <c r="AU506" s="144" t="s">
        <v>90</v>
      </c>
      <c r="AV506" s="141" t="s">
        <v>87</v>
      </c>
      <c r="AW506" s="141" t="s">
        <v>33</v>
      </c>
      <c r="AX506" s="141" t="s">
        <v>80</v>
      </c>
      <c r="AY506" s="144" t="s">
        <v>337</v>
      </c>
    </row>
    <row r="507" spans="2:51" s="148" customFormat="1" x14ac:dyDescent="0.2">
      <c r="B507" s="149"/>
      <c r="D507" s="143" t="s">
        <v>346</v>
      </c>
      <c r="E507" s="150"/>
      <c r="F507" s="151" t="s">
        <v>3393</v>
      </c>
      <c r="H507" s="152">
        <v>6.66</v>
      </c>
      <c r="L507" s="149"/>
      <c r="M507" s="153"/>
      <c r="T507" s="154"/>
      <c r="AT507" s="150" t="s">
        <v>346</v>
      </c>
      <c r="AU507" s="150" t="s">
        <v>90</v>
      </c>
      <c r="AV507" s="148" t="s">
        <v>90</v>
      </c>
      <c r="AW507" s="148" t="s">
        <v>33</v>
      </c>
      <c r="AX507" s="148" t="s">
        <v>80</v>
      </c>
      <c r="AY507" s="150" t="s">
        <v>337</v>
      </c>
    </row>
    <row r="508" spans="2:51" s="141" customFormat="1" x14ac:dyDescent="0.2">
      <c r="B508" s="142"/>
      <c r="D508" s="143" t="s">
        <v>346</v>
      </c>
      <c r="E508" s="144"/>
      <c r="F508" s="145" t="s">
        <v>3336</v>
      </c>
      <c r="H508" s="144"/>
      <c r="L508" s="142"/>
      <c r="M508" s="146"/>
      <c r="T508" s="147"/>
      <c r="AT508" s="144" t="s">
        <v>346</v>
      </c>
      <c r="AU508" s="144" t="s">
        <v>90</v>
      </c>
      <c r="AV508" s="141" t="s">
        <v>87</v>
      </c>
      <c r="AW508" s="141" t="s">
        <v>33</v>
      </c>
      <c r="AX508" s="141" t="s">
        <v>80</v>
      </c>
      <c r="AY508" s="144" t="s">
        <v>337</v>
      </c>
    </row>
    <row r="509" spans="2:51" s="141" customFormat="1" x14ac:dyDescent="0.2">
      <c r="B509" s="142"/>
      <c r="D509" s="143" t="s">
        <v>346</v>
      </c>
      <c r="E509" s="144"/>
      <c r="F509" s="145" t="s">
        <v>3394</v>
      </c>
      <c r="H509" s="144"/>
      <c r="L509" s="142"/>
      <c r="M509" s="146"/>
      <c r="T509" s="147"/>
      <c r="AT509" s="144" t="s">
        <v>346</v>
      </c>
      <c r="AU509" s="144" t="s">
        <v>90</v>
      </c>
      <c r="AV509" s="141" t="s">
        <v>87</v>
      </c>
      <c r="AW509" s="141" t="s">
        <v>33</v>
      </c>
      <c r="AX509" s="141" t="s">
        <v>80</v>
      </c>
      <c r="AY509" s="144" t="s">
        <v>337</v>
      </c>
    </row>
    <row r="510" spans="2:51" s="148" customFormat="1" x14ac:dyDescent="0.2">
      <c r="B510" s="149"/>
      <c r="D510" s="143" t="s">
        <v>346</v>
      </c>
      <c r="E510" s="150"/>
      <c r="F510" s="151" t="s">
        <v>3395</v>
      </c>
      <c r="H510" s="152">
        <v>22.475000000000001</v>
      </c>
      <c r="L510" s="149"/>
      <c r="M510" s="153"/>
      <c r="T510" s="154"/>
      <c r="AT510" s="150" t="s">
        <v>346</v>
      </c>
      <c r="AU510" s="150" t="s">
        <v>90</v>
      </c>
      <c r="AV510" s="148" t="s">
        <v>90</v>
      </c>
      <c r="AW510" s="148" t="s">
        <v>33</v>
      </c>
      <c r="AX510" s="148" t="s">
        <v>80</v>
      </c>
      <c r="AY510" s="150" t="s">
        <v>337</v>
      </c>
    </row>
    <row r="511" spans="2:51" s="141" customFormat="1" x14ac:dyDescent="0.2">
      <c r="B511" s="142"/>
      <c r="D511" s="143" t="s">
        <v>346</v>
      </c>
      <c r="E511" s="144"/>
      <c r="F511" s="145" t="s">
        <v>3396</v>
      </c>
      <c r="H511" s="144"/>
      <c r="L511" s="142"/>
      <c r="M511" s="146"/>
      <c r="T511" s="147"/>
      <c r="AT511" s="144" t="s">
        <v>346</v>
      </c>
      <c r="AU511" s="144" t="s">
        <v>90</v>
      </c>
      <c r="AV511" s="141" t="s">
        <v>87</v>
      </c>
      <c r="AW511" s="141" t="s">
        <v>33</v>
      </c>
      <c r="AX511" s="141" t="s">
        <v>80</v>
      </c>
      <c r="AY511" s="144" t="s">
        <v>337</v>
      </c>
    </row>
    <row r="512" spans="2:51" s="148" customFormat="1" x14ac:dyDescent="0.2">
      <c r="B512" s="149"/>
      <c r="D512" s="143" t="s">
        <v>346</v>
      </c>
      <c r="E512" s="150"/>
      <c r="F512" s="151" t="s">
        <v>3397</v>
      </c>
      <c r="H512" s="152">
        <v>0.4</v>
      </c>
      <c r="L512" s="149"/>
      <c r="M512" s="153"/>
      <c r="T512" s="154"/>
      <c r="AT512" s="150" t="s">
        <v>346</v>
      </c>
      <c r="AU512" s="150" t="s">
        <v>90</v>
      </c>
      <c r="AV512" s="148" t="s">
        <v>90</v>
      </c>
      <c r="AW512" s="148" t="s">
        <v>33</v>
      </c>
      <c r="AX512" s="148" t="s">
        <v>80</v>
      </c>
      <c r="AY512" s="150" t="s">
        <v>337</v>
      </c>
    </row>
    <row r="513" spans="2:51" s="141" customFormat="1" x14ac:dyDescent="0.2">
      <c r="B513" s="142"/>
      <c r="D513" s="143" t="s">
        <v>346</v>
      </c>
      <c r="E513" s="144"/>
      <c r="F513" s="145" t="s">
        <v>3398</v>
      </c>
      <c r="H513" s="144"/>
      <c r="L513" s="142"/>
      <c r="M513" s="146"/>
      <c r="T513" s="147"/>
      <c r="AT513" s="144" t="s">
        <v>346</v>
      </c>
      <c r="AU513" s="144" t="s">
        <v>90</v>
      </c>
      <c r="AV513" s="141" t="s">
        <v>87</v>
      </c>
      <c r="AW513" s="141" t="s">
        <v>33</v>
      </c>
      <c r="AX513" s="141" t="s">
        <v>80</v>
      </c>
      <c r="AY513" s="144" t="s">
        <v>337</v>
      </c>
    </row>
    <row r="514" spans="2:51" s="148" customFormat="1" x14ac:dyDescent="0.2">
      <c r="B514" s="149"/>
      <c r="D514" s="143" t="s">
        <v>346</v>
      </c>
      <c r="E514" s="150"/>
      <c r="F514" s="151" t="s">
        <v>3399</v>
      </c>
      <c r="H514" s="152">
        <v>8.875</v>
      </c>
      <c r="L514" s="149"/>
      <c r="M514" s="153"/>
      <c r="T514" s="154"/>
      <c r="AT514" s="150" t="s">
        <v>346</v>
      </c>
      <c r="AU514" s="150" t="s">
        <v>90</v>
      </c>
      <c r="AV514" s="148" t="s">
        <v>90</v>
      </c>
      <c r="AW514" s="148" t="s">
        <v>33</v>
      </c>
      <c r="AX514" s="148" t="s">
        <v>80</v>
      </c>
      <c r="AY514" s="150" t="s">
        <v>337</v>
      </c>
    </row>
    <row r="515" spans="2:51" s="141" customFormat="1" x14ac:dyDescent="0.2">
      <c r="B515" s="142"/>
      <c r="D515" s="143" t="s">
        <v>346</v>
      </c>
      <c r="E515" s="144"/>
      <c r="F515" s="145" t="s">
        <v>3400</v>
      </c>
      <c r="H515" s="144"/>
      <c r="L515" s="142"/>
      <c r="M515" s="146"/>
      <c r="T515" s="147"/>
      <c r="AT515" s="144" t="s">
        <v>346</v>
      </c>
      <c r="AU515" s="144" t="s">
        <v>90</v>
      </c>
      <c r="AV515" s="141" t="s">
        <v>87</v>
      </c>
      <c r="AW515" s="141" t="s">
        <v>33</v>
      </c>
      <c r="AX515" s="141" t="s">
        <v>80</v>
      </c>
      <c r="AY515" s="144" t="s">
        <v>337</v>
      </c>
    </row>
    <row r="516" spans="2:51" s="148" customFormat="1" x14ac:dyDescent="0.2">
      <c r="B516" s="149"/>
      <c r="D516" s="143" t="s">
        <v>346</v>
      </c>
      <c r="E516" s="150"/>
      <c r="F516" s="151" t="s">
        <v>3401</v>
      </c>
      <c r="H516" s="152">
        <v>-3.1</v>
      </c>
      <c r="L516" s="149"/>
      <c r="M516" s="153"/>
      <c r="T516" s="154"/>
      <c r="AT516" s="150" t="s">
        <v>346</v>
      </c>
      <c r="AU516" s="150" t="s">
        <v>90</v>
      </c>
      <c r="AV516" s="148" t="s">
        <v>90</v>
      </c>
      <c r="AW516" s="148" t="s">
        <v>33</v>
      </c>
      <c r="AX516" s="148" t="s">
        <v>80</v>
      </c>
      <c r="AY516" s="150" t="s">
        <v>337</v>
      </c>
    </row>
    <row r="517" spans="2:51" s="148" customFormat="1" x14ac:dyDescent="0.2">
      <c r="B517" s="149"/>
      <c r="D517" s="143" t="s">
        <v>346</v>
      </c>
      <c r="E517" s="150"/>
      <c r="F517" s="151" t="s">
        <v>3402</v>
      </c>
      <c r="H517" s="152">
        <v>-2.5249999999999999</v>
      </c>
      <c r="L517" s="149"/>
      <c r="M517" s="153"/>
      <c r="T517" s="154"/>
      <c r="AT517" s="150" t="s">
        <v>346</v>
      </c>
      <c r="AU517" s="150" t="s">
        <v>90</v>
      </c>
      <c r="AV517" s="148" t="s">
        <v>90</v>
      </c>
      <c r="AW517" s="148" t="s">
        <v>33</v>
      </c>
      <c r="AX517" s="148" t="s">
        <v>80</v>
      </c>
      <c r="AY517" s="150" t="s">
        <v>337</v>
      </c>
    </row>
    <row r="518" spans="2:51" s="141" customFormat="1" x14ac:dyDescent="0.2">
      <c r="B518" s="142"/>
      <c r="D518" s="143" t="s">
        <v>346</v>
      </c>
      <c r="E518" s="144"/>
      <c r="F518" s="145" t="s">
        <v>3403</v>
      </c>
      <c r="H518" s="144"/>
      <c r="L518" s="142"/>
      <c r="M518" s="146"/>
      <c r="T518" s="147"/>
      <c r="AT518" s="144" t="s">
        <v>346</v>
      </c>
      <c r="AU518" s="144" t="s">
        <v>90</v>
      </c>
      <c r="AV518" s="141" t="s">
        <v>87</v>
      </c>
      <c r="AW518" s="141" t="s">
        <v>33</v>
      </c>
      <c r="AX518" s="141" t="s">
        <v>80</v>
      </c>
      <c r="AY518" s="144" t="s">
        <v>337</v>
      </c>
    </row>
    <row r="519" spans="2:51" s="148" customFormat="1" x14ac:dyDescent="0.2">
      <c r="B519" s="149"/>
      <c r="D519" s="143" t="s">
        <v>346</v>
      </c>
      <c r="E519" s="150"/>
      <c r="F519" s="151" t="s">
        <v>3404</v>
      </c>
      <c r="H519" s="152">
        <v>2.855</v>
      </c>
      <c r="L519" s="149"/>
      <c r="M519" s="153"/>
      <c r="T519" s="154"/>
      <c r="AT519" s="150" t="s">
        <v>346</v>
      </c>
      <c r="AU519" s="150" t="s">
        <v>90</v>
      </c>
      <c r="AV519" s="148" t="s">
        <v>90</v>
      </c>
      <c r="AW519" s="148" t="s">
        <v>33</v>
      </c>
      <c r="AX519" s="148" t="s">
        <v>80</v>
      </c>
      <c r="AY519" s="150" t="s">
        <v>337</v>
      </c>
    </row>
    <row r="520" spans="2:51" s="141" customFormat="1" x14ac:dyDescent="0.2">
      <c r="B520" s="142"/>
      <c r="D520" s="143" t="s">
        <v>346</v>
      </c>
      <c r="E520" s="144"/>
      <c r="F520" s="145" t="s">
        <v>3396</v>
      </c>
      <c r="H520" s="144"/>
      <c r="L520" s="142"/>
      <c r="M520" s="146"/>
      <c r="T520" s="147"/>
      <c r="AT520" s="144" t="s">
        <v>346</v>
      </c>
      <c r="AU520" s="144" t="s">
        <v>90</v>
      </c>
      <c r="AV520" s="141" t="s">
        <v>87</v>
      </c>
      <c r="AW520" s="141" t="s">
        <v>33</v>
      </c>
      <c r="AX520" s="141" t="s">
        <v>80</v>
      </c>
      <c r="AY520" s="144" t="s">
        <v>337</v>
      </c>
    </row>
    <row r="521" spans="2:51" s="148" customFormat="1" x14ac:dyDescent="0.2">
      <c r="B521" s="149"/>
      <c r="D521" s="143" t="s">
        <v>346</v>
      </c>
      <c r="E521" s="150"/>
      <c r="F521" s="151" t="s">
        <v>3405</v>
      </c>
      <c r="H521" s="152">
        <v>0.105</v>
      </c>
      <c r="L521" s="149"/>
      <c r="M521" s="153"/>
      <c r="T521" s="154"/>
      <c r="AT521" s="150" t="s">
        <v>346</v>
      </c>
      <c r="AU521" s="150" t="s">
        <v>90</v>
      </c>
      <c r="AV521" s="148" t="s">
        <v>90</v>
      </c>
      <c r="AW521" s="148" t="s">
        <v>33</v>
      </c>
      <c r="AX521" s="148" t="s">
        <v>80</v>
      </c>
      <c r="AY521" s="150" t="s">
        <v>337</v>
      </c>
    </row>
    <row r="522" spans="2:51" s="141" customFormat="1" x14ac:dyDescent="0.2">
      <c r="B522" s="142"/>
      <c r="D522" s="143" t="s">
        <v>346</v>
      </c>
      <c r="E522" s="144"/>
      <c r="F522" s="145" t="s">
        <v>3406</v>
      </c>
      <c r="H522" s="144"/>
      <c r="L522" s="142"/>
      <c r="M522" s="146"/>
      <c r="T522" s="147"/>
      <c r="AT522" s="144" t="s">
        <v>346</v>
      </c>
      <c r="AU522" s="144" t="s">
        <v>90</v>
      </c>
      <c r="AV522" s="141" t="s">
        <v>87</v>
      </c>
      <c r="AW522" s="141" t="s">
        <v>33</v>
      </c>
      <c r="AX522" s="141" t="s">
        <v>80</v>
      </c>
      <c r="AY522" s="144" t="s">
        <v>337</v>
      </c>
    </row>
    <row r="523" spans="2:51" s="141" customFormat="1" x14ac:dyDescent="0.2">
      <c r="B523" s="142"/>
      <c r="D523" s="143" t="s">
        <v>346</v>
      </c>
      <c r="E523" s="144"/>
      <c r="F523" s="145" t="s">
        <v>3407</v>
      </c>
      <c r="H523" s="144"/>
      <c r="L523" s="142"/>
      <c r="M523" s="146"/>
      <c r="T523" s="147"/>
      <c r="AT523" s="144" t="s">
        <v>346</v>
      </c>
      <c r="AU523" s="144" t="s">
        <v>90</v>
      </c>
      <c r="AV523" s="141" t="s">
        <v>87</v>
      </c>
      <c r="AW523" s="141" t="s">
        <v>33</v>
      </c>
      <c r="AX523" s="141" t="s">
        <v>80</v>
      </c>
      <c r="AY523" s="144" t="s">
        <v>337</v>
      </c>
    </row>
    <row r="524" spans="2:51" s="148" customFormat="1" x14ac:dyDescent="0.2">
      <c r="B524" s="149"/>
      <c r="D524" s="143" t="s">
        <v>346</v>
      </c>
      <c r="E524" s="150"/>
      <c r="F524" s="151" t="s">
        <v>3408</v>
      </c>
      <c r="H524" s="152">
        <v>3.05</v>
      </c>
      <c r="L524" s="149"/>
      <c r="M524" s="153"/>
      <c r="T524" s="154"/>
      <c r="AT524" s="150" t="s">
        <v>346</v>
      </c>
      <c r="AU524" s="150" t="s">
        <v>90</v>
      </c>
      <c r="AV524" s="148" t="s">
        <v>90</v>
      </c>
      <c r="AW524" s="148" t="s">
        <v>33</v>
      </c>
      <c r="AX524" s="148" t="s">
        <v>80</v>
      </c>
      <c r="AY524" s="150" t="s">
        <v>337</v>
      </c>
    </row>
    <row r="525" spans="2:51" s="141" customFormat="1" x14ac:dyDescent="0.2">
      <c r="B525" s="142"/>
      <c r="D525" s="143" t="s">
        <v>346</v>
      </c>
      <c r="E525" s="144"/>
      <c r="F525" s="145" t="s">
        <v>3409</v>
      </c>
      <c r="H525" s="144"/>
      <c r="L525" s="142"/>
      <c r="M525" s="146"/>
      <c r="T525" s="147"/>
      <c r="AT525" s="144" t="s">
        <v>346</v>
      </c>
      <c r="AU525" s="144" t="s">
        <v>90</v>
      </c>
      <c r="AV525" s="141" t="s">
        <v>87</v>
      </c>
      <c r="AW525" s="141" t="s">
        <v>33</v>
      </c>
      <c r="AX525" s="141" t="s">
        <v>80</v>
      </c>
      <c r="AY525" s="144" t="s">
        <v>337</v>
      </c>
    </row>
    <row r="526" spans="2:51" s="148" customFormat="1" x14ac:dyDescent="0.2">
      <c r="B526" s="149"/>
      <c r="D526" s="143" t="s">
        <v>346</v>
      </c>
      <c r="E526" s="150"/>
      <c r="F526" s="151" t="s">
        <v>3410</v>
      </c>
      <c r="H526" s="152">
        <v>1.75</v>
      </c>
      <c r="L526" s="149"/>
      <c r="M526" s="153"/>
      <c r="T526" s="154"/>
      <c r="AT526" s="150" t="s">
        <v>346</v>
      </c>
      <c r="AU526" s="150" t="s">
        <v>90</v>
      </c>
      <c r="AV526" s="148" t="s">
        <v>90</v>
      </c>
      <c r="AW526" s="148" t="s">
        <v>33</v>
      </c>
      <c r="AX526" s="148" t="s">
        <v>80</v>
      </c>
      <c r="AY526" s="150" t="s">
        <v>337</v>
      </c>
    </row>
    <row r="527" spans="2:51" s="141" customFormat="1" x14ac:dyDescent="0.2">
      <c r="B527" s="142"/>
      <c r="D527" s="143" t="s">
        <v>346</v>
      </c>
      <c r="E527" s="144"/>
      <c r="F527" s="145" t="s">
        <v>3117</v>
      </c>
      <c r="H527" s="144"/>
      <c r="L527" s="142"/>
      <c r="M527" s="146"/>
      <c r="T527" s="147"/>
      <c r="AT527" s="144" t="s">
        <v>346</v>
      </c>
      <c r="AU527" s="144" t="s">
        <v>90</v>
      </c>
      <c r="AV527" s="141" t="s">
        <v>87</v>
      </c>
      <c r="AW527" s="141" t="s">
        <v>33</v>
      </c>
      <c r="AX527" s="141" t="s">
        <v>80</v>
      </c>
      <c r="AY527" s="144" t="s">
        <v>337</v>
      </c>
    </row>
    <row r="528" spans="2:51" s="148" customFormat="1" x14ac:dyDescent="0.2">
      <c r="B528" s="149"/>
      <c r="D528" s="143" t="s">
        <v>346</v>
      </c>
      <c r="E528" s="150"/>
      <c r="F528" s="151" t="s">
        <v>3118</v>
      </c>
      <c r="H528" s="152">
        <v>3.55</v>
      </c>
      <c r="L528" s="149"/>
      <c r="M528" s="153"/>
      <c r="T528" s="154"/>
      <c r="AT528" s="150" t="s">
        <v>346</v>
      </c>
      <c r="AU528" s="150" t="s">
        <v>90</v>
      </c>
      <c r="AV528" s="148" t="s">
        <v>90</v>
      </c>
      <c r="AW528" s="148" t="s">
        <v>33</v>
      </c>
      <c r="AX528" s="148" t="s">
        <v>80</v>
      </c>
      <c r="AY528" s="150" t="s">
        <v>337</v>
      </c>
    </row>
    <row r="529" spans="2:65" s="141" customFormat="1" x14ac:dyDescent="0.2">
      <c r="B529" s="142"/>
      <c r="D529" s="143" t="s">
        <v>346</v>
      </c>
      <c r="E529" s="144"/>
      <c r="F529" s="145" t="s">
        <v>759</v>
      </c>
      <c r="H529" s="144"/>
      <c r="L529" s="142"/>
      <c r="M529" s="146"/>
      <c r="T529" s="147"/>
      <c r="AT529" s="144" t="s">
        <v>346</v>
      </c>
      <c r="AU529" s="144" t="s">
        <v>90</v>
      </c>
      <c r="AV529" s="141" t="s">
        <v>87</v>
      </c>
      <c r="AW529" s="141" t="s">
        <v>33</v>
      </c>
      <c r="AX529" s="141" t="s">
        <v>80</v>
      </c>
      <c r="AY529" s="144" t="s">
        <v>337</v>
      </c>
    </row>
    <row r="530" spans="2:65" s="148" customFormat="1" x14ac:dyDescent="0.2">
      <c r="B530" s="149"/>
      <c r="D530" s="143" t="s">
        <v>346</v>
      </c>
      <c r="E530" s="150"/>
      <c r="F530" s="151" t="s">
        <v>3119</v>
      </c>
      <c r="H530" s="152">
        <v>2.65</v>
      </c>
      <c r="L530" s="149"/>
      <c r="M530" s="153"/>
      <c r="T530" s="154"/>
      <c r="AT530" s="150" t="s">
        <v>346</v>
      </c>
      <c r="AU530" s="150" t="s">
        <v>90</v>
      </c>
      <c r="AV530" s="148" t="s">
        <v>90</v>
      </c>
      <c r="AW530" s="148" t="s">
        <v>33</v>
      </c>
      <c r="AX530" s="148" t="s">
        <v>80</v>
      </c>
      <c r="AY530" s="150" t="s">
        <v>337</v>
      </c>
    </row>
    <row r="531" spans="2:65" s="148" customFormat="1" x14ac:dyDescent="0.2">
      <c r="B531" s="149"/>
      <c r="D531" s="143" t="s">
        <v>346</v>
      </c>
      <c r="E531" s="150"/>
      <c r="F531" s="151" t="s">
        <v>3120</v>
      </c>
      <c r="H531" s="152">
        <v>4.75</v>
      </c>
      <c r="L531" s="149"/>
      <c r="M531" s="153"/>
      <c r="T531" s="154"/>
      <c r="AT531" s="150" t="s">
        <v>346</v>
      </c>
      <c r="AU531" s="150" t="s">
        <v>90</v>
      </c>
      <c r="AV531" s="148" t="s">
        <v>90</v>
      </c>
      <c r="AW531" s="148" t="s">
        <v>33</v>
      </c>
      <c r="AX531" s="148" t="s">
        <v>80</v>
      </c>
      <c r="AY531" s="150" t="s">
        <v>337</v>
      </c>
    </row>
    <row r="532" spans="2:65" s="172" customFormat="1" x14ac:dyDescent="0.2">
      <c r="B532" s="173"/>
      <c r="D532" s="143" t="s">
        <v>346</v>
      </c>
      <c r="E532" s="174" t="s">
        <v>3027</v>
      </c>
      <c r="F532" s="175" t="s">
        <v>609</v>
      </c>
      <c r="H532" s="176">
        <v>101.66</v>
      </c>
      <c r="L532" s="173"/>
      <c r="M532" s="177"/>
      <c r="T532" s="178"/>
      <c r="AT532" s="174" t="s">
        <v>346</v>
      </c>
      <c r="AU532" s="174" t="s">
        <v>90</v>
      </c>
      <c r="AV532" s="172" t="s">
        <v>113</v>
      </c>
      <c r="AW532" s="172" t="s">
        <v>33</v>
      </c>
      <c r="AX532" s="172" t="s">
        <v>87</v>
      </c>
      <c r="AY532" s="174" t="s">
        <v>337</v>
      </c>
    </row>
    <row r="533" spans="2:65" s="172" customFormat="1" x14ac:dyDescent="0.2">
      <c r="B533" s="173"/>
      <c r="D533" s="143"/>
      <c r="E533" s="174"/>
      <c r="F533" s="175" t="s">
        <v>9241</v>
      </c>
      <c r="H533" s="176"/>
      <c r="L533" s="173"/>
      <c r="M533" s="177"/>
      <c r="T533" s="178"/>
      <c r="AT533" s="174"/>
      <c r="AU533" s="174"/>
      <c r="AY533" s="174"/>
    </row>
    <row r="534" spans="2:65" s="16" customFormat="1" ht="16.5" customHeight="1" x14ac:dyDescent="0.2">
      <c r="B534" s="17"/>
      <c r="C534" s="162">
        <v>62</v>
      </c>
      <c r="D534" s="162" t="s">
        <v>519</v>
      </c>
      <c r="E534" s="163" t="s">
        <v>3411</v>
      </c>
      <c r="F534" s="164" t="s">
        <v>3412</v>
      </c>
      <c r="G534" s="165" t="s">
        <v>425</v>
      </c>
      <c r="H534" s="166">
        <v>106.74299999999999</v>
      </c>
      <c r="I534" s="167"/>
      <c r="J534" s="168">
        <f>ROUND(I534*H534,2)</f>
        <v>0</v>
      </c>
      <c r="K534" s="164" t="s">
        <v>343</v>
      </c>
      <c r="L534" s="169"/>
      <c r="M534" s="170"/>
      <c r="N534" s="171" t="s">
        <v>45</v>
      </c>
      <c r="P534" s="137">
        <f>O534*H534</f>
        <v>0</v>
      </c>
      <c r="Q534" s="137">
        <v>5.1999999999999998E-3</v>
      </c>
      <c r="R534" s="137">
        <f>Q534*H534</f>
        <v>0.55506359999999999</v>
      </c>
      <c r="S534" s="137">
        <v>0</v>
      </c>
      <c r="T534" s="138">
        <f>S534*H534</f>
        <v>0</v>
      </c>
      <c r="AR534" s="139" t="s">
        <v>621</v>
      </c>
      <c r="AT534" s="139" t="s">
        <v>519</v>
      </c>
      <c r="AU534" s="139" t="s">
        <v>90</v>
      </c>
      <c r="AY534" s="2" t="s">
        <v>337</v>
      </c>
      <c r="BE534" s="140">
        <f>IF(N534="základní",J534,0)</f>
        <v>0</v>
      </c>
      <c r="BF534" s="140">
        <f>IF(N534="snížená",J534,0)</f>
        <v>0</v>
      </c>
      <c r="BG534" s="140">
        <f>IF(N534="zákl. přenesená",J534,0)</f>
        <v>0</v>
      </c>
      <c r="BH534" s="140">
        <f>IF(N534="sníž. přenesená",J534,0)</f>
        <v>0</v>
      </c>
      <c r="BI534" s="140">
        <f>IF(N534="nulová",J534,0)</f>
        <v>0</v>
      </c>
      <c r="BJ534" s="2" t="s">
        <v>87</v>
      </c>
      <c r="BK534" s="140">
        <f>ROUND(I534*H534,2)</f>
        <v>0</v>
      </c>
      <c r="BL534" s="2" t="s">
        <v>496</v>
      </c>
      <c r="BM534" s="139" t="s">
        <v>3413</v>
      </c>
    </row>
    <row r="535" spans="2:65" s="148" customFormat="1" x14ac:dyDescent="0.2">
      <c r="B535" s="149"/>
      <c r="D535" s="143" t="s">
        <v>346</v>
      </c>
      <c r="E535" s="150"/>
      <c r="F535" s="151" t="s">
        <v>3027</v>
      </c>
      <c r="H535" s="152">
        <v>101.66</v>
      </c>
      <c r="L535" s="149"/>
      <c r="M535" s="153"/>
      <c r="T535" s="154"/>
      <c r="AT535" s="150" t="s">
        <v>346</v>
      </c>
      <c r="AU535" s="150" t="s">
        <v>90</v>
      </c>
      <c r="AV535" s="148" t="s">
        <v>90</v>
      </c>
      <c r="AW535" s="148" t="s">
        <v>33</v>
      </c>
      <c r="AX535" s="148" t="s">
        <v>87</v>
      </c>
      <c r="AY535" s="150" t="s">
        <v>337</v>
      </c>
    </row>
    <row r="536" spans="2:65" s="148" customFormat="1" x14ac:dyDescent="0.2">
      <c r="B536" s="149"/>
      <c r="D536" s="143" t="s">
        <v>346</v>
      </c>
      <c r="F536" s="151" t="s">
        <v>3414</v>
      </c>
      <c r="H536" s="152">
        <v>106.74299999999999</v>
      </c>
      <c r="L536" s="149"/>
      <c r="M536" s="153"/>
      <c r="T536" s="154"/>
      <c r="AT536" s="150" t="s">
        <v>346</v>
      </c>
      <c r="AU536" s="150" t="s">
        <v>90</v>
      </c>
      <c r="AV536" s="148" t="s">
        <v>90</v>
      </c>
      <c r="AW536" s="148" t="s">
        <v>3</v>
      </c>
      <c r="AX536" s="148" t="s">
        <v>87</v>
      </c>
      <c r="AY536" s="150" t="s">
        <v>337</v>
      </c>
    </row>
    <row r="537" spans="2:65" s="16" customFormat="1" ht="24.2" customHeight="1" x14ac:dyDescent="0.2">
      <c r="B537" s="17"/>
      <c r="C537" s="128">
        <v>63</v>
      </c>
      <c r="D537" s="128" t="s">
        <v>339</v>
      </c>
      <c r="E537" s="129" t="s">
        <v>3415</v>
      </c>
      <c r="F537" s="130" t="s">
        <v>3416</v>
      </c>
      <c r="G537" s="131" t="s">
        <v>425</v>
      </c>
      <c r="H537" s="132">
        <v>3.95</v>
      </c>
      <c r="I537" s="133"/>
      <c r="J537" s="134">
        <f>ROUND(I537*H537,2)</f>
        <v>0</v>
      </c>
      <c r="K537" s="130" t="s">
        <v>343</v>
      </c>
      <c r="L537" s="17"/>
      <c r="M537" s="135"/>
      <c r="N537" s="136" t="s">
        <v>45</v>
      </c>
      <c r="P537" s="137">
        <f>O537*H537</f>
        <v>0</v>
      </c>
      <c r="Q537" s="137">
        <v>1.1350000000000001E-2</v>
      </c>
      <c r="R537" s="137">
        <f>Q537*H537</f>
        <v>4.4832500000000004E-2</v>
      </c>
      <c r="S537" s="137">
        <v>0</v>
      </c>
      <c r="T537" s="138">
        <f>S537*H537</f>
        <v>0</v>
      </c>
      <c r="AR537" s="139" t="s">
        <v>344</v>
      </c>
      <c r="AT537" s="139" t="s">
        <v>339</v>
      </c>
      <c r="AU537" s="139" t="s">
        <v>90</v>
      </c>
      <c r="AY537" s="2" t="s">
        <v>337</v>
      </c>
      <c r="BE537" s="140">
        <f>IF(N537="základní",J537,0)</f>
        <v>0</v>
      </c>
      <c r="BF537" s="140">
        <f>IF(N537="snížená",J537,0)</f>
        <v>0</v>
      </c>
      <c r="BG537" s="140">
        <f>IF(N537="zákl. přenesená",J537,0)</f>
        <v>0</v>
      </c>
      <c r="BH537" s="140">
        <f>IF(N537="sníž. přenesená",J537,0)</f>
        <v>0</v>
      </c>
      <c r="BI537" s="140">
        <f>IF(N537="nulová",J537,0)</f>
        <v>0</v>
      </c>
      <c r="BJ537" s="2" t="s">
        <v>87</v>
      </c>
      <c r="BK537" s="140">
        <f>ROUND(I537*H537,2)</f>
        <v>0</v>
      </c>
      <c r="BL537" s="2" t="s">
        <v>344</v>
      </c>
      <c r="BM537" s="139" t="s">
        <v>3417</v>
      </c>
    </row>
    <row r="538" spans="2:65" s="141" customFormat="1" x14ac:dyDescent="0.2">
      <c r="B538" s="142"/>
      <c r="D538" s="143" t="s">
        <v>346</v>
      </c>
      <c r="E538" s="144"/>
      <c r="F538" s="145" t="s">
        <v>3418</v>
      </c>
      <c r="H538" s="144"/>
      <c r="L538" s="142"/>
      <c r="M538" s="146"/>
      <c r="T538" s="147"/>
      <c r="AT538" s="144" t="s">
        <v>346</v>
      </c>
      <c r="AU538" s="144" t="s">
        <v>90</v>
      </c>
      <c r="AV538" s="141" t="s">
        <v>87</v>
      </c>
      <c r="AW538" s="141" t="s">
        <v>33</v>
      </c>
      <c r="AX538" s="141" t="s">
        <v>80</v>
      </c>
      <c r="AY538" s="144" t="s">
        <v>337</v>
      </c>
    </row>
    <row r="539" spans="2:65" s="141" customFormat="1" x14ac:dyDescent="0.2">
      <c r="B539" s="142"/>
      <c r="D539" s="143" t="s">
        <v>346</v>
      </c>
      <c r="E539" s="144"/>
      <c r="F539" s="145" t="s">
        <v>3419</v>
      </c>
      <c r="H539" s="144"/>
      <c r="L539" s="142"/>
      <c r="M539" s="146"/>
      <c r="T539" s="147"/>
      <c r="AT539" s="144" t="s">
        <v>346</v>
      </c>
      <c r="AU539" s="144" t="s">
        <v>90</v>
      </c>
      <c r="AV539" s="141" t="s">
        <v>87</v>
      </c>
      <c r="AW539" s="141" t="s">
        <v>33</v>
      </c>
      <c r="AX539" s="141" t="s">
        <v>80</v>
      </c>
      <c r="AY539" s="144" t="s">
        <v>337</v>
      </c>
    </row>
    <row r="540" spans="2:65" s="141" customFormat="1" x14ac:dyDescent="0.2">
      <c r="B540" s="142"/>
      <c r="D540" s="143" t="s">
        <v>346</v>
      </c>
      <c r="E540" s="144"/>
      <c r="F540" s="145" t="s">
        <v>3336</v>
      </c>
      <c r="H540" s="144"/>
      <c r="L540" s="142"/>
      <c r="M540" s="146"/>
      <c r="T540" s="147"/>
      <c r="AT540" s="144" t="s">
        <v>346</v>
      </c>
      <c r="AU540" s="144" t="s">
        <v>90</v>
      </c>
      <c r="AV540" s="141" t="s">
        <v>87</v>
      </c>
      <c r="AW540" s="141" t="s">
        <v>33</v>
      </c>
      <c r="AX540" s="141" t="s">
        <v>80</v>
      </c>
      <c r="AY540" s="144" t="s">
        <v>337</v>
      </c>
    </row>
    <row r="541" spans="2:65" s="141" customFormat="1" x14ac:dyDescent="0.2">
      <c r="B541" s="142"/>
      <c r="D541" s="143" t="s">
        <v>346</v>
      </c>
      <c r="E541" s="144"/>
      <c r="F541" s="145" t="s">
        <v>3117</v>
      </c>
      <c r="H541" s="144"/>
      <c r="L541" s="142"/>
      <c r="M541" s="146"/>
      <c r="T541" s="147"/>
      <c r="AT541" s="144" t="s">
        <v>346</v>
      </c>
      <c r="AU541" s="144" t="s">
        <v>90</v>
      </c>
      <c r="AV541" s="141" t="s">
        <v>87</v>
      </c>
      <c r="AW541" s="141" t="s">
        <v>33</v>
      </c>
      <c r="AX541" s="141" t="s">
        <v>80</v>
      </c>
      <c r="AY541" s="144" t="s">
        <v>337</v>
      </c>
    </row>
    <row r="542" spans="2:65" s="141" customFormat="1" x14ac:dyDescent="0.2">
      <c r="B542" s="142"/>
      <c r="D542" s="143" t="s">
        <v>346</v>
      </c>
      <c r="E542" s="144"/>
      <c r="F542" s="145" t="s">
        <v>3420</v>
      </c>
      <c r="H542" s="144"/>
      <c r="L542" s="142"/>
      <c r="M542" s="146"/>
      <c r="T542" s="147"/>
      <c r="AT542" s="144" t="s">
        <v>346</v>
      </c>
      <c r="AU542" s="144" t="s">
        <v>90</v>
      </c>
      <c r="AV542" s="141" t="s">
        <v>87</v>
      </c>
      <c r="AW542" s="141" t="s">
        <v>33</v>
      </c>
      <c r="AX542" s="141" t="s">
        <v>80</v>
      </c>
      <c r="AY542" s="144" t="s">
        <v>337</v>
      </c>
    </row>
    <row r="543" spans="2:65" s="148" customFormat="1" x14ac:dyDescent="0.2">
      <c r="B543" s="149"/>
      <c r="D543" s="143" t="s">
        <v>346</v>
      </c>
      <c r="E543" s="150"/>
      <c r="F543" s="151" t="s">
        <v>3421</v>
      </c>
      <c r="H543" s="152">
        <v>3.95</v>
      </c>
      <c r="L543" s="149"/>
      <c r="M543" s="153"/>
      <c r="T543" s="154"/>
      <c r="AT543" s="150" t="s">
        <v>346</v>
      </c>
      <c r="AU543" s="150" t="s">
        <v>90</v>
      </c>
      <c r="AV543" s="148" t="s">
        <v>90</v>
      </c>
      <c r="AW543" s="148" t="s">
        <v>33</v>
      </c>
      <c r="AX543" s="148" t="s">
        <v>80</v>
      </c>
      <c r="AY543" s="150" t="s">
        <v>337</v>
      </c>
    </row>
    <row r="544" spans="2:65" s="172" customFormat="1" x14ac:dyDescent="0.2">
      <c r="B544" s="173"/>
      <c r="D544" s="143" t="s">
        <v>346</v>
      </c>
      <c r="E544" s="174" t="s">
        <v>3004</v>
      </c>
      <c r="F544" s="175" t="s">
        <v>609</v>
      </c>
      <c r="H544" s="176">
        <v>3.95</v>
      </c>
      <c r="L544" s="173"/>
      <c r="M544" s="177"/>
      <c r="T544" s="178"/>
      <c r="AT544" s="174" t="s">
        <v>346</v>
      </c>
      <c r="AU544" s="174" t="s">
        <v>90</v>
      </c>
      <c r="AV544" s="172" t="s">
        <v>113</v>
      </c>
      <c r="AW544" s="172" t="s">
        <v>33</v>
      </c>
      <c r="AX544" s="172" t="s">
        <v>87</v>
      </c>
      <c r="AY544" s="174" t="s">
        <v>337</v>
      </c>
    </row>
    <row r="545" spans="2:65" s="172" customFormat="1" x14ac:dyDescent="0.2">
      <c r="B545" s="173"/>
      <c r="D545" s="143"/>
      <c r="E545" s="174"/>
      <c r="F545" s="175" t="s">
        <v>9241</v>
      </c>
      <c r="H545" s="176"/>
      <c r="L545" s="173"/>
      <c r="M545" s="177"/>
      <c r="T545" s="178"/>
      <c r="AT545" s="174"/>
      <c r="AU545" s="174"/>
      <c r="AY545" s="174"/>
    </row>
    <row r="546" spans="2:65" s="16" customFormat="1" ht="16.5" customHeight="1" x14ac:dyDescent="0.2">
      <c r="B546" s="17"/>
      <c r="C546" s="162">
        <v>64</v>
      </c>
      <c r="D546" s="162" t="s">
        <v>519</v>
      </c>
      <c r="E546" s="163" t="s">
        <v>3422</v>
      </c>
      <c r="F546" s="164" t="s">
        <v>3423</v>
      </c>
      <c r="G546" s="165" t="s">
        <v>425</v>
      </c>
      <c r="H546" s="166">
        <v>4.1479999999999997</v>
      </c>
      <c r="I546" s="167"/>
      <c r="J546" s="168">
        <f>ROUND(I546*H546,2)</f>
        <v>0</v>
      </c>
      <c r="K546" s="164" t="s">
        <v>343</v>
      </c>
      <c r="L546" s="169"/>
      <c r="M546" s="170"/>
      <c r="N546" s="171" t="s">
        <v>45</v>
      </c>
      <c r="P546" s="137">
        <f>O546*H546</f>
        <v>0</v>
      </c>
      <c r="Q546" s="137">
        <v>4.7999999999999996E-3</v>
      </c>
      <c r="R546" s="137">
        <f>Q546*H546</f>
        <v>1.9910399999999998E-2</v>
      </c>
      <c r="S546" s="137">
        <v>0</v>
      </c>
      <c r="T546" s="138">
        <f>S546*H546</f>
        <v>0</v>
      </c>
      <c r="AR546" s="139" t="s">
        <v>621</v>
      </c>
      <c r="AT546" s="139" t="s">
        <v>519</v>
      </c>
      <c r="AU546" s="139" t="s">
        <v>90</v>
      </c>
      <c r="AY546" s="2" t="s">
        <v>337</v>
      </c>
      <c r="BE546" s="140">
        <f>IF(N546="základní",J546,0)</f>
        <v>0</v>
      </c>
      <c r="BF546" s="140">
        <f>IF(N546="snížená",J546,0)</f>
        <v>0</v>
      </c>
      <c r="BG546" s="140">
        <f>IF(N546="zákl. přenesená",J546,0)</f>
        <v>0</v>
      </c>
      <c r="BH546" s="140">
        <f>IF(N546="sníž. přenesená",J546,0)</f>
        <v>0</v>
      </c>
      <c r="BI546" s="140">
        <f>IF(N546="nulová",J546,0)</f>
        <v>0</v>
      </c>
      <c r="BJ546" s="2" t="s">
        <v>87</v>
      </c>
      <c r="BK546" s="140">
        <f>ROUND(I546*H546,2)</f>
        <v>0</v>
      </c>
      <c r="BL546" s="2" t="s">
        <v>496</v>
      </c>
      <c r="BM546" s="139" t="s">
        <v>3424</v>
      </c>
    </row>
    <row r="547" spans="2:65" s="148" customFormat="1" x14ac:dyDescent="0.2">
      <c r="B547" s="149"/>
      <c r="D547" s="143" t="s">
        <v>346</v>
      </c>
      <c r="F547" s="151" t="s">
        <v>3425</v>
      </c>
      <c r="H547" s="152">
        <v>4.1479999999999997</v>
      </c>
      <c r="L547" s="149"/>
      <c r="M547" s="153"/>
      <c r="T547" s="154"/>
      <c r="AT547" s="150" t="s">
        <v>346</v>
      </c>
      <c r="AU547" s="150" t="s">
        <v>90</v>
      </c>
      <c r="AV547" s="148" t="s">
        <v>90</v>
      </c>
      <c r="AW547" s="148" t="s">
        <v>3</v>
      </c>
      <c r="AX547" s="148" t="s">
        <v>87</v>
      </c>
      <c r="AY547" s="150" t="s">
        <v>337</v>
      </c>
    </row>
    <row r="548" spans="2:65" s="16" customFormat="1" ht="24.2" customHeight="1" x14ac:dyDescent="0.2">
      <c r="B548" s="17"/>
      <c r="C548" s="128">
        <v>65</v>
      </c>
      <c r="D548" s="128" t="s">
        <v>339</v>
      </c>
      <c r="E548" s="129" t="s">
        <v>3426</v>
      </c>
      <c r="F548" s="130" t="s">
        <v>3427</v>
      </c>
      <c r="G548" s="131" t="s">
        <v>425</v>
      </c>
      <c r="H548" s="132">
        <v>118.727</v>
      </c>
      <c r="I548" s="133"/>
      <c r="J548" s="134">
        <f>ROUND(I548*H548,2)</f>
        <v>0</v>
      </c>
      <c r="K548" s="130" t="s">
        <v>343</v>
      </c>
      <c r="L548" s="17"/>
      <c r="M548" s="135"/>
      <c r="N548" s="136" t="s">
        <v>45</v>
      </c>
      <c r="P548" s="137">
        <f>O548*H548</f>
        <v>0</v>
      </c>
      <c r="Q548" s="137">
        <v>1.1350000000000001E-2</v>
      </c>
      <c r="R548" s="137">
        <f>Q548*H548</f>
        <v>1.3475514500000001</v>
      </c>
      <c r="S548" s="137">
        <v>0</v>
      </c>
      <c r="T548" s="138">
        <f>S548*H548</f>
        <v>0</v>
      </c>
      <c r="AR548" s="139" t="s">
        <v>344</v>
      </c>
      <c r="AT548" s="139" t="s">
        <v>339</v>
      </c>
      <c r="AU548" s="139" t="s">
        <v>90</v>
      </c>
      <c r="AY548" s="2" t="s">
        <v>337</v>
      </c>
      <c r="BE548" s="140">
        <f>IF(N548="základní",J548,0)</f>
        <v>0</v>
      </c>
      <c r="BF548" s="140">
        <f>IF(N548="snížená",J548,0)</f>
        <v>0</v>
      </c>
      <c r="BG548" s="140">
        <f>IF(N548="zákl. přenesená",J548,0)</f>
        <v>0</v>
      </c>
      <c r="BH548" s="140">
        <f>IF(N548="sníž. přenesená",J548,0)</f>
        <v>0</v>
      </c>
      <c r="BI548" s="140">
        <f>IF(N548="nulová",J548,0)</f>
        <v>0</v>
      </c>
      <c r="BJ548" s="2" t="s">
        <v>87</v>
      </c>
      <c r="BK548" s="140">
        <f>ROUND(I548*H548,2)</f>
        <v>0</v>
      </c>
      <c r="BL548" s="2" t="s">
        <v>344</v>
      </c>
      <c r="BM548" s="139" t="s">
        <v>3428</v>
      </c>
    </row>
    <row r="549" spans="2:65" s="141" customFormat="1" x14ac:dyDescent="0.2">
      <c r="B549" s="142"/>
      <c r="D549" s="143" t="s">
        <v>346</v>
      </c>
      <c r="E549" s="144"/>
      <c r="F549" s="145" t="s">
        <v>3429</v>
      </c>
      <c r="H549" s="144"/>
      <c r="L549" s="142"/>
      <c r="M549" s="146"/>
      <c r="T549" s="147"/>
      <c r="AT549" s="144" t="s">
        <v>346</v>
      </c>
      <c r="AU549" s="144" t="s">
        <v>90</v>
      </c>
      <c r="AV549" s="141" t="s">
        <v>87</v>
      </c>
      <c r="AW549" s="141" t="s">
        <v>33</v>
      </c>
      <c r="AX549" s="141" t="s">
        <v>80</v>
      </c>
      <c r="AY549" s="144" t="s">
        <v>337</v>
      </c>
    </row>
    <row r="550" spans="2:65" s="141" customFormat="1" x14ac:dyDescent="0.2">
      <c r="B550" s="142"/>
      <c r="D550" s="143" t="s">
        <v>346</v>
      </c>
      <c r="E550" s="144"/>
      <c r="F550" s="145" t="s">
        <v>3430</v>
      </c>
      <c r="H550" s="144"/>
      <c r="L550" s="142"/>
      <c r="M550" s="146"/>
      <c r="T550" s="147"/>
      <c r="AT550" s="144" t="s">
        <v>346</v>
      </c>
      <c r="AU550" s="144" t="s">
        <v>90</v>
      </c>
      <c r="AV550" s="141" t="s">
        <v>87</v>
      </c>
      <c r="AW550" s="141" t="s">
        <v>33</v>
      </c>
      <c r="AX550" s="141" t="s">
        <v>80</v>
      </c>
      <c r="AY550" s="144" t="s">
        <v>337</v>
      </c>
    </row>
    <row r="551" spans="2:65" s="141" customFormat="1" x14ac:dyDescent="0.2">
      <c r="B551" s="142"/>
      <c r="D551" s="143" t="s">
        <v>346</v>
      </c>
      <c r="E551" s="144"/>
      <c r="F551" s="145" t="s">
        <v>428</v>
      </c>
      <c r="H551" s="144"/>
      <c r="L551" s="142"/>
      <c r="M551" s="146"/>
      <c r="T551" s="147"/>
      <c r="AT551" s="144" t="s">
        <v>346</v>
      </c>
      <c r="AU551" s="144" t="s">
        <v>90</v>
      </c>
      <c r="AV551" s="141" t="s">
        <v>87</v>
      </c>
      <c r="AW551" s="141" t="s">
        <v>33</v>
      </c>
      <c r="AX551" s="141" t="s">
        <v>80</v>
      </c>
      <c r="AY551" s="144" t="s">
        <v>337</v>
      </c>
    </row>
    <row r="552" spans="2:65" s="148" customFormat="1" x14ac:dyDescent="0.2">
      <c r="B552" s="149"/>
      <c r="D552" s="143" t="s">
        <v>346</v>
      </c>
      <c r="E552" s="150"/>
      <c r="F552" s="151" t="s">
        <v>429</v>
      </c>
      <c r="H552" s="152">
        <v>76.183999999999997</v>
      </c>
      <c r="L552" s="149"/>
      <c r="M552" s="153"/>
      <c r="T552" s="154"/>
      <c r="AT552" s="150" t="s">
        <v>346</v>
      </c>
      <c r="AU552" s="150" t="s">
        <v>90</v>
      </c>
      <c r="AV552" s="148" t="s">
        <v>90</v>
      </c>
      <c r="AW552" s="148" t="s">
        <v>33</v>
      </c>
      <c r="AX552" s="148" t="s">
        <v>80</v>
      </c>
      <c r="AY552" s="150" t="s">
        <v>337</v>
      </c>
    </row>
    <row r="553" spans="2:65" s="172" customFormat="1" x14ac:dyDescent="0.2">
      <c r="B553" s="173"/>
      <c r="D553" s="143" t="s">
        <v>346</v>
      </c>
      <c r="E553" s="174" t="s">
        <v>3006</v>
      </c>
      <c r="F553" s="175" t="s">
        <v>609</v>
      </c>
      <c r="H553" s="176">
        <v>76.183999999999997</v>
      </c>
      <c r="L553" s="173"/>
      <c r="M553" s="177"/>
      <c r="T553" s="178"/>
      <c r="AT553" s="174" t="s">
        <v>346</v>
      </c>
      <c r="AU553" s="174" t="s">
        <v>90</v>
      </c>
      <c r="AV553" s="172" t="s">
        <v>113</v>
      </c>
      <c r="AW553" s="172" t="s">
        <v>33</v>
      </c>
      <c r="AX553" s="172" t="s">
        <v>80</v>
      </c>
      <c r="AY553" s="174" t="s">
        <v>337</v>
      </c>
    </row>
    <row r="554" spans="2:65" s="141" customFormat="1" x14ac:dyDescent="0.2">
      <c r="B554" s="142"/>
      <c r="D554" s="143" t="s">
        <v>346</v>
      </c>
      <c r="E554" s="144"/>
      <c r="F554" s="145" t="s">
        <v>3431</v>
      </c>
      <c r="H554" s="144"/>
      <c r="L554" s="142"/>
      <c r="M554" s="146"/>
      <c r="T554" s="147"/>
      <c r="AT554" s="144" t="s">
        <v>346</v>
      </c>
      <c r="AU554" s="144" t="s">
        <v>90</v>
      </c>
      <c r="AV554" s="141" t="s">
        <v>87</v>
      </c>
      <c r="AW554" s="141" t="s">
        <v>33</v>
      </c>
      <c r="AX554" s="141" t="s">
        <v>80</v>
      </c>
      <c r="AY554" s="144" t="s">
        <v>337</v>
      </c>
    </row>
    <row r="555" spans="2:65" s="141" customFormat="1" x14ac:dyDescent="0.2">
      <c r="B555" s="142"/>
      <c r="D555" s="143" t="s">
        <v>346</v>
      </c>
      <c r="E555" s="144"/>
      <c r="F555" s="145" t="s">
        <v>3432</v>
      </c>
      <c r="H555" s="144"/>
      <c r="L555" s="142"/>
      <c r="M555" s="146"/>
      <c r="T555" s="147"/>
      <c r="AT555" s="144" t="s">
        <v>346</v>
      </c>
      <c r="AU555" s="144" t="s">
        <v>90</v>
      </c>
      <c r="AV555" s="141" t="s">
        <v>87</v>
      </c>
      <c r="AW555" s="141" t="s">
        <v>33</v>
      </c>
      <c r="AX555" s="141" t="s">
        <v>80</v>
      </c>
      <c r="AY555" s="144" t="s">
        <v>337</v>
      </c>
    </row>
    <row r="556" spans="2:65" s="148" customFormat="1" x14ac:dyDescent="0.2">
      <c r="B556" s="149"/>
      <c r="D556" s="143" t="s">
        <v>346</v>
      </c>
      <c r="E556" s="150"/>
      <c r="F556" s="151" t="s">
        <v>3433</v>
      </c>
      <c r="H556" s="152">
        <v>10.88</v>
      </c>
      <c r="L556" s="149"/>
      <c r="M556" s="153"/>
      <c r="T556" s="154"/>
      <c r="AT556" s="150" t="s">
        <v>346</v>
      </c>
      <c r="AU556" s="150" t="s">
        <v>90</v>
      </c>
      <c r="AV556" s="148" t="s">
        <v>90</v>
      </c>
      <c r="AW556" s="148" t="s">
        <v>33</v>
      </c>
      <c r="AX556" s="148" t="s">
        <v>80</v>
      </c>
      <c r="AY556" s="150" t="s">
        <v>337</v>
      </c>
    </row>
    <row r="557" spans="2:65" s="148" customFormat="1" x14ac:dyDescent="0.2">
      <c r="B557" s="149"/>
      <c r="D557" s="143" t="s">
        <v>346</v>
      </c>
      <c r="E557" s="150"/>
      <c r="F557" s="151" t="s">
        <v>3434</v>
      </c>
      <c r="H557" s="152">
        <v>31.663</v>
      </c>
      <c r="L557" s="149"/>
      <c r="M557" s="153"/>
      <c r="T557" s="154"/>
      <c r="AT557" s="150" t="s">
        <v>346</v>
      </c>
      <c r="AU557" s="150" t="s">
        <v>90</v>
      </c>
      <c r="AV557" s="148" t="s">
        <v>90</v>
      </c>
      <c r="AW557" s="148" t="s">
        <v>33</v>
      </c>
      <c r="AX557" s="148" t="s">
        <v>80</v>
      </c>
      <c r="AY557" s="150" t="s">
        <v>337</v>
      </c>
    </row>
    <row r="558" spans="2:65" s="172" customFormat="1" x14ac:dyDescent="0.2">
      <c r="B558" s="173"/>
      <c r="D558" s="143" t="s">
        <v>346</v>
      </c>
      <c r="E558" s="174" t="s">
        <v>3008</v>
      </c>
      <c r="F558" s="175" t="s">
        <v>609</v>
      </c>
      <c r="H558" s="176">
        <v>42.542999999999999</v>
      </c>
      <c r="L558" s="173"/>
      <c r="M558" s="177"/>
      <c r="T558" s="178"/>
      <c r="AT558" s="174" t="s">
        <v>346</v>
      </c>
      <c r="AU558" s="174" t="s">
        <v>90</v>
      </c>
      <c r="AV558" s="172" t="s">
        <v>113</v>
      </c>
      <c r="AW558" s="172" t="s">
        <v>33</v>
      </c>
      <c r="AX558" s="172" t="s">
        <v>80</v>
      </c>
      <c r="AY558" s="174" t="s">
        <v>337</v>
      </c>
    </row>
    <row r="559" spans="2:65" s="155" customFormat="1" x14ac:dyDescent="0.2">
      <c r="B559" s="156"/>
      <c r="D559" s="143" t="s">
        <v>346</v>
      </c>
      <c r="E559" s="157"/>
      <c r="F559" s="158" t="s">
        <v>351</v>
      </c>
      <c r="H559" s="159">
        <v>118.727</v>
      </c>
      <c r="L559" s="156"/>
      <c r="M559" s="160"/>
      <c r="T559" s="161"/>
      <c r="AT559" s="157" t="s">
        <v>346</v>
      </c>
      <c r="AU559" s="157" t="s">
        <v>90</v>
      </c>
      <c r="AV559" s="155" t="s">
        <v>344</v>
      </c>
      <c r="AW559" s="155" t="s">
        <v>33</v>
      </c>
      <c r="AX559" s="155" t="s">
        <v>87</v>
      </c>
      <c r="AY559" s="157" t="s">
        <v>337</v>
      </c>
    </row>
    <row r="560" spans="2:65" s="155" customFormat="1" x14ac:dyDescent="0.2">
      <c r="B560" s="156"/>
      <c r="D560" s="143"/>
      <c r="E560" s="157"/>
      <c r="F560" s="175" t="s">
        <v>9241</v>
      </c>
      <c r="H560" s="159"/>
      <c r="L560" s="156"/>
      <c r="M560" s="160"/>
      <c r="T560" s="161"/>
      <c r="AT560" s="157"/>
      <c r="AU560" s="157"/>
      <c r="AY560" s="157"/>
    </row>
    <row r="561" spans="2:65" s="16" customFormat="1" ht="16.5" customHeight="1" x14ac:dyDescent="0.2">
      <c r="B561" s="17"/>
      <c r="C561" s="162">
        <v>66</v>
      </c>
      <c r="D561" s="162" t="s">
        <v>519</v>
      </c>
      <c r="E561" s="163" t="s">
        <v>3435</v>
      </c>
      <c r="F561" s="164" t="s">
        <v>3436</v>
      </c>
      <c r="G561" s="165" t="s">
        <v>425</v>
      </c>
      <c r="H561" s="166">
        <v>76.183999999999997</v>
      </c>
      <c r="I561" s="167"/>
      <c r="J561" s="168">
        <f>ROUND(I561*H561,2)</f>
        <v>0</v>
      </c>
      <c r="K561" s="164" t="s">
        <v>343</v>
      </c>
      <c r="L561" s="169"/>
      <c r="M561" s="170"/>
      <c r="N561" s="171" t="s">
        <v>45</v>
      </c>
      <c r="P561" s="137">
        <f>O561*H561</f>
        <v>0</v>
      </c>
      <c r="Q561" s="137">
        <v>6.0000000000000001E-3</v>
      </c>
      <c r="R561" s="137">
        <f>Q561*H561</f>
        <v>0.45710400000000001</v>
      </c>
      <c r="S561" s="137">
        <v>0</v>
      </c>
      <c r="T561" s="138">
        <f>S561*H561</f>
        <v>0</v>
      </c>
      <c r="AR561" s="139" t="s">
        <v>621</v>
      </c>
      <c r="AT561" s="139" t="s">
        <v>519</v>
      </c>
      <c r="AU561" s="139" t="s">
        <v>90</v>
      </c>
      <c r="AY561" s="2" t="s">
        <v>337</v>
      </c>
      <c r="BE561" s="140">
        <f>IF(N561="základní",J561,0)</f>
        <v>0</v>
      </c>
      <c r="BF561" s="140">
        <f>IF(N561="snížená",J561,0)</f>
        <v>0</v>
      </c>
      <c r="BG561" s="140">
        <f>IF(N561="zákl. přenesená",J561,0)</f>
        <v>0</v>
      </c>
      <c r="BH561" s="140">
        <f>IF(N561="sníž. přenesená",J561,0)</f>
        <v>0</v>
      </c>
      <c r="BI561" s="140">
        <f>IF(N561="nulová",J561,0)</f>
        <v>0</v>
      </c>
      <c r="BJ561" s="2" t="s">
        <v>87</v>
      </c>
      <c r="BK561" s="140">
        <f>ROUND(I561*H561,2)</f>
        <v>0</v>
      </c>
      <c r="BL561" s="2" t="s">
        <v>496</v>
      </c>
      <c r="BM561" s="139" t="s">
        <v>3437</v>
      </c>
    </row>
    <row r="562" spans="2:65" s="148" customFormat="1" x14ac:dyDescent="0.2">
      <c r="B562" s="149"/>
      <c r="D562" s="143" t="s">
        <v>346</v>
      </c>
      <c r="E562" s="150"/>
      <c r="F562" s="151" t="s">
        <v>3006</v>
      </c>
      <c r="H562" s="152">
        <v>76.183999999999997</v>
      </c>
      <c r="L562" s="149"/>
      <c r="M562" s="153"/>
      <c r="T562" s="154"/>
      <c r="AT562" s="150" t="s">
        <v>346</v>
      </c>
      <c r="AU562" s="150" t="s">
        <v>90</v>
      </c>
      <c r="AV562" s="148" t="s">
        <v>90</v>
      </c>
      <c r="AW562" s="148" t="s">
        <v>33</v>
      </c>
      <c r="AX562" s="148" t="s">
        <v>87</v>
      </c>
      <c r="AY562" s="150" t="s">
        <v>337</v>
      </c>
    </row>
    <row r="563" spans="2:65" s="16" customFormat="1" ht="16.5" customHeight="1" x14ac:dyDescent="0.2">
      <c r="B563" s="17"/>
      <c r="C563" s="162">
        <v>67</v>
      </c>
      <c r="D563" s="162" t="s">
        <v>519</v>
      </c>
      <c r="E563" s="163" t="s">
        <v>3438</v>
      </c>
      <c r="F563" s="164" t="s">
        <v>3439</v>
      </c>
      <c r="G563" s="165" t="s">
        <v>425</v>
      </c>
      <c r="H563" s="166">
        <v>44.67</v>
      </c>
      <c r="I563" s="167"/>
      <c r="J563" s="168">
        <f>ROUND(I563*H563,2)</f>
        <v>0</v>
      </c>
      <c r="K563" s="164" t="s">
        <v>343</v>
      </c>
      <c r="L563" s="169"/>
      <c r="M563" s="170"/>
      <c r="N563" s="171" t="s">
        <v>45</v>
      </c>
      <c r="P563" s="137">
        <f>O563*H563</f>
        <v>0</v>
      </c>
      <c r="Q563" s="137">
        <v>9.5999999999999992E-3</v>
      </c>
      <c r="R563" s="137">
        <f>Q563*H563</f>
        <v>0.42883199999999999</v>
      </c>
      <c r="S563" s="137">
        <v>0</v>
      </c>
      <c r="T563" s="138">
        <f>S563*H563</f>
        <v>0</v>
      </c>
      <c r="AR563" s="139" t="s">
        <v>621</v>
      </c>
      <c r="AT563" s="139" t="s">
        <v>519</v>
      </c>
      <c r="AU563" s="139" t="s">
        <v>90</v>
      </c>
      <c r="AY563" s="2" t="s">
        <v>337</v>
      </c>
      <c r="BE563" s="140">
        <f>IF(N563="základní",J563,0)</f>
        <v>0</v>
      </c>
      <c r="BF563" s="140">
        <f>IF(N563="snížená",J563,0)</f>
        <v>0</v>
      </c>
      <c r="BG563" s="140">
        <f>IF(N563="zákl. přenesená",J563,0)</f>
        <v>0</v>
      </c>
      <c r="BH563" s="140">
        <f>IF(N563="sníž. přenesená",J563,0)</f>
        <v>0</v>
      </c>
      <c r="BI563" s="140">
        <f>IF(N563="nulová",J563,0)</f>
        <v>0</v>
      </c>
      <c r="BJ563" s="2" t="s">
        <v>87</v>
      </c>
      <c r="BK563" s="140">
        <f>ROUND(I563*H563,2)</f>
        <v>0</v>
      </c>
      <c r="BL563" s="2" t="s">
        <v>496</v>
      </c>
      <c r="BM563" s="139" t="s">
        <v>3440</v>
      </c>
    </row>
    <row r="564" spans="2:65" s="148" customFormat="1" x14ac:dyDescent="0.2">
      <c r="B564" s="149"/>
      <c r="D564" s="143" t="s">
        <v>346</v>
      </c>
      <c r="F564" s="151" t="s">
        <v>3441</v>
      </c>
      <c r="H564" s="152">
        <v>44.67</v>
      </c>
      <c r="L564" s="149"/>
      <c r="M564" s="153"/>
      <c r="T564" s="154"/>
      <c r="AT564" s="150" t="s">
        <v>346</v>
      </c>
      <c r="AU564" s="150" t="s">
        <v>90</v>
      </c>
      <c r="AV564" s="148" t="s">
        <v>90</v>
      </c>
      <c r="AW564" s="148" t="s">
        <v>3</v>
      </c>
      <c r="AX564" s="148" t="s">
        <v>87</v>
      </c>
      <c r="AY564" s="150" t="s">
        <v>337</v>
      </c>
    </row>
    <row r="565" spans="2:65" s="16" customFormat="1" ht="24.2" customHeight="1" x14ac:dyDescent="0.2">
      <c r="B565" s="17"/>
      <c r="C565" s="128">
        <v>68</v>
      </c>
      <c r="D565" s="128" t="s">
        <v>339</v>
      </c>
      <c r="E565" s="129" t="s">
        <v>3443</v>
      </c>
      <c r="F565" s="130" t="s">
        <v>3444</v>
      </c>
      <c r="G565" s="131" t="s">
        <v>425</v>
      </c>
      <c r="H565" s="132">
        <v>140.36000000000001</v>
      </c>
      <c r="I565" s="133"/>
      <c r="J565" s="134">
        <f>ROUND(I565*H565,2)</f>
        <v>0</v>
      </c>
      <c r="K565" s="130" t="s">
        <v>343</v>
      </c>
      <c r="L565" s="17"/>
      <c r="M565" s="135"/>
      <c r="N565" s="136" t="s">
        <v>45</v>
      </c>
      <c r="P565" s="137">
        <f>O565*H565</f>
        <v>0</v>
      </c>
      <c r="Q565" s="137">
        <v>1.1520000000000001E-2</v>
      </c>
      <c r="R565" s="137">
        <f>Q565*H565</f>
        <v>1.6169472000000003</v>
      </c>
      <c r="S565" s="137">
        <v>0</v>
      </c>
      <c r="T565" s="138">
        <f>S565*H565</f>
        <v>0</v>
      </c>
      <c r="AR565" s="139" t="s">
        <v>344</v>
      </c>
      <c r="AT565" s="139" t="s">
        <v>339</v>
      </c>
      <c r="AU565" s="139" t="s">
        <v>90</v>
      </c>
      <c r="AY565" s="2" t="s">
        <v>337</v>
      </c>
      <c r="BE565" s="140">
        <f>IF(N565="základní",J565,0)</f>
        <v>0</v>
      </c>
      <c r="BF565" s="140">
        <f>IF(N565="snížená",J565,0)</f>
        <v>0</v>
      </c>
      <c r="BG565" s="140">
        <f>IF(N565="zákl. přenesená",J565,0)</f>
        <v>0</v>
      </c>
      <c r="BH565" s="140">
        <f>IF(N565="sníž. přenesená",J565,0)</f>
        <v>0</v>
      </c>
      <c r="BI565" s="140">
        <f>IF(N565="nulová",J565,0)</f>
        <v>0</v>
      </c>
      <c r="BJ565" s="2" t="s">
        <v>87</v>
      </c>
      <c r="BK565" s="140">
        <f>ROUND(I565*H565,2)</f>
        <v>0</v>
      </c>
      <c r="BL565" s="2" t="s">
        <v>344</v>
      </c>
      <c r="BM565" s="139" t="s">
        <v>3445</v>
      </c>
    </row>
    <row r="566" spans="2:65" s="141" customFormat="1" x14ac:dyDescent="0.2">
      <c r="B566" s="142"/>
      <c r="D566" s="143" t="s">
        <v>346</v>
      </c>
      <c r="E566" s="144"/>
      <c r="F566" s="145" t="s">
        <v>3446</v>
      </c>
      <c r="H566" s="144"/>
      <c r="L566" s="142"/>
      <c r="M566" s="146"/>
      <c r="T566" s="147"/>
      <c r="AT566" s="144" t="s">
        <v>346</v>
      </c>
      <c r="AU566" s="144" t="s">
        <v>90</v>
      </c>
      <c r="AV566" s="141" t="s">
        <v>87</v>
      </c>
      <c r="AW566" s="141" t="s">
        <v>33</v>
      </c>
      <c r="AX566" s="141" t="s">
        <v>80</v>
      </c>
      <c r="AY566" s="144" t="s">
        <v>337</v>
      </c>
    </row>
    <row r="567" spans="2:65" s="141" customFormat="1" x14ac:dyDescent="0.2">
      <c r="B567" s="142"/>
      <c r="D567" s="143" t="s">
        <v>346</v>
      </c>
      <c r="E567" s="144"/>
      <c r="F567" s="145" t="s">
        <v>3447</v>
      </c>
      <c r="H567" s="144"/>
      <c r="L567" s="142"/>
      <c r="M567" s="146"/>
      <c r="T567" s="147"/>
      <c r="AT567" s="144" t="s">
        <v>346</v>
      </c>
      <c r="AU567" s="144" t="s">
        <v>90</v>
      </c>
      <c r="AV567" s="141" t="s">
        <v>87</v>
      </c>
      <c r="AW567" s="141" t="s">
        <v>33</v>
      </c>
      <c r="AX567" s="141" t="s">
        <v>80</v>
      </c>
      <c r="AY567" s="144" t="s">
        <v>337</v>
      </c>
    </row>
    <row r="568" spans="2:65" s="148" customFormat="1" x14ac:dyDescent="0.2">
      <c r="B568" s="149"/>
      <c r="D568" s="143" t="s">
        <v>346</v>
      </c>
      <c r="E568" s="150"/>
      <c r="F568" s="151" t="s">
        <v>3448</v>
      </c>
      <c r="H568" s="152">
        <v>25.52</v>
      </c>
      <c r="L568" s="149"/>
      <c r="M568" s="153"/>
      <c r="T568" s="154"/>
      <c r="AT568" s="150" t="s">
        <v>346</v>
      </c>
      <c r="AU568" s="150" t="s">
        <v>90</v>
      </c>
      <c r="AV568" s="148" t="s">
        <v>90</v>
      </c>
      <c r="AW568" s="148" t="s">
        <v>33</v>
      </c>
      <c r="AX568" s="148" t="s">
        <v>80</v>
      </c>
      <c r="AY568" s="150" t="s">
        <v>337</v>
      </c>
    </row>
    <row r="569" spans="2:65" s="141" customFormat="1" x14ac:dyDescent="0.2">
      <c r="B569" s="142"/>
      <c r="D569" s="143" t="s">
        <v>346</v>
      </c>
      <c r="E569" s="144"/>
      <c r="F569" s="145" t="s">
        <v>3449</v>
      </c>
      <c r="H569" s="144"/>
      <c r="L569" s="142"/>
      <c r="M569" s="146"/>
      <c r="T569" s="147"/>
      <c r="AT569" s="144" t="s">
        <v>346</v>
      </c>
      <c r="AU569" s="144" t="s">
        <v>90</v>
      </c>
      <c r="AV569" s="141" t="s">
        <v>87</v>
      </c>
      <c r="AW569" s="141" t="s">
        <v>33</v>
      </c>
      <c r="AX569" s="141" t="s">
        <v>80</v>
      </c>
      <c r="AY569" s="144" t="s">
        <v>337</v>
      </c>
    </row>
    <row r="570" spans="2:65" s="148" customFormat="1" x14ac:dyDescent="0.2">
      <c r="B570" s="149"/>
      <c r="D570" s="143" t="s">
        <v>346</v>
      </c>
      <c r="E570" s="150"/>
      <c r="F570" s="151" t="s">
        <v>3450</v>
      </c>
      <c r="H570" s="152">
        <v>114.84</v>
      </c>
      <c r="L570" s="149"/>
      <c r="M570" s="153"/>
      <c r="T570" s="154"/>
      <c r="AT570" s="150" t="s">
        <v>346</v>
      </c>
      <c r="AU570" s="150" t="s">
        <v>90</v>
      </c>
      <c r="AV570" s="148" t="s">
        <v>90</v>
      </c>
      <c r="AW570" s="148" t="s">
        <v>33</v>
      </c>
      <c r="AX570" s="148" t="s">
        <v>80</v>
      </c>
      <c r="AY570" s="150" t="s">
        <v>337</v>
      </c>
    </row>
    <row r="571" spans="2:65" s="172" customFormat="1" x14ac:dyDescent="0.2">
      <c r="B571" s="173"/>
      <c r="D571" s="143" t="s">
        <v>346</v>
      </c>
      <c r="E571" s="174" t="s">
        <v>3000</v>
      </c>
      <c r="F571" s="175" t="s">
        <v>609</v>
      </c>
      <c r="H571" s="176">
        <v>140.36000000000001</v>
      </c>
      <c r="L571" s="173"/>
      <c r="M571" s="177"/>
      <c r="T571" s="178"/>
      <c r="AT571" s="174" t="s">
        <v>346</v>
      </c>
      <c r="AU571" s="174" t="s">
        <v>90</v>
      </c>
      <c r="AV571" s="172" t="s">
        <v>113</v>
      </c>
      <c r="AW571" s="172" t="s">
        <v>33</v>
      </c>
      <c r="AX571" s="172" t="s">
        <v>87</v>
      </c>
      <c r="AY571" s="174" t="s">
        <v>337</v>
      </c>
    </row>
    <row r="572" spans="2:65" s="172" customFormat="1" x14ac:dyDescent="0.2">
      <c r="B572" s="173"/>
      <c r="D572" s="143"/>
      <c r="E572" s="174"/>
      <c r="F572" s="175" t="s">
        <v>9241</v>
      </c>
      <c r="H572" s="176"/>
      <c r="L572" s="173"/>
      <c r="M572" s="177"/>
      <c r="T572" s="178"/>
      <c r="AT572" s="174"/>
      <c r="AU572" s="174"/>
      <c r="AY572" s="174"/>
    </row>
    <row r="573" spans="2:65" s="16" customFormat="1" ht="16.5" customHeight="1" x14ac:dyDescent="0.2">
      <c r="B573" s="17"/>
      <c r="C573" s="162">
        <v>69</v>
      </c>
      <c r="D573" s="162" t="s">
        <v>519</v>
      </c>
      <c r="E573" s="163" t="s">
        <v>3451</v>
      </c>
      <c r="F573" s="164" t="s">
        <v>3452</v>
      </c>
      <c r="G573" s="165" t="s">
        <v>425</v>
      </c>
      <c r="H573" s="166">
        <v>147.37799999999999</v>
      </c>
      <c r="I573" s="167"/>
      <c r="J573" s="168">
        <f>ROUND(I573*H573,2)</f>
        <v>0</v>
      </c>
      <c r="K573" s="164" t="s">
        <v>343</v>
      </c>
      <c r="L573" s="169"/>
      <c r="M573" s="170"/>
      <c r="N573" s="171" t="s">
        <v>45</v>
      </c>
      <c r="P573" s="137">
        <f>O573*H573</f>
        <v>0</v>
      </c>
      <c r="Q573" s="137">
        <v>1.55E-2</v>
      </c>
      <c r="R573" s="137">
        <f>Q573*H573</f>
        <v>2.2843589999999998</v>
      </c>
      <c r="S573" s="137">
        <v>0</v>
      </c>
      <c r="T573" s="138">
        <f>S573*H573</f>
        <v>0</v>
      </c>
      <c r="AR573" s="139" t="s">
        <v>621</v>
      </c>
      <c r="AT573" s="139" t="s">
        <v>519</v>
      </c>
      <c r="AU573" s="139" t="s">
        <v>90</v>
      </c>
      <c r="AY573" s="2" t="s">
        <v>337</v>
      </c>
      <c r="BE573" s="140">
        <f>IF(N573="základní",J573,0)</f>
        <v>0</v>
      </c>
      <c r="BF573" s="140">
        <f>IF(N573="snížená",J573,0)</f>
        <v>0</v>
      </c>
      <c r="BG573" s="140">
        <f>IF(N573="zákl. přenesená",J573,0)</f>
        <v>0</v>
      </c>
      <c r="BH573" s="140">
        <f>IF(N573="sníž. přenesená",J573,0)</f>
        <v>0</v>
      </c>
      <c r="BI573" s="140">
        <f>IF(N573="nulová",J573,0)</f>
        <v>0</v>
      </c>
      <c r="BJ573" s="2" t="s">
        <v>87</v>
      </c>
      <c r="BK573" s="140">
        <f>ROUND(I573*H573,2)</f>
        <v>0</v>
      </c>
      <c r="BL573" s="2" t="s">
        <v>496</v>
      </c>
      <c r="BM573" s="139" t="s">
        <v>3453</v>
      </c>
    </row>
    <row r="574" spans="2:65" s="148" customFormat="1" x14ac:dyDescent="0.2">
      <c r="B574" s="149"/>
      <c r="D574" s="143" t="s">
        <v>346</v>
      </c>
      <c r="F574" s="151" t="s">
        <v>3454</v>
      </c>
      <c r="H574" s="152">
        <v>147.37799999999999</v>
      </c>
      <c r="L574" s="149"/>
      <c r="M574" s="153"/>
      <c r="T574" s="154"/>
      <c r="AT574" s="150" t="s">
        <v>346</v>
      </c>
      <c r="AU574" s="150" t="s">
        <v>90</v>
      </c>
      <c r="AV574" s="148" t="s">
        <v>90</v>
      </c>
      <c r="AW574" s="148" t="s">
        <v>3</v>
      </c>
      <c r="AX574" s="148" t="s">
        <v>87</v>
      </c>
      <c r="AY574" s="150" t="s">
        <v>337</v>
      </c>
    </row>
    <row r="575" spans="2:65" s="16" customFormat="1" ht="24.2" customHeight="1" x14ac:dyDescent="0.2">
      <c r="B575" s="17"/>
      <c r="C575" s="128">
        <v>70</v>
      </c>
      <c r="D575" s="128" t="s">
        <v>339</v>
      </c>
      <c r="E575" s="129" t="s">
        <v>3455</v>
      </c>
      <c r="F575" s="130" t="s">
        <v>3456</v>
      </c>
      <c r="G575" s="131" t="s">
        <v>425</v>
      </c>
      <c r="H575" s="132">
        <v>2545.8339999999998</v>
      </c>
      <c r="I575" s="133"/>
      <c r="J575" s="134">
        <f>ROUND(I575*H575,2)</f>
        <v>0</v>
      </c>
      <c r="K575" s="130" t="s">
        <v>343</v>
      </c>
      <c r="L575" s="17"/>
      <c r="M575" s="135"/>
      <c r="N575" s="136" t="s">
        <v>45</v>
      </c>
      <c r="P575" s="137">
        <f>O575*H575</f>
        <v>0</v>
      </c>
      <c r="Q575" s="137">
        <v>1.1679999999999999E-2</v>
      </c>
      <c r="R575" s="137">
        <f>Q575*H575</f>
        <v>29.735341119999998</v>
      </c>
      <c r="S575" s="137">
        <v>0</v>
      </c>
      <c r="T575" s="138">
        <f>S575*H575</f>
        <v>0</v>
      </c>
      <c r="AR575" s="139" t="s">
        <v>344</v>
      </c>
      <c r="AT575" s="139" t="s">
        <v>339</v>
      </c>
      <c r="AU575" s="139" t="s">
        <v>90</v>
      </c>
      <c r="AY575" s="2" t="s">
        <v>337</v>
      </c>
      <c r="BE575" s="140">
        <f>IF(N575="základní",J575,0)</f>
        <v>0</v>
      </c>
      <c r="BF575" s="140">
        <f>IF(N575="snížená",J575,0)</f>
        <v>0</v>
      </c>
      <c r="BG575" s="140">
        <f>IF(N575="zákl. přenesená",J575,0)</f>
        <v>0</v>
      </c>
      <c r="BH575" s="140">
        <f>IF(N575="sníž. přenesená",J575,0)</f>
        <v>0</v>
      </c>
      <c r="BI575" s="140">
        <f>IF(N575="nulová",J575,0)</f>
        <v>0</v>
      </c>
      <c r="BJ575" s="2" t="s">
        <v>87</v>
      </c>
      <c r="BK575" s="140">
        <f>ROUND(I575*H575,2)</f>
        <v>0</v>
      </c>
      <c r="BL575" s="2" t="s">
        <v>344</v>
      </c>
      <c r="BM575" s="139" t="s">
        <v>3457</v>
      </c>
    </row>
    <row r="576" spans="2:65" s="141" customFormat="1" x14ac:dyDescent="0.2">
      <c r="B576" s="142"/>
      <c r="D576" s="143" t="s">
        <v>346</v>
      </c>
      <c r="E576" s="144"/>
      <c r="F576" s="145" t="s">
        <v>3458</v>
      </c>
      <c r="H576" s="144"/>
      <c r="L576" s="142"/>
      <c r="M576" s="146"/>
      <c r="T576" s="147"/>
      <c r="AT576" s="144" t="s">
        <v>346</v>
      </c>
      <c r="AU576" s="144" t="s">
        <v>90</v>
      </c>
      <c r="AV576" s="141" t="s">
        <v>87</v>
      </c>
      <c r="AW576" s="141" t="s">
        <v>33</v>
      </c>
      <c r="AX576" s="141" t="s">
        <v>80</v>
      </c>
      <c r="AY576" s="144" t="s">
        <v>337</v>
      </c>
    </row>
    <row r="577" spans="2:51" s="141" customFormat="1" x14ac:dyDescent="0.2">
      <c r="B577" s="142"/>
      <c r="D577" s="143" t="s">
        <v>346</v>
      </c>
      <c r="E577" s="144"/>
      <c r="F577" s="145" t="s">
        <v>3459</v>
      </c>
      <c r="H577" s="144"/>
      <c r="L577" s="142"/>
      <c r="M577" s="146"/>
      <c r="T577" s="147"/>
      <c r="AT577" s="144" t="s">
        <v>346</v>
      </c>
      <c r="AU577" s="144" t="s">
        <v>90</v>
      </c>
      <c r="AV577" s="141" t="s">
        <v>87</v>
      </c>
      <c r="AW577" s="141" t="s">
        <v>33</v>
      </c>
      <c r="AX577" s="141" t="s">
        <v>80</v>
      </c>
      <c r="AY577" s="144" t="s">
        <v>337</v>
      </c>
    </row>
    <row r="578" spans="2:51" s="141" customFormat="1" x14ac:dyDescent="0.2">
      <c r="B578" s="142"/>
      <c r="D578" s="143" t="s">
        <v>346</v>
      </c>
      <c r="E578" s="144"/>
      <c r="F578" s="145" t="s">
        <v>3460</v>
      </c>
      <c r="H578" s="144"/>
      <c r="L578" s="142"/>
      <c r="M578" s="146"/>
      <c r="T578" s="147"/>
      <c r="AT578" s="144" t="s">
        <v>346</v>
      </c>
      <c r="AU578" s="144" t="s">
        <v>90</v>
      </c>
      <c r="AV578" s="141" t="s">
        <v>87</v>
      </c>
      <c r="AW578" s="141" t="s">
        <v>33</v>
      </c>
      <c r="AX578" s="141" t="s">
        <v>80</v>
      </c>
      <c r="AY578" s="144" t="s">
        <v>337</v>
      </c>
    </row>
    <row r="579" spans="2:51" s="141" customFormat="1" x14ac:dyDescent="0.2">
      <c r="B579" s="142"/>
      <c r="D579" s="143" t="s">
        <v>346</v>
      </c>
      <c r="E579" s="144"/>
      <c r="F579" s="145" t="s">
        <v>3461</v>
      </c>
      <c r="H579" s="144"/>
      <c r="L579" s="142"/>
      <c r="M579" s="146"/>
      <c r="T579" s="147"/>
      <c r="AT579" s="144" t="s">
        <v>346</v>
      </c>
      <c r="AU579" s="144" t="s">
        <v>90</v>
      </c>
      <c r="AV579" s="141" t="s">
        <v>87</v>
      </c>
      <c r="AW579" s="141" t="s">
        <v>33</v>
      </c>
      <c r="AX579" s="141" t="s">
        <v>80</v>
      </c>
      <c r="AY579" s="144" t="s">
        <v>337</v>
      </c>
    </row>
    <row r="580" spans="2:51" s="148" customFormat="1" x14ac:dyDescent="0.2">
      <c r="B580" s="149"/>
      <c r="D580" s="143" t="s">
        <v>346</v>
      </c>
      <c r="E580" s="150"/>
      <c r="F580" s="151" t="s">
        <v>3462</v>
      </c>
      <c r="H580" s="152">
        <v>149.79599999999999</v>
      </c>
      <c r="L580" s="149"/>
      <c r="M580" s="153"/>
      <c r="T580" s="154"/>
      <c r="AT580" s="150" t="s">
        <v>346</v>
      </c>
      <c r="AU580" s="150" t="s">
        <v>90</v>
      </c>
      <c r="AV580" s="148" t="s">
        <v>90</v>
      </c>
      <c r="AW580" s="148" t="s">
        <v>33</v>
      </c>
      <c r="AX580" s="148" t="s">
        <v>80</v>
      </c>
      <c r="AY580" s="150" t="s">
        <v>337</v>
      </c>
    </row>
    <row r="581" spans="2:51" s="148" customFormat="1" x14ac:dyDescent="0.2">
      <c r="B581" s="149"/>
      <c r="D581" s="143" t="s">
        <v>346</v>
      </c>
      <c r="E581" s="150"/>
      <c r="F581" s="151" t="s">
        <v>3463</v>
      </c>
      <c r="H581" s="152">
        <v>1.5389999999999999</v>
      </c>
      <c r="L581" s="149"/>
      <c r="M581" s="153"/>
      <c r="T581" s="154"/>
      <c r="AT581" s="150" t="s">
        <v>346</v>
      </c>
      <c r="AU581" s="150" t="s">
        <v>90</v>
      </c>
      <c r="AV581" s="148" t="s">
        <v>90</v>
      </c>
      <c r="AW581" s="148" t="s">
        <v>33</v>
      </c>
      <c r="AX581" s="148" t="s">
        <v>80</v>
      </c>
      <c r="AY581" s="150" t="s">
        <v>337</v>
      </c>
    </row>
    <row r="582" spans="2:51" s="141" customFormat="1" x14ac:dyDescent="0.2">
      <c r="B582" s="142"/>
      <c r="D582" s="143" t="s">
        <v>346</v>
      </c>
      <c r="E582" s="144"/>
      <c r="F582" s="145" t="s">
        <v>511</v>
      </c>
      <c r="H582" s="144"/>
      <c r="L582" s="142"/>
      <c r="M582" s="146"/>
      <c r="T582" s="147"/>
      <c r="AT582" s="144" t="s">
        <v>346</v>
      </c>
      <c r="AU582" s="144" t="s">
        <v>90</v>
      </c>
      <c r="AV582" s="141" t="s">
        <v>87</v>
      </c>
      <c r="AW582" s="141" t="s">
        <v>33</v>
      </c>
      <c r="AX582" s="141" t="s">
        <v>80</v>
      </c>
      <c r="AY582" s="144" t="s">
        <v>337</v>
      </c>
    </row>
    <row r="583" spans="2:51" s="148" customFormat="1" x14ac:dyDescent="0.2">
      <c r="B583" s="149"/>
      <c r="D583" s="143" t="s">
        <v>346</v>
      </c>
      <c r="E583" s="150"/>
      <c r="F583" s="151" t="s">
        <v>3464</v>
      </c>
      <c r="H583" s="152">
        <v>-29.52</v>
      </c>
      <c r="L583" s="149"/>
      <c r="M583" s="153"/>
      <c r="T583" s="154"/>
      <c r="AT583" s="150" t="s">
        <v>346</v>
      </c>
      <c r="AU583" s="150" t="s">
        <v>90</v>
      </c>
      <c r="AV583" s="148" t="s">
        <v>90</v>
      </c>
      <c r="AW583" s="148" t="s">
        <v>33</v>
      </c>
      <c r="AX583" s="148" t="s">
        <v>80</v>
      </c>
      <c r="AY583" s="150" t="s">
        <v>337</v>
      </c>
    </row>
    <row r="584" spans="2:51" s="148" customFormat="1" x14ac:dyDescent="0.2">
      <c r="B584" s="149"/>
      <c r="D584" s="143" t="s">
        <v>346</v>
      </c>
      <c r="E584" s="150"/>
      <c r="F584" s="151" t="s">
        <v>3465</v>
      </c>
      <c r="H584" s="152">
        <v>-19.68</v>
      </c>
      <c r="L584" s="149"/>
      <c r="M584" s="153"/>
      <c r="T584" s="154"/>
      <c r="AT584" s="150" t="s">
        <v>346</v>
      </c>
      <c r="AU584" s="150" t="s">
        <v>90</v>
      </c>
      <c r="AV584" s="148" t="s">
        <v>90</v>
      </c>
      <c r="AW584" s="148" t="s">
        <v>33</v>
      </c>
      <c r="AX584" s="148" t="s">
        <v>80</v>
      </c>
      <c r="AY584" s="150" t="s">
        <v>337</v>
      </c>
    </row>
    <row r="585" spans="2:51" s="141" customFormat="1" x14ac:dyDescent="0.2">
      <c r="B585" s="142"/>
      <c r="D585" s="143" t="s">
        <v>346</v>
      </c>
      <c r="E585" s="144"/>
      <c r="F585" s="145" t="s">
        <v>3466</v>
      </c>
      <c r="H585" s="144"/>
      <c r="L585" s="142"/>
      <c r="M585" s="146"/>
      <c r="T585" s="147"/>
      <c r="AT585" s="144" t="s">
        <v>346</v>
      </c>
      <c r="AU585" s="144" t="s">
        <v>90</v>
      </c>
      <c r="AV585" s="141" t="s">
        <v>87</v>
      </c>
      <c r="AW585" s="141" t="s">
        <v>33</v>
      </c>
      <c r="AX585" s="141" t="s">
        <v>80</v>
      </c>
      <c r="AY585" s="144" t="s">
        <v>337</v>
      </c>
    </row>
    <row r="586" spans="2:51" s="141" customFormat="1" x14ac:dyDescent="0.2">
      <c r="B586" s="142"/>
      <c r="D586" s="143" t="s">
        <v>346</v>
      </c>
      <c r="E586" s="144"/>
      <c r="F586" s="145" t="s">
        <v>3467</v>
      </c>
      <c r="H586" s="144"/>
      <c r="L586" s="142"/>
      <c r="M586" s="146"/>
      <c r="T586" s="147"/>
      <c r="AT586" s="144" t="s">
        <v>346</v>
      </c>
      <c r="AU586" s="144" t="s">
        <v>90</v>
      </c>
      <c r="AV586" s="141" t="s">
        <v>87</v>
      </c>
      <c r="AW586" s="141" t="s">
        <v>33</v>
      </c>
      <c r="AX586" s="141" t="s">
        <v>80</v>
      </c>
      <c r="AY586" s="144" t="s">
        <v>337</v>
      </c>
    </row>
    <row r="587" spans="2:51" s="141" customFormat="1" x14ac:dyDescent="0.2">
      <c r="B587" s="142"/>
      <c r="D587" s="143" t="s">
        <v>346</v>
      </c>
      <c r="E587" s="144"/>
      <c r="F587" s="145" t="s">
        <v>3468</v>
      </c>
      <c r="H587" s="144"/>
      <c r="L587" s="142"/>
      <c r="M587" s="146"/>
      <c r="T587" s="147"/>
      <c r="AT587" s="144" t="s">
        <v>346</v>
      </c>
      <c r="AU587" s="144" t="s">
        <v>90</v>
      </c>
      <c r="AV587" s="141" t="s">
        <v>87</v>
      </c>
      <c r="AW587" s="141" t="s">
        <v>33</v>
      </c>
      <c r="AX587" s="141" t="s">
        <v>80</v>
      </c>
      <c r="AY587" s="144" t="s">
        <v>337</v>
      </c>
    </row>
    <row r="588" spans="2:51" s="141" customFormat="1" x14ac:dyDescent="0.2">
      <c r="B588" s="142"/>
      <c r="D588" s="143" t="s">
        <v>346</v>
      </c>
      <c r="E588" s="144"/>
      <c r="F588" s="145" t="s">
        <v>3379</v>
      </c>
      <c r="H588" s="144"/>
      <c r="L588" s="142"/>
      <c r="M588" s="146"/>
      <c r="T588" s="147"/>
      <c r="AT588" s="144" t="s">
        <v>346</v>
      </c>
      <c r="AU588" s="144" t="s">
        <v>90</v>
      </c>
      <c r="AV588" s="141" t="s">
        <v>87</v>
      </c>
      <c r="AW588" s="141" t="s">
        <v>33</v>
      </c>
      <c r="AX588" s="141" t="s">
        <v>80</v>
      </c>
      <c r="AY588" s="144" t="s">
        <v>337</v>
      </c>
    </row>
    <row r="589" spans="2:51" s="148" customFormat="1" x14ac:dyDescent="0.2">
      <c r="B589" s="149"/>
      <c r="D589" s="143" t="s">
        <v>346</v>
      </c>
      <c r="E589" s="150"/>
      <c r="F589" s="151" t="s">
        <v>3469</v>
      </c>
      <c r="H589" s="152">
        <v>93.01</v>
      </c>
      <c r="L589" s="149"/>
      <c r="M589" s="153"/>
      <c r="T589" s="154"/>
      <c r="AT589" s="150" t="s">
        <v>346</v>
      </c>
      <c r="AU589" s="150" t="s">
        <v>90</v>
      </c>
      <c r="AV589" s="148" t="s">
        <v>90</v>
      </c>
      <c r="AW589" s="148" t="s">
        <v>33</v>
      </c>
      <c r="AX589" s="148" t="s">
        <v>80</v>
      </c>
      <c r="AY589" s="150" t="s">
        <v>337</v>
      </c>
    </row>
    <row r="590" spans="2:51" s="148" customFormat="1" x14ac:dyDescent="0.2">
      <c r="B590" s="149"/>
      <c r="D590" s="143" t="s">
        <v>346</v>
      </c>
      <c r="E590" s="150"/>
      <c r="F590" s="151" t="s">
        <v>3470</v>
      </c>
      <c r="H590" s="152">
        <v>0.6</v>
      </c>
      <c r="L590" s="149"/>
      <c r="M590" s="153"/>
      <c r="T590" s="154"/>
      <c r="AT590" s="150" t="s">
        <v>346</v>
      </c>
      <c r="AU590" s="150" t="s">
        <v>90</v>
      </c>
      <c r="AV590" s="148" t="s">
        <v>90</v>
      </c>
      <c r="AW590" s="148" t="s">
        <v>33</v>
      </c>
      <c r="AX590" s="148" t="s">
        <v>80</v>
      </c>
      <c r="AY590" s="150" t="s">
        <v>337</v>
      </c>
    </row>
    <row r="591" spans="2:51" s="141" customFormat="1" x14ac:dyDescent="0.2">
      <c r="B591" s="142"/>
      <c r="D591" s="143" t="s">
        <v>346</v>
      </c>
      <c r="E591" s="144"/>
      <c r="F591" s="145" t="s">
        <v>3381</v>
      </c>
      <c r="H591" s="144"/>
      <c r="L591" s="142"/>
      <c r="M591" s="146"/>
      <c r="T591" s="147"/>
      <c r="AT591" s="144" t="s">
        <v>346</v>
      </c>
      <c r="AU591" s="144" t="s">
        <v>90</v>
      </c>
      <c r="AV591" s="141" t="s">
        <v>87</v>
      </c>
      <c r="AW591" s="141" t="s">
        <v>33</v>
      </c>
      <c r="AX591" s="141" t="s">
        <v>80</v>
      </c>
      <c r="AY591" s="144" t="s">
        <v>337</v>
      </c>
    </row>
    <row r="592" spans="2:51" s="141" customFormat="1" x14ac:dyDescent="0.2">
      <c r="B592" s="142"/>
      <c r="D592" s="143" t="s">
        <v>346</v>
      </c>
      <c r="E592" s="144"/>
      <c r="F592" s="145" t="s">
        <v>3471</v>
      </c>
      <c r="H592" s="144"/>
      <c r="L592" s="142"/>
      <c r="M592" s="146"/>
      <c r="T592" s="147"/>
      <c r="AT592" s="144" t="s">
        <v>346</v>
      </c>
      <c r="AU592" s="144" t="s">
        <v>90</v>
      </c>
      <c r="AV592" s="141" t="s">
        <v>87</v>
      </c>
      <c r="AW592" s="141" t="s">
        <v>33</v>
      </c>
      <c r="AX592" s="141" t="s">
        <v>80</v>
      </c>
      <c r="AY592" s="144" t="s">
        <v>337</v>
      </c>
    </row>
    <row r="593" spans="2:51" s="148" customFormat="1" x14ac:dyDescent="0.2">
      <c r="B593" s="149"/>
      <c r="D593" s="143" t="s">
        <v>346</v>
      </c>
      <c r="E593" s="150"/>
      <c r="F593" s="151" t="s">
        <v>3472</v>
      </c>
      <c r="H593" s="152">
        <v>697.34799999999996</v>
      </c>
      <c r="L593" s="149"/>
      <c r="M593" s="153"/>
      <c r="T593" s="154"/>
      <c r="AT593" s="150" t="s">
        <v>346</v>
      </c>
      <c r="AU593" s="150" t="s">
        <v>90</v>
      </c>
      <c r="AV593" s="148" t="s">
        <v>90</v>
      </c>
      <c r="AW593" s="148" t="s">
        <v>33</v>
      </c>
      <c r="AX593" s="148" t="s">
        <v>80</v>
      </c>
      <c r="AY593" s="150" t="s">
        <v>337</v>
      </c>
    </row>
    <row r="594" spans="2:51" s="141" customFormat="1" x14ac:dyDescent="0.2">
      <c r="B594" s="142"/>
      <c r="D594" s="143" t="s">
        <v>346</v>
      </c>
      <c r="E594" s="144"/>
      <c r="F594" s="145" t="s">
        <v>3383</v>
      </c>
      <c r="H594" s="144"/>
      <c r="L594" s="142"/>
      <c r="M594" s="146"/>
      <c r="T594" s="147"/>
      <c r="AT594" s="144" t="s">
        <v>346</v>
      </c>
      <c r="AU594" s="144" t="s">
        <v>90</v>
      </c>
      <c r="AV594" s="141" t="s">
        <v>87</v>
      </c>
      <c r="AW594" s="141" t="s">
        <v>33</v>
      </c>
      <c r="AX594" s="141" t="s">
        <v>80</v>
      </c>
      <c r="AY594" s="144" t="s">
        <v>337</v>
      </c>
    </row>
    <row r="595" spans="2:51" s="148" customFormat="1" x14ac:dyDescent="0.2">
      <c r="B595" s="149"/>
      <c r="D595" s="143" t="s">
        <v>346</v>
      </c>
      <c r="E595" s="150"/>
      <c r="F595" s="151" t="s">
        <v>3473</v>
      </c>
      <c r="H595" s="152">
        <v>41.08</v>
      </c>
      <c r="L595" s="149"/>
      <c r="M595" s="153"/>
      <c r="T595" s="154"/>
      <c r="AT595" s="150" t="s">
        <v>346</v>
      </c>
      <c r="AU595" s="150" t="s">
        <v>90</v>
      </c>
      <c r="AV595" s="148" t="s">
        <v>90</v>
      </c>
      <c r="AW595" s="148" t="s">
        <v>33</v>
      </c>
      <c r="AX595" s="148" t="s">
        <v>80</v>
      </c>
      <c r="AY595" s="150" t="s">
        <v>337</v>
      </c>
    </row>
    <row r="596" spans="2:51" s="148" customFormat="1" x14ac:dyDescent="0.2">
      <c r="B596" s="149"/>
      <c r="D596" s="143" t="s">
        <v>346</v>
      </c>
      <c r="E596" s="150"/>
      <c r="F596" s="151" t="s">
        <v>3474</v>
      </c>
      <c r="H596" s="152">
        <v>193.05</v>
      </c>
      <c r="L596" s="149"/>
      <c r="M596" s="153"/>
      <c r="T596" s="154"/>
      <c r="AT596" s="150" t="s">
        <v>346</v>
      </c>
      <c r="AU596" s="150" t="s">
        <v>90</v>
      </c>
      <c r="AV596" s="148" t="s">
        <v>90</v>
      </c>
      <c r="AW596" s="148" t="s">
        <v>33</v>
      </c>
      <c r="AX596" s="148" t="s">
        <v>80</v>
      </c>
      <c r="AY596" s="150" t="s">
        <v>337</v>
      </c>
    </row>
    <row r="597" spans="2:51" s="141" customFormat="1" x14ac:dyDescent="0.2">
      <c r="B597" s="142"/>
      <c r="D597" s="143" t="s">
        <v>346</v>
      </c>
      <c r="E597" s="144"/>
      <c r="F597" s="145" t="s">
        <v>3475</v>
      </c>
      <c r="H597" s="144"/>
      <c r="L597" s="142"/>
      <c r="M597" s="146"/>
      <c r="T597" s="147"/>
      <c r="AT597" s="144" t="s">
        <v>346</v>
      </c>
      <c r="AU597" s="144" t="s">
        <v>90</v>
      </c>
      <c r="AV597" s="141" t="s">
        <v>87</v>
      </c>
      <c r="AW597" s="141" t="s">
        <v>33</v>
      </c>
      <c r="AX597" s="141" t="s">
        <v>80</v>
      </c>
      <c r="AY597" s="144" t="s">
        <v>337</v>
      </c>
    </row>
    <row r="598" spans="2:51" s="148" customFormat="1" x14ac:dyDescent="0.2">
      <c r="B598" s="149"/>
      <c r="D598" s="143" t="s">
        <v>346</v>
      </c>
      <c r="E598" s="150"/>
      <c r="F598" s="151" t="s">
        <v>3476</v>
      </c>
      <c r="H598" s="152">
        <v>-8.6</v>
      </c>
      <c r="L598" s="149"/>
      <c r="M598" s="153"/>
      <c r="T598" s="154"/>
      <c r="AT598" s="150" t="s">
        <v>346</v>
      </c>
      <c r="AU598" s="150" t="s">
        <v>90</v>
      </c>
      <c r="AV598" s="148" t="s">
        <v>90</v>
      </c>
      <c r="AW598" s="148" t="s">
        <v>33</v>
      </c>
      <c r="AX598" s="148" t="s">
        <v>80</v>
      </c>
      <c r="AY598" s="150" t="s">
        <v>337</v>
      </c>
    </row>
    <row r="599" spans="2:51" s="148" customFormat="1" x14ac:dyDescent="0.2">
      <c r="B599" s="149"/>
      <c r="D599" s="143" t="s">
        <v>346</v>
      </c>
      <c r="E599" s="150"/>
      <c r="F599" s="151" t="s">
        <v>3477</v>
      </c>
      <c r="H599" s="152">
        <v>-2.903</v>
      </c>
      <c r="L599" s="149"/>
      <c r="M599" s="153"/>
      <c r="T599" s="154"/>
      <c r="AT599" s="150" t="s">
        <v>346</v>
      </c>
      <c r="AU599" s="150" t="s">
        <v>90</v>
      </c>
      <c r="AV599" s="148" t="s">
        <v>90</v>
      </c>
      <c r="AW599" s="148" t="s">
        <v>33</v>
      </c>
      <c r="AX599" s="148" t="s">
        <v>80</v>
      </c>
      <c r="AY599" s="150" t="s">
        <v>337</v>
      </c>
    </row>
    <row r="600" spans="2:51" s="141" customFormat="1" x14ac:dyDescent="0.2">
      <c r="B600" s="142"/>
      <c r="D600" s="143" t="s">
        <v>346</v>
      </c>
      <c r="E600" s="144"/>
      <c r="F600" s="145" t="s">
        <v>3478</v>
      </c>
      <c r="H600" s="144"/>
      <c r="L600" s="142"/>
      <c r="M600" s="146"/>
      <c r="T600" s="147"/>
      <c r="AT600" s="144" t="s">
        <v>346</v>
      </c>
      <c r="AU600" s="144" t="s">
        <v>90</v>
      </c>
      <c r="AV600" s="141" t="s">
        <v>87</v>
      </c>
      <c r="AW600" s="141" t="s">
        <v>33</v>
      </c>
      <c r="AX600" s="141" t="s">
        <v>80</v>
      </c>
      <c r="AY600" s="144" t="s">
        <v>337</v>
      </c>
    </row>
    <row r="601" spans="2:51" s="148" customFormat="1" x14ac:dyDescent="0.2">
      <c r="B601" s="149"/>
      <c r="D601" s="143" t="s">
        <v>346</v>
      </c>
      <c r="E601" s="150"/>
      <c r="F601" s="151" t="s">
        <v>3479</v>
      </c>
      <c r="H601" s="152">
        <v>-8.64</v>
      </c>
      <c r="L601" s="149"/>
      <c r="M601" s="153"/>
      <c r="T601" s="154"/>
      <c r="AT601" s="150" t="s">
        <v>346</v>
      </c>
      <c r="AU601" s="150" t="s">
        <v>90</v>
      </c>
      <c r="AV601" s="148" t="s">
        <v>90</v>
      </c>
      <c r="AW601" s="148" t="s">
        <v>33</v>
      </c>
      <c r="AX601" s="148" t="s">
        <v>80</v>
      </c>
      <c r="AY601" s="150" t="s">
        <v>337</v>
      </c>
    </row>
    <row r="602" spans="2:51" s="148" customFormat="1" x14ac:dyDescent="0.2">
      <c r="B602" s="149"/>
      <c r="D602" s="143" t="s">
        <v>346</v>
      </c>
      <c r="E602" s="150"/>
      <c r="F602" s="151" t="s">
        <v>3480</v>
      </c>
      <c r="H602" s="152">
        <v>-3.51</v>
      </c>
      <c r="L602" s="149"/>
      <c r="M602" s="153"/>
      <c r="T602" s="154"/>
      <c r="AT602" s="150" t="s">
        <v>346</v>
      </c>
      <c r="AU602" s="150" t="s">
        <v>90</v>
      </c>
      <c r="AV602" s="148" t="s">
        <v>90</v>
      </c>
      <c r="AW602" s="148" t="s">
        <v>33</v>
      </c>
      <c r="AX602" s="148" t="s">
        <v>80</v>
      </c>
      <c r="AY602" s="150" t="s">
        <v>337</v>
      </c>
    </row>
    <row r="603" spans="2:51" s="148" customFormat="1" x14ac:dyDescent="0.2">
      <c r="B603" s="149"/>
      <c r="D603" s="143" t="s">
        <v>346</v>
      </c>
      <c r="E603" s="150"/>
      <c r="F603" s="151" t="s">
        <v>3481</v>
      </c>
      <c r="H603" s="152">
        <v>-11.875999999999999</v>
      </c>
      <c r="L603" s="149"/>
      <c r="M603" s="153"/>
      <c r="T603" s="154"/>
      <c r="AT603" s="150" t="s">
        <v>346</v>
      </c>
      <c r="AU603" s="150" t="s">
        <v>90</v>
      </c>
      <c r="AV603" s="148" t="s">
        <v>90</v>
      </c>
      <c r="AW603" s="148" t="s">
        <v>33</v>
      </c>
      <c r="AX603" s="148" t="s">
        <v>80</v>
      </c>
      <c r="AY603" s="150" t="s">
        <v>337</v>
      </c>
    </row>
    <row r="604" spans="2:51" s="148" customFormat="1" x14ac:dyDescent="0.2">
      <c r="B604" s="149"/>
      <c r="D604" s="143" t="s">
        <v>346</v>
      </c>
      <c r="E604" s="150"/>
      <c r="F604" s="151" t="s">
        <v>3482</v>
      </c>
      <c r="H604" s="152">
        <v>-2.3519999999999999</v>
      </c>
      <c r="L604" s="149"/>
      <c r="M604" s="153"/>
      <c r="T604" s="154"/>
      <c r="AT604" s="150" t="s">
        <v>346</v>
      </c>
      <c r="AU604" s="150" t="s">
        <v>90</v>
      </c>
      <c r="AV604" s="148" t="s">
        <v>90</v>
      </c>
      <c r="AW604" s="148" t="s">
        <v>33</v>
      </c>
      <c r="AX604" s="148" t="s">
        <v>80</v>
      </c>
      <c r="AY604" s="150" t="s">
        <v>337</v>
      </c>
    </row>
    <row r="605" spans="2:51" s="148" customFormat="1" x14ac:dyDescent="0.2">
      <c r="B605" s="149"/>
      <c r="D605" s="143" t="s">
        <v>346</v>
      </c>
      <c r="E605" s="150"/>
      <c r="F605" s="151" t="s">
        <v>3483</v>
      </c>
      <c r="H605" s="152">
        <v>-3.51</v>
      </c>
      <c r="L605" s="149"/>
      <c r="M605" s="153"/>
      <c r="T605" s="154"/>
      <c r="AT605" s="150" t="s">
        <v>346</v>
      </c>
      <c r="AU605" s="150" t="s">
        <v>90</v>
      </c>
      <c r="AV605" s="148" t="s">
        <v>90</v>
      </c>
      <c r="AW605" s="148" t="s">
        <v>33</v>
      </c>
      <c r="AX605" s="148" t="s">
        <v>80</v>
      </c>
      <c r="AY605" s="150" t="s">
        <v>337</v>
      </c>
    </row>
    <row r="606" spans="2:51" s="148" customFormat="1" x14ac:dyDescent="0.2">
      <c r="B606" s="149"/>
      <c r="D606" s="143" t="s">
        <v>346</v>
      </c>
      <c r="E606" s="150"/>
      <c r="F606" s="151" t="s">
        <v>3484</v>
      </c>
      <c r="H606" s="152">
        <v>-7.02</v>
      </c>
      <c r="L606" s="149"/>
      <c r="M606" s="153"/>
      <c r="T606" s="154"/>
      <c r="AT606" s="150" t="s">
        <v>346</v>
      </c>
      <c r="AU606" s="150" t="s">
        <v>90</v>
      </c>
      <c r="AV606" s="148" t="s">
        <v>90</v>
      </c>
      <c r="AW606" s="148" t="s">
        <v>33</v>
      </c>
      <c r="AX606" s="148" t="s">
        <v>80</v>
      </c>
      <c r="AY606" s="150" t="s">
        <v>337</v>
      </c>
    </row>
    <row r="607" spans="2:51" s="148" customFormat="1" x14ac:dyDescent="0.2">
      <c r="B607" s="149"/>
      <c r="D607" s="143" t="s">
        <v>346</v>
      </c>
      <c r="E607" s="150"/>
      <c r="F607" s="151" t="s">
        <v>3485</v>
      </c>
      <c r="H607" s="152">
        <v>-15.834</v>
      </c>
      <c r="L607" s="149"/>
      <c r="M607" s="153"/>
      <c r="T607" s="154"/>
      <c r="AT607" s="150" t="s">
        <v>346</v>
      </c>
      <c r="AU607" s="150" t="s">
        <v>90</v>
      </c>
      <c r="AV607" s="148" t="s">
        <v>90</v>
      </c>
      <c r="AW607" s="148" t="s">
        <v>33</v>
      </c>
      <c r="AX607" s="148" t="s">
        <v>80</v>
      </c>
      <c r="AY607" s="150" t="s">
        <v>337</v>
      </c>
    </row>
    <row r="608" spans="2:51" s="148" customFormat="1" x14ac:dyDescent="0.2">
      <c r="B608" s="149"/>
      <c r="D608" s="143" t="s">
        <v>346</v>
      </c>
      <c r="E608" s="150"/>
      <c r="F608" s="151" t="s">
        <v>3486</v>
      </c>
      <c r="H608" s="152">
        <v>-28.8</v>
      </c>
      <c r="L608" s="149"/>
      <c r="M608" s="153"/>
      <c r="T608" s="154"/>
      <c r="AT608" s="150" t="s">
        <v>346</v>
      </c>
      <c r="AU608" s="150" t="s">
        <v>90</v>
      </c>
      <c r="AV608" s="148" t="s">
        <v>90</v>
      </c>
      <c r="AW608" s="148" t="s">
        <v>33</v>
      </c>
      <c r="AX608" s="148" t="s">
        <v>80</v>
      </c>
      <c r="AY608" s="150" t="s">
        <v>337</v>
      </c>
    </row>
    <row r="609" spans="2:51" s="148" customFormat="1" x14ac:dyDescent="0.2">
      <c r="B609" s="149"/>
      <c r="D609" s="143" t="s">
        <v>346</v>
      </c>
      <c r="E609" s="150"/>
      <c r="F609" s="151" t="s">
        <v>3487</v>
      </c>
      <c r="H609" s="152">
        <v>-6.2539999999999996</v>
      </c>
      <c r="L609" s="149"/>
      <c r="M609" s="153"/>
      <c r="T609" s="154"/>
      <c r="AT609" s="150" t="s">
        <v>346</v>
      </c>
      <c r="AU609" s="150" t="s">
        <v>90</v>
      </c>
      <c r="AV609" s="148" t="s">
        <v>90</v>
      </c>
      <c r="AW609" s="148" t="s">
        <v>33</v>
      </c>
      <c r="AX609" s="148" t="s">
        <v>80</v>
      </c>
      <c r="AY609" s="150" t="s">
        <v>337</v>
      </c>
    </row>
    <row r="610" spans="2:51" s="148" customFormat="1" x14ac:dyDescent="0.2">
      <c r="B610" s="149"/>
      <c r="D610" s="143" t="s">
        <v>346</v>
      </c>
      <c r="E610" s="150"/>
      <c r="F610" s="151" t="s">
        <v>3488</v>
      </c>
      <c r="H610" s="152">
        <v>-18.27</v>
      </c>
      <c r="L610" s="149"/>
      <c r="M610" s="153"/>
      <c r="T610" s="154"/>
      <c r="AT610" s="150" t="s">
        <v>346</v>
      </c>
      <c r="AU610" s="150" t="s">
        <v>90</v>
      </c>
      <c r="AV610" s="148" t="s">
        <v>90</v>
      </c>
      <c r="AW610" s="148" t="s">
        <v>33</v>
      </c>
      <c r="AX610" s="148" t="s">
        <v>80</v>
      </c>
      <c r="AY610" s="150" t="s">
        <v>337</v>
      </c>
    </row>
    <row r="611" spans="2:51" s="148" customFormat="1" x14ac:dyDescent="0.2">
      <c r="B611" s="149"/>
      <c r="D611" s="143" t="s">
        <v>346</v>
      </c>
      <c r="E611" s="150"/>
      <c r="F611" s="151" t="s">
        <v>3489</v>
      </c>
      <c r="H611" s="152">
        <v>-116.64</v>
      </c>
      <c r="L611" s="149"/>
      <c r="M611" s="153"/>
      <c r="T611" s="154"/>
      <c r="AT611" s="150" t="s">
        <v>346</v>
      </c>
      <c r="AU611" s="150" t="s">
        <v>90</v>
      </c>
      <c r="AV611" s="148" t="s">
        <v>90</v>
      </c>
      <c r="AW611" s="148" t="s">
        <v>33</v>
      </c>
      <c r="AX611" s="148" t="s">
        <v>80</v>
      </c>
      <c r="AY611" s="150" t="s">
        <v>337</v>
      </c>
    </row>
    <row r="612" spans="2:51" s="148" customFormat="1" x14ac:dyDescent="0.2">
      <c r="B612" s="149"/>
      <c r="D612" s="143" t="s">
        <v>346</v>
      </c>
      <c r="E612" s="150"/>
      <c r="F612" s="151" t="s">
        <v>3490</v>
      </c>
      <c r="H612" s="152">
        <v>-79.2</v>
      </c>
      <c r="L612" s="149"/>
      <c r="M612" s="153"/>
      <c r="T612" s="154"/>
      <c r="AT612" s="150" t="s">
        <v>346</v>
      </c>
      <c r="AU612" s="150" t="s">
        <v>90</v>
      </c>
      <c r="AV612" s="148" t="s">
        <v>90</v>
      </c>
      <c r="AW612" s="148" t="s">
        <v>33</v>
      </c>
      <c r="AX612" s="148" t="s">
        <v>80</v>
      </c>
      <c r="AY612" s="150" t="s">
        <v>337</v>
      </c>
    </row>
    <row r="613" spans="2:51" s="141" customFormat="1" x14ac:dyDescent="0.2">
      <c r="B613" s="142"/>
      <c r="D613" s="143" t="s">
        <v>346</v>
      </c>
      <c r="E613" s="144"/>
      <c r="F613" s="145" t="s">
        <v>3101</v>
      </c>
      <c r="H613" s="144"/>
      <c r="L613" s="142"/>
      <c r="M613" s="146"/>
      <c r="T613" s="147"/>
      <c r="AT613" s="144" t="s">
        <v>346</v>
      </c>
      <c r="AU613" s="144" t="s">
        <v>90</v>
      </c>
      <c r="AV613" s="141" t="s">
        <v>87</v>
      </c>
      <c r="AW613" s="141" t="s">
        <v>33</v>
      </c>
      <c r="AX613" s="141" t="s">
        <v>80</v>
      </c>
      <c r="AY613" s="144" t="s">
        <v>337</v>
      </c>
    </row>
    <row r="614" spans="2:51" s="141" customFormat="1" x14ac:dyDescent="0.2">
      <c r="B614" s="142"/>
      <c r="D614" s="143" t="s">
        <v>346</v>
      </c>
      <c r="E614" s="144"/>
      <c r="F614" s="145" t="s">
        <v>3102</v>
      </c>
      <c r="H614" s="144"/>
      <c r="L614" s="142"/>
      <c r="M614" s="146"/>
      <c r="T614" s="147"/>
      <c r="AT614" s="144" t="s">
        <v>346</v>
      </c>
      <c r="AU614" s="144" t="s">
        <v>90</v>
      </c>
      <c r="AV614" s="141" t="s">
        <v>87</v>
      </c>
      <c r="AW614" s="141" t="s">
        <v>33</v>
      </c>
      <c r="AX614" s="141" t="s">
        <v>80</v>
      </c>
      <c r="AY614" s="144" t="s">
        <v>337</v>
      </c>
    </row>
    <row r="615" spans="2:51" s="148" customFormat="1" x14ac:dyDescent="0.2">
      <c r="B615" s="149"/>
      <c r="D615" s="143" t="s">
        <v>346</v>
      </c>
      <c r="E615" s="150"/>
      <c r="F615" s="151" t="s">
        <v>3491</v>
      </c>
      <c r="H615" s="152">
        <v>103.2</v>
      </c>
      <c r="L615" s="149"/>
      <c r="M615" s="153"/>
      <c r="T615" s="154"/>
      <c r="AT615" s="150" t="s">
        <v>346</v>
      </c>
      <c r="AU615" s="150" t="s">
        <v>90</v>
      </c>
      <c r="AV615" s="148" t="s">
        <v>90</v>
      </c>
      <c r="AW615" s="148" t="s">
        <v>33</v>
      </c>
      <c r="AX615" s="148" t="s">
        <v>80</v>
      </c>
      <c r="AY615" s="150" t="s">
        <v>337</v>
      </c>
    </row>
    <row r="616" spans="2:51" s="141" customFormat="1" x14ac:dyDescent="0.2">
      <c r="B616" s="142"/>
      <c r="D616" s="143" t="s">
        <v>346</v>
      </c>
      <c r="E616" s="144"/>
      <c r="F616" s="145" t="s">
        <v>3104</v>
      </c>
      <c r="H616" s="144"/>
      <c r="L616" s="142"/>
      <c r="M616" s="146"/>
      <c r="T616" s="147"/>
      <c r="AT616" s="144" t="s">
        <v>346</v>
      </c>
      <c r="AU616" s="144" t="s">
        <v>90</v>
      </c>
      <c r="AV616" s="141" t="s">
        <v>87</v>
      </c>
      <c r="AW616" s="141" t="s">
        <v>33</v>
      </c>
      <c r="AX616" s="141" t="s">
        <v>80</v>
      </c>
      <c r="AY616" s="144" t="s">
        <v>337</v>
      </c>
    </row>
    <row r="617" spans="2:51" s="148" customFormat="1" x14ac:dyDescent="0.2">
      <c r="B617" s="149"/>
      <c r="D617" s="143" t="s">
        <v>346</v>
      </c>
      <c r="E617" s="150"/>
      <c r="F617" s="151" t="s">
        <v>3492</v>
      </c>
      <c r="H617" s="152">
        <v>8.31</v>
      </c>
      <c r="L617" s="149"/>
      <c r="M617" s="153"/>
      <c r="T617" s="154"/>
      <c r="AT617" s="150" t="s">
        <v>346</v>
      </c>
      <c r="AU617" s="150" t="s">
        <v>90</v>
      </c>
      <c r="AV617" s="148" t="s">
        <v>90</v>
      </c>
      <c r="AW617" s="148" t="s">
        <v>33</v>
      </c>
      <c r="AX617" s="148" t="s">
        <v>80</v>
      </c>
      <c r="AY617" s="150" t="s">
        <v>337</v>
      </c>
    </row>
    <row r="618" spans="2:51" s="141" customFormat="1" x14ac:dyDescent="0.2">
      <c r="B618" s="142"/>
      <c r="D618" s="143" t="s">
        <v>346</v>
      </c>
      <c r="E618" s="144"/>
      <c r="F618" s="145" t="s">
        <v>3106</v>
      </c>
      <c r="H618" s="144"/>
      <c r="L618" s="142"/>
      <c r="M618" s="146"/>
      <c r="T618" s="147"/>
      <c r="AT618" s="144" t="s">
        <v>346</v>
      </c>
      <c r="AU618" s="144" t="s">
        <v>90</v>
      </c>
      <c r="AV618" s="141" t="s">
        <v>87</v>
      </c>
      <c r="AW618" s="141" t="s">
        <v>33</v>
      </c>
      <c r="AX618" s="141" t="s">
        <v>80</v>
      </c>
      <c r="AY618" s="144" t="s">
        <v>337</v>
      </c>
    </row>
    <row r="619" spans="2:51" s="148" customFormat="1" x14ac:dyDescent="0.2">
      <c r="B619" s="149"/>
      <c r="D619" s="143" t="s">
        <v>346</v>
      </c>
      <c r="E619" s="150"/>
      <c r="F619" s="151" t="s">
        <v>3493</v>
      </c>
      <c r="H619" s="152">
        <v>144.04</v>
      </c>
      <c r="L619" s="149"/>
      <c r="M619" s="153"/>
      <c r="T619" s="154"/>
      <c r="AT619" s="150" t="s">
        <v>346</v>
      </c>
      <c r="AU619" s="150" t="s">
        <v>90</v>
      </c>
      <c r="AV619" s="148" t="s">
        <v>90</v>
      </c>
      <c r="AW619" s="148" t="s">
        <v>33</v>
      </c>
      <c r="AX619" s="148" t="s">
        <v>80</v>
      </c>
      <c r="AY619" s="150" t="s">
        <v>337</v>
      </c>
    </row>
    <row r="620" spans="2:51" s="141" customFormat="1" x14ac:dyDescent="0.2">
      <c r="B620" s="142"/>
      <c r="D620" s="143" t="s">
        <v>346</v>
      </c>
      <c r="E620" s="144"/>
      <c r="F620" s="145" t="s">
        <v>3494</v>
      </c>
      <c r="H620" s="144"/>
      <c r="L620" s="142"/>
      <c r="M620" s="146"/>
      <c r="T620" s="147"/>
      <c r="AT620" s="144" t="s">
        <v>346</v>
      </c>
      <c r="AU620" s="144" t="s">
        <v>90</v>
      </c>
      <c r="AV620" s="141" t="s">
        <v>87</v>
      </c>
      <c r="AW620" s="141" t="s">
        <v>33</v>
      </c>
      <c r="AX620" s="141" t="s">
        <v>80</v>
      </c>
      <c r="AY620" s="144" t="s">
        <v>337</v>
      </c>
    </row>
    <row r="621" spans="2:51" s="148" customFormat="1" x14ac:dyDescent="0.2">
      <c r="B621" s="149"/>
      <c r="D621" s="143" t="s">
        <v>346</v>
      </c>
      <c r="E621" s="150"/>
      <c r="F621" s="151" t="s">
        <v>3495</v>
      </c>
      <c r="H621" s="152">
        <v>-57.42</v>
      </c>
      <c r="L621" s="149"/>
      <c r="M621" s="153"/>
      <c r="T621" s="154"/>
      <c r="AT621" s="150" t="s">
        <v>346</v>
      </c>
      <c r="AU621" s="150" t="s">
        <v>90</v>
      </c>
      <c r="AV621" s="148" t="s">
        <v>90</v>
      </c>
      <c r="AW621" s="148" t="s">
        <v>33</v>
      </c>
      <c r="AX621" s="148" t="s">
        <v>80</v>
      </c>
      <c r="AY621" s="150" t="s">
        <v>337</v>
      </c>
    </row>
    <row r="622" spans="2:51" s="148" customFormat="1" x14ac:dyDescent="0.2">
      <c r="B622" s="149"/>
      <c r="D622" s="143" t="s">
        <v>346</v>
      </c>
      <c r="E622" s="150"/>
      <c r="F622" s="151" t="s">
        <v>3496</v>
      </c>
      <c r="H622" s="152">
        <v>-76.081999999999994</v>
      </c>
      <c r="L622" s="149"/>
      <c r="M622" s="153"/>
      <c r="T622" s="154"/>
      <c r="AT622" s="150" t="s">
        <v>346</v>
      </c>
      <c r="AU622" s="150" t="s">
        <v>90</v>
      </c>
      <c r="AV622" s="148" t="s">
        <v>90</v>
      </c>
      <c r="AW622" s="148" t="s">
        <v>33</v>
      </c>
      <c r="AX622" s="148" t="s">
        <v>80</v>
      </c>
      <c r="AY622" s="150" t="s">
        <v>337</v>
      </c>
    </row>
    <row r="623" spans="2:51" s="141" customFormat="1" x14ac:dyDescent="0.2">
      <c r="B623" s="142"/>
      <c r="D623" s="143" t="s">
        <v>346</v>
      </c>
      <c r="E623" s="144"/>
      <c r="F623" s="145" t="s">
        <v>3108</v>
      </c>
      <c r="H623" s="144"/>
      <c r="L623" s="142"/>
      <c r="M623" s="146"/>
      <c r="T623" s="147"/>
      <c r="AT623" s="144" t="s">
        <v>346</v>
      </c>
      <c r="AU623" s="144" t="s">
        <v>90</v>
      </c>
      <c r="AV623" s="141" t="s">
        <v>87</v>
      </c>
      <c r="AW623" s="141" t="s">
        <v>33</v>
      </c>
      <c r="AX623" s="141" t="s">
        <v>80</v>
      </c>
      <c r="AY623" s="144" t="s">
        <v>337</v>
      </c>
    </row>
    <row r="624" spans="2:51" s="148" customFormat="1" x14ac:dyDescent="0.2">
      <c r="B624" s="149"/>
      <c r="D624" s="143" t="s">
        <v>346</v>
      </c>
      <c r="E624" s="150"/>
      <c r="F624" s="151" t="s">
        <v>3497</v>
      </c>
      <c r="H624" s="152">
        <v>92.88</v>
      </c>
      <c r="L624" s="149"/>
      <c r="M624" s="153"/>
      <c r="T624" s="154"/>
      <c r="AT624" s="150" t="s">
        <v>346</v>
      </c>
      <c r="AU624" s="150" t="s">
        <v>90</v>
      </c>
      <c r="AV624" s="148" t="s">
        <v>90</v>
      </c>
      <c r="AW624" s="148" t="s">
        <v>33</v>
      </c>
      <c r="AX624" s="148" t="s">
        <v>80</v>
      </c>
      <c r="AY624" s="150" t="s">
        <v>337</v>
      </c>
    </row>
    <row r="625" spans="2:51" s="141" customFormat="1" x14ac:dyDescent="0.2">
      <c r="B625" s="142"/>
      <c r="D625" s="143" t="s">
        <v>346</v>
      </c>
      <c r="E625" s="144"/>
      <c r="F625" s="145" t="s">
        <v>511</v>
      </c>
      <c r="H625" s="144"/>
      <c r="L625" s="142"/>
      <c r="M625" s="146"/>
      <c r="T625" s="147"/>
      <c r="AT625" s="144" t="s">
        <v>346</v>
      </c>
      <c r="AU625" s="144" t="s">
        <v>90</v>
      </c>
      <c r="AV625" s="141" t="s">
        <v>87</v>
      </c>
      <c r="AW625" s="141" t="s">
        <v>33</v>
      </c>
      <c r="AX625" s="141" t="s">
        <v>80</v>
      </c>
      <c r="AY625" s="144" t="s">
        <v>337</v>
      </c>
    </row>
    <row r="626" spans="2:51" s="148" customFormat="1" x14ac:dyDescent="0.2">
      <c r="B626" s="149"/>
      <c r="D626" s="143" t="s">
        <v>346</v>
      </c>
      <c r="E626" s="150"/>
      <c r="F626" s="151" t="s">
        <v>3498</v>
      </c>
      <c r="H626" s="152">
        <v>-4.8600000000000003</v>
      </c>
      <c r="L626" s="149"/>
      <c r="M626" s="153"/>
      <c r="T626" s="154"/>
      <c r="AT626" s="150" t="s">
        <v>346</v>
      </c>
      <c r="AU626" s="150" t="s">
        <v>90</v>
      </c>
      <c r="AV626" s="148" t="s">
        <v>90</v>
      </c>
      <c r="AW626" s="148" t="s">
        <v>33</v>
      </c>
      <c r="AX626" s="148" t="s">
        <v>80</v>
      </c>
      <c r="AY626" s="150" t="s">
        <v>337</v>
      </c>
    </row>
    <row r="627" spans="2:51" s="141" customFormat="1" x14ac:dyDescent="0.2">
      <c r="B627" s="142"/>
      <c r="D627" s="143" t="s">
        <v>346</v>
      </c>
      <c r="E627" s="144"/>
      <c r="F627" s="145" t="s">
        <v>3259</v>
      </c>
      <c r="H627" s="144"/>
      <c r="L627" s="142"/>
      <c r="M627" s="146"/>
      <c r="T627" s="147"/>
      <c r="AT627" s="144" t="s">
        <v>346</v>
      </c>
      <c r="AU627" s="144" t="s">
        <v>90</v>
      </c>
      <c r="AV627" s="141" t="s">
        <v>87</v>
      </c>
      <c r="AW627" s="141" t="s">
        <v>33</v>
      </c>
      <c r="AX627" s="141" t="s">
        <v>80</v>
      </c>
      <c r="AY627" s="144" t="s">
        <v>337</v>
      </c>
    </row>
    <row r="628" spans="2:51" s="141" customFormat="1" x14ac:dyDescent="0.2">
      <c r="B628" s="142"/>
      <c r="D628" s="143" t="s">
        <v>346</v>
      </c>
      <c r="E628" s="144"/>
      <c r="F628" s="145" t="s">
        <v>3467</v>
      </c>
      <c r="H628" s="144"/>
      <c r="L628" s="142"/>
      <c r="M628" s="146"/>
      <c r="T628" s="147"/>
      <c r="AT628" s="144" t="s">
        <v>346</v>
      </c>
      <c r="AU628" s="144" t="s">
        <v>90</v>
      </c>
      <c r="AV628" s="141" t="s">
        <v>87</v>
      </c>
      <c r="AW628" s="141" t="s">
        <v>33</v>
      </c>
      <c r="AX628" s="141" t="s">
        <v>80</v>
      </c>
      <c r="AY628" s="144" t="s">
        <v>337</v>
      </c>
    </row>
    <row r="629" spans="2:51" s="141" customFormat="1" x14ac:dyDescent="0.2">
      <c r="B629" s="142"/>
      <c r="D629" s="143" t="s">
        <v>346</v>
      </c>
      <c r="E629" s="144"/>
      <c r="F629" s="145" t="s">
        <v>3389</v>
      </c>
      <c r="H629" s="144"/>
      <c r="L629" s="142"/>
      <c r="M629" s="146"/>
      <c r="T629" s="147"/>
      <c r="AT629" s="144" t="s">
        <v>346</v>
      </c>
      <c r="AU629" s="144" t="s">
        <v>90</v>
      </c>
      <c r="AV629" s="141" t="s">
        <v>87</v>
      </c>
      <c r="AW629" s="141" t="s">
        <v>33</v>
      </c>
      <c r="AX629" s="141" t="s">
        <v>80</v>
      </c>
      <c r="AY629" s="144" t="s">
        <v>337</v>
      </c>
    </row>
    <row r="630" spans="2:51" s="141" customFormat="1" x14ac:dyDescent="0.2">
      <c r="B630" s="142"/>
      <c r="D630" s="143" t="s">
        <v>346</v>
      </c>
      <c r="E630" s="144"/>
      <c r="F630" s="145" t="s">
        <v>3468</v>
      </c>
      <c r="H630" s="144"/>
      <c r="L630" s="142"/>
      <c r="M630" s="146"/>
      <c r="T630" s="147"/>
      <c r="AT630" s="144" t="s">
        <v>346</v>
      </c>
      <c r="AU630" s="144" t="s">
        <v>90</v>
      </c>
      <c r="AV630" s="141" t="s">
        <v>87</v>
      </c>
      <c r="AW630" s="141" t="s">
        <v>33</v>
      </c>
      <c r="AX630" s="141" t="s">
        <v>80</v>
      </c>
      <c r="AY630" s="144" t="s">
        <v>337</v>
      </c>
    </row>
    <row r="631" spans="2:51" s="148" customFormat="1" x14ac:dyDescent="0.2">
      <c r="B631" s="149"/>
      <c r="D631" s="143" t="s">
        <v>346</v>
      </c>
      <c r="E631" s="150"/>
      <c r="F631" s="151" t="s">
        <v>3499</v>
      </c>
      <c r="H631" s="152">
        <v>154.97999999999999</v>
      </c>
      <c r="L631" s="149"/>
      <c r="M631" s="153"/>
      <c r="T631" s="154"/>
      <c r="AT631" s="150" t="s">
        <v>346</v>
      </c>
      <c r="AU631" s="150" t="s">
        <v>90</v>
      </c>
      <c r="AV631" s="148" t="s">
        <v>90</v>
      </c>
      <c r="AW631" s="148" t="s">
        <v>33</v>
      </c>
      <c r="AX631" s="148" t="s">
        <v>80</v>
      </c>
      <c r="AY631" s="150" t="s">
        <v>337</v>
      </c>
    </row>
    <row r="632" spans="2:51" s="141" customFormat="1" x14ac:dyDescent="0.2">
      <c r="B632" s="142"/>
      <c r="D632" s="143" t="s">
        <v>346</v>
      </c>
      <c r="E632" s="144"/>
      <c r="F632" s="145" t="s">
        <v>3392</v>
      </c>
      <c r="H632" s="144"/>
      <c r="L632" s="142"/>
      <c r="M632" s="146"/>
      <c r="T632" s="147"/>
      <c r="AT632" s="144" t="s">
        <v>346</v>
      </c>
      <c r="AU632" s="144" t="s">
        <v>90</v>
      </c>
      <c r="AV632" s="141" t="s">
        <v>87</v>
      </c>
      <c r="AW632" s="141" t="s">
        <v>33</v>
      </c>
      <c r="AX632" s="141" t="s">
        <v>80</v>
      </c>
      <c r="AY632" s="144" t="s">
        <v>337</v>
      </c>
    </row>
    <row r="633" spans="2:51" s="148" customFormat="1" x14ac:dyDescent="0.2">
      <c r="B633" s="149"/>
      <c r="D633" s="143" t="s">
        <v>346</v>
      </c>
      <c r="E633" s="150"/>
      <c r="F633" s="151" t="s">
        <v>3500</v>
      </c>
      <c r="H633" s="152">
        <v>66.599999999999994</v>
      </c>
      <c r="L633" s="149"/>
      <c r="M633" s="153"/>
      <c r="T633" s="154"/>
      <c r="AT633" s="150" t="s">
        <v>346</v>
      </c>
      <c r="AU633" s="150" t="s">
        <v>90</v>
      </c>
      <c r="AV633" s="148" t="s">
        <v>90</v>
      </c>
      <c r="AW633" s="148" t="s">
        <v>33</v>
      </c>
      <c r="AX633" s="148" t="s">
        <v>80</v>
      </c>
      <c r="AY633" s="150" t="s">
        <v>337</v>
      </c>
    </row>
    <row r="634" spans="2:51" s="141" customFormat="1" x14ac:dyDescent="0.2">
      <c r="B634" s="142"/>
      <c r="D634" s="143" t="s">
        <v>346</v>
      </c>
      <c r="E634" s="144"/>
      <c r="F634" s="145" t="s">
        <v>3501</v>
      </c>
      <c r="H634" s="144"/>
      <c r="L634" s="142"/>
      <c r="M634" s="146"/>
      <c r="T634" s="147"/>
      <c r="AT634" s="144" t="s">
        <v>346</v>
      </c>
      <c r="AU634" s="144" t="s">
        <v>90</v>
      </c>
      <c r="AV634" s="141" t="s">
        <v>87</v>
      </c>
      <c r="AW634" s="141" t="s">
        <v>33</v>
      </c>
      <c r="AX634" s="141" t="s">
        <v>80</v>
      </c>
      <c r="AY634" s="144" t="s">
        <v>337</v>
      </c>
    </row>
    <row r="635" spans="2:51" s="148" customFormat="1" x14ac:dyDescent="0.2">
      <c r="B635" s="149"/>
      <c r="D635" s="143" t="s">
        <v>346</v>
      </c>
      <c r="E635" s="150"/>
      <c r="F635" s="151" t="s">
        <v>3502</v>
      </c>
      <c r="H635" s="152">
        <v>98.42</v>
      </c>
      <c r="L635" s="149"/>
      <c r="M635" s="153"/>
      <c r="T635" s="154"/>
      <c r="AT635" s="150" t="s">
        <v>346</v>
      </c>
      <c r="AU635" s="150" t="s">
        <v>90</v>
      </c>
      <c r="AV635" s="148" t="s">
        <v>90</v>
      </c>
      <c r="AW635" s="148" t="s">
        <v>33</v>
      </c>
      <c r="AX635" s="148" t="s">
        <v>80</v>
      </c>
      <c r="AY635" s="150" t="s">
        <v>337</v>
      </c>
    </row>
    <row r="636" spans="2:51" s="141" customFormat="1" x14ac:dyDescent="0.2">
      <c r="B636" s="142"/>
      <c r="D636" s="143" t="s">
        <v>346</v>
      </c>
      <c r="E636" s="144"/>
      <c r="F636" s="145" t="s">
        <v>3503</v>
      </c>
      <c r="H636" s="144"/>
      <c r="L636" s="142"/>
      <c r="M636" s="146"/>
      <c r="T636" s="147"/>
      <c r="AT636" s="144" t="s">
        <v>346</v>
      </c>
      <c r="AU636" s="144" t="s">
        <v>90</v>
      </c>
      <c r="AV636" s="141" t="s">
        <v>87</v>
      </c>
      <c r="AW636" s="141" t="s">
        <v>33</v>
      </c>
      <c r="AX636" s="141" t="s">
        <v>80</v>
      </c>
      <c r="AY636" s="144" t="s">
        <v>337</v>
      </c>
    </row>
    <row r="637" spans="2:51" s="148" customFormat="1" x14ac:dyDescent="0.2">
      <c r="B637" s="149"/>
      <c r="D637" s="143" t="s">
        <v>346</v>
      </c>
      <c r="E637" s="150"/>
      <c r="F637" s="151" t="s">
        <v>3504</v>
      </c>
      <c r="H637" s="152">
        <v>-73.168000000000006</v>
      </c>
      <c r="L637" s="149"/>
      <c r="M637" s="153"/>
      <c r="T637" s="154"/>
      <c r="AT637" s="150" t="s">
        <v>346</v>
      </c>
      <c r="AU637" s="150" t="s">
        <v>90</v>
      </c>
      <c r="AV637" s="148" t="s">
        <v>90</v>
      </c>
      <c r="AW637" s="148" t="s">
        <v>33</v>
      </c>
      <c r="AX637" s="148" t="s">
        <v>80</v>
      </c>
      <c r="AY637" s="150" t="s">
        <v>337</v>
      </c>
    </row>
    <row r="638" spans="2:51" s="141" customFormat="1" x14ac:dyDescent="0.2">
      <c r="B638" s="142"/>
      <c r="D638" s="143" t="s">
        <v>346</v>
      </c>
      <c r="E638" s="144"/>
      <c r="F638" s="145" t="s">
        <v>3409</v>
      </c>
      <c r="H638" s="144"/>
      <c r="L638" s="142"/>
      <c r="M638" s="146"/>
      <c r="T638" s="147"/>
      <c r="AT638" s="144" t="s">
        <v>346</v>
      </c>
      <c r="AU638" s="144" t="s">
        <v>90</v>
      </c>
      <c r="AV638" s="141" t="s">
        <v>87</v>
      </c>
      <c r="AW638" s="141" t="s">
        <v>33</v>
      </c>
      <c r="AX638" s="141" t="s">
        <v>80</v>
      </c>
      <c r="AY638" s="144" t="s">
        <v>337</v>
      </c>
    </row>
    <row r="639" spans="2:51" s="148" customFormat="1" x14ac:dyDescent="0.2">
      <c r="B639" s="149"/>
      <c r="D639" s="143" t="s">
        <v>346</v>
      </c>
      <c r="E639" s="150"/>
      <c r="F639" s="151" t="s">
        <v>3505</v>
      </c>
      <c r="H639" s="152">
        <v>2.9279999999999999</v>
      </c>
      <c r="L639" s="149"/>
      <c r="M639" s="153"/>
      <c r="T639" s="154"/>
      <c r="AT639" s="150" t="s">
        <v>346</v>
      </c>
      <c r="AU639" s="150" t="s">
        <v>90</v>
      </c>
      <c r="AV639" s="148" t="s">
        <v>90</v>
      </c>
      <c r="AW639" s="148" t="s">
        <v>33</v>
      </c>
      <c r="AX639" s="148" t="s">
        <v>80</v>
      </c>
      <c r="AY639" s="150" t="s">
        <v>337</v>
      </c>
    </row>
    <row r="640" spans="2:51" s="148" customFormat="1" x14ac:dyDescent="0.2">
      <c r="B640" s="149"/>
      <c r="D640" s="143" t="s">
        <v>346</v>
      </c>
      <c r="E640" s="150"/>
      <c r="F640" s="151" t="s">
        <v>3506</v>
      </c>
      <c r="H640" s="152">
        <v>9.8719999999999999</v>
      </c>
      <c r="L640" s="149"/>
      <c r="M640" s="153"/>
      <c r="T640" s="154"/>
      <c r="AT640" s="150" t="s">
        <v>346</v>
      </c>
      <c r="AU640" s="150" t="s">
        <v>90</v>
      </c>
      <c r="AV640" s="148" t="s">
        <v>90</v>
      </c>
      <c r="AW640" s="148" t="s">
        <v>33</v>
      </c>
      <c r="AX640" s="148" t="s">
        <v>80</v>
      </c>
      <c r="AY640" s="150" t="s">
        <v>337</v>
      </c>
    </row>
    <row r="641" spans="2:51" s="141" customFormat="1" x14ac:dyDescent="0.2">
      <c r="B641" s="142"/>
      <c r="D641" s="143" t="s">
        <v>346</v>
      </c>
      <c r="E641" s="144"/>
      <c r="F641" s="145" t="s">
        <v>3507</v>
      </c>
      <c r="H641" s="144"/>
      <c r="L641" s="142"/>
      <c r="M641" s="146"/>
      <c r="T641" s="147"/>
      <c r="AT641" s="144" t="s">
        <v>346</v>
      </c>
      <c r="AU641" s="144" t="s">
        <v>90</v>
      </c>
      <c r="AV641" s="141" t="s">
        <v>87</v>
      </c>
      <c r="AW641" s="141" t="s">
        <v>33</v>
      </c>
      <c r="AX641" s="141" t="s">
        <v>80</v>
      </c>
      <c r="AY641" s="144" t="s">
        <v>337</v>
      </c>
    </row>
    <row r="642" spans="2:51" s="148" customFormat="1" x14ac:dyDescent="0.2">
      <c r="B642" s="149"/>
      <c r="D642" s="143" t="s">
        <v>346</v>
      </c>
      <c r="E642" s="150"/>
      <c r="F642" s="151" t="s">
        <v>3508</v>
      </c>
      <c r="H642" s="152">
        <v>47.728000000000002</v>
      </c>
      <c r="L642" s="149"/>
      <c r="M642" s="153"/>
      <c r="T642" s="154"/>
      <c r="AT642" s="150" t="s">
        <v>346</v>
      </c>
      <c r="AU642" s="150" t="s">
        <v>90</v>
      </c>
      <c r="AV642" s="148" t="s">
        <v>90</v>
      </c>
      <c r="AW642" s="148" t="s">
        <v>33</v>
      </c>
      <c r="AX642" s="148" t="s">
        <v>80</v>
      </c>
      <c r="AY642" s="150" t="s">
        <v>337</v>
      </c>
    </row>
    <row r="643" spans="2:51" s="148" customFormat="1" x14ac:dyDescent="0.2">
      <c r="B643" s="149"/>
      <c r="D643" s="143" t="s">
        <v>346</v>
      </c>
      <c r="E643" s="150"/>
      <c r="F643" s="151" t="s">
        <v>3509</v>
      </c>
      <c r="H643" s="152">
        <v>3.0830000000000002</v>
      </c>
      <c r="L643" s="149"/>
      <c r="M643" s="153"/>
      <c r="T643" s="154"/>
      <c r="AT643" s="150" t="s">
        <v>346</v>
      </c>
      <c r="AU643" s="150" t="s">
        <v>90</v>
      </c>
      <c r="AV643" s="148" t="s">
        <v>90</v>
      </c>
      <c r="AW643" s="148" t="s">
        <v>33</v>
      </c>
      <c r="AX643" s="148" t="s">
        <v>80</v>
      </c>
      <c r="AY643" s="150" t="s">
        <v>337</v>
      </c>
    </row>
    <row r="644" spans="2:51" s="141" customFormat="1" x14ac:dyDescent="0.2">
      <c r="B644" s="142"/>
      <c r="D644" s="143" t="s">
        <v>346</v>
      </c>
      <c r="E644" s="144"/>
      <c r="F644" s="145" t="s">
        <v>3510</v>
      </c>
      <c r="H644" s="144"/>
      <c r="L644" s="142"/>
      <c r="M644" s="146"/>
      <c r="T644" s="147"/>
      <c r="AT644" s="144" t="s">
        <v>346</v>
      </c>
      <c r="AU644" s="144" t="s">
        <v>90</v>
      </c>
      <c r="AV644" s="141" t="s">
        <v>87</v>
      </c>
      <c r="AW644" s="141" t="s">
        <v>33</v>
      </c>
      <c r="AX644" s="141" t="s">
        <v>80</v>
      </c>
      <c r="AY644" s="144" t="s">
        <v>337</v>
      </c>
    </row>
    <row r="645" spans="2:51" s="148" customFormat="1" x14ac:dyDescent="0.2">
      <c r="B645" s="149"/>
      <c r="D645" s="143" t="s">
        <v>346</v>
      </c>
      <c r="E645" s="150"/>
      <c r="F645" s="151" t="s">
        <v>3511</v>
      </c>
      <c r="H645" s="152">
        <v>-1.7729999999999999</v>
      </c>
      <c r="L645" s="149"/>
      <c r="M645" s="153"/>
      <c r="T645" s="154"/>
      <c r="AT645" s="150" t="s">
        <v>346</v>
      </c>
      <c r="AU645" s="150" t="s">
        <v>90</v>
      </c>
      <c r="AV645" s="148" t="s">
        <v>90</v>
      </c>
      <c r="AW645" s="148" t="s">
        <v>33</v>
      </c>
      <c r="AX645" s="148" t="s">
        <v>80</v>
      </c>
      <c r="AY645" s="150" t="s">
        <v>337</v>
      </c>
    </row>
    <row r="646" spans="2:51" s="148" customFormat="1" x14ac:dyDescent="0.2">
      <c r="B646" s="149"/>
      <c r="D646" s="143" t="s">
        <v>346</v>
      </c>
      <c r="E646" s="150"/>
      <c r="F646" s="151" t="s">
        <v>3512</v>
      </c>
      <c r="H646" s="152">
        <v>-2.25</v>
      </c>
      <c r="L646" s="149"/>
      <c r="M646" s="153"/>
      <c r="T646" s="154"/>
      <c r="AT646" s="150" t="s">
        <v>346</v>
      </c>
      <c r="AU646" s="150" t="s">
        <v>90</v>
      </c>
      <c r="AV646" s="148" t="s">
        <v>90</v>
      </c>
      <c r="AW646" s="148" t="s">
        <v>33</v>
      </c>
      <c r="AX646" s="148" t="s">
        <v>80</v>
      </c>
      <c r="AY646" s="150" t="s">
        <v>337</v>
      </c>
    </row>
    <row r="647" spans="2:51" s="141" customFormat="1" x14ac:dyDescent="0.2">
      <c r="B647" s="142"/>
      <c r="D647" s="143" t="s">
        <v>346</v>
      </c>
      <c r="E647" s="144"/>
      <c r="F647" s="145" t="s">
        <v>3336</v>
      </c>
      <c r="H647" s="144"/>
      <c r="L647" s="142"/>
      <c r="M647" s="146"/>
      <c r="T647" s="147"/>
      <c r="AT647" s="144" t="s">
        <v>346</v>
      </c>
      <c r="AU647" s="144" t="s">
        <v>90</v>
      </c>
      <c r="AV647" s="141" t="s">
        <v>87</v>
      </c>
      <c r="AW647" s="141" t="s">
        <v>33</v>
      </c>
      <c r="AX647" s="141" t="s">
        <v>80</v>
      </c>
      <c r="AY647" s="144" t="s">
        <v>337</v>
      </c>
    </row>
    <row r="648" spans="2:51" s="141" customFormat="1" x14ac:dyDescent="0.2">
      <c r="B648" s="142"/>
      <c r="D648" s="143" t="s">
        <v>346</v>
      </c>
      <c r="E648" s="144"/>
      <c r="F648" s="145" t="s">
        <v>3513</v>
      </c>
      <c r="H648" s="144"/>
      <c r="L648" s="142"/>
      <c r="M648" s="146"/>
      <c r="T648" s="147"/>
      <c r="AT648" s="144" t="s">
        <v>346</v>
      </c>
      <c r="AU648" s="144" t="s">
        <v>90</v>
      </c>
      <c r="AV648" s="141" t="s">
        <v>87</v>
      </c>
      <c r="AW648" s="141" t="s">
        <v>33</v>
      </c>
      <c r="AX648" s="141" t="s">
        <v>80</v>
      </c>
      <c r="AY648" s="144" t="s">
        <v>337</v>
      </c>
    </row>
    <row r="649" spans="2:51" s="141" customFormat="1" x14ac:dyDescent="0.2">
      <c r="B649" s="142"/>
      <c r="D649" s="143" t="s">
        <v>346</v>
      </c>
      <c r="E649" s="144"/>
      <c r="F649" s="145" t="s">
        <v>3514</v>
      </c>
      <c r="H649" s="144"/>
      <c r="L649" s="142"/>
      <c r="M649" s="146"/>
      <c r="T649" s="147"/>
      <c r="AT649" s="144" t="s">
        <v>346</v>
      </c>
      <c r="AU649" s="144" t="s">
        <v>90</v>
      </c>
      <c r="AV649" s="141" t="s">
        <v>87</v>
      </c>
      <c r="AW649" s="141" t="s">
        <v>33</v>
      </c>
      <c r="AX649" s="141" t="s">
        <v>80</v>
      </c>
      <c r="AY649" s="144" t="s">
        <v>337</v>
      </c>
    </row>
    <row r="650" spans="2:51" s="141" customFormat="1" x14ac:dyDescent="0.2">
      <c r="B650" s="142"/>
      <c r="D650" s="143" t="s">
        <v>346</v>
      </c>
      <c r="E650" s="144"/>
      <c r="F650" s="145" t="s">
        <v>3394</v>
      </c>
      <c r="H650" s="144"/>
      <c r="L650" s="142"/>
      <c r="M650" s="146"/>
      <c r="T650" s="147"/>
      <c r="AT650" s="144" t="s">
        <v>346</v>
      </c>
      <c r="AU650" s="144" t="s">
        <v>90</v>
      </c>
      <c r="AV650" s="141" t="s">
        <v>87</v>
      </c>
      <c r="AW650" s="141" t="s">
        <v>33</v>
      </c>
      <c r="AX650" s="141" t="s">
        <v>80</v>
      </c>
      <c r="AY650" s="144" t="s">
        <v>337</v>
      </c>
    </row>
    <row r="651" spans="2:51" s="148" customFormat="1" x14ac:dyDescent="0.2">
      <c r="B651" s="149"/>
      <c r="D651" s="143" t="s">
        <v>346</v>
      </c>
      <c r="E651" s="150"/>
      <c r="F651" s="151" t="s">
        <v>3515</v>
      </c>
      <c r="H651" s="152">
        <v>705.71500000000003</v>
      </c>
      <c r="L651" s="149"/>
      <c r="M651" s="153"/>
      <c r="T651" s="154"/>
      <c r="AT651" s="150" t="s">
        <v>346</v>
      </c>
      <c r="AU651" s="150" t="s">
        <v>90</v>
      </c>
      <c r="AV651" s="148" t="s">
        <v>90</v>
      </c>
      <c r="AW651" s="148" t="s">
        <v>33</v>
      </c>
      <c r="AX651" s="148" t="s">
        <v>80</v>
      </c>
      <c r="AY651" s="150" t="s">
        <v>337</v>
      </c>
    </row>
    <row r="652" spans="2:51" s="141" customFormat="1" x14ac:dyDescent="0.2">
      <c r="B652" s="142"/>
      <c r="D652" s="143" t="s">
        <v>346</v>
      </c>
      <c r="E652" s="144"/>
      <c r="F652" s="145" t="s">
        <v>3396</v>
      </c>
      <c r="H652" s="144"/>
      <c r="L652" s="142"/>
      <c r="M652" s="146"/>
      <c r="T652" s="147"/>
      <c r="AT652" s="144" t="s">
        <v>346</v>
      </c>
      <c r="AU652" s="144" t="s">
        <v>90</v>
      </c>
      <c r="AV652" s="141" t="s">
        <v>87</v>
      </c>
      <c r="AW652" s="141" t="s">
        <v>33</v>
      </c>
      <c r="AX652" s="141" t="s">
        <v>80</v>
      </c>
      <c r="AY652" s="144" t="s">
        <v>337</v>
      </c>
    </row>
    <row r="653" spans="2:51" s="148" customFormat="1" x14ac:dyDescent="0.2">
      <c r="B653" s="149"/>
      <c r="D653" s="143" t="s">
        <v>346</v>
      </c>
      <c r="E653" s="150"/>
      <c r="F653" s="151" t="s">
        <v>3516</v>
      </c>
      <c r="H653" s="152">
        <v>12.56</v>
      </c>
      <c r="L653" s="149"/>
      <c r="M653" s="153"/>
      <c r="T653" s="154"/>
      <c r="AT653" s="150" t="s">
        <v>346</v>
      </c>
      <c r="AU653" s="150" t="s">
        <v>90</v>
      </c>
      <c r="AV653" s="148" t="s">
        <v>90</v>
      </c>
      <c r="AW653" s="148" t="s">
        <v>33</v>
      </c>
      <c r="AX653" s="148" t="s">
        <v>80</v>
      </c>
      <c r="AY653" s="150" t="s">
        <v>337</v>
      </c>
    </row>
    <row r="654" spans="2:51" s="141" customFormat="1" x14ac:dyDescent="0.2">
      <c r="B654" s="142"/>
      <c r="D654" s="143" t="s">
        <v>346</v>
      </c>
      <c r="E654" s="144"/>
      <c r="F654" s="145" t="s">
        <v>3398</v>
      </c>
      <c r="H654" s="144"/>
      <c r="L654" s="142"/>
      <c r="M654" s="146"/>
      <c r="T654" s="147"/>
      <c r="AT654" s="144" t="s">
        <v>346</v>
      </c>
      <c r="AU654" s="144" t="s">
        <v>90</v>
      </c>
      <c r="AV654" s="141" t="s">
        <v>87</v>
      </c>
      <c r="AW654" s="141" t="s">
        <v>33</v>
      </c>
      <c r="AX654" s="141" t="s">
        <v>80</v>
      </c>
      <c r="AY654" s="144" t="s">
        <v>337</v>
      </c>
    </row>
    <row r="655" spans="2:51" s="148" customFormat="1" x14ac:dyDescent="0.2">
      <c r="B655" s="149"/>
      <c r="D655" s="143" t="s">
        <v>346</v>
      </c>
      <c r="E655" s="150"/>
      <c r="F655" s="151" t="s">
        <v>3517</v>
      </c>
      <c r="H655" s="152">
        <v>284</v>
      </c>
      <c r="L655" s="149"/>
      <c r="M655" s="153"/>
      <c r="T655" s="154"/>
      <c r="AT655" s="150" t="s">
        <v>346</v>
      </c>
      <c r="AU655" s="150" t="s">
        <v>90</v>
      </c>
      <c r="AV655" s="148" t="s">
        <v>90</v>
      </c>
      <c r="AW655" s="148" t="s">
        <v>33</v>
      </c>
      <c r="AX655" s="148" t="s">
        <v>80</v>
      </c>
      <c r="AY655" s="150" t="s">
        <v>337</v>
      </c>
    </row>
    <row r="656" spans="2:51" s="141" customFormat="1" x14ac:dyDescent="0.2">
      <c r="B656" s="142"/>
      <c r="D656" s="143" t="s">
        <v>346</v>
      </c>
      <c r="E656" s="144"/>
      <c r="F656" s="145" t="s">
        <v>3400</v>
      </c>
      <c r="H656" s="144"/>
      <c r="L656" s="142"/>
      <c r="M656" s="146"/>
      <c r="T656" s="147"/>
      <c r="AT656" s="144" t="s">
        <v>346</v>
      </c>
      <c r="AU656" s="144" t="s">
        <v>90</v>
      </c>
      <c r="AV656" s="141" t="s">
        <v>87</v>
      </c>
      <c r="AW656" s="141" t="s">
        <v>33</v>
      </c>
      <c r="AX656" s="141" t="s">
        <v>80</v>
      </c>
      <c r="AY656" s="144" t="s">
        <v>337</v>
      </c>
    </row>
    <row r="657" spans="2:51" s="148" customFormat="1" x14ac:dyDescent="0.2">
      <c r="B657" s="149"/>
      <c r="D657" s="143" t="s">
        <v>346</v>
      </c>
      <c r="E657" s="150"/>
      <c r="F657" s="151" t="s">
        <v>3518</v>
      </c>
      <c r="H657" s="152">
        <v>-11.78</v>
      </c>
      <c r="L657" s="149"/>
      <c r="M657" s="153"/>
      <c r="T657" s="154"/>
      <c r="AT657" s="150" t="s">
        <v>346</v>
      </c>
      <c r="AU657" s="150" t="s">
        <v>90</v>
      </c>
      <c r="AV657" s="148" t="s">
        <v>90</v>
      </c>
      <c r="AW657" s="148" t="s">
        <v>33</v>
      </c>
      <c r="AX657" s="148" t="s">
        <v>80</v>
      </c>
      <c r="AY657" s="150" t="s">
        <v>337</v>
      </c>
    </row>
    <row r="658" spans="2:51" s="148" customFormat="1" x14ac:dyDescent="0.2">
      <c r="B658" s="149"/>
      <c r="D658" s="143" t="s">
        <v>346</v>
      </c>
      <c r="E658" s="150"/>
      <c r="F658" s="151" t="s">
        <v>3519</v>
      </c>
      <c r="H658" s="152">
        <v>-13.635</v>
      </c>
      <c r="L658" s="149"/>
      <c r="M658" s="153"/>
      <c r="T658" s="154"/>
      <c r="AT658" s="150" t="s">
        <v>346</v>
      </c>
      <c r="AU658" s="150" t="s">
        <v>90</v>
      </c>
      <c r="AV658" s="148" t="s">
        <v>90</v>
      </c>
      <c r="AW658" s="148" t="s">
        <v>33</v>
      </c>
      <c r="AX658" s="148" t="s">
        <v>80</v>
      </c>
      <c r="AY658" s="150" t="s">
        <v>337</v>
      </c>
    </row>
    <row r="659" spans="2:51" s="141" customFormat="1" x14ac:dyDescent="0.2">
      <c r="B659" s="142"/>
      <c r="D659" s="143" t="s">
        <v>346</v>
      </c>
      <c r="E659" s="144"/>
      <c r="F659" s="145" t="s">
        <v>3403</v>
      </c>
      <c r="H659" s="144"/>
      <c r="L659" s="142"/>
      <c r="M659" s="146"/>
      <c r="T659" s="147"/>
      <c r="AT659" s="144" t="s">
        <v>346</v>
      </c>
      <c r="AU659" s="144" t="s">
        <v>90</v>
      </c>
      <c r="AV659" s="141" t="s">
        <v>87</v>
      </c>
      <c r="AW659" s="141" t="s">
        <v>33</v>
      </c>
      <c r="AX659" s="141" t="s">
        <v>80</v>
      </c>
      <c r="AY659" s="144" t="s">
        <v>337</v>
      </c>
    </row>
    <row r="660" spans="2:51" s="148" customFormat="1" x14ac:dyDescent="0.2">
      <c r="B660" s="149"/>
      <c r="D660" s="143" t="s">
        <v>346</v>
      </c>
      <c r="E660" s="150"/>
      <c r="F660" s="151" t="s">
        <v>3520</v>
      </c>
      <c r="H660" s="152">
        <v>97.641000000000005</v>
      </c>
      <c r="L660" s="149"/>
      <c r="M660" s="153"/>
      <c r="T660" s="154"/>
      <c r="AT660" s="150" t="s">
        <v>346</v>
      </c>
      <c r="AU660" s="150" t="s">
        <v>90</v>
      </c>
      <c r="AV660" s="148" t="s">
        <v>90</v>
      </c>
      <c r="AW660" s="148" t="s">
        <v>33</v>
      </c>
      <c r="AX660" s="148" t="s">
        <v>80</v>
      </c>
      <c r="AY660" s="150" t="s">
        <v>337</v>
      </c>
    </row>
    <row r="661" spans="2:51" s="141" customFormat="1" x14ac:dyDescent="0.2">
      <c r="B661" s="142"/>
      <c r="D661" s="143" t="s">
        <v>346</v>
      </c>
      <c r="E661" s="144"/>
      <c r="F661" s="145" t="s">
        <v>3396</v>
      </c>
      <c r="H661" s="144"/>
      <c r="L661" s="142"/>
      <c r="M661" s="146"/>
      <c r="T661" s="147"/>
      <c r="AT661" s="144" t="s">
        <v>346</v>
      </c>
      <c r="AU661" s="144" t="s">
        <v>90</v>
      </c>
      <c r="AV661" s="141" t="s">
        <v>87</v>
      </c>
      <c r="AW661" s="141" t="s">
        <v>33</v>
      </c>
      <c r="AX661" s="141" t="s">
        <v>80</v>
      </c>
      <c r="AY661" s="144" t="s">
        <v>337</v>
      </c>
    </row>
    <row r="662" spans="2:51" s="148" customFormat="1" x14ac:dyDescent="0.2">
      <c r="B662" s="149"/>
      <c r="D662" s="143" t="s">
        <v>346</v>
      </c>
      <c r="E662" s="150"/>
      <c r="F662" s="151" t="s">
        <v>3521</v>
      </c>
      <c r="H662" s="152">
        <v>3.5910000000000002</v>
      </c>
      <c r="L662" s="149"/>
      <c r="M662" s="153"/>
      <c r="T662" s="154"/>
      <c r="AT662" s="150" t="s">
        <v>346</v>
      </c>
      <c r="AU662" s="150" t="s">
        <v>90</v>
      </c>
      <c r="AV662" s="148" t="s">
        <v>90</v>
      </c>
      <c r="AW662" s="148" t="s">
        <v>33</v>
      </c>
      <c r="AX662" s="148" t="s">
        <v>80</v>
      </c>
      <c r="AY662" s="150" t="s">
        <v>337</v>
      </c>
    </row>
    <row r="663" spans="2:51" s="141" customFormat="1" x14ac:dyDescent="0.2">
      <c r="B663" s="142"/>
      <c r="D663" s="143" t="s">
        <v>346</v>
      </c>
      <c r="E663" s="144"/>
      <c r="F663" s="145" t="s">
        <v>3406</v>
      </c>
      <c r="H663" s="144"/>
      <c r="L663" s="142"/>
      <c r="M663" s="146"/>
      <c r="T663" s="147"/>
      <c r="AT663" s="144" t="s">
        <v>346</v>
      </c>
      <c r="AU663" s="144" t="s">
        <v>90</v>
      </c>
      <c r="AV663" s="141" t="s">
        <v>87</v>
      </c>
      <c r="AW663" s="141" t="s">
        <v>33</v>
      </c>
      <c r="AX663" s="141" t="s">
        <v>80</v>
      </c>
      <c r="AY663" s="144" t="s">
        <v>337</v>
      </c>
    </row>
    <row r="664" spans="2:51" s="141" customFormat="1" x14ac:dyDescent="0.2">
      <c r="B664" s="142"/>
      <c r="D664" s="143" t="s">
        <v>346</v>
      </c>
      <c r="E664" s="144"/>
      <c r="F664" s="145" t="s">
        <v>3407</v>
      </c>
      <c r="H664" s="144"/>
      <c r="L664" s="142"/>
      <c r="M664" s="146"/>
      <c r="T664" s="147"/>
      <c r="AT664" s="144" t="s">
        <v>346</v>
      </c>
      <c r="AU664" s="144" t="s">
        <v>90</v>
      </c>
      <c r="AV664" s="141" t="s">
        <v>87</v>
      </c>
      <c r="AW664" s="141" t="s">
        <v>33</v>
      </c>
      <c r="AX664" s="141" t="s">
        <v>80</v>
      </c>
      <c r="AY664" s="144" t="s">
        <v>337</v>
      </c>
    </row>
    <row r="665" spans="2:51" s="148" customFormat="1" x14ac:dyDescent="0.2">
      <c r="B665" s="149"/>
      <c r="D665" s="143" t="s">
        <v>346</v>
      </c>
      <c r="E665" s="150"/>
      <c r="F665" s="151" t="s">
        <v>3522</v>
      </c>
      <c r="H665" s="152">
        <v>31.11</v>
      </c>
      <c r="L665" s="149"/>
      <c r="M665" s="153"/>
      <c r="T665" s="154"/>
      <c r="AT665" s="150" t="s">
        <v>346</v>
      </c>
      <c r="AU665" s="150" t="s">
        <v>90</v>
      </c>
      <c r="AV665" s="148" t="s">
        <v>90</v>
      </c>
      <c r="AW665" s="148" t="s">
        <v>33</v>
      </c>
      <c r="AX665" s="148" t="s">
        <v>80</v>
      </c>
      <c r="AY665" s="150" t="s">
        <v>337</v>
      </c>
    </row>
    <row r="666" spans="2:51" s="141" customFormat="1" x14ac:dyDescent="0.2">
      <c r="B666" s="142"/>
      <c r="D666" s="143" t="s">
        <v>346</v>
      </c>
      <c r="E666" s="144"/>
      <c r="F666" s="145" t="s">
        <v>3523</v>
      </c>
      <c r="H666" s="144"/>
      <c r="L666" s="142"/>
      <c r="M666" s="146"/>
      <c r="T666" s="147"/>
      <c r="AT666" s="144" t="s">
        <v>346</v>
      </c>
      <c r="AU666" s="144" t="s">
        <v>90</v>
      </c>
      <c r="AV666" s="141" t="s">
        <v>87</v>
      </c>
      <c r="AW666" s="141" t="s">
        <v>33</v>
      </c>
      <c r="AX666" s="141" t="s">
        <v>80</v>
      </c>
      <c r="AY666" s="144" t="s">
        <v>337</v>
      </c>
    </row>
    <row r="667" spans="2:51" s="148" customFormat="1" x14ac:dyDescent="0.2">
      <c r="B667" s="149"/>
      <c r="D667" s="143" t="s">
        <v>346</v>
      </c>
      <c r="E667" s="150"/>
      <c r="F667" s="151" t="s">
        <v>3524</v>
      </c>
      <c r="H667" s="152">
        <v>129.80000000000001</v>
      </c>
      <c r="L667" s="149"/>
      <c r="M667" s="153"/>
      <c r="T667" s="154"/>
      <c r="AT667" s="150" t="s">
        <v>346</v>
      </c>
      <c r="AU667" s="150" t="s">
        <v>90</v>
      </c>
      <c r="AV667" s="148" t="s">
        <v>90</v>
      </c>
      <c r="AW667" s="148" t="s">
        <v>33</v>
      </c>
      <c r="AX667" s="148" t="s">
        <v>80</v>
      </c>
      <c r="AY667" s="150" t="s">
        <v>337</v>
      </c>
    </row>
    <row r="668" spans="2:51" s="141" customFormat="1" x14ac:dyDescent="0.2">
      <c r="B668" s="142"/>
      <c r="D668" s="143" t="s">
        <v>346</v>
      </c>
      <c r="E668" s="144"/>
      <c r="F668" s="145" t="s">
        <v>511</v>
      </c>
      <c r="H668" s="144"/>
      <c r="L668" s="142"/>
      <c r="M668" s="146"/>
      <c r="T668" s="147"/>
      <c r="AT668" s="144" t="s">
        <v>346</v>
      </c>
      <c r="AU668" s="144" t="s">
        <v>90</v>
      </c>
      <c r="AV668" s="141" t="s">
        <v>87</v>
      </c>
      <c r="AW668" s="141" t="s">
        <v>33</v>
      </c>
      <c r="AX668" s="141" t="s">
        <v>80</v>
      </c>
      <c r="AY668" s="144" t="s">
        <v>337</v>
      </c>
    </row>
    <row r="669" spans="2:51" s="148" customFormat="1" x14ac:dyDescent="0.2">
      <c r="B669" s="149"/>
      <c r="D669" s="143" t="s">
        <v>346</v>
      </c>
      <c r="E669" s="150"/>
      <c r="F669" s="151" t="s">
        <v>3525</v>
      </c>
      <c r="H669" s="152">
        <v>-7.56</v>
      </c>
      <c r="L669" s="149"/>
      <c r="M669" s="153"/>
      <c r="T669" s="154"/>
      <c r="AT669" s="150" t="s">
        <v>346</v>
      </c>
      <c r="AU669" s="150" t="s">
        <v>90</v>
      </c>
      <c r="AV669" s="148" t="s">
        <v>90</v>
      </c>
      <c r="AW669" s="148" t="s">
        <v>33</v>
      </c>
      <c r="AX669" s="148" t="s">
        <v>80</v>
      </c>
      <c r="AY669" s="150" t="s">
        <v>337</v>
      </c>
    </row>
    <row r="670" spans="2:51" s="148" customFormat="1" x14ac:dyDescent="0.2">
      <c r="B670" s="149"/>
      <c r="D670" s="143" t="s">
        <v>346</v>
      </c>
      <c r="E670" s="150"/>
      <c r="F670" s="151" t="s">
        <v>3526</v>
      </c>
      <c r="H670" s="152">
        <v>-4.32</v>
      </c>
      <c r="L670" s="149"/>
      <c r="M670" s="153"/>
      <c r="T670" s="154"/>
      <c r="AT670" s="150" t="s">
        <v>346</v>
      </c>
      <c r="AU670" s="150" t="s">
        <v>90</v>
      </c>
      <c r="AV670" s="148" t="s">
        <v>90</v>
      </c>
      <c r="AW670" s="148" t="s">
        <v>33</v>
      </c>
      <c r="AX670" s="148" t="s">
        <v>80</v>
      </c>
      <c r="AY670" s="150" t="s">
        <v>337</v>
      </c>
    </row>
    <row r="671" spans="2:51" s="148" customFormat="1" x14ac:dyDescent="0.2">
      <c r="B671" s="149"/>
      <c r="D671" s="143" t="s">
        <v>346</v>
      </c>
      <c r="E671" s="150"/>
      <c r="F671" s="151" t="s">
        <v>3527</v>
      </c>
      <c r="H671" s="152">
        <v>-1.819</v>
      </c>
      <c r="L671" s="149"/>
      <c r="M671" s="153"/>
      <c r="T671" s="154"/>
      <c r="AT671" s="150" t="s">
        <v>346</v>
      </c>
      <c r="AU671" s="150" t="s">
        <v>90</v>
      </c>
      <c r="AV671" s="148" t="s">
        <v>90</v>
      </c>
      <c r="AW671" s="148" t="s">
        <v>33</v>
      </c>
      <c r="AX671" s="148" t="s">
        <v>80</v>
      </c>
      <c r="AY671" s="150" t="s">
        <v>337</v>
      </c>
    </row>
    <row r="672" spans="2:51" s="148" customFormat="1" x14ac:dyDescent="0.2">
      <c r="B672" s="149"/>
      <c r="D672" s="143" t="s">
        <v>346</v>
      </c>
      <c r="E672" s="150"/>
      <c r="F672" s="151" t="s">
        <v>3528</v>
      </c>
      <c r="H672" s="152">
        <v>-3.24</v>
      </c>
      <c r="L672" s="149"/>
      <c r="M672" s="153"/>
      <c r="T672" s="154"/>
      <c r="AT672" s="150" t="s">
        <v>346</v>
      </c>
      <c r="AU672" s="150" t="s">
        <v>90</v>
      </c>
      <c r="AV672" s="148" t="s">
        <v>90</v>
      </c>
      <c r="AW672" s="148" t="s">
        <v>33</v>
      </c>
      <c r="AX672" s="148" t="s">
        <v>80</v>
      </c>
      <c r="AY672" s="150" t="s">
        <v>337</v>
      </c>
    </row>
    <row r="673" spans="2:51" s="148" customFormat="1" x14ac:dyDescent="0.2">
      <c r="B673" s="149"/>
      <c r="D673" s="143" t="s">
        <v>346</v>
      </c>
      <c r="E673" s="150"/>
      <c r="F673" s="151" t="s">
        <v>3529</v>
      </c>
      <c r="H673" s="152">
        <v>-2.5680000000000001</v>
      </c>
      <c r="L673" s="149"/>
      <c r="M673" s="153"/>
      <c r="T673" s="154"/>
      <c r="AT673" s="150" t="s">
        <v>346</v>
      </c>
      <c r="AU673" s="150" t="s">
        <v>90</v>
      </c>
      <c r="AV673" s="148" t="s">
        <v>90</v>
      </c>
      <c r="AW673" s="148" t="s">
        <v>33</v>
      </c>
      <c r="AX673" s="148" t="s">
        <v>80</v>
      </c>
      <c r="AY673" s="150" t="s">
        <v>337</v>
      </c>
    </row>
    <row r="674" spans="2:51" s="148" customFormat="1" x14ac:dyDescent="0.2">
      <c r="B674" s="149"/>
      <c r="D674" s="143" t="s">
        <v>346</v>
      </c>
      <c r="E674" s="150"/>
      <c r="F674" s="151" t="s">
        <v>3530</v>
      </c>
      <c r="H674" s="152">
        <v>-13.824</v>
      </c>
      <c r="L674" s="149"/>
      <c r="M674" s="153"/>
      <c r="T674" s="154"/>
      <c r="AT674" s="150" t="s">
        <v>346</v>
      </c>
      <c r="AU674" s="150" t="s">
        <v>90</v>
      </c>
      <c r="AV674" s="148" t="s">
        <v>90</v>
      </c>
      <c r="AW674" s="148" t="s">
        <v>33</v>
      </c>
      <c r="AX674" s="148" t="s">
        <v>80</v>
      </c>
      <c r="AY674" s="150" t="s">
        <v>337</v>
      </c>
    </row>
    <row r="675" spans="2:51" s="148" customFormat="1" x14ac:dyDescent="0.2">
      <c r="B675" s="149"/>
      <c r="D675" s="143" t="s">
        <v>346</v>
      </c>
      <c r="E675" s="150"/>
      <c r="F675" s="151" t="s">
        <v>3531</v>
      </c>
      <c r="H675" s="152">
        <v>-10.15</v>
      </c>
      <c r="L675" s="149"/>
      <c r="M675" s="153"/>
      <c r="T675" s="154"/>
      <c r="AT675" s="150" t="s">
        <v>346</v>
      </c>
      <c r="AU675" s="150" t="s">
        <v>90</v>
      </c>
      <c r="AV675" s="148" t="s">
        <v>90</v>
      </c>
      <c r="AW675" s="148" t="s">
        <v>33</v>
      </c>
      <c r="AX675" s="148" t="s">
        <v>80</v>
      </c>
      <c r="AY675" s="150" t="s">
        <v>337</v>
      </c>
    </row>
    <row r="676" spans="2:51" s="148" customFormat="1" x14ac:dyDescent="0.2">
      <c r="B676" s="149"/>
      <c r="D676" s="143" t="s">
        <v>346</v>
      </c>
      <c r="E676" s="150"/>
      <c r="F676" s="151" t="s">
        <v>3532</v>
      </c>
      <c r="H676" s="152">
        <v>-4.8150000000000004</v>
      </c>
      <c r="L676" s="149"/>
      <c r="M676" s="153"/>
      <c r="T676" s="154"/>
      <c r="AT676" s="150" t="s">
        <v>346</v>
      </c>
      <c r="AU676" s="150" t="s">
        <v>90</v>
      </c>
      <c r="AV676" s="148" t="s">
        <v>90</v>
      </c>
      <c r="AW676" s="148" t="s">
        <v>33</v>
      </c>
      <c r="AX676" s="148" t="s">
        <v>80</v>
      </c>
      <c r="AY676" s="150" t="s">
        <v>337</v>
      </c>
    </row>
    <row r="677" spans="2:51" s="148" customFormat="1" x14ac:dyDescent="0.2">
      <c r="B677" s="149"/>
      <c r="D677" s="143" t="s">
        <v>346</v>
      </c>
      <c r="E677" s="150"/>
      <c r="F677" s="151" t="s">
        <v>3533</v>
      </c>
      <c r="H677" s="152">
        <v>-20.544</v>
      </c>
      <c r="L677" s="149"/>
      <c r="M677" s="153"/>
      <c r="T677" s="154"/>
      <c r="AT677" s="150" t="s">
        <v>346</v>
      </c>
      <c r="AU677" s="150" t="s">
        <v>90</v>
      </c>
      <c r="AV677" s="148" t="s">
        <v>90</v>
      </c>
      <c r="AW677" s="148" t="s">
        <v>33</v>
      </c>
      <c r="AX677" s="148" t="s">
        <v>80</v>
      </c>
      <c r="AY677" s="150" t="s">
        <v>337</v>
      </c>
    </row>
    <row r="678" spans="2:51" s="148" customFormat="1" x14ac:dyDescent="0.2">
      <c r="B678" s="149"/>
      <c r="D678" s="143" t="s">
        <v>346</v>
      </c>
      <c r="E678" s="150"/>
      <c r="F678" s="151" t="s">
        <v>3534</v>
      </c>
      <c r="H678" s="152">
        <v>-7.02</v>
      </c>
      <c r="L678" s="149"/>
      <c r="M678" s="153"/>
      <c r="T678" s="154"/>
      <c r="AT678" s="150" t="s">
        <v>346</v>
      </c>
      <c r="AU678" s="150" t="s">
        <v>90</v>
      </c>
      <c r="AV678" s="148" t="s">
        <v>90</v>
      </c>
      <c r="AW678" s="148" t="s">
        <v>33</v>
      </c>
      <c r="AX678" s="148" t="s">
        <v>80</v>
      </c>
      <c r="AY678" s="150" t="s">
        <v>337</v>
      </c>
    </row>
    <row r="679" spans="2:51" s="148" customFormat="1" x14ac:dyDescent="0.2">
      <c r="B679" s="149"/>
      <c r="D679" s="143" t="s">
        <v>346</v>
      </c>
      <c r="E679" s="150"/>
      <c r="F679" s="151" t="s">
        <v>3535</v>
      </c>
      <c r="H679" s="152">
        <v>-27.405000000000001</v>
      </c>
      <c r="L679" s="149"/>
      <c r="M679" s="153"/>
      <c r="T679" s="154"/>
      <c r="AT679" s="150" t="s">
        <v>346</v>
      </c>
      <c r="AU679" s="150" t="s">
        <v>90</v>
      </c>
      <c r="AV679" s="148" t="s">
        <v>90</v>
      </c>
      <c r="AW679" s="148" t="s">
        <v>33</v>
      </c>
      <c r="AX679" s="148" t="s">
        <v>80</v>
      </c>
      <c r="AY679" s="150" t="s">
        <v>337</v>
      </c>
    </row>
    <row r="680" spans="2:51" s="148" customFormat="1" x14ac:dyDescent="0.2">
      <c r="B680" s="149"/>
      <c r="D680" s="143" t="s">
        <v>346</v>
      </c>
      <c r="E680" s="150"/>
      <c r="F680" s="151" t="s">
        <v>3536</v>
      </c>
      <c r="H680" s="152">
        <v>-7.7549999999999999</v>
      </c>
      <c r="L680" s="149"/>
      <c r="M680" s="153"/>
      <c r="T680" s="154"/>
      <c r="AT680" s="150" t="s">
        <v>346</v>
      </c>
      <c r="AU680" s="150" t="s">
        <v>90</v>
      </c>
      <c r="AV680" s="148" t="s">
        <v>90</v>
      </c>
      <c r="AW680" s="148" t="s">
        <v>33</v>
      </c>
      <c r="AX680" s="148" t="s">
        <v>80</v>
      </c>
      <c r="AY680" s="150" t="s">
        <v>337</v>
      </c>
    </row>
    <row r="681" spans="2:51" s="148" customFormat="1" x14ac:dyDescent="0.2">
      <c r="B681" s="149"/>
      <c r="D681" s="143" t="s">
        <v>346</v>
      </c>
      <c r="E681" s="150"/>
      <c r="F681" s="151" t="s">
        <v>3537</v>
      </c>
      <c r="H681" s="152">
        <v>-219.875</v>
      </c>
      <c r="L681" s="149"/>
      <c r="M681" s="153"/>
      <c r="T681" s="154"/>
      <c r="AT681" s="150" t="s">
        <v>346</v>
      </c>
      <c r="AU681" s="150" t="s">
        <v>90</v>
      </c>
      <c r="AV681" s="148" t="s">
        <v>90</v>
      </c>
      <c r="AW681" s="148" t="s">
        <v>33</v>
      </c>
      <c r="AX681" s="148" t="s">
        <v>80</v>
      </c>
      <c r="AY681" s="150" t="s">
        <v>337</v>
      </c>
    </row>
    <row r="682" spans="2:51" s="148" customFormat="1" x14ac:dyDescent="0.2">
      <c r="B682" s="149"/>
      <c r="D682" s="143" t="s">
        <v>346</v>
      </c>
      <c r="E682" s="150"/>
      <c r="F682" s="151" t="s">
        <v>3538</v>
      </c>
      <c r="H682" s="152">
        <v>-3.117</v>
      </c>
      <c r="L682" s="149"/>
      <c r="M682" s="153"/>
      <c r="T682" s="154"/>
      <c r="AT682" s="150" t="s">
        <v>346</v>
      </c>
      <c r="AU682" s="150" t="s">
        <v>90</v>
      </c>
      <c r="AV682" s="148" t="s">
        <v>90</v>
      </c>
      <c r="AW682" s="148" t="s">
        <v>33</v>
      </c>
      <c r="AX682" s="148" t="s">
        <v>80</v>
      </c>
      <c r="AY682" s="150" t="s">
        <v>337</v>
      </c>
    </row>
    <row r="683" spans="2:51" s="141" customFormat="1" x14ac:dyDescent="0.2">
      <c r="B683" s="142"/>
      <c r="D683" s="143" t="s">
        <v>346</v>
      </c>
      <c r="E683" s="144"/>
      <c r="F683" s="145" t="s">
        <v>3539</v>
      </c>
      <c r="H683" s="144"/>
      <c r="L683" s="142"/>
      <c r="M683" s="146"/>
      <c r="T683" s="147"/>
      <c r="AT683" s="144" t="s">
        <v>346</v>
      </c>
      <c r="AU683" s="144" t="s">
        <v>90</v>
      </c>
      <c r="AV683" s="141" t="s">
        <v>87</v>
      </c>
      <c r="AW683" s="141" t="s">
        <v>33</v>
      </c>
      <c r="AX683" s="141" t="s">
        <v>80</v>
      </c>
      <c r="AY683" s="144" t="s">
        <v>337</v>
      </c>
    </row>
    <row r="684" spans="2:51" s="141" customFormat="1" x14ac:dyDescent="0.2">
      <c r="B684" s="142"/>
      <c r="D684" s="143" t="s">
        <v>346</v>
      </c>
      <c r="E684" s="144"/>
      <c r="F684" s="145" t="s">
        <v>3447</v>
      </c>
      <c r="H684" s="144"/>
      <c r="L684" s="142"/>
      <c r="M684" s="146"/>
      <c r="T684" s="147"/>
      <c r="AT684" s="144" t="s">
        <v>346</v>
      </c>
      <c r="AU684" s="144" t="s">
        <v>90</v>
      </c>
      <c r="AV684" s="141" t="s">
        <v>87</v>
      </c>
      <c r="AW684" s="141" t="s">
        <v>33</v>
      </c>
      <c r="AX684" s="141" t="s">
        <v>80</v>
      </c>
      <c r="AY684" s="144" t="s">
        <v>337</v>
      </c>
    </row>
    <row r="685" spans="2:51" s="148" customFormat="1" x14ac:dyDescent="0.2">
      <c r="B685" s="149"/>
      <c r="D685" s="143" t="s">
        <v>346</v>
      </c>
      <c r="E685" s="150"/>
      <c r="F685" s="151" t="s">
        <v>3540</v>
      </c>
      <c r="H685" s="152">
        <v>38.28</v>
      </c>
      <c r="L685" s="149"/>
      <c r="M685" s="153"/>
      <c r="T685" s="154"/>
      <c r="AT685" s="150" t="s">
        <v>346</v>
      </c>
      <c r="AU685" s="150" t="s">
        <v>90</v>
      </c>
      <c r="AV685" s="148" t="s">
        <v>90</v>
      </c>
      <c r="AW685" s="148" t="s">
        <v>33</v>
      </c>
      <c r="AX685" s="148" t="s">
        <v>80</v>
      </c>
      <c r="AY685" s="150" t="s">
        <v>337</v>
      </c>
    </row>
    <row r="686" spans="2:51" s="141" customFormat="1" x14ac:dyDescent="0.2">
      <c r="B686" s="142"/>
      <c r="D686" s="143" t="s">
        <v>346</v>
      </c>
      <c r="E686" s="144"/>
      <c r="F686" s="145" t="s">
        <v>3449</v>
      </c>
      <c r="H686" s="144"/>
      <c r="L686" s="142"/>
      <c r="M686" s="146"/>
      <c r="T686" s="147"/>
      <c r="AT686" s="144" t="s">
        <v>346</v>
      </c>
      <c r="AU686" s="144" t="s">
        <v>90</v>
      </c>
      <c r="AV686" s="141" t="s">
        <v>87</v>
      </c>
      <c r="AW686" s="141" t="s">
        <v>33</v>
      </c>
      <c r="AX686" s="141" t="s">
        <v>80</v>
      </c>
      <c r="AY686" s="144" t="s">
        <v>337</v>
      </c>
    </row>
    <row r="687" spans="2:51" s="148" customFormat="1" x14ac:dyDescent="0.2">
      <c r="B687" s="149"/>
      <c r="D687" s="143" t="s">
        <v>346</v>
      </c>
      <c r="E687" s="150"/>
      <c r="F687" s="151" t="s">
        <v>3541</v>
      </c>
      <c r="H687" s="152">
        <v>153.12</v>
      </c>
      <c r="L687" s="149"/>
      <c r="M687" s="153"/>
      <c r="T687" s="154"/>
      <c r="AT687" s="150" t="s">
        <v>346</v>
      </c>
      <c r="AU687" s="150" t="s">
        <v>90</v>
      </c>
      <c r="AV687" s="148" t="s">
        <v>90</v>
      </c>
      <c r="AW687" s="148" t="s">
        <v>33</v>
      </c>
      <c r="AX687" s="148" t="s">
        <v>80</v>
      </c>
      <c r="AY687" s="150" t="s">
        <v>337</v>
      </c>
    </row>
    <row r="688" spans="2:51" s="141" customFormat="1" x14ac:dyDescent="0.2">
      <c r="B688" s="142"/>
      <c r="D688" s="143" t="s">
        <v>346</v>
      </c>
      <c r="E688" s="144"/>
      <c r="F688" s="145" t="s">
        <v>3542</v>
      </c>
      <c r="H688" s="144"/>
      <c r="L688" s="142"/>
      <c r="M688" s="146"/>
      <c r="T688" s="147"/>
      <c r="AT688" s="144" t="s">
        <v>346</v>
      </c>
      <c r="AU688" s="144" t="s">
        <v>90</v>
      </c>
      <c r="AV688" s="141" t="s">
        <v>87</v>
      </c>
      <c r="AW688" s="141" t="s">
        <v>33</v>
      </c>
      <c r="AX688" s="141" t="s">
        <v>80</v>
      </c>
      <c r="AY688" s="144" t="s">
        <v>337</v>
      </c>
    </row>
    <row r="689" spans="2:51" s="148" customFormat="1" x14ac:dyDescent="0.2">
      <c r="B689" s="149"/>
      <c r="D689" s="143" t="s">
        <v>346</v>
      </c>
      <c r="E689" s="150"/>
      <c r="F689" s="151" t="s">
        <v>3543</v>
      </c>
      <c r="H689" s="152">
        <v>2.2879999999999998</v>
      </c>
      <c r="L689" s="149"/>
      <c r="M689" s="153"/>
      <c r="T689" s="154"/>
      <c r="AT689" s="150" t="s">
        <v>346</v>
      </c>
      <c r="AU689" s="150" t="s">
        <v>90</v>
      </c>
      <c r="AV689" s="148" t="s">
        <v>90</v>
      </c>
      <c r="AW689" s="148" t="s">
        <v>33</v>
      </c>
      <c r="AX689" s="148" t="s">
        <v>80</v>
      </c>
      <c r="AY689" s="150" t="s">
        <v>337</v>
      </c>
    </row>
    <row r="690" spans="2:51" s="141" customFormat="1" x14ac:dyDescent="0.2">
      <c r="B690" s="142"/>
      <c r="D690" s="143" t="s">
        <v>346</v>
      </c>
      <c r="E690" s="144"/>
      <c r="F690" s="145" t="s">
        <v>3409</v>
      </c>
      <c r="H690" s="144"/>
      <c r="L690" s="142"/>
      <c r="M690" s="146"/>
      <c r="T690" s="147"/>
      <c r="AT690" s="144" t="s">
        <v>346</v>
      </c>
      <c r="AU690" s="144" t="s">
        <v>90</v>
      </c>
      <c r="AV690" s="141" t="s">
        <v>87</v>
      </c>
      <c r="AW690" s="141" t="s">
        <v>33</v>
      </c>
      <c r="AX690" s="141" t="s">
        <v>80</v>
      </c>
      <c r="AY690" s="144" t="s">
        <v>337</v>
      </c>
    </row>
    <row r="691" spans="2:51" s="148" customFormat="1" x14ac:dyDescent="0.2">
      <c r="B691" s="149"/>
      <c r="D691" s="143" t="s">
        <v>346</v>
      </c>
      <c r="E691" s="150"/>
      <c r="F691" s="151" t="s">
        <v>3544</v>
      </c>
      <c r="H691" s="152">
        <v>11.2</v>
      </c>
      <c r="L691" s="149"/>
      <c r="M691" s="153"/>
      <c r="T691" s="154"/>
      <c r="AT691" s="150" t="s">
        <v>346</v>
      </c>
      <c r="AU691" s="150" t="s">
        <v>90</v>
      </c>
      <c r="AV691" s="148" t="s">
        <v>90</v>
      </c>
      <c r="AW691" s="148" t="s">
        <v>33</v>
      </c>
      <c r="AX691" s="148" t="s">
        <v>80</v>
      </c>
      <c r="AY691" s="150" t="s">
        <v>337</v>
      </c>
    </row>
    <row r="692" spans="2:51" s="141" customFormat="1" x14ac:dyDescent="0.2">
      <c r="B692" s="142"/>
      <c r="D692" s="143" t="s">
        <v>346</v>
      </c>
      <c r="E692" s="144"/>
      <c r="F692" s="145" t="s">
        <v>3545</v>
      </c>
      <c r="H692" s="144"/>
      <c r="L692" s="142"/>
      <c r="M692" s="146"/>
      <c r="T692" s="147"/>
      <c r="AT692" s="144" t="s">
        <v>346</v>
      </c>
      <c r="AU692" s="144" t="s">
        <v>90</v>
      </c>
      <c r="AV692" s="141" t="s">
        <v>87</v>
      </c>
      <c r="AW692" s="141" t="s">
        <v>33</v>
      </c>
      <c r="AX692" s="141" t="s">
        <v>80</v>
      </c>
      <c r="AY692" s="144" t="s">
        <v>337</v>
      </c>
    </row>
    <row r="693" spans="2:51" s="148" customFormat="1" x14ac:dyDescent="0.2">
      <c r="B693" s="149"/>
      <c r="D693" s="143" t="s">
        <v>346</v>
      </c>
      <c r="E693" s="150"/>
      <c r="F693" s="151" t="s">
        <v>3546</v>
      </c>
      <c r="H693" s="152">
        <v>-4.37</v>
      </c>
      <c r="L693" s="149"/>
      <c r="M693" s="153"/>
      <c r="T693" s="154"/>
      <c r="AT693" s="150" t="s">
        <v>346</v>
      </c>
      <c r="AU693" s="150" t="s">
        <v>90</v>
      </c>
      <c r="AV693" s="148" t="s">
        <v>90</v>
      </c>
      <c r="AW693" s="148" t="s">
        <v>33</v>
      </c>
      <c r="AX693" s="148" t="s">
        <v>80</v>
      </c>
      <c r="AY693" s="150" t="s">
        <v>337</v>
      </c>
    </row>
    <row r="694" spans="2:51" s="141" customFormat="1" x14ac:dyDescent="0.2">
      <c r="B694" s="142"/>
      <c r="D694" s="143" t="s">
        <v>346</v>
      </c>
      <c r="E694" s="144"/>
      <c r="F694" s="145" t="s">
        <v>3117</v>
      </c>
      <c r="H694" s="144"/>
      <c r="L694" s="142"/>
      <c r="M694" s="146"/>
      <c r="T694" s="147"/>
      <c r="AT694" s="144" t="s">
        <v>346</v>
      </c>
      <c r="AU694" s="144" t="s">
        <v>90</v>
      </c>
      <c r="AV694" s="141" t="s">
        <v>87</v>
      </c>
      <c r="AW694" s="141" t="s">
        <v>33</v>
      </c>
      <c r="AX694" s="141" t="s">
        <v>80</v>
      </c>
      <c r="AY694" s="144" t="s">
        <v>337</v>
      </c>
    </row>
    <row r="695" spans="2:51" s="141" customFormat="1" x14ac:dyDescent="0.2">
      <c r="B695" s="142"/>
      <c r="D695" s="143" t="s">
        <v>346</v>
      </c>
      <c r="E695" s="144"/>
      <c r="F695" s="145" t="s">
        <v>3547</v>
      </c>
      <c r="H695" s="144"/>
      <c r="L695" s="142"/>
      <c r="M695" s="146"/>
      <c r="T695" s="147"/>
      <c r="AT695" s="144" t="s">
        <v>346</v>
      </c>
      <c r="AU695" s="144" t="s">
        <v>90</v>
      </c>
      <c r="AV695" s="141" t="s">
        <v>87</v>
      </c>
      <c r="AW695" s="141" t="s">
        <v>33</v>
      </c>
      <c r="AX695" s="141" t="s">
        <v>80</v>
      </c>
      <c r="AY695" s="144" t="s">
        <v>337</v>
      </c>
    </row>
    <row r="696" spans="2:51" s="141" customFormat="1" x14ac:dyDescent="0.2">
      <c r="B696" s="142"/>
      <c r="D696" s="143" t="s">
        <v>346</v>
      </c>
      <c r="E696" s="144"/>
      <c r="F696" s="145" t="s">
        <v>3548</v>
      </c>
      <c r="H696" s="144"/>
      <c r="L696" s="142"/>
      <c r="M696" s="146"/>
      <c r="T696" s="147"/>
      <c r="AT696" s="144" t="s">
        <v>346</v>
      </c>
      <c r="AU696" s="144" t="s">
        <v>90</v>
      </c>
      <c r="AV696" s="141" t="s">
        <v>87</v>
      </c>
      <c r="AW696" s="141" t="s">
        <v>33</v>
      </c>
      <c r="AX696" s="141" t="s">
        <v>80</v>
      </c>
      <c r="AY696" s="144" t="s">
        <v>337</v>
      </c>
    </row>
    <row r="697" spans="2:51" s="148" customFormat="1" x14ac:dyDescent="0.2">
      <c r="B697" s="149"/>
      <c r="D697" s="143" t="s">
        <v>346</v>
      </c>
      <c r="E697" s="150"/>
      <c r="F697" s="151" t="s">
        <v>3549</v>
      </c>
      <c r="H697" s="152">
        <v>39</v>
      </c>
      <c r="L697" s="149"/>
      <c r="M697" s="153"/>
      <c r="T697" s="154"/>
      <c r="AT697" s="150" t="s">
        <v>346</v>
      </c>
      <c r="AU697" s="150" t="s">
        <v>90</v>
      </c>
      <c r="AV697" s="148" t="s">
        <v>90</v>
      </c>
      <c r="AW697" s="148" t="s">
        <v>33</v>
      </c>
      <c r="AX697" s="148" t="s">
        <v>80</v>
      </c>
      <c r="AY697" s="150" t="s">
        <v>337</v>
      </c>
    </row>
    <row r="698" spans="2:51" s="141" customFormat="1" x14ac:dyDescent="0.2">
      <c r="B698" s="142"/>
      <c r="D698" s="143" t="s">
        <v>346</v>
      </c>
      <c r="E698" s="144"/>
      <c r="F698" s="145" t="s">
        <v>3550</v>
      </c>
      <c r="H698" s="144"/>
      <c r="L698" s="142"/>
      <c r="M698" s="146"/>
      <c r="T698" s="147"/>
      <c r="AT698" s="144" t="s">
        <v>346</v>
      </c>
      <c r="AU698" s="144" t="s">
        <v>90</v>
      </c>
      <c r="AV698" s="141" t="s">
        <v>87</v>
      </c>
      <c r="AW698" s="141" t="s">
        <v>33</v>
      </c>
      <c r="AX698" s="141" t="s">
        <v>80</v>
      </c>
      <c r="AY698" s="144" t="s">
        <v>337</v>
      </c>
    </row>
    <row r="699" spans="2:51" s="148" customFormat="1" x14ac:dyDescent="0.2">
      <c r="B699" s="149"/>
      <c r="D699" s="143" t="s">
        <v>346</v>
      </c>
      <c r="E699" s="150"/>
      <c r="F699" s="151" t="s">
        <v>3551</v>
      </c>
      <c r="H699" s="152">
        <v>23.4</v>
      </c>
      <c r="L699" s="149"/>
      <c r="M699" s="153"/>
      <c r="T699" s="154"/>
      <c r="AT699" s="150" t="s">
        <v>346</v>
      </c>
      <c r="AU699" s="150" t="s">
        <v>90</v>
      </c>
      <c r="AV699" s="148" t="s">
        <v>90</v>
      </c>
      <c r="AW699" s="148" t="s">
        <v>33</v>
      </c>
      <c r="AX699" s="148" t="s">
        <v>80</v>
      </c>
      <c r="AY699" s="150" t="s">
        <v>337</v>
      </c>
    </row>
    <row r="700" spans="2:51" s="141" customFormat="1" x14ac:dyDescent="0.2">
      <c r="B700" s="142"/>
      <c r="D700" s="143" t="s">
        <v>346</v>
      </c>
      <c r="E700" s="144"/>
      <c r="F700" s="145" t="s">
        <v>3552</v>
      </c>
      <c r="H700" s="144"/>
      <c r="L700" s="142"/>
      <c r="M700" s="146"/>
      <c r="T700" s="147"/>
      <c r="AT700" s="144" t="s">
        <v>346</v>
      </c>
      <c r="AU700" s="144" t="s">
        <v>90</v>
      </c>
      <c r="AV700" s="141" t="s">
        <v>87</v>
      </c>
      <c r="AW700" s="141" t="s">
        <v>33</v>
      </c>
      <c r="AX700" s="141" t="s">
        <v>80</v>
      </c>
      <c r="AY700" s="144" t="s">
        <v>337</v>
      </c>
    </row>
    <row r="701" spans="2:51" s="148" customFormat="1" x14ac:dyDescent="0.2">
      <c r="B701" s="149"/>
      <c r="D701" s="143" t="s">
        <v>346</v>
      </c>
      <c r="E701" s="150"/>
      <c r="F701" s="151" t="s">
        <v>3553</v>
      </c>
      <c r="H701" s="152">
        <v>35.145000000000003</v>
      </c>
      <c r="L701" s="149"/>
      <c r="M701" s="153"/>
      <c r="T701" s="154"/>
      <c r="AT701" s="150" t="s">
        <v>346</v>
      </c>
      <c r="AU701" s="150" t="s">
        <v>90</v>
      </c>
      <c r="AV701" s="148" t="s">
        <v>90</v>
      </c>
      <c r="AW701" s="148" t="s">
        <v>33</v>
      </c>
      <c r="AX701" s="148" t="s">
        <v>80</v>
      </c>
      <c r="AY701" s="150" t="s">
        <v>337</v>
      </c>
    </row>
    <row r="702" spans="2:51" s="141" customFormat="1" x14ac:dyDescent="0.2">
      <c r="B702" s="142"/>
      <c r="D702" s="143" t="s">
        <v>346</v>
      </c>
      <c r="E702" s="144"/>
      <c r="F702" s="145" t="s">
        <v>759</v>
      </c>
      <c r="H702" s="144"/>
      <c r="L702" s="142"/>
      <c r="M702" s="146"/>
      <c r="T702" s="147"/>
      <c r="AT702" s="144" t="s">
        <v>346</v>
      </c>
      <c r="AU702" s="144" t="s">
        <v>90</v>
      </c>
      <c r="AV702" s="141" t="s">
        <v>87</v>
      </c>
      <c r="AW702" s="141" t="s">
        <v>33</v>
      </c>
      <c r="AX702" s="141" t="s">
        <v>80</v>
      </c>
      <c r="AY702" s="144" t="s">
        <v>337</v>
      </c>
    </row>
    <row r="703" spans="2:51" s="148" customFormat="1" x14ac:dyDescent="0.2">
      <c r="B703" s="149"/>
      <c r="D703" s="143" t="s">
        <v>346</v>
      </c>
      <c r="E703" s="150"/>
      <c r="F703" s="151" t="s">
        <v>3554</v>
      </c>
      <c r="H703" s="152">
        <v>4.7699999999999996</v>
      </c>
      <c r="L703" s="149"/>
      <c r="M703" s="153"/>
      <c r="T703" s="154"/>
      <c r="AT703" s="150" t="s">
        <v>346</v>
      </c>
      <c r="AU703" s="150" t="s">
        <v>90</v>
      </c>
      <c r="AV703" s="148" t="s">
        <v>90</v>
      </c>
      <c r="AW703" s="148" t="s">
        <v>33</v>
      </c>
      <c r="AX703" s="148" t="s">
        <v>80</v>
      </c>
      <c r="AY703" s="150" t="s">
        <v>337</v>
      </c>
    </row>
    <row r="704" spans="2:51" s="148" customFormat="1" x14ac:dyDescent="0.2">
      <c r="B704" s="149"/>
      <c r="D704" s="143" t="s">
        <v>346</v>
      </c>
      <c r="E704" s="150"/>
      <c r="F704" s="151" t="s">
        <v>3555</v>
      </c>
      <c r="H704" s="152">
        <v>15.2</v>
      </c>
      <c r="L704" s="149"/>
      <c r="M704" s="153"/>
      <c r="T704" s="154"/>
      <c r="AT704" s="150" t="s">
        <v>346</v>
      </c>
      <c r="AU704" s="150" t="s">
        <v>90</v>
      </c>
      <c r="AV704" s="148" t="s">
        <v>90</v>
      </c>
      <c r="AW704" s="148" t="s">
        <v>33</v>
      </c>
      <c r="AX704" s="148" t="s">
        <v>80</v>
      </c>
      <c r="AY704" s="150" t="s">
        <v>337</v>
      </c>
    </row>
    <row r="705" spans="2:65" s="141" customFormat="1" x14ac:dyDescent="0.2">
      <c r="B705" s="142"/>
      <c r="D705" s="143" t="s">
        <v>346</v>
      </c>
      <c r="E705" s="144"/>
      <c r="F705" s="145" t="s">
        <v>3556</v>
      </c>
      <c r="H705" s="144"/>
      <c r="L705" s="142"/>
      <c r="M705" s="146"/>
      <c r="T705" s="147"/>
      <c r="AT705" s="144" t="s">
        <v>346</v>
      </c>
      <c r="AU705" s="144" t="s">
        <v>90</v>
      </c>
      <c r="AV705" s="141" t="s">
        <v>87</v>
      </c>
      <c r="AW705" s="141" t="s">
        <v>33</v>
      </c>
      <c r="AX705" s="141" t="s">
        <v>80</v>
      </c>
      <c r="AY705" s="144" t="s">
        <v>337</v>
      </c>
    </row>
    <row r="706" spans="2:65" s="148" customFormat="1" x14ac:dyDescent="0.2">
      <c r="B706" s="149"/>
      <c r="D706" s="143" t="s">
        <v>346</v>
      </c>
      <c r="E706" s="150"/>
      <c r="F706" s="151" t="s">
        <v>3557</v>
      </c>
      <c r="H706" s="152">
        <v>5.843</v>
      </c>
      <c r="L706" s="149"/>
      <c r="M706" s="153"/>
      <c r="T706" s="154"/>
      <c r="AT706" s="150" t="s">
        <v>346</v>
      </c>
      <c r="AU706" s="150" t="s">
        <v>90</v>
      </c>
      <c r="AV706" s="148" t="s">
        <v>90</v>
      </c>
      <c r="AW706" s="148" t="s">
        <v>33</v>
      </c>
      <c r="AX706" s="148" t="s">
        <v>80</v>
      </c>
      <c r="AY706" s="150" t="s">
        <v>337</v>
      </c>
    </row>
    <row r="707" spans="2:65" s="141" customFormat="1" x14ac:dyDescent="0.2">
      <c r="B707" s="142"/>
      <c r="D707" s="143" t="s">
        <v>346</v>
      </c>
      <c r="E707" s="144"/>
      <c r="F707" s="145" t="s">
        <v>3558</v>
      </c>
      <c r="H707" s="144"/>
      <c r="L707" s="142"/>
      <c r="M707" s="146"/>
      <c r="T707" s="147"/>
      <c r="AT707" s="144" t="s">
        <v>346</v>
      </c>
      <c r="AU707" s="144" t="s">
        <v>90</v>
      </c>
      <c r="AV707" s="141" t="s">
        <v>87</v>
      </c>
      <c r="AW707" s="141" t="s">
        <v>33</v>
      </c>
      <c r="AX707" s="141" t="s">
        <v>80</v>
      </c>
      <c r="AY707" s="144" t="s">
        <v>337</v>
      </c>
    </row>
    <row r="708" spans="2:65" s="148" customFormat="1" x14ac:dyDescent="0.2">
      <c r="B708" s="149"/>
      <c r="D708" s="143" t="s">
        <v>346</v>
      </c>
      <c r="E708" s="150"/>
      <c r="F708" s="151" t="s">
        <v>3559</v>
      </c>
      <c r="H708" s="152">
        <v>-3.6379999999999999</v>
      </c>
      <c r="L708" s="149"/>
      <c r="M708" s="153"/>
      <c r="T708" s="154"/>
      <c r="AT708" s="150" t="s">
        <v>346</v>
      </c>
      <c r="AU708" s="150" t="s">
        <v>90</v>
      </c>
      <c r="AV708" s="148" t="s">
        <v>90</v>
      </c>
      <c r="AW708" s="148" t="s">
        <v>33</v>
      </c>
      <c r="AX708" s="148" t="s">
        <v>80</v>
      </c>
      <c r="AY708" s="150" t="s">
        <v>337</v>
      </c>
    </row>
    <row r="709" spans="2:65" s="148" customFormat="1" x14ac:dyDescent="0.2">
      <c r="B709" s="149"/>
      <c r="D709" s="143" t="s">
        <v>346</v>
      </c>
      <c r="E709" s="150"/>
      <c r="F709" s="151" t="s">
        <v>3560</v>
      </c>
      <c r="H709" s="152">
        <v>-9.6959999999999997</v>
      </c>
      <c r="L709" s="149"/>
      <c r="M709" s="153"/>
      <c r="T709" s="154"/>
      <c r="AT709" s="150" t="s">
        <v>346</v>
      </c>
      <c r="AU709" s="150" t="s">
        <v>90</v>
      </c>
      <c r="AV709" s="148" t="s">
        <v>90</v>
      </c>
      <c r="AW709" s="148" t="s">
        <v>33</v>
      </c>
      <c r="AX709" s="148" t="s">
        <v>80</v>
      </c>
      <c r="AY709" s="150" t="s">
        <v>337</v>
      </c>
    </row>
    <row r="710" spans="2:65" s="172" customFormat="1" x14ac:dyDescent="0.2">
      <c r="B710" s="173"/>
      <c r="D710" s="143" t="s">
        <v>346</v>
      </c>
      <c r="E710" s="174" t="s">
        <v>3002</v>
      </c>
      <c r="F710" s="175" t="s">
        <v>609</v>
      </c>
      <c r="H710" s="176">
        <v>2545.8339999999998</v>
      </c>
      <c r="L710" s="173"/>
      <c r="M710" s="177"/>
      <c r="T710" s="178"/>
      <c r="AT710" s="174" t="s">
        <v>346</v>
      </c>
      <c r="AU710" s="174" t="s">
        <v>90</v>
      </c>
      <c r="AV710" s="172" t="s">
        <v>113</v>
      </c>
      <c r="AW710" s="172" t="s">
        <v>33</v>
      </c>
      <c r="AX710" s="172" t="s">
        <v>87</v>
      </c>
      <c r="AY710" s="174" t="s">
        <v>337</v>
      </c>
    </row>
    <row r="711" spans="2:65" s="172" customFormat="1" x14ac:dyDescent="0.2">
      <c r="B711" s="173"/>
      <c r="D711" s="143"/>
      <c r="E711" s="174"/>
      <c r="F711" s="175" t="s">
        <v>9241</v>
      </c>
      <c r="H711" s="176"/>
      <c r="L711" s="173"/>
      <c r="M711" s="177"/>
      <c r="T711" s="178"/>
      <c r="AT711" s="174"/>
      <c r="AU711" s="174"/>
      <c r="AY711" s="174"/>
    </row>
    <row r="712" spans="2:65" s="16" customFormat="1" ht="24.2" customHeight="1" x14ac:dyDescent="0.2">
      <c r="B712" s="17"/>
      <c r="C712" s="128">
        <v>71</v>
      </c>
      <c r="D712" s="128" t="s">
        <v>339</v>
      </c>
      <c r="E712" s="129" t="s">
        <v>3561</v>
      </c>
      <c r="F712" s="130" t="s">
        <v>3562</v>
      </c>
      <c r="G712" s="131" t="s">
        <v>425</v>
      </c>
      <c r="H712" s="132">
        <v>342.56200000000001</v>
      </c>
      <c r="I712" s="133"/>
      <c r="J712" s="134">
        <f>ROUND(I712*H712,2)</f>
        <v>0</v>
      </c>
      <c r="K712" s="130" t="s">
        <v>343</v>
      </c>
      <c r="L712" s="17"/>
      <c r="M712" s="135"/>
      <c r="N712" s="136" t="s">
        <v>45</v>
      </c>
      <c r="P712" s="137">
        <f>O712*H712</f>
        <v>0</v>
      </c>
      <c r="Q712" s="137">
        <v>1.159E-2</v>
      </c>
      <c r="R712" s="137">
        <f>Q712*H712</f>
        <v>3.9702935799999999</v>
      </c>
      <c r="S712" s="137">
        <v>0</v>
      </c>
      <c r="T712" s="138">
        <f>S712*H712</f>
        <v>0</v>
      </c>
      <c r="AR712" s="139" t="s">
        <v>344</v>
      </c>
      <c r="AT712" s="139" t="s">
        <v>339</v>
      </c>
      <c r="AU712" s="139" t="s">
        <v>90</v>
      </c>
      <c r="AY712" s="2" t="s">
        <v>337</v>
      </c>
      <c r="BE712" s="140">
        <f>IF(N712="základní",J712,0)</f>
        <v>0</v>
      </c>
      <c r="BF712" s="140">
        <f>IF(N712="snížená",J712,0)</f>
        <v>0</v>
      </c>
      <c r="BG712" s="140">
        <f>IF(N712="zákl. přenesená",J712,0)</f>
        <v>0</v>
      </c>
      <c r="BH712" s="140">
        <f>IF(N712="sníž. přenesená",J712,0)</f>
        <v>0</v>
      </c>
      <c r="BI712" s="140">
        <f>IF(N712="nulová",J712,0)</f>
        <v>0</v>
      </c>
      <c r="BJ712" s="2" t="s">
        <v>87</v>
      </c>
      <c r="BK712" s="140">
        <f>ROUND(I712*H712,2)</f>
        <v>0</v>
      </c>
      <c r="BL712" s="2" t="s">
        <v>344</v>
      </c>
      <c r="BM712" s="139" t="s">
        <v>3563</v>
      </c>
    </row>
    <row r="713" spans="2:65" s="141" customFormat="1" x14ac:dyDescent="0.2">
      <c r="B713" s="142"/>
      <c r="D713" s="143" t="s">
        <v>346</v>
      </c>
      <c r="E713" s="144"/>
      <c r="F713" s="145" t="s">
        <v>3564</v>
      </c>
      <c r="H713" s="144"/>
      <c r="L713" s="142"/>
      <c r="M713" s="146"/>
      <c r="T713" s="147"/>
      <c r="AT713" s="144" t="s">
        <v>346</v>
      </c>
      <c r="AU713" s="144" t="s">
        <v>90</v>
      </c>
      <c r="AV713" s="141" t="s">
        <v>87</v>
      </c>
      <c r="AW713" s="141" t="s">
        <v>33</v>
      </c>
      <c r="AX713" s="141" t="s">
        <v>80</v>
      </c>
      <c r="AY713" s="144" t="s">
        <v>337</v>
      </c>
    </row>
    <row r="714" spans="2:65" s="141" customFormat="1" x14ac:dyDescent="0.2">
      <c r="B714" s="142"/>
      <c r="D714" s="143" t="s">
        <v>346</v>
      </c>
      <c r="E714" s="144"/>
      <c r="F714" s="145" t="s">
        <v>3565</v>
      </c>
      <c r="H714" s="144"/>
      <c r="L714" s="142"/>
      <c r="M714" s="146"/>
      <c r="T714" s="147"/>
      <c r="AT714" s="144" t="s">
        <v>346</v>
      </c>
      <c r="AU714" s="144" t="s">
        <v>90</v>
      </c>
      <c r="AV714" s="141" t="s">
        <v>87</v>
      </c>
      <c r="AW714" s="141" t="s">
        <v>33</v>
      </c>
      <c r="AX714" s="141" t="s">
        <v>80</v>
      </c>
      <c r="AY714" s="144" t="s">
        <v>337</v>
      </c>
    </row>
    <row r="715" spans="2:65" s="141" customFormat="1" x14ac:dyDescent="0.2">
      <c r="B715" s="142"/>
      <c r="D715" s="143" t="s">
        <v>346</v>
      </c>
      <c r="E715" s="144"/>
      <c r="F715" s="145" t="s">
        <v>3566</v>
      </c>
      <c r="H715" s="144"/>
      <c r="L715" s="142"/>
      <c r="M715" s="146"/>
      <c r="T715" s="147"/>
      <c r="AT715" s="144" t="s">
        <v>346</v>
      </c>
      <c r="AU715" s="144" t="s">
        <v>90</v>
      </c>
      <c r="AV715" s="141" t="s">
        <v>87</v>
      </c>
      <c r="AW715" s="141" t="s">
        <v>33</v>
      </c>
      <c r="AX715" s="141" t="s">
        <v>80</v>
      </c>
      <c r="AY715" s="144" t="s">
        <v>337</v>
      </c>
    </row>
    <row r="716" spans="2:65" s="148" customFormat="1" x14ac:dyDescent="0.2">
      <c r="B716" s="149"/>
      <c r="D716" s="143" t="s">
        <v>346</v>
      </c>
      <c r="E716" s="150"/>
      <c r="F716" s="151" t="s">
        <v>3567</v>
      </c>
      <c r="H716" s="152">
        <v>39.975000000000001</v>
      </c>
      <c r="L716" s="149"/>
      <c r="M716" s="153"/>
      <c r="T716" s="154"/>
      <c r="AT716" s="150" t="s">
        <v>346</v>
      </c>
      <c r="AU716" s="150" t="s">
        <v>90</v>
      </c>
      <c r="AV716" s="148" t="s">
        <v>90</v>
      </c>
      <c r="AW716" s="148" t="s">
        <v>33</v>
      </c>
      <c r="AX716" s="148" t="s">
        <v>80</v>
      </c>
      <c r="AY716" s="150" t="s">
        <v>337</v>
      </c>
    </row>
    <row r="717" spans="2:65" s="148" customFormat="1" x14ac:dyDescent="0.2">
      <c r="B717" s="149"/>
      <c r="D717" s="143" t="s">
        <v>346</v>
      </c>
      <c r="E717" s="150"/>
      <c r="F717" s="151" t="s">
        <v>3568</v>
      </c>
      <c r="H717" s="152">
        <v>0.432</v>
      </c>
      <c r="L717" s="149"/>
      <c r="M717" s="153"/>
      <c r="T717" s="154"/>
      <c r="AT717" s="150" t="s">
        <v>346</v>
      </c>
      <c r="AU717" s="150" t="s">
        <v>90</v>
      </c>
      <c r="AV717" s="148" t="s">
        <v>90</v>
      </c>
      <c r="AW717" s="148" t="s">
        <v>33</v>
      </c>
      <c r="AX717" s="148" t="s">
        <v>80</v>
      </c>
      <c r="AY717" s="150" t="s">
        <v>337</v>
      </c>
    </row>
    <row r="718" spans="2:65" s="141" customFormat="1" x14ac:dyDescent="0.2">
      <c r="B718" s="142"/>
      <c r="D718" s="143" t="s">
        <v>346</v>
      </c>
      <c r="E718" s="144"/>
      <c r="F718" s="145" t="s">
        <v>3475</v>
      </c>
      <c r="H718" s="144"/>
      <c r="L718" s="142"/>
      <c r="M718" s="146"/>
      <c r="T718" s="147"/>
      <c r="AT718" s="144" t="s">
        <v>346</v>
      </c>
      <c r="AU718" s="144" t="s">
        <v>90</v>
      </c>
      <c r="AV718" s="141" t="s">
        <v>87</v>
      </c>
      <c r="AW718" s="141" t="s">
        <v>33</v>
      </c>
      <c r="AX718" s="141" t="s">
        <v>80</v>
      </c>
      <c r="AY718" s="144" t="s">
        <v>337</v>
      </c>
    </row>
    <row r="719" spans="2:65" s="148" customFormat="1" x14ac:dyDescent="0.2">
      <c r="B719" s="149"/>
      <c r="D719" s="143" t="s">
        <v>346</v>
      </c>
      <c r="E719" s="150"/>
      <c r="F719" s="151" t="s">
        <v>3569</v>
      </c>
      <c r="H719" s="152">
        <v>-2.15</v>
      </c>
      <c r="L719" s="149"/>
      <c r="M719" s="153"/>
      <c r="T719" s="154"/>
      <c r="AT719" s="150" t="s">
        <v>346</v>
      </c>
      <c r="AU719" s="150" t="s">
        <v>90</v>
      </c>
      <c r="AV719" s="148" t="s">
        <v>90</v>
      </c>
      <c r="AW719" s="148" t="s">
        <v>33</v>
      </c>
      <c r="AX719" s="148" t="s">
        <v>80</v>
      </c>
      <c r="AY719" s="150" t="s">
        <v>337</v>
      </c>
    </row>
    <row r="720" spans="2:65" s="141" customFormat="1" x14ac:dyDescent="0.2">
      <c r="B720" s="142"/>
      <c r="D720" s="143" t="s">
        <v>346</v>
      </c>
      <c r="E720" s="144"/>
      <c r="F720" s="145" t="s">
        <v>3570</v>
      </c>
      <c r="H720" s="144"/>
      <c r="L720" s="142"/>
      <c r="M720" s="146"/>
      <c r="T720" s="147"/>
      <c r="AT720" s="144" t="s">
        <v>346</v>
      </c>
      <c r="AU720" s="144" t="s">
        <v>90</v>
      </c>
      <c r="AV720" s="141" t="s">
        <v>87</v>
      </c>
      <c r="AW720" s="141" t="s">
        <v>33</v>
      </c>
      <c r="AX720" s="141" t="s">
        <v>80</v>
      </c>
      <c r="AY720" s="144" t="s">
        <v>337</v>
      </c>
    </row>
    <row r="721" spans="2:51" s="148" customFormat="1" x14ac:dyDescent="0.2">
      <c r="B721" s="149"/>
      <c r="D721" s="143" t="s">
        <v>346</v>
      </c>
      <c r="E721" s="150"/>
      <c r="F721" s="151" t="s">
        <v>3571</v>
      </c>
      <c r="H721" s="152">
        <v>169.845</v>
      </c>
      <c r="L721" s="149"/>
      <c r="M721" s="153"/>
      <c r="T721" s="154"/>
      <c r="AT721" s="150" t="s">
        <v>346</v>
      </c>
      <c r="AU721" s="150" t="s">
        <v>90</v>
      </c>
      <c r="AV721" s="148" t="s">
        <v>90</v>
      </c>
      <c r="AW721" s="148" t="s">
        <v>33</v>
      </c>
      <c r="AX721" s="148" t="s">
        <v>80</v>
      </c>
      <c r="AY721" s="150" t="s">
        <v>337</v>
      </c>
    </row>
    <row r="722" spans="2:51" s="141" customFormat="1" x14ac:dyDescent="0.2">
      <c r="B722" s="142"/>
      <c r="D722" s="143" t="s">
        <v>346</v>
      </c>
      <c r="E722" s="144"/>
      <c r="F722" s="145" t="s">
        <v>3104</v>
      </c>
      <c r="H722" s="144"/>
      <c r="L722" s="142"/>
      <c r="M722" s="146"/>
      <c r="T722" s="147"/>
      <c r="AT722" s="144" t="s">
        <v>346</v>
      </c>
      <c r="AU722" s="144" t="s">
        <v>90</v>
      </c>
      <c r="AV722" s="141" t="s">
        <v>87</v>
      </c>
      <c r="AW722" s="141" t="s">
        <v>33</v>
      </c>
      <c r="AX722" s="141" t="s">
        <v>80</v>
      </c>
      <c r="AY722" s="144" t="s">
        <v>337</v>
      </c>
    </row>
    <row r="723" spans="2:51" s="148" customFormat="1" x14ac:dyDescent="0.2">
      <c r="B723" s="149"/>
      <c r="D723" s="143" t="s">
        <v>346</v>
      </c>
      <c r="E723" s="150"/>
      <c r="F723" s="151" t="s">
        <v>494</v>
      </c>
      <c r="H723" s="152">
        <v>2.0099999999999998</v>
      </c>
      <c r="L723" s="149"/>
      <c r="M723" s="153"/>
      <c r="T723" s="154"/>
      <c r="AT723" s="150" t="s">
        <v>346</v>
      </c>
      <c r="AU723" s="150" t="s">
        <v>90</v>
      </c>
      <c r="AV723" s="148" t="s">
        <v>90</v>
      </c>
      <c r="AW723" s="148" t="s">
        <v>33</v>
      </c>
      <c r="AX723" s="148" t="s">
        <v>80</v>
      </c>
      <c r="AY723" s="150" t="s">
        <v>337</v>
      </c>
    </row>
    <row r="724" spans="2:51" s="141" customFormat="1" x14ac:dyDescent="0.2">
      <c r="B724" s="142"/>
      <c r="D724" s="143" t="s">
        <v>346</v>
      </c>
      <c r="E724" s="144"/>
      <c r="F724" s="145" t="s">
        <v>3106</v>
      </c>
      <c r="H724" s="144"/>
      <c r="L724" s="142"/>
      <c r="M724" s="146"/>
      <c r="T724" s="147"/>
      <c r="AT724" s="144" t="s">
        <v>346</v>
      </c>
      <c r="AU724" s="144" t="s">
        <v>90</v>
      </c>
      <c r="AV724" s="141" t="s">
        <v>87</v>
      </c>
      <c r="AW724" s="141" t="s">
        <v>33</v>
      </c>
      <c r="AX724" s="141" t="s">
        <v>80</v>
      </c>
      <c r="AY724" s="144" t="s">
        <v>337</v>
      </c>
    </row>
    <row r="725" spans="2:51" s="148" customFormat="1" x14ac:dyDescent="0.2">
      <c r="B725" s="149"/>
      <c r="D725" s="143" t="s">
        <v>346</v>
      </c>
      <c r="E725" s="150"/>
      <c r="F725" s="151" t="s">
        <v>3572</v>
      </c>
      <c r="H725" s="152">
        <v>34.840000000000003</v>
      </c>
      <c r="L725" s="149"/>
      <c r="M725" s="153"/>
      <c r="T725" s="154"/>
      <c r="AT725" s="150" t="s">
        <v>346</v>
      </c>
      <c r="AU725" s="150" t="s">
        <v>90</v>
      </c>
      <c r="AV725" s="148" t="s">
        <v>90</v>
      </c>
      <c r="AW725" s="148" t="s">
        <v>33</v>
      </c>
      <c r="AX725" s="148" t="s">
        <v>80</v>
      </c>
      <c r="AY725" s="150" t="s">
        <v>337</v>
      </c>
    </row>
    <row r="726" spans="2:51" s="141" customFormat="1" x14ac:dyDescent="0.2">
      <c r="B726" s="142"/>
      <c r="D726" s="143" t="s">
        <v>346</v>
      </c>
      <c r="E726" s="144"/>
      <c r="F726" s="145" t="s">
        <v>511</v>
      </c>
      <c r="H726" s="144"/>
      <c r="L726" s="142"/>
      <c r="M726" s="146"/>
      <c r="T726" s="147"/>
      <c r="AT726" s="144" t="s">
        <v>346</v>
      </c>
      <c r="AU726" s="144" t="s">
        <v>90</v>
      </c>
      <c r="AV726" s="141" t="s">
        <v>87</v>
      </c>
      <c r="AW726" s="141" t="s">
        <v>33</v>
      </c>
      <c r="AX726" s="141" t="s">
        <v>80</v>
      </c>
      <c r="AY726" s="144" t="s">
        <v>337</v>
      </c>
    </row>
    <row r="727" spans="2:51" s="148" customFormat="1" x14ac:dyDescent="0.2">
      <c r="B727" s="149"/>
      <c r="D727" s="143" t="s">
        <v>346</v>
      </c>
      <c r="E727" s="150"/>
      <c r="F727" s="151" t="s">
        <v>3573</v>
      </c>
      <c r="H727" s="152">
        <v>-2.16</v>
      </c>
      <c r="L727" s="149"/>
      <c r="M727" s="153"/>
      <c r="T727" s="154"/>
      <c r="AT727" s="150" t="s">
        <v>346</v>
      </c>
      <c r="AU727" s="150" t="s">
        <v>90</v>
      </c>
      <c r="AV727" s="148" t="s">
        <v>90</v>
      </c>
      <c r="AW727" s="148" t="s">
        <v>33</v>
      </c>
      <c r="AX727" s="148" t="s">
        <v>80</v>
      </c>
      <c r="AY727" s="150" t="s">
        <v>337</v>
      </c>
    </row>
    <row r="728" spans="2:51" s="148" customFormat="1" x14ac:dyDescent="0.2">
      <c r="B728" s="149"/>
      <c r="D728" s="143" t="s">
        <v>346</v>
      </c>
      <c r="E728" s="150"/>
      <c r="F728" s="151" t="s">
        <v>3574</v>
      </c>
      <c r="H728" s="152">
        <v>-7.2</v>
      </c>
      <c r="L728" s="149"/>
      <c r="M728" s="153"/>
      <c r="T728" s="154"/>
      <c r="AT728" s="150" t="s">
        <v>346</v>
      </c>
      <c r="AU728" s="150" t="s">
        <v>90</v>
      </c>
      <c r="AV728" s="148" t="s">
        <v>90</v>
      </c>
      <c r="AW728" s="148" t="s">
        <v>33</v>
      </c>
      <c r="AX728" s="148" t="s">
        <v>80</v>
      </c>
      <c r="AY728" s="150" t="s">
        <v>337</v>
      </c>
    </row>
    <row r="729" spans="2:51" s="148" customFormat="1" x14ac:dyDescent="0.2">
      <c r="B729" s="149"/>
      <c r="D729" s="143" t="s">
        <v>346</v>
      </c>
      <c r="E729" s="150"/>
      <c r="F729" s="151" t="s">
        <v>3575</v>
      </c>
      <c r="H729" s="152">
        <v>-29.16</v>
      </c>
      <c r="L729" s="149"/>
      <c r="M729" s="153"/>
      <c r="T729" s="154"/>
      <c r="AT729" s="150" t="s">
        <v>346</v>
      </c>
      <c r="AU729" s="150" t="s">
        <v>90</v>
      </c>
      <c r="AV729" s="148" t="s">
        <v>90</v>
      </c>
      <c r="AW729" s="148" t="s">
        <v>33</v>
      </c>
      <c r="AX729" s="148" t="s">
        <v>80</v>
      </c>
      <c r="AY729" s="150" t="s">
        <v>337</v>
      </c>
    </row>
    <row r="730" spans="2:51" s="148" customFormat="1" x14ac:dyDescent="0.2">
      <c r="B730" s="149"/>
      <c r="D730" s="143" t="s">
        <v>346</v>
      </c>
      <c r="E730" s="150"/>
      <c r="F730" s="151" t="s">
        <v>3576</v>
      </c>
      <c r="H730" s="152">
        <v>-19.8</v>
      </c>
      <c r="L730" s="149"/>
      <c r="M730" s="153"/>
      <c r="T730" s="154"/>
      <c r="AT730" s="150" t="s">
        <v>346</v>
      </c>
      <c r="AU730" s="150" t="s">
        <v>90</v>
      </c>
      <c r="AV730" s="148" t="s">
        <v>90</v>
      </c>
      <c r="AW730" s="148" t="s">
        <v>33</v>
      </c>
      <c r="AX730" s="148" t="s">
        <v>80</v>
      </c>
      <c r="AY730" s="150" t="s">
        <v>337</v>
      </c>
    </row>
    <row r="731" spans="2:51" s="141" customFormat="1" x14ac:dyDescent="0.2">
      <c r="B731" s="142"/>
      <c r="D731" s="143" t="s">
        <v>346</v>
      </c>
      <c r="E731" s="144"/>
      <c r="F731" s="145" t="s">
        <v>3577</v>
      </c>
      <c r="H731" s="144"/>
      <c r="L731" s="142"/>
      <c r="M731" s="146"/>
      <c r="T731" s="147"/>
      <c r="AT731" s="144" t="s">
        <v>346</v>
      </c>
      <c r="AU731" s="144" t="s">
        <v>90</v>
      </c>
      <c r="AV731" s="141" t="s">
        <v>87</v>
      </c>
      <c r="AW731" s="141" t="s">
        <v>33</v>
      </c>
      <c r="AX731" s="141" t="s">
        <v>80</v>
      </c>
      <c r="AY731" s="144" t="s">
        <v>337</v>
      </c>
    </row>
    <row r="732" spans="2:51" s="148" customFormat="1" x14ac:dyDescent="0.2">
      <c r="B732" s="149"/>
      <c r="D732" s="143" t="s">
        <v>346</v>
      </c>
      <c r="E732" s="150"/>
      <c r="F732" s="151" t="s">
        <v>3578</v>
      </c>
      <c r="H732" s="152">
        <v>22.195</v>
      </c>
      <c r="L732" s="149"/>
      <c r="M732" s="153"/>
      <c r="T732" s="154"/>
      <c r="AT732" s="150" t="s">
        <v>346</v>
      </c>
      <c r="AU732" s="150" t="s">
        <v>90</v>
      </c>
      <c r="AV732" s="148" t="s">
        <v>90</v>
      </c>
      <c r="AW732" s="148" t="s">
        <v>33</v>
      </c>
      <c r="AX732" s="148" t="s">
        <v>80</v>
      </c>
      <c r="AY732" s="150" t="s">
        <v>337</v>
      </c>
    </row>
    <row r="733" spans="2:51" s="148" customFormat="1" x14ac:dyDescent="0.2">
      <c r="B733" s="149"/>
      <c r="D733" s="143" t="s">
        <v>346</v>
      </c>
      <c r="E733" s="150"/>
      <c r="F733" s="151" t="s">
        <v>3579</v>
      </c>
      <c r="H733" s="152">
        <v>0.66</v>
      </c>
      <c r="L733" s="149"/>
      <c r="M733" s="153"/>
      <c r="T733" s="154"/>
      <c r="AT733" s="150" t="s">
        <v>346</v>
      </c>
      <c r="AU733" s="150" t="s">
        <v>90</v>
      </c>
      <c r="AV733" s="148" t="s">
        <v>90</v>
      </c>
      <c r="AW733" s="148" t="s">
        <v>33</v>
      </c>
      <c r="AX733" s="148" t="s">
        <v>80</v>
      </c>
      <c r="AY733" s="150" t="s">
        <v>337</v>
      </c>
    </row>
    <row r="734" spans="2:51" s="141" customFormat="1" x14ac:dyDescent="0.2">
      <c r="B734" s="142"/>
      <c r="D734" s="143" t="s">
        <v>346</v>
      </c>
      <c r="E734" s="144"/>
      <c r="F734" s="145" t="s">
        <v>3475</v>
      </c>
      <c r="H734" s="144"/>
      <c r="L734" s="142"/>
      <c r="M734" s="146"/>
      <c r="T734" s="147"/>
      <c r="AT734" s="144" t="s">
        <v>346</v>
      </c>
      <c r="AU734" s="144" t="s">
        <v>90</v>
      </c>
      <c r="AV734" s="141" t="s">
        <v>87</v>
      </c>
      <c r="AW734" s="141" t="s">
        <v>33</v>
      </c>
      <c r="AX734" s="141" t="s">
        <v>80</v>
      </c>
      <c r="AY734" s="144" t="s">
        <v>337</v>
      </c>
    </row>
    <row r="735" spans="2:51" s="148" customFormat="1" x14ac:dyDescent="0.2">
      <c r="B735" s="149"/>
      <c r="D735" s="143" t="s">
        <v>346</v>
      </c>
      <c r="E735" s="150"/>
      <c r="F735" s="151" t="s">
        <v>3580</v>
      </c>
      <c r="H735" s="152">
        <v>-0.76500000000000001</v>
      </c>
      <c r="L735" s="149"/>
      <c r="M735" s="153"/>
      <c r="T735" s="154"/>
      <c r="AT735" s="150" t="s">
        <v>346</v>
      </c>
      <c r="AU735" s="150" t="s">
        <v>90</v>
      </c>
      <c r="AV735" s="148" t="s">
        <v>90</v>
      </c>
      <c r="AW735" s="148" t="s">
        <v>33</v>
      </c>
      <c r="AX735" s="148" t="s">
        <v>80</v>
      </c>
      <c r="AY735" s="150" t="s">
        <v>337</v>
      </c>
    </row>
    <row r="736" spans="2:51" s="141" customFormat="1" x14ac:dyDescent="0.2">
      <c r="B736" s="142"/>
      <c r="D736" s="143" t="s">
        <v>346</v>
      </c>
      <c r="E736" s="144"/>
      <c r="F736" s="145" t="s">
        <v>3581</v>
      </c>
      <c r="H736" s="144"/>
      <c r="L736" s="142"/>
      <c r="M736" s="146"/>
      <c r="T736" s="147"/>
      <c r="AT736" s="144" t="s">
        <v>346</v>
      </c>
      <c r="AU736" s="144" t="s">
        <v>90</v>
      </c>
      <c r="AV736" s="141" t="s">
        <v>87</v>
      </c>
      <c r="AW736" s="141" t="s">
        <v>33</v>
      </c>
      <c r="AX736" s="141" t="s">
        <v>80</v>
      </c>
      <c r="AY736" s="144" t="s">
        <v>337</v>
      </c>
    </row>
    <row r="737" spans="2:65" s="148" customFormat="1" x14ac:dyDescent="0.2">
      <c r="B737" s="149"/>
      <c r="D737" s="143" t="s">
        <v>346</v>
      </c>
      <c r="E737" s="150"/>
      <c r="F737" s="151" t="s">
        <v>3582</v>
      </c>
      <c r="H737" s="152">
        <v>-8.74</v>
      </c>
      <c r="L737" s="149"/>
      <c r="M737" s="153"/>
      <c r="T737" s="154"/>
      <c r="AT737" s="150" t="s">
        <v>346</v>
      </c>
      <c r="AU737" s="150" t="s">
        <v>90</v>
      </c>
      <c r="AV737" s="148" t="s">
        <v>90</v>
      </c>
      <c r="AW737" s="148" t="s">
        <v>33</v>
      </c>
      <c r="AX737" s="148" t="s">
        <v>80</v>
      </c>
      <c r="AY737" s="150" t="s">
        <v>337</v>
      </c>
    </row>
    <row r="738" spans="2:65" s="141" customFormat="1" x14ac:dyDescent="0.2">
      <c r="B738" s="142"/>
      <c r="D738" s="143" t="s">
        <v>346</v>
      </c>
      <c r="E738" s="144"/>
      <c r="F738" s="145" t="s">
        <v>3583</v>
      </c>
      <c r="H738" s="144"/>
      <c r="L738" s="142"/>
      <c r="M738" s="146"/>
      <c r="T738" s="147"/>
      <c r="AT738" s="144" t="s">
        <v>346</v>
      </c>
      <c r="AU738" s="144" t="s">
        <v>90</v>
      </c>
      <c r="AV738" s="141" t="s">
        <v>87</v>
      </c>
      <c r="AW738" s="141" t="s">
        <v>33</v>
      </c>
      <c r="AX738" s="141" t="s">
        <v>80</v>
      </c>
      <c r="AY738" s="144" t="s">
        <v>337</v>
      </c>
    </row>
    <row r="739" spans="2:65" s="148" customFormat="1" x14ac:dyDescent="0.2">
      <c r="B739" s="149"/>
      <c r="D739" s="143" t="s">
        <v>346</v>
      </c>
      <c r="E739" s="150"/>
      <c r="F739" s="151" t="s">
        <v>3584</v>
      </c>
      <c r="H739" s="152">
        <v>157.16999999999999</v>
      </c>
      <c r="L739" s="149"/>
      <c r="M739" s="153"/>
      <c r="T739" s="154"/>
      <c r="AT739" s="150" t="s">
        <v>346</v>
      </c>
      <c r="AU739" s="150" t="s">
        <v>90</v>
      </c>
      <c r="AV739" s="148" t="s">
        <v>90</v>
      </c>
      <c r="AW739" s="148" t="s">
        <v>33</v>
      </c>
      <c r="AX739" s="148" t="s">
        <v>80</v>
      </c>
      <c r="AY739" s="150" t="s">
        <v>337</v>
      </c>
    </row>
    <row r="740" spans="2:65" s="141" customFormat="1" x14ac:dyDescent="0.2">
      <c r="B740" s="142"/>
      <c r="D740" s="143" t="s">
        <v>346</v>
      </c>
      <c r="E740" s="144"/>
      <c r="F740" s="145" t="s">
        <v>3585</v>
      </c>
      <c r="H740" s="144"/>
      <c r="L740" s="142"/>
      <c r="M740" s="146"/>
      <c r="T740" s="147"/>
      <c r="AT740" s="144" t="s">
        <v>346</v>
      </c>
      <c r="AU740" s="144" t="s">
        <v>90</v>
      </c>
      <c r="AV740" s="141" t="s">
        <v>87</v>
      </c>
      <c r="AW740" s="141" t="s">
        <v>33</v>
      </c>
      <c r="AX740" s="141" t="s">
        <v>80</v>
      </c>
      <c r="AY740" s="144" t="s">
        <v>337</v>
      </c>
    </row>
    <row r="741" spans="2:65" s="148" customFormat="1" x14ac:dyDescent="0.2">
      <c r="B741" s="149"/>
      <c r="D741" s="143" t="s">
        <v>346</v>
      </c>
      <c r="E741" s="150"/>
      <c r="F741" s="151" t="s">
        <v>3586</v>
      </c>
      <c r="H741" s="152">
        <v>55.77</v>
      </c>
      <c r="L741" s="149"/>
      <c r="M741" s="153"/>
      <c r="T741" s="154"/>
      <c r="AT741" s="150" t="s">
        <v>346</v>
      </c>
      <c r="AU741" s="150" t="s">
        <v>90</v>
      </c>
      <c r="AV741" s="148" t="s">
        <v>90</v>
      </c>
      <c r="AW741" s="148" t="s">
        <v>33</v>
      </c>
      <c r="AX741" s="148" t="s">
        <v>80</v>
      </c>
      <c r="AY741" s="150" t="s">
        <v>337</v>
      </c>
    </row>
    <row r="742" spans="2:65" s="141" customFormat="1" x14ac:dyDescent="0.2">
      <c r="B742" s="142"/>
      <c r="D742" s="143" t="s">
        <v>346</v>
      </c>
      <c r="E742" s="144"/>
      <c r="F742" s="145" t="s">
        <v>3587</v>
      </c>
      <c r="H742" s="144"/>
      <c r="L742" s="142"/>
      <c r="M742" s="146"/>
      <c r="T742" s="147"/>
      <c r="AT742" s="144" t="s">
        <v>346</v>
      </c>
      <c r="AU742" s="144" t="s">
        <v>90</v>
      </c>
      <c r="AV742" s="141" t="s">
        <v>87</v>
      </c>
      <c r="AW742" s="141" t="s">
        <v>33</v>
      </c>
      <c r="AX742" s="141" t="s">
        <v>80</v>
      </c>
      <c r="AY742" s="144" t="s">
        <v>337</v>
      </c>
    </row>
    <row r="743" spans="2:65" s="148" customFormat="1" x14ac:dyDescent="0.2">
      <c r="B743" s="149"/>
      <c r="D743" s="143" t="s">
        <v>346</v>
      </c>
      <c r="E743" s="150"/>
      <c r="F743" s="151" t="s">
        <v>3588</v>
      </c>
      <c r="H743" s="152">
        <v>-70.36</v>
      </c>
      <c r="L743" s="149"/>
      <c r="M743" s="153"/>
      <c r="T743" s="154"/>
      <c r="AT743" s="150" t="s">
        <v>346</v>
      </c>
      <c r="AU743" s="150" t="s">
        <v>90</v>
      </c>
      <c r="AV743" s="148" t="s">
        <v>90</v>
      </c>
      <c r="AW743" s="148" t="s">
        <v>33</v>
      </c>
      <c r="AX743" s="148" t="s">
        <v>80</v>
      </c>
      <c r="AY743" s="150" t="s">
        <v>337</v>
      </c>
    </row>
    <row r="744" spans="2:65" s="172" customFormat="1" x14ac:dyDescent="0.2">
      <c r="B744" s="173"/>
      <c r="D744" s="143" t="s">
        <v>346</v>
      </c>
      <c r="E744" s="174" t="s">
        <v>2998</v>
      </c>
      <c r="F744" s="175" t="s">
        <v>609</v>
      </c>
      <c r="H744" s="176">
        <v>342.56200000000001</v>
      </c>
      <c r="L744" s="173"/>
      <c r="M744" s="177"/>
      <c r="T744" s="178"/>
      <c r="AT744" s="174" t="s">
        <v>346</v>
      </c>
      <c r="AU744" s="174" t="s">
        <v>90</v>
      </c>
      <c r="AV744" s="172" t="s">
        <v>113</v>
      </c>
      <c r="AW744" s="172" t="s">
        <v>33</v>
      </c>
      <c r="AX744" s="172" t="s">
        <v>87</v>
      </c>
      <c r="AY744" s="174" t="s">
        <v>337</v>
      </c>
    </row>
    <row r="745" spans="2:65" s="172" customFormat="1" x14ac:dyDescent="0.2">
      <c r="B745" s="173"/>
      <c r="D745" s="143"/>
      <c r="E745" s="174"/>
      <c r="F745" s="175" t="s">
        <v>9241</v>
      </c>
      <c r="H745" s="176"/>
      <c r="L745" s="173"/>
      <c r="M745" s="177"/>
      <c r="T745" s="178"/>
      <c r="AT745" s="174"/>
      <c r="AU745" s="174"/>
      <c r="AY745" s="174"/>
    </row>
    <row r="746" spans="2:65" s="16" customFormat="1" ht="16.5" customHeight="1" x14ac:dyDescent="0.2">
      <c r="B746" s="17"/>
      <c r="C746" s="162">
        <v>72</v>
      </c>
      <c r="D746" s="162" t="s">
        <v>519</v>
      </c>
      <c r="E746" s="163" t="s">
        <v>3343</v>
      </c>
      <c r="F746" s="164" t="s">
        <v>3344</v>
      </c>
      <c r="G746" s="165" t="s">
        <v>425</v>
      </c>
      <c r="H746" s="166">
        <v>3032.8159999999998</v>
      </c>
      <c r="I746" s="167"/>
      <c r="J746" s="168">
        <f>ROUND(I746*H746,2)</f>
        <v>0</v>
      </c>
      <c r="K746" s="164" t="s">
        <v>343</v>
      </c>
      <c r="L746" s="169"/>
      <c r="M746" s="170"/>
      <c r="N746" s="171" t="s">
        <v>45</v>
      </c>
      <c r="P746" s="137">
        <f>O746*H746</f>
        <v>0</v>
      </c>
      <c r="Q746" s="137">
        <v>2.8000000000000001E-2</v>
      </c>
      <c r="R746" s="137">
        <f>Q746*H746</f>
        <v>84.918847999999997</v>
      </c>
      <c r="S746" s="137">
        <v>0</v>
      </c>
      <c r="T746" s="138">
        <f>S746*H746</f>
        <v>0</v>
      </c>
      <c r="AR746" s="139" t="s">
        <v>446</v>
      </c>
      <c r="AT746" s="139" t="s">
        <v>519</v>
      </c>
      <c r="AU746" s="139" t="s">
        <v>90</v>
      </c>
      <c r="AY746" s="2" t="s">
        <v>337</v>
      </c>
      <c r="BE746" s="140">
        <f>IF(N746="základní",J746,0)</f>
        <v>0</v>
      </c>
      <c r="BF746" s="140">
        <f>IF(N746="snížená",J746,0)</f>
        <v>0</v>
      </c>
      <c r="BG746" s="140">
        <f>IF(N746="zákl. přenesená",J746,0)</f>
        <v>0</v>
      </c>
      <c r="BH746" s="140">
        <f>IF(N746="sníž. přenesená",J746,0)</f>
        <v>0</v>
      </c>
      <c r="BI746" s="140">
        <f>IF(N746="nulová",J746,0)</f>
        <v>0</v>
      </c>
      <c r="BJ746" s="2" t="s">
        <v>87</v>
      </c>
      <c r="BK746" s="140">
        <f>ROUND(I746*H746,2)</f>
        <v>0</v>
      </c>
      <c r="BL746" s="2" t="s">
        <v>344</v>
      </c>
      <c r="BM746" s="139" t="s">
        <v>3589</v>
      </c>
    </row>
    <row r="747" spans="2:65" s="148" customFormat="1" x14ac:dyDescent="0.2">
      <c r="B747" s="149"/>
      <c r="D747" s="143" t="s">
        <v>346</v>
      </c>
      <c r="F747" s="151" t="s">
        <v>3590</v>
      </c>
      <c r="H747" s="152">
        <v>3032.8159999999998</v>
      </c>
      <c r="L747" s="149"/>
      <c r="M747" s="153"/>
      <c r="T747" s="154"/>
      <c r="AT747" s="150" t="s">
        <v>346</v>
      </c>
      <c r="AU747" s="150" t="s">
        <v>90</v>
      </c>
      <c r="AV747" s="148" t="s">
        <v>90</v>
      </c>
      <c r="AW747" s="148" t="s">
        <v>3</v>
      </c>
      <c r="AX747" s="148" t="s">
        <v>87</v>
      </c>
      <c r="AY747" s="150" t="s">
        <v>337</v>
      </c>
    </row>
    <row r="748" spans="2:65" s="16" customFormat="1" ht="24.2" customHeight="1" x14ac:dyDescent="0.2">
      <c r="B748" s="17"/>
      <c r="C748" s="128">
        <v>73</v>
      </c>
      <c r="D748" s="128" t="s">
        <v>339</v>
      </c>
      <c r="E748" s="129" t="s">
        <v>3591</v>
      </c>
      <c r="F748" s="130" t="s">
        <v>3592</v>
      </c>
      <c r="G748" s="131" t="s">
        <v>724</v>
      </c>
      <c r="H748" s="132">
        <v>1350.47</v>
      </c>
      <c r="I748" s="133"/>
      <c r="J748" s="134">
        <f>ROUND(I748*H748,2)</f>
        <v>0</v>
      </c>
      <c r="K748" s="130" t="s">
        <v>343</v>
      </c>
      <c r="L748" s="17"/>
      <c r="M748" s="135"/>
      <c r="N748" s="136" t="s">
        <v>45</v>
      </c>
      <c r="P748" s="137">
        <f>O748*H748</f>
        <v>0</v>
      </c>
      <c r="Q748" s="137">
        <v>1.7600000000000001E-3</v>
      </c>
      <c r="R748" s="137">
        <f>Q748*H748</f>
        <v>2.3768272000000001</v>
      </c>
      <c r="S748" s="137">
        <v>0</v>
      </c>
      <c r="T748" s="138">
        <f>S748*H748</f>
        <v>0</v>
      </c>
      <c r="AR748" s="139" t="s">
        <v>344</v>
      </c>
      <c r="AT748" s="139" t="s">
        <v>339</v>
      </c>
      <c r="AU748" s="139" t="s">
        <v>90</v>
      </c>
      <c r="AY748" s="2" t="s">
        <v>337</v>
      </c>
      <c r="BE748" s="140">
        <f>IF(N748="základní",J748,0)</f>
        <v>0</v>
      </c>
      <c r="BF748" s="140">
        <f>IF(N748="snížená",J748,0)</f>
        <v>0</v>
      </c>
      <c r="BG748" s="140">
        <f>IF(N748="zákl. přenesená",J748,0)</f>
        <v>0</v>
      </c>
      <c r="BH748" s="140">
        <f>IF(N748="sníž. přenesená",J748,0)</f>
        <v>0</v>
      </c>
      <c r="BI748" s="140">
        <f>IF(N748="nulová",J748,0)</f>
        <v>0</v>
      </c>
      <c r="BJ748" s="2" t="s">
        <v>87</v>
      </c>
      <c r="BK748" s="140">
        <f>ROUND(I748*H748,2)</f>
        <v>0</v>
      </c>
      <c r="BL748" s="2" t="s">
        <v>344</v>
      </c>
      <c r="BM748" s="139" t="s">
        <v>3593</v>
      </c>
    </row>
    <row r="749" spans="2:65" s="141" customFormat="1" x14ac:dyDescent="0.2">
      <c r="B749" s="142"/>
      <c r="D749" s="143" t="s">
        <v>346</v>
      </c>
      <c r="E749" s="144"/>
      <c r="F749" s="145" t="s">
        <v>3594</v>
      </c>
      <c r="H749" s="144"/>
      <c r="L749" s="142"/>
      <c r="M749" s="146"/>
      <c r="T749" s="147"/>
      <c r="AT749" s="144" t="s">
        <v>346</v>
      </c>
      <c r="AU749" s="144" t="s">
        <v>90</v>
      </c>
      <c r="AV749" s="141" t="s">
        <v>87</v>
      </c>
      <c r="AW749" s="141" t="s">
        <v>33</v>
      </c>
      <c r="AX749" s="141" t="s">
        <v>80</v>
      </c>
      <c r="AY749" s="144" t="s">
        <v>337</v>
      </c>
    </row>
    <row r="750" spans="2:65" s="141" customFormat="1" x14ac:dyDescent="0.2">
      <c r="B750" s="142"/>
      <c r="D750" s="143" t="s">
        <v>346</v>
      </c>
      <c r="E750" s="144"/>
      <c r="F750" s="145" t="s">
        <v>3595</v>
      </c>
      <c r="H750" s="144"/>
      <c r="L750" s="142"/>
      <c r="M750" s="146"/>
      <c r="T750" s="147"/>
      <c r="AT750" s="144" t="s">
        <v>346</v>
      </c>
      <c r="AU750" s="144" t="s">
        <v>90</v>
      </c>
      <c r="AV750" s="141" t="s">
        <v>87</v>
      </c>
      <c r="AW750" s="141" t="s">
        <v>33</v>
      </c>
      <c r="AX750" s="141" t="s">
        <v>80</v>
      </c>
      <c r="AY750" s="144" t="s">
        <v>337</v>
      </c>
    </row>
    <row r="751" spans="2:65" s="148" customFormat="1" x14ac:dyDescent="0.2">
      <c r="B751" s="149"/>
      <c r="D751" s="143" t="s">
        <v>346</v>
      </c>
      <c r="E751" s="150"/>
      <c r="F751" s="151" t="s">
        <v>3596</v>
      </c>
      <c r="H751" s="152">
        <v>30</v>
      </c>
      <c r="L751" s="149"/>
      <c r="M751" s="153"/>
      <c r="T751" s="154"/>
      <c r="AT751" s="150" t="s">
        <v>346</v>
      </c>
      <c r="AU751" s="150" t="s">
        <v>90</v>
      </c>
      <c r="AV751" s="148" t="s">
        <v>90</v>
      </c>
      <c r="AW751" s="148" t="s">
        <v>33</v>
      </c>
      <c r="AX751" s="148" t="s">
        <v>80</v>
      </c>
      <c r="AY751" s="150" t="s">
        <v>337</v>
      </c>
    </row>
    <row r="752" spans="2:65" s="141" customFormat="1" x14ac:dyDescent="0.2">
      <c r="B752" s="142"/>
      <c r="D752" s="143" t="s">
        <v>346</v>
      </c>
      <c r="E752" s="144"/>
      <c r="F752" s="145" t="s">
        <v>3597</v>
      </c>
      <c r="H752" s="144"/>
      <c r="L752" s="142"/>
      <c r="M752" s="146"/>
      <c r="T752" s="147"/>
      <c r="AT752" s="144" t="s">
        <v>346</v>
      </c>
      <c r="AU752" s="144" t="s">
        <v>90</v>
      </c>
      <c r="AV752" s="141" t="s">
        <v>87</v>
      </c>
      <c r="AW752" s="141" t="s">
        <v>33</v>
      </c>
      <c r="AX752" s="141" t="s">
        <v>80</v>
      </c>
      <c r="AY752" s="144" t="s">
        <v>337</v>
      </c>
    </row>
    <row r="753" spans="2:51" s="148" customFormat="1" x14ac:dyDescent="0.2">
      <c r="B753" s="149"/>
      <c r="D753" s="143" t="s">
        <v>346</v>
      </c>
      <c r="E753" s="150"/>
      <c r="F753" s="151" t="s">
        <v>3598</v>
      </c>
      <c r="H753" s="152">
        <v>3</v>
      </c>
      <c r="L753" s="149"/>
      <c r="M753" s="153"/>
      <c r="T753" s="154"/>
      <c r="AT753" s="150" t="s">
        <v>346</v>
      </c>
      <c r="AU753" s="150" t="s">
        <v>90</v>
      </c>
      <c r="AV753" s="148" t="s">
        <v>90</v>
      </c>
      <c r="AW753" s="148" t="s">
        <v>33</v>
      </c>
      <c r="AX753" s="148" t="s">
        <v>80</v>
      </c>
      <c r="AY753" s="150" t="s">
        <v>337</v>
      </c>
    </row>
    <row r="754" spans="2:51" s="141" customFormat="1" x14ac:dyDescent="0.2">
      <c r="B754" s="142"/>
      <c r="D754" s="143" t="s">
        <v>346</v>
      </c>
      <c r="E754" s="144"/>
      <c r="F754" s="145" t="s">
        <v>3599</v>
      </c>
      <c r="H754" s="144"/>
      <c r="L754" s="142"/>
      <c r="M754" s="146"/>
      <c r="T754" s="147"/>
      <c r="AT754" s="144" t="s">
        <v>346</v>
      </c>
      <c r="AU754" s="144" t="s">
        <v>90</v>
      </c>
      <c r="AV754" s="141" t="s">
        <v>87</v>
      </c>
      <c r="AW754" s="141" t="s">
        <v>33</v>
      </c>
      <c r="AX754" s="141" t="s">
        <v>80</v>
      </c>
      <c r="AY754" s="144" t="s">
        <v>337</v>
      </c>
    </row>
    <row r="755" spans="2:51" s="148" customFormat="1" x14ac:dyDescent="0.2">
      <c r="B755" s="149"/>
      <c r="D755" s="143" t="s">
        <v>346</v>
      </c>
      <c r="E755" s="150"/>
      <c r="F755" s="151" t="s">
        <v>3600</v>
      </c>
      <c r="H755" s="152">
        <v>42</v>
      </c>
      <c r="L755" s="149"/>
      <c r="M755" s="153"/>
      <c r="T755" s="154"/>
      <c r="AT755" s="150" t="s">
        <v>346</v>
      </c>
      <c r="AU755" s="150" t="s">
        <v>90</v>
      </c>
      <c r="AV755" s="148" t="s">
        <v>90</v>
      </c>
      <c r="AW755" s="148" t="s">
        <v>33</v>
      </c>
      <c r="AX755" s="148" t="s">
        <v>80</v>
      </c>
      <c r="AY755" s="150" t="s">
        <v>337</v>
      </c>
    </row>
    <row r="756" spans="2:51" s="141" customFormat="1" x14ac:dyDescent="0.2">
      <c r="B756" s="142"/>
      <c r="D756" s="143" t="s">
        <v>346</v>
      </c>
      <c r="E756" s="144"/>
      <c r="F756" s="145" t="s">
        <v>392</v>
      </c>
      <c r="H756" s="144"/>
      <c r="L756" s="142"/>
      <c r="M756" s="146"/>
      <c r="T756" s="147"/>
      <c r="AT756" s="144" t="s">
        <v>346</v>
      </c>
      <c r="AU756" s="144" t="s">
        <v>90</v>
      </c>
      <c r="AV756" s="141" t="s">
        <v>87</v>
      </c>
      <c r="AW756" s="141" t="s">
        <v>33</v>
      </c>
      <c r="AX756" s="141" t="s">
        <v>80</v>
      </c>
      <c r="AY756" s="144" t="s">
        <v>337</v>
      </c>
    </row>
    <row r="757" spans="2:51" s="148" customFormat="1" x14ac:dyDescent="0.2">
      <c r="B757" s="149"/>
      <c r="D757" s="143" t="s">
        <v>346</v>
      </c>
      <c r="E757" s="150"/>
      <c r="F757" s="151" t="s">
        <v>3601</v>
      </c>
      <c r="H757" s="152">
        <v>8.4</v>
      </c>
      <c r="L757" s="149"/>
      <c r="M757" s="153"/>
      <c r="T757" s="154"/>
      <c r="AT757" s="150" t="s">
        <v>346</v>
      </c>
      <c r="AU757" s="150" t="s">
        <v>90</v>
      </c>
      <c r="AV757" s="148" t="s">
        <v>90</v>
      </c>
      <c r="AW757" s="148" t="s">
        <v>33</v>
      </c>
      <c r="AX757" s="148" t="s">
        <v>80</v>
      </c>
      <c r="AY757" s="150" t="s">
        <v>337</v>
      </c>
    </row>
    <row r="758" spans="2:51" s="141" customFormat="1" x14ac:dyDescent="0.2">
      <c r="B758" s="142"/>
      <c r="D758" s="143" t="s">
        <v>346</v>
      </c>
      <c r="E758" s="144"/>
      <c r="F758" s="145" t="s">
        <v>3602</v>
      </c>
      <c r="H758" s="144"/>
      <c r="L758" s="142"/>
      <c r="M758" s="146"/>
      <c r="T758" s="147"/>
      <c r="AT758" s="144" t="s">
        <v>346</v>
      </c>
      <c r="AU758" s="144" t="s">
        <v>90</v>
      </c>
      <c r="AV758" s="141" t="s">
        <v>87</v>
      </c>
      <c r="AW758" s="141" t="s">
        <v>33</v>
      </c>
      <c r="AX758" s="141" t="s">
        <v>80</v>
      </c>
      <c r="AY758" s="144" t="s">
        <v>337</v>
      </c>
    </row>
    <row r="759" spans="2:51" s="148" customFormat="1" x14ac:dyDescent="0.2">
      <c r="B759" s="149"/>
      <c r="D759" s="143" t="s">
        <v>346</v>
      </c>
      <c r="E759" s="150"/>
      <c r="F759" s="151" t="s">
        <v>3603</v>
      </c>
      <c r="H759" s="152">
        <v>17.2</v>
      </c>
      <c r="L759" s="149"/>
      <c r="M759" s="153"/>
      <c r="T759" s="154"/>
      <c r="AT759" s="150" t="s">
        <v>346</v>
      </c>
      <c r="AU759" s="150" t="s">
        <v>90</v>
      </c>
      <c r="AV759" s="148" t="s">
        <v>90</v>
      </c>
      <c r="AW759" s="148" t="s">
        <v>33</v>
      </c>
      <c r="AX759" s="148" t="s">
        <v>80</v>
      </c>
      <c r="AY759" s="150" t="s">
        <v>337</v>
      </c>
    </row>
    <row r="760" spans="2:51" s="141" customFormat="1" x14ac:dyDescent="0.2">
      <c r="B760" s="142"/>
      <c r="D760" s="143" t="s">
        <v>346</v>
      </c>
      <c r="E760" s="144"/>
      <c r="F760" s="145" t="s">
        <v>3604</v>
      </c>
      <c r="H760" s="144"/>
      <c r="L760" s="142"/>
      <c r="M760" s="146"/>
      <c r="T760" s="147"/>
      <c r="AT760" s="144" t="s">
        <v>346</v>
      </c>
      <c r="AU760" s="144" t="s">
        <v>90</v>
      </c>
      <c r="AV760" s="141" t="s">
        <v>87</v>
      </c>
      <c r="AW760" s="141" t="s">
        <v>33</v>
      </c>
      <c r="AX760" s="141" t="s">
        <v>80</v>
      </c>
      <c r="AY760" s="144" t="s">
        <v>337</v>
      </c>
    </row>
    <row r="761" spans="2:51" s="148" customFormat="1" x14ac:dyDescent="0.2">
      <c r="B761" s="149"/>
      <c r="D761" s="143" t="s">
        <v>346</v>
      </c>
      <c r="E761" s="150"/>
      <c r="F761" s="151" t="s">
        <v>3605</v>
      </c>
      <c r="H761" s="152">
        <v>12.6</v>
      </c>
      <c r="L761" s="149"/>
      <c r="M761" s="153"/>
      <c r="T761" s="154"/>
      <c r="AT761" s="150" t="s">
        <v>346</v>
      </c>
      <c r="AU761" s="150" t="s">
        <v>90</v>
      </c>
      <c r="AV761" s="148" t="s">
        <v>90</v>
      </c>
      <c r="AW761" s="148" t="s">
        <v>33</v>
      </c>
      <c r="AX761" s="148" t="s">
        <v>80</v>
      </c>
      <c r="AY761" s="150" t="s">
        <v>337</v>
      </c>
    </row>
    <row r="762" spans="2:51" s="141" customFormat="1" x14ac:dyDescent="0.2">
      <c r="B762" s="142"/>
      <c r="D762" s="143" t="s">
        <v>346</v>
      </c>
      <c r="E762" s="144"/>
      <c r="F762" s="145" t="s">
        <v>3606</v>
      </c>
      <c r="H762" s="144"/>
      <c r="L762" s="142"/>
      <c r="M762" s="146"/>
      <c r="T762" s="147"/>
      <c r="AT762" s="144" t="s">
        <v>346</v>
      </c>
      <c r="AU762" s="144" t="s">
        <v>90</v>
      </c>
      <c r="AV762" s="141" t="s">
        <v>87</v>
      </c>
      <c r="AW762" s="141" t="s">
        <v>33</v>
      </c>
      <c r="AX762" s="141" t="s">
        <v>80</v>
      </c>
      <c r="AY762" s="144" t="s">
        <v>337</v>
      </c>
    </row>
    <row r="763" spans="2:51" s="148" customFormat="1" x14ac:dyDescent="0.2">
      <c r="B763" s="149"/>
      <c r="D763" s="143" t="s">
        <v>346</v>
      </c>
      <c r="E763" s="150"/>
      <c r="F763" s="151" t="s">
        <v>3607</v>
      </c>
      <c r="H763" s="152">
        <v>5.54</v>
      </c>
      <c r="L763" s="149"/>
      <c r="M763" s="153"/>
      <c r="T763" s="154"/>
      <c r="AT763" s="150" t="s">
        <v>346</v>
      </c>
      <c r="AU763" s="150" t="s">
        <v>90</v>
      </c>
      <c r="AV763" s="148" t="s">
        <v>90</v>
      </c>
      <c r="AW763" s="148" t="s">
        <v>33</v>
      </c>
      <c r="AX763" s="148" t="s">
        <v>80</v>
      </c>
      <c r="AY763" s="150" t="s">
        <v>337</v>
      </c>
    </row>
    <row r="764" spans="2:51" s="141" customFormat="1" x14ac:dyDescent="0.2">
      <c r="B764" s="142"/>
      <c r="D764" s="143" t="s">
        <v>346</v>
      </c>
      <c r="E764" s="144"/>
      <c r="F764" s="145" t="s">
        <v>407</v>
      </c>
      <c r="H764" s="144"/>
      <c r="L764" s="142"/>
      <c r="M764" s="146"/>
      <c r="T764" s="147"/>
      <c r="AT764" s="144" t="s">
        <v>346</v>
      </c>
      <c r="AU764" s="144" t="s">
        <v>90</v>
      </c>
      <c r="AV764" s="141" t="s">
        <v>87</v>
      </c>
      <c r="AW764" s="141" t="s">
        <v>33</v>
      </c>
      <c r="AX764" s="141" t="s">
        <v>80</v>
      </c>
      <c r="AY764" s="144" t="s">
        <v>337</v>
      </c>
    </row>
    <row r="765" spans="2:51" s="148" customFormat="1" x14ac:dyDescent="0.2">
      <c r="B765" s="149"/>
      <c r="D765" s="143" t="s">
        <v>346</v>
      </c>
      <c r="E765" s="150"/>
      <c r="F765" s="151" t="s">
        <v>3608</v>
      </c>
      <c r="H765" s="152">
        <v>7.2</v>
      </c>
      <c r="L765" s="149"/>
      <c r="M765" s="153"/>
      <c r="T765" s="154"/>
      <c r="AT765" s="150" t="s">
        <v>346</v>
      </c>
      <c r="AU765" s="150" t="s">
        <v>90</v>
      </c>
      <c r="AV765" s="148" t="s">
        <v>90</v>
      </c>
      <c r="AW765" s="148" t="s">
        <v>33</v>
      </c>
      <c r="AX765" s="148" t="s">
        <v>80</v>
      </c>
      <c r="AY765" s="150" t="s">
        <v>337</v>
      </c>
    </row>
    <row r="766" spans="2:51" s="141" customFormat="1" x14ac:dyDescent="0.2">
      <c r="B766" s="142"/>
      <c r="D766" s="143" t="s">
        <v>346</v>
      </c>
      <c r="E766" s="144"/>
      <c r="F766" s="145" t="s">
        <v>3609</v>
      </c>
      <c r="H766" s="144"/>
      <c r="L766" s="142"/>
      <c r="M766" s="146"/>
      <c r="T766" s="147"/>
      <c r="AT766" s="144" t="s">
        <v>346</v>
      </c>
      <c r="AU766" s="144" t="s">
        <v>90</v>
      </c>
      <c r="AV766" s="141" t="s">
        <v>87</v>
      </c>
      <c r="AW766" s="141" t="s">
        <v>33</v>
      </c>
      <c r="AX766" s="141" t="s">
        <v>80</v>
      </c>
      <c r="AY766" s="144" t="s">
        <v>337</v>
      </c>
    </row>
    <row r="767" spans="2:51" s="148" customFormat="1" x14ac:dyDescent="0.2">
      <c r="B767" s="149"/>
      <c r="D767" s="143" t="s">
        <v>346</v>
      </c>
      <c r="E767" s="150"/>
      <c r="F767" s="151" t="s">
        <v>3610</v>
      </c>
      <c r="H767" s="152">
        <v>61.6</v>
      </c>
      <c r="L767" s="149"/>
      <c r="M767" s="153"/>
      <c r="T767" s="154"/>
      <c r="AT767" s="150" t="s">
        <v>346</v>
      </c>
      <c r="AU767" s="150" t="s">
        <v>90</v>
      </c>
      <c r="AV767" s="148" t="s">
        <v>90</v>
      </c>
      <c r="AW767" s="148" t="s">
        <v>33</v>
      </c>
      <c r="AX767" s="148" t="s">
        <v>80</v>
      </c>
      <c r="AY767" s="150" t="s">
        <v>337</v>
      </c>
    </row>
    <row r="768" spans="2:51" s="141" customFormat="1" x14ac:dyDescent="0.2">
      <c r="B768" s="142"/>
      <c r="D768" s="143" t="s">
        <v>346</v>
      </c>
      <c r="E768" s="144"/>
      <c r="F768" s="145" t="s">
        <v>3611</v>
      </c>
      <c r="H768" s="144"/>
      <c r="L768" s="142"/>
      <c r="M768" s="146"/>
      <c r="T768" s="147"/>
      <c r="AT768" s="144" t="s">
        <v>346</v>
      </c>
      <c r="AU768" s="144" t="s">
        <v>90</v>
      </c>
      <c r="AV768" s="141" t="s">
        <v>87</v>
      </c>
      <c r="AW768" s="141" t="s">
        <v>33</v>
      </c>
      <c r="AX768" s="141" t="s">
        <v>80</v>
      </c>
      <c r="AY768" s="144" t="s">
        <v>337</v>
      </c>
    </row>
    <row r="769" spans="2:51" s="148" customFormat="1" x14ac:dyDescent="0.2">
      <c r="B769" s="149"/>
      <c r="D769" s="143" t="s">
        <v>346</v>
      </c>
      <c r="E769" s="150"/>
      <c r="F769" s="151" t="s">
        <v>3612</v>
      </c>
      <c r="H769" s="152">
        <v>7.5</v>
      </c>
      <c r="L769" s="149"/>
      <c r="M769" s="153"/>
      <c r="T769" s="154"/>
      <c r="AT769" s="150" t="s">
        <v>346</v>
      </c>
      <c r="AU769" s="150" t="s">
        <v>90</v>
      </c>
      <c r="AV769" s="148" t="s">
        <v>90</v>
      </c>
      <c r="AW769" s="148" t="s">
        <v>33</v>
      </c>
      <c r="AX769" s="148" t="s">
        <v>80</v>
      </c>
      <c r="AY769" s="150" t="s">
        <v>337</v>
      </c>
    </row>
    <row r="770" spans="2:51" s="141" customFormat="1" x14ac:dyDescent="0.2">
      <c r="B770" s="142"/>
      <c r="D770" s="143" t="s">
        <v>346</v>
      </c>
      <c r="E770" s="144"/>
      <c r="F770" s="145" t="s">
        <v>3613</v>
      </c>
      <c r="H770" s="144"/>
      <c r="L770" s="142"/>
      <c r="M770" s="146"/>
      <c r="T770" s="147"/>
      <c r="AT770" s="144" t="s">
        <v>346</v>
      </c>
      <c r="AU770" s="144" t="s">
        <v>90</v>
      </c>
      <c r="AV770" s="141" t="s">
        <v>87</v>
      </c>
      <c r="AW770" s="141" t="s">
        <v>33</v>
      </c>
      <c r="AX770" s="141" t="s">
        <v>80</v>
      </c>
      <c r="AY770" s="144" t="s">
        <v>337</v>
      </c>
    </row>
    <row r="771" spans="2:51" s="148" customFormat="1" x14ac:dyDescent="0.2">
      <c r="B771" s="149"/>
      <c r="D771" s="143" t="s">
        <v>346</v>
      </c>
      <c r="E771" s="150"/>
      <c r="F771" s="151" t="s">
        <v>3614</v>
      </c>
      <c r="H771" s="152">
        <v>23.88</v>
      </c>
      <c r="L771" s="149"/>
      <c r="M771" s="153"/>
      <c r="T771" s="154"/>
      <c r="AT771" s="150" t="s">
        <v>346</v>
      </c>
      <c r="AU771" s="150" t="s">
        <v>90</v>
      </c>
      <c r="AV771" s="148" t="s">
        <v>90</v>
      </c>
      <c r="AW771" s="148" t="s">
        <v>33</v>
      </c>
      <c r="AX771" s="148" t="s">
        <v>80</v>
      </c>
      <c r="AY771" s="150" t="s">
        <v>337</v>
      </c>
    </row>
    <row r="772" spans="2:51" s="141" customFormat="1" x14ac:dyDescent="0.2">
      <c r="B772" s="142"/>
      <c r="D772" s="143" t="s">
        <v>346</v>
      </c>
      <c r="E772" s="144"/>
      <c r="F772" s="145" t="s">
        <v>3615</v>
      </c>
      <c r="H772" s="144"/>
      <c r="L772" s="142"/>
      <c r="M772" s="146"/>
      <c r="T772" s="147"/>
      <c r="AT772" s="144" t="s">
        <v>346</v>
      </c>
      <c r="AU772" s="144" t="s">
        <v>90</v>
      </c>
      <c r="AV772" s="141" t="s">
        <v>87</v>
      </c>
      <c r="AW772" s="141" t="s">
        <v>33</v>
      </c>
      <c r="AX772" s="141" t="s">
        <v>80</v>
      </c>
      <c r="AY772" s="144" t="s">
        <v>337</v>
      </c>
    </row>
    <row r="773" spans="2:51" s="148" customFormat="1" x14ac:dyDescent="0.2">
      <c r="B773" s="149"/>
      <c r="D773" s="143" t="s">
        <v>346</v>
      </c>
      <c r="E773" s="150"/>
      <c r="F773" s="151" t="s">
        <v>3616</v>
      </c>
      <c r="H773" s="152">
        <v>10.24</v>
      </c>
      <c r="L773" s="149"/>
      <c r="M773" s="153"/>
      <c r="T773" s="154"/>
      <c r="AT773" s="150" t="s">
        <v>346</v>
      </c>
      <c r="AU773" s="150" t="s">
        <v>90</v>
      </c>
      <c r="AV773" s="148" t="s">
        <v>90</v>
      </c>
      <c r="AW773" s="148" t="s">
        <v>33</v>
      </c>
      <c r="AX773" s="148" t="s">
        <v>80</v>
      </c>
      <c r="AY773" s="150" t="s">
        <v>337</v>
      </c>
    </row>
    <row r="774" spans="2:51" s="141" customFormat="1" x14ac:dyDescent="0.2">
      <c r="B774" s="142"/>
      <c r="D774" s="143" t="s">
        <v>346</v>
      </c>
      <c r="E774" s="144"/>
      <c r="F774" s="145" t="s">
        <v>3617</v>
      </c>
      <c r="H774" s="144"/>
      <c r="L774" s="142"/>
      <c r="M774" s="146"/>
      <c r="T774" s="147"/>
      <c r="AT774" s="144" t="s">
        <v>346</v>
      </c>
      <c r="AU774" s="144" t="s">
        <v>90</v>
      </c>
      <c r="AV774" s="141" t="s">
        <v>87</v>
      </c>
      <c r="AW774" s="141" t="s">
        <v>33</v>
      </c>
      <c r="AX774" s="141" t="s">
        <v>80</v>
      </c>
      <c r="AY774" s="144" t="s">
        <v>337</v>
      </c>
    </row>
    <row r="775" spans="2:51" s="148" customFormat="1" x14ac:dyDescent="0.2">
      <c r="B775" s="149"/>
      <c r="D775" s="143" t="s">
        <v>346</v>
      </c>
      <c r="E775" s="150"/>
      <c r="F775" s="151" t="s">
        <v>3618</v>
      </c>
      <c r="H775" s="152">
        <v>6.94</v>
      </c>
      <c r="L775" s="149"/>
      <c r="M775" s="153"/>
      <c r="T775" s="154"/>
      <c r="AT775" s="150" t="s">
        <v>346</v>
      </c>
      <c r="AU775" s="150" t="s">
        <v>90</v>
      </c>
      <c r="AV775" s="148" t="s">
        <v>90</v>
      </c>
      <c r="AW775" s="148" t="s">
        <v>33</v>
      </c>
      <c r="AX775" s="148" t="s">
        <v>80</v>
      </c>
      <c r="AY775" s="150" t="s">
        <v>337</v>
      </c>
    </row>
    <row r="776" spans="2:51" s="141" customFormat="1" x14ac:dyDescent="0.2">
      <c r="B776" s="142"/>
      <c r="D776" s="143" t="s">
        <v>346</v>
      </c>
      <c r="E776" s="144"/>
      <c r="F776" s="145" t="s">
        <v>405</v>
      </c>
      <c r="H776" s="144"/>
      <c r="L776" s="142"/>
      <c r="M776" s="146"/>
      <c r="T776" s="147"/>
      <c r="AT776" s="144" t="s">
        <v>346</v>
      </c>
      <c r="AU776" s="144" t="s">
        <v>90</v>
      </c>
      <c r="AV776" s="141" t="s">
        <v>87</v>
      </c>
      <c r="AW776" s="141" t="s">
        <v>33</v>
      </c>
      <c r="AX776" s="141" t="s">
        <v>80</v>
      </c>
      <c r="AY776" s="144" t="s">
        <v>337</v>
      </c>
    </row>
    <row r="777" spans="2:51" s="148" customFormat="1" x14ac:dyDescent="0.2">
      <c r="B777" s="149"/>
      <c r="D777" s="143" t="s">
        <v>346</v>
      </c>
      <c r="E777" s="150"/>
      <c r="F777" s="151" t="s">
        <v>3619</v>
      </c>
      <c r="H777" s="152">
        <v>25.92</v>
      </c>
      <c r="L777" s="149"/>
      <c r="M777" s="153"/>
      <c r="T777" s="154"/>
      <c r="AT777" s="150" t="s">
        <v>346</v>
      </c>
      <c r="AU777" s="150" t="s">
        <v>90</v>
      </c>
      <c r="AV777" s="148" t="s">
        <v>90</v>
      </c>
      <c r="AW777" s="148" t="s">
        <v>33</v>
      </c>
      <c r="AX777" s="148" t="s">
        <v>80</v>
      </c>
      <c r="AY777" s="150" t="s">
        <v>337</v>
      </c>
    </row>
    <row r="778" spans="2:51" s="141" customFormat="1" x14ac:dyDescent="0.2">
      <c r="B778" s="142"/>
      <c r="D778" s="143" t="s">
        <v>346</v>
      </c>
      <c r="E778" s="144"/>
      <c r="F778" s="145" t="s">
        <v>3620</v>
      </c>
      <c r="H778" s="144"/>
      <c r="L778" s="142"/>
      <c r="M778" s="146"/>
      <c r="T778" s="147"/>
      <c r="AT778" s="144" t="s">
        <v>346</v>
      </c>
      <c r="AU778" s="144" t="s">
        <v>90</v>
      </c>
      <c r="AV778" s="141" t="s">
        <v>87</v>
      </c>
      <c r="AW778" s="141" t="s">
        <v>33</v>
      </c>
      <c r="AX778" s="141" t="s">
        <v>80</v>
      </c>
      <c r="AY778" s="144" t="s">
        <v>337</v>
      </c>
    </row>
    <row r="779" spans="2:51" s="148" customFormat="1" x14ac:dyDescent="0.2">
      <c r="B779" s="149"/>
      <c r="D779" s="143" t="s">
        <v>346</v>
      </c>
      <c r="E779" s="150"/>
      <c r="F779" s="151" t="s">
        <v>3621</v>
      </c>
      <c r="H779" s="152">
        <v>35.6</v>
      </c>
      <c r="L779" s="149"/>
      <c r="M779" s="153"/>
      <c r="T779" s="154"/>
      <c r="AT779" s="150" t="s">
        <v>346</v>
      </c>
      <c r="AU779" s="150" t="s">
        <v>90</v>
      </c>
      <c r="AV779" s="148" t="s">
        <v>90</v>
      </c>
      <c r="AW779" s="148" t="s">
        <v>33</v>
      </c>
      <c r="AX779" s="148" t="s">
        <v>80</v>
      </c>
      <c r="AY779" s="150" t="s">
        <v>337</v>
      </c>
    </row>
    <row r="780" spans="2:51" s="141" customFormat="1" x14ac:dyDescent="0.2">
      <c r="B780" s="142"/>
      <c r="D780" s="143" t="s">
        <v>346</v>
      </c>
      <c r="E780" s="144"/>
      <c r="F780" s="145" t="s">
        <v>3622</v>
      </c>
      <c r="H780" s="144"/>
      <c r="L780" s="142"/>
      <c r="M780" s="146"/>
      <c r="T780" s="147"/>
      <c r="AT780" s="144" t="s">
        <v>346</v>
      </c>
      <c r="AU780" s="144" t="s">
        <v>90</v>
      </c>
      <c r="AV780" s="141" t="s">
        <v>87</v>
      </c>
      <c r="AW780" s="141" t="s">
        <v>33</v>
      </c>
      <c r="AX780" s="141" t="s">
        <v>80</v>
      </c>
      <c r="AY780" s="144" t="s">
        <v>337</v>
      </c>
    </row>
    <row r="781" spans="2:51" s="148" customFormat="1" x14ac:dyDescent="0.2">
      <c r="B781" s="149"/>
      <c r="D781" s="143" t="s">
        <v>346</v>
      </c>
      <c r="E781" s="150"/>
      <c r="F781" s="151" t="s">
        <v>3623</v>
      </c>
      <c r="H781" s="152">
        <v>18.12</v>
      </c>
      <c r="L781" s="149"/>
      <c r="M781" s="153"/>
      <c r="T781" s="154"/>
      <c r="AT781" s="150" t="s">
        <v>346</v>
      </c>
      <c r="AU781" s="150" t="s">
        <v>90</v>
      </c>
      <c r="AV781" s="148" t="s">
        <v>90</v>
      </c>
      <c r="AW781" s="148" t="s">
        <v>33</v>
      </c>
      <c r="AX781" s="148" t="s">
        <v>80</v>
      </c>
      <c r="AY781" s="150" t="s">
        <v>337</v>
      </c>
    </row>
    <row r="782" spans="2:51" s="141" customFormat="1" x14ac:dyDescent="0.2">
      <c r="B782" s="142"/>
      <c r="D782" s="143" t="s">
        <v>346</v>
      </c>
      <c r="E782" s="144"/>
      <c r="F782" s="145" t="s">
        <v>409</v>
      </c>
      <c r="H782" s="144"/>
      <c r="L782" s="142"/>
      <c r="M782" s="146"/>
      <c r="T782" s="147"/>
      <c r="AT782" s="144" t="s">
        <v>346</v>
      </c>
      <c r="AU782" s="144" t="s">
        <v>90</v>
      </c>
      <c r="AV782" s="141" t="s">
        <v>87</v>
      </c>
      <c r="AW782" s="141" t="s">
        <v>33</v>
      </c>
      <c r="AX782" s="141" t="s">
        <v>80</v>
      </c>
      <c r="AY782" s="144" t="s">
        <v>337</v>
      </c>
    </row>
    <row r="783" spans="2:51" s="148" customFormat="1" x14ac:dyDescent="0.2">
      <c r="B783" s="149"/>
      <c r="D783" s="143" t="s">
        <v>346</v>
      </c>
      <c r="E783" s="150"/>
      <c r="F783" s="151" t="s">
        <v>3624</v>
      </c>
      <c r="H783" s="152">
        <v>8.9499999999999993</v>
      </c>
      <c r="L783" s="149"/>
      <c r="M783" s="153"/>
      <c r="T783" s="154"/>
      <c r="AT783" s="150" t="s">
        <v>346</v>
      </c>
      <c r="AU783" s="150" t="s">
        <v>90</v>
      </c>
      <c r="AV783" s="148" t="s">
        <v>90</v>
      </c>
      <c r="AW783" s="148" t="s">
        <v>33</v>
      </c>
      <c r="AX783" s="148" t="s">
        <v>80</v>
      </c>
      <c r="AY783" s="150" t="s">
        <v>337</v>
      </c>
    </row>
    <row r="784" spans="2:51" s="141" customFormat="1" x14ac:dyDescent="0.2">
      <c r="B784" s="142"/>
      <c r="D784" s="143" t="s">
        <v>346</v>
      </c>
      <c r="E784" s="144"/>
      <c r="F784" s="145" t="s">
        <v>399</v>
      </c>
      <c r="H784" s="144"/>
      <c r="L784" s="142"/>
      <c r="M784" s="146"/>
      <c r="T784" s="147"/>
      <c r="AT784" s="144" t="s">
        <v>346</v>
      </c>
      <c r="AU784" s="144" t="s">
        <v>90</v>
      </c>
      <c r="AV784" s="141" t="s">
        <v>87</v>
      </c>
      <c r="AW784" s="141" t="s">
        <v>33</v>
      </c>
      <c r="AX784" s="141" t="s">
        <v>80</v>
      </c>
      <c r="AY784" s="144" t="s">
        <v>337</v>
      </c>
    </row>
    <row r="785" spans="2:51" s="148" customFormat="1" x14ac:dyDescent="0.2">
      <c r="B785" s="149"/>
      <c r="D785" s="143" t="s">
        <v>346</v>
      </c>
      <c r="E785" s="150"/>
      <c r="F785" s="151" t="s">
        <v>3625</v>
      </c>
      <c r="H785" s="152">
        <v>36.76</v>
      </c>
      <c r="L785" s="149"/>
      <c r="M785" s="153"/>
      <c r="T785" s="154"/>
      <c r="AT785" s="150" t="s">
        <v>346</v>
      </c>
      <c r="AU785" s="150" t="s">
        <v>90</v>
      </c>
      <c r="AV785" s="148" t="s">
        <v>90</v>
      </c>
      <c r="AW785" s="148" t="s">
        <v>33</v>
      </c>
      <c r="AX785" s="148" t="s">
        <v>80</v>
      </c>
      <c r="AY785" s="150" t="s">
        <v>337</v>
      </c>
    </row>
    <row r="786" spans="2:51" s="141" customFormat="1" x14ac:dyDescent="0.2">
      <c r="B786" s="142"/>
      <c r="D786" s="143" t="s">
        <v>346</v>
      </c>
      <c r="E786" s="144"/>
      <c r="F786" s="145" t="s">
        <v>3626</v>
      </c>
      <c r="H786" s="144"/>
      <c r="L786" s="142"/>
      <c r="M786" s="146"/>
      <c r="T786" s="147"/>
      <c r="AT786" s="144" t="s">
        <v>346</v>
      </c>
      <c r="AU786" s="144" t="s">
        <v>90</v>
      </c>
      <c r="AV786" s="141" t="s">
        <v>87</v>
      </c>
      <c r="AW786" s="141" t="s">
        <v>33</v>
      </c>
      <c r="AX786" s="141" t="s">
        <v>80</v>
      </c>
      <c r="AY786" s="144" t="s">
        <v>337</v>
      </c>
    </row>
    <row r="787" spans="2:51" s="148" customFormat="1" x14ac:dyDescent="0.2">
      <c r="B787" s="149"/>
      <c r="D787" s="143" t="s">
        <v>346</v>
      </c>
      <c r="E787" s="150"/>
      <c r="F787" s="151" t="s">
        <v>3627</v>
      </c>
      <c r="H787" s="152">
        <v>9.6</v>
      </c>
      <c r="L787" s="149"/>
      <c r="M787" s="153"/>
      <c r="T787" s="154"/>
      <c r="AT787" s="150" t="s">
        <v>346</v>
      </c>
      <c r="AU787" s="150" t="s">
        <v>90</v>
      </c>
      <c r="AV787" s="148" t="s">
        <v>90</v>
      </c>
      <c r="AW787" s="148" t="s">
        <v>33</v>
      </c>
      <c r="AX787" s="148" t="s">
        <v>80</v>
      </c>
      <c r="AY787" s="150" t="s">
        <v>337</v>
      </c>
    </row>
    <row r="788" spans="2:51" s="141" customFormat="1" x14ac:dyDescent="0.2">
      <c r="B788" s="142"/>
      <c r="D788" s="143" t="s">
        <v>346</v>
      </c>
      <c r="E788" s="144"/>
      <c r="F788" s="145" t="s">
        <v>3628</v>
      </c>
      <c r="H788" s="144"/>
      <c r="L788" s="142"/>
      <c r="M788" s="146"/>
      <c r="T788" s="147"/>
      <c r="AT788" s="144" t="s">
        <v>346</v>
      </c>
      <c r="AU788" s="144" t="s">
        <v>90</v>
      </c>
      <c r="AV788" s="141" t="s">
        <v>87</v>
      </c>
      <c r="AW788" s="141" t="s">
        <v>33</v>
      </c>
      <c r="AX788" s="141" t="s">
        <v>80</v>
      </c>
      <c r="AY788" s="144" t="s">
        <v>337</v>
      </c>
    </row>
    <row r="789" spans="2:51" s="148" customFormat="1" x14ac:dyDescent="0.2">
      <c r="B789" s="149"/>
      <c r="D789" s="143" t="s">
        <v>346</v>
      </c>
      <c r="E789" s="150"/>
      <c r="F789" s="151" t="s">
        <v>3629</v>
      </c>
      <c r="H789" s="152">
        <v>11.4</v>
      </c>
      <c r="L789" s="149"/>
      <c r="M789" s="153"/>
      <c r="T789" s="154"/>
      <c r="AT789" s="150" t="s">
        <v>346</v>
      </c>
      <c r="AU789" s="150" t="s">
        <v>90</v>
      </c>
      <c r="AV789" s="148" t="s">
        <v>90</v>
      </c>
      <c r="AW789" s="148" t="s">
        <v>33</v>
      </c>
      <c r="AX789" s="148" t="s">
        <v>80</v>
      </c>
      <c r="AY789" s="150" t="s">
        <v>337</v>
      </c>
    </row>
    <row r="790" spans="2:51" s="141" customFormat="1" x14ac:dyDescent="0.2">
      <c r="B790" s="142"/>
      <c r="D790" s="143" t="s">
        <v>346</v>
      </c>
      <c r="E790" s="144"/>
      <c r="F790" s="145" t="s">
        <v>3630</v>
      </c>
      <c r="H790" s="144"/>
      <c r="L790" s="142"/>
      <c r="M790" s="146"/>
      <c r="T790" s="147"/>
      <c r="AT790" s="144" t="s">
        <v>346</v>
      </c>
      <c r="AU790" s="144" t="s">
        <v>90</v>
      </c>
      <c r="AV790" s="141" t="s">
        <v>87</v>
      </c>
      <c r="AW790" s="141" t="s">
        <v>33</v>
      </c>
      <c r="AX790" s="141" t="s">
        <v>80</v>
      </c>
      <c r="AY790" s="144" t="s">
        <v>337</v>
      </c>
    </row>
    <row r="791" spans="2:51" s="148" customFormat="1" x14ac:dyDescent="0.2">
      <c r="B791" s="149"/>
      <c r="D791" s="143" t="s">
        <v>346</v>
      </c>
      <c r="E791" s="150"/>
      <c r="F791" s="151" t="s">
        <v>3629</v>
      </c>
      <c r="H791" s="152">
        <v>11.4</v>
      </c>
      <c r="L791" s="149"/>
      <c r="M791" s="153"/>
      <c r="T791" s="154"/>
      <c r="AT791" s="150" t="s">
        <v>346</v>
      </c>
      <c r="AU791" s="150" t="s">
        <v>90</v>
      </c>
      <c r="AV791" s="148" t="s">
        <v>90</v>
      </c>
      <c r="AW791" s="148" t="s">
        <v>33</v>
      </c>
      <c r="AX791" s="148" t="s">
        <v>80</v>
      </c>
      <c r="AY791" s="150" t="s">
        <v>337</v>
      </c>
    </row>
    <row r="792" spans="2:51" s="141" customFormat="1" x14ac:dyDescent="0.2">
      <c r="B792" s="142"/>
      <c r="D792" s="143" t="s">
        <v>346</v>
      </c>
      <c r="E792" s="144"/>
      <c r="F792" s="145" t="s">
        <v>3631</v>
      </c>
      <c r="H792" s="144"/>
      <c r="L792" s="142"/>
      <c r="M792" s="146"/>
      <c r="T792" s="147"/>
      <c r="AT792" s="144" t="s">
        <v>346</v>
      </c>
      <c r="AU792" s="144" t="s">
        <v>90</v>
      </c>
      <c r="AV792" s="141" t="s">
        <v>87</v>
      </c>
      <c r="AW792" s="141" t="s">
        <v>33</v>
      </c>
      <c r="AX792" s="141" t="s">
        <v>80</v>
      </c>
      <c r="AY792" s="144" t="s">
        <v>337</v>
      </c>
    </row>
    <row r="793" spans="2:51" s="148" customFormat="1" x14ac:dyDescent="0.2">
      <c r="B793" s="149"/>
      <c r="D793" s="143" t="s">
        <v>346</v>
      </c>
      <c r="E793" s="150"/>
      <c r="F793" s="151" t="s">
        <v>3632</v>
      </c>
      <c r="H793" s="152">
        <v>23.72</v>
      </c>
      <c r="L793" s="149"/>
      <c r="M793" s="153"/>
      <c r="T793" s="154"/>
      <c r="AT793" s="150" t="s">
        <v>346</v>
      </c>
      <c r="AU793" s="150" t="s">
        <v>90</v>
      </c>
      <c r="AV793" s="148" t="s">
        <v>90</v>
      </c>
      <c r="AW793" s="148" t="s">
        <v>33</v>
      </c>
      <c r="AX793" s="148" t="s">
        <v>80</v>
      </c>
      <c r="AY793" s="150" t="s">
        <v>337</v>
      </c>
    </row>
    <row r="794" spans="2:51" s="141" customFormat="1" x14ac:dyDescent="0.2">
      <c r="B794" s="142"/>
      <c r="D794" s="143" t="s">
        <v>346</v>
      </c>
      <c r="E794" s="144"/>
      <c r="F794" s="145" t="s">
        <v>3633</v>
      </c>
      <c r="H794" s="144"/>
      <c r="L794" s="142"/>
      <c r="M794" s="146"/>
      <c r="T794" s="147"/>
      <c r="AT794" s="144" t="s">
        <v>346</v>
      </c>
      <c r="AU794" s="144" t="s">
        <v>90</v>
      </c>
      <c r="AV794" s="141" t="s">
        <v>87</v>
      </c>
      <c r="AW794" s="141" t="s">
        <v>33</v>
      </c>
      <c r="AX794" s="141" t="s">
        <v>80</v>
      </c>
      <c r="AY794" s="144" t="s">
        <v>337</v>
      </c>
    </row>
    <row r="795" spans="2:51" s="148" customFormat="1" x14ac:dyDescent="0.2">
      <c r="B795" s="149"/>
      <c r="D795" s="143" t="s">
        <v>346</v>
      </c>
      <c r="E795" s="150"/>
      <c r="F795" s="151" t="s">
        <v>3634</v>
      </c>
      <c r="H795" s="152">
        <v>58</v>
      </c>
      <c r="L795" s="149"/>
      <c r="M795" s="153"/>
      <c r="T795" s="154"/>
      <c r="AT795" s="150" t="s">
        <v>346</v>
      </c>
      <c r="AU795" s="150" t="s">
        <v>90</v>
      </c>
      <c r="AV795" s="148" t="s">
        <v>90</v>
      </c>
      <c r="AW795" s="148" t="s">
        <v>33</v>
      </c>
      <c r="AX795" s="148" t="s">
        <v>80</v>
      </c>
      <c r="AY795" s="150" t="s">
        <v>337</v>
      </c>
    </row>
    <row r="796" spans="2:51" s="141" customFormat="1" x14ac:dyDescent="0.2">
      <c r="B796" s="142"/>
      <c r="D796" s="143" t="s">
        <v>346</v>
      </c>
      <c r="E796" s="144"/>
      <c r="F796" s="145" t="s">
        <v>3635</v>
      </c>
      <c r="H796" s="144"/>
      <c r="L796" s="142"/>
      <c r="M796" s="146"/>
      <c r="T796" s="147"/>
      <c r="AT796" s="144" t="s">
        <v>346</v>
      </c>
      <c r="AU796" s="144" t="s">
        <v>90</v>
      </c>
      <c r="AV796" s="141" t="s">
        <v>87</v>
      </c>
      <c r="AW796" s="141" t="s">
        <v>33</v>
      </c>
      <c r="AX796" s="141" t="s">
        <v>80</v>
      </c>
      <c r="AY796" s="144" t="s">
        <v>337</v>
      </c>
    </row>
    <row r="797" spans="2:51" s="148" customFormat="1" x14ac:dyDescent="0.2">
      <c r="B797" s="149"/>
      <c r="D797" s="143" t="s">
        <v>346</v>
      </c>
      <c r="E797" s="150"/>
      <c r="F797" s="151" t="s">
        <v>3636</v>
      </c>
      <c r="H797" s="152">
        <v>13.06</v>
      </c>
      <c r="L797" s="149"/>
      <c r="M797" s="153"/>
      <c r="T797" s="154"/>
      <c r="AT797" s="150" t="s">
        <v>346</v>
      </c>
      <c r="AU797" s="150" t="s">
        <v>90</v>
      </c>
      <c r="AV797" s="148" t="s">
        <v>90</v>
      </c>
      <c r="AW797" s="148" t="s">
        <v>33</v>
      </c>
      <c r="AX797" s="148" t="s">
        <v>80</v>
      </c>
      <c r="AY797" s="150" t="s">
        <v>337</v>
      </c>
    </row>
    <row r="798" spans="2:51" s="141" customFormat="1" x14ac:dyDescent="0.2">
      <c r="B798" s="142"/>
      <c r="D798" s="143" t="s">
        <v>346</v>
      </c>
      <c r="E798" s="144"/>
      <c r="F798" s="145" t="s">
        <v>3637</v>
      </c>
      <c r="H798" s="144"/>
      <c r="L798" s="142"/>
      <c r="M798" s="146"/>
      <c r="T798" s="147"/>
      <c r="AT798" s="144" t="s">
        <v>346</v>
      </c>
      <c r="AU798" s="144" t="s">
        <v>90</v>
      </c>
      <c r="AV798" s="141" t="s">
        <v>87</v>
      </c>
      <c r="AW798" s="141" t="s">
        <v>33</v>
      </c>
      <c r="AX798" s="141" t="s">
        <v>80</v>
      </c>
      <c r="AY798" s="144" t="s">
        <v>337</v>
      </c>
    </row>
    <row r="799" spans="2:51" s="148" customFormat="1" x14ac:dyDescent="0.2">
      <c r="B799" s="149"/>
      <c r="D799" s="143" t="s">
        <v>346</v>
      </c>
      <c r="E799" s="150"/>
      <c r="F799" s="151" t="s">
        <v>3638</v>
      </c>
      <c r="H799" s="152">
        <v>26.12</v>
      </c>
      <c r="L799" s="149"/>
      <c r="M799" s="153"/>
      <c r="T799" s="154"/>
      <c r="AT799" s="150" t="s">
        <v>346</v>
      </c>
      <c r="AU799" s="150" t="s">
        <v>90</v>
      </c>
      <c r="AV799" s="148" t="s">
        <v>90</v>
      </c>
      <c r="AW799" s="148" t="s">
        <v>33</v>
      </c>
      <c r="AX799" s="148" t="s">
        <v>80</v>
      </c>
      <c r="AY799" s="150" t="s">
        <v>337</v>
      </c>
    </row>
    <row r="800" spans="2:51" s="141" customFormat="1" x14ac:dyDescent="0.2">
      <c r="B800" s="142"/>
      <c r="D800" s="143" t="s">
        <v>346</v>
      </c>
      <c r="E800" s="144"/>
      <c r="F800" s="145" t="s">
        <v>3639</v>
      </c>
      <c r="H800" s="144"/>
      <c r="L800" s="142"/>
      <c r="M800" s="146"/>
      <c r="T800" s="147"/>
      <c r="AT800" s="144" t="s">
        <v>346</v>
      </c>
      <c r="AU800" s="144" t="s">
        <v>90</v>
      </c>
      <c r="AV800" s="141" t="s">
        <v>87</v>
      </c>
      <c r="AW800" s="141" t="s">
        <v>33</v>
      </c>
      <c r="AX800" s="141" t="s">
        <v>80</v>
      </c>
      <c r="AY800" s="144" t="s">
        <v>337</v>
      </c>
    </row>
    <row r="801" spans="2:51" s="148" customFormat="1" x14ac:dyDescent="0.2">
      <c r="B801" s="149"/>
      <c r="D801" s="143" t="s">
        <v>346</v>
      </c>
      <c r="E801" s="150"/>
      <c r="F801" s="151" t="s">
        <v>3640</v>
      </c>
      <c r="H801" s="152">
        <v>39.18</v>
      </c>
      <c r="L801" s="149"/>
      <c r="M801" s="153"/>
      <c r="T801" s="154"/>
      <c r="AT801" s="150" t="s">
        <v>346</v>
      </c>
      <c r="AU801" s="150" t="s">
        <v>90</v>
      </c>
      <c r="AV801" s="148" t="s">
        <v>90</v>
      </c>
      <c r="AW801" s="148" t="s">
        <v>33</v>
      </c>
      <c r="AX801" s="148" t="s">
        <v>80</v>
      </c>
      <c r="AY801" s="150" t="s">
        <v>337</v>
      </c>
    </row>
    <row r="802" spans="2:51" s="141" customFormat="1" x14ac:dyDescent="0.2">
      <c r="B802" s="142"/>
      <c r="D802" s="143" t="s">
        <v>346</v>
      </c>
      <c r="E802" s="144"/>
      <c r="F802" s="145" t="s">
        <v>3641</v>
      </c>
      <c r="H802" s="144"/>
      <c r="L802" s="142"/>
      <c r="M802" s="146"/>
      <c r="T802" s="147"/>
      <c r="AT802" s="144" t="s">
        <v>346</v>
      </c>
      <c r="AU802" s="144" t="s">
        <v>90</v>
      </c>
      <c r="AV802" s="141" t="s">
        <v>87</v>
      </c>
      <c r="AW802" s="141" t="s">
        <v>33</v>
      </c>
      <c r="AX802" s="141" t="s">
        <v>80</v>
      </c>
      <c r="AY802" s="144" t="s">
        <v>337</v>
      </c>
    </row>
    <row r="803" spans="2:51" s="148" customFormat="1" x14ac:dyDescent="0.2">
      <c r="B803" s="149"/>
      <c r="D803" s="143" t="s">
        <v>346</v>
      </c>
      <c r="E803" s="150"/>
      <c r="F803" s="151" t="s">
        <v>3642</v>
      </c>
      <c r="H803" s="152">
        <v>216</v>
      </c>
      <c r="L803" s="149"/>
      <c r="M803" s="153"/>
      <c r="T803" s="154"/>
      <c r="AT803" s="150" t="s">
        <v>346</v>
      </c>
      <c r="AU803" s="150" t="s">
        <v>90</v>
      </c>
      <c r="AV803" s="148" t="s">
        <v>90</v>
      </c>
      <c r="AW803" s="148" t="s">
        <v>33</v>
      </c>
      <c r="AX803" s="148" t="s">
        <v>80</v>
      </c>
      <c r="AY803" s="150" t="s">
        <v>337</v>
      </c>
    </row>
    <row r="804" spans="2:51" s="141" customFormat="1" x14ac:dyDescent="0.2">
      <c r="B804" s="142"/>
      <c r="D804" s="143" t="s">
        <v>346</v>
      </c>
      <c r="E804" s="144"/>
      <c r="F804" s="145" t="s">
        <v>3643</v>
      </c>
      <c r="H804" s="144"/>
      <c r="L804" s="142"/>
      <c r="M804" s="146"/>
      <c r="T804" s="147"/>
      <c r="AT804" s="144" t="s">
        <v>346</v>
      </c>
      <c r="AU804" s="144" t="s">
        <v>90</v>
      </c>
      <c r="AV804" s="141" t="s">
        <v>87</v>
      </c>
      <c r="AW804" s="141" t="s">
        <v>33</v>
      </c>
      <c r="AX804" s="141" t="s">
        <v>80</v>
      </c>
      <c r="AY804" s="144" t="s">
        <v>337</v>
      </c>
    </row>
    <row r="805" spans="2:51" s="148" customFormat="1" x14ac:dyDescent="0.2">
      <c r="B805" s="149"/>
      <c r="D805" s="143" t="s">
        <v>346</v>
      </c>
      <c r="E805" s="150"/>
      <c r="F805" s="151" t="s">
        <v>3644</v>
      </c>
      <c r="H805" s="152">
        <v>146</v>
      </c>
      <c r="L805" s="149"/>
      <c r="M805" s="153"/>
      <c r="T805" s="154"/>
      <c r="AT805" s="150" t="s">
        <v>346</v>
      </c>
      <c r="AU805" s="150" t="s">
        <v>90</v>
      </c>
      <c r="AV805" s="148" t="s">
        <v>90</v>
      </c>
      <c r="AW805" s="148" t="s">
        <v>33</v>
      </c>
      <c r="AX805" s="148" t="s">
        <v>80</v>
      </c>
      <c r="AY805" s="150" t="s">
        <v>337</v>
      </c>
    </row>
    <row r="806" spans="2:51" s="141" customFormat="1" x14ac:dyDescent="0.2">
      <c r="B806" s="142"/>
      <c r="D806" s="143" t="s">
        <v>346</v>
      </c>
      <c r="E806" s="144"/>
      <c r="F806" s="145" t="s">
        <v>3645</v>
      </c>
      <c r="H806" s="144"/>
      <c r="L806" s="142"/>
      <c r="M806" s="146"/>
      <c r="T806" s="147"/>
      <c r="AT806" s="144" t="s">
        <v>346</v>
      </c>
      <c r="AU806" s="144" t="s">
        <v>90</v>
      </c>
      <c r="AV806" s="141" t="s">
        <v>87</v>
      </c>
      <c r="AW806" s="141" t="s">
        <v>33</v>
      </c>
      <c r="AX806" s="141" t="s">
        <v>80</v>
      </c>
      <c r="AY806" s="144" t="s">
        <v>337</v>
      </c>
    </row>
    <row r="807" spans="2:51" s="148" customFormat="1" x14ac:dyDescent="0.2">
      <c r="B807" s="149"/>
      <c r="D807" s="143" t="s">
        <v>346</v>
      </c>
      <c r="E807" s="150"/>
      <c r="F807" s="151" t="s">
        <v>3646</v>
      </c>
      <c r="H807" s="152">
        <v>19.54</v>
      </c>
      <c r="L807" s="149"/>
      <c r="M807" s="153"/>
      <c r="T807" s="154"/>
      <c r="AT807" s="150" t="s">
        <v>346</v>
      </c>
      <c r="AU807" s="150" t="s">
        <v>90</v>
      </c>
      <c r="AV807" s="148" t="s">
        <v>90</v>
      </c>
      <c r="AW807" s="148" t="s">
        <v>33</v>
      </c>
      <c r="AX807" s="148" t="s">
        <v>80</v>
      </c>
      <c r="AY807" s="150" t="s">
        <v>337</v>
      </c>
    </row>
    <row r="808" spans="2:51" s="141" customFormat="1" x14ac:dyDescent="0.2">
      <c r="B808" s="142"/>
      <c r="D808" s="143" t="s">
        <v>346</v>
      </c>
      <c r="E808" s="144"/>
      <c r="F808" s="145" t="s">
        <v>3647</v>
      </c>
      <c r="H808" s="144"/>
      <c r="L808" s="142"/>
      <c r="M808" s="146"/>
      <c r="T808" s="147"/>
      <c r="AT808" s="144" t="s">
        <v>346</v>
      </c>
      <c r="AU808" s="144" t="s">
        <v>90</v>
      </c>
      <c r="AV808" s="141" t="s">
        <v>87</v>
      </c>
      <c r="AW808" s="141" t="s">
        <v>33</v>
      </c>
      <c r="AX808" s="141" t="s">
        <v>80</v>
      </c>
      <c r="AY808" s="144" t="s">
        <v>337</v>
      </c>
    </row>
    <row r="809" spans="2:51" s="148" customFormat="1" x14ac:dyDescent="0.2">
      <c r="B809" s="149"/>
      <c r="D809" s="143" t="s">
        <v>346</v>
      </c>
      <c r="E809" s="150"/>
      <c r="F809" s="151" t="s">
        <v>3648</v>
      </c>
      <c r="H809" s="152">
        <v>21.26</v>
      </c>
      <c r="L809" s="149"/>
      <c r="M809" s="153"/>
      <c r="T809" s="154"/>
      <c r="AT809" s="150" t="s">
        <v>346</v>
      </c>
      <c r="AU809" s="150" t="s">
        <v>90</v>
      </c>
      <c r="AV809" s="148" t="s">
        <v>90</v>
      </c>
      <c r="AW809" s="148" t="s">
        <v>33</v>
      </c>
      <c r="AX809" s="148" t="s">
        <v>80</v>
      </c>
      <c r="AY809" s="150" t="s">
        <v>337</v>
      </c>
    </row>
    <row r="810" spans="2:51" s="141" customFormat="1" x14ac:dyDescent="0.2">
      <c r="B810" s="142"/>
      <c r="D810" s="143" t="s">
        <v>346</v>
      </c>
      <c r="E810" s="144"/>
      <c r="F810" s="145" t="s">
        <v>3649</v>
      </c>
      <c r="H810" s="144"/>
      <c r="L810" s="142"/>
      <c r="M810" s="146"/>
      <c r="T810" s="147"/>
      <c r="AT810" s="144" t="s">
        <v>346</v>
      </c>
      <c r="AU810" s="144" t="s">
        <v>90</v>
      </c>
      <c r="AV810" s="141" t="s">
        <v>87</v>
      </c>
      <c r="AW810" s="141" t="s">
        <v>33</v>
      </c>
      <c r="AX810" s="141" t="s">
        <v>80</v>
      </c>
      <c r="AY810" s="144" t="s">
        <v>337</v>
      </c>
    </row>
    <row r="811" spans="2:51" s="148" customFormat="1" x14ac:dyDescent="0.2">
      <c r="B811" s="149"/>
      <c r="D811" s="143" t="s">
        <v>346</v>
      </c>
      <c r="E811" s="150"/>
      <c r="F811" s="151" t="s">
        <v>3650</v>
      </c>
      <c r="H811" s="152">
        <v>16</v>
      </c>
      <c r="L811" s="149"/>
      <c r="M811" s="153"/>
      <c r="T811" s="154"/>
      <c r="AT811" s="150" t="s">
        <v>346</v>
      </c>
      <c r="AU811" s="150" t="s">
        <v>90</v>
      </c>
      <c r="AV811" s="148" t="s">
        <v>90</v>
      </c>
      <c r="AW811" s="148" t="s">
        <v>33</v>
      </c>
      <c r="AX811" s="148" t="s">
        <v>80</v>
      </c>
      <c r="AY811" s="150" t="s">
        <v>337</v>
      </c>
    </row>
    <row r="812" spans="2:51" s="141" customFormat="1" x14ac:dyDescent="0.2">
      <c r="B812" s="142"/>
      <c r="D812" s="143" t="s">
        <v>346</v>
      </c>
      <c r="E812" s="144"/>
      <c r="F812" s="145" t="s">
        <v>397</v>
      </c>
      <c r="H812" s="144"/>
      <c r="L812" s="142"/>
      <c r="M812" s="146"/>
      <c r="T812" s="147"/>
      <c r="AT812" s="144" t="s">
        <v>346</v>
      </c>
      <c r="AU812" s="144" t="s">
        <v>90</v>
      </c>
      <c r="AV812" s="141" t="s">
        <v>87</v>
      </c>
      <c r="AW812" s="141" t="s">
        <v>33</v>
      </c>
      <c r="AX812" s="141" t="s">
        <v>80</v>
      </c>
      <c r="AY812" s="144" t="s">
        <v>337</v>
      </c>
    </row>
    <row r="813" spans="2:51" s="148" customFormat="1" x14ac:dyDescent="0.2">
      <c r="B813" s="149"/>
      <c r="D813" s="143" t="s">
        <v>346</v>
      </c>
      <c r="E813" s="150"/>
      <c r="F813" s="151" t="s">
        <v>3651</v>
      </c>
      <c r="H813" s="152">
        <v>369.6</v>
      </c>
      <c r="L813" s="149"/>
      <c r="M813" s="153"/>
      <c r="T813" s="154"/>
      <c r="AT813" s="150" t="s">
        <v>346</v>
      </c>
      <c r="AU813" s="150" t="s">
        <v>90</v>
      </c>
      <c r="AV813" s="148" t="s">
        <v>90</v>
      </c>
      <c r="AW813" s="148" t="s">
        <v>33</v>
      </c>
      <c r="AX813" s="148" t="s">
        <v>80</v>
      </c>
      <c r="AY813" s="150" t="s">
        <v>337</v>
      </c>
    </row>
    <row r="814" spans="2:51" s="141" customFormat="1" x14ac:dyDescent="0.2">
      <c r="B814" s="142"/>
      <c r="D814" s="143" t="s">
        <v>346</v>
      </c>
      <c r="E814" s="144"/>
      <c r="F814" s="145" t="s">
        <v>3652</v>
      </c>
      <c r="H814" s="144"/>
      <c r="L814" s="142"/>
      <c r="M814" s="146"/>
      <c r="T814" s="147"/>
      <c r="AT814" s="144" t="s">
        <v>346</v>
      </c>
      <c r="AU814" s="144" t="s">
        <v>90</v>
      </c>
      <c r="AV814" s="141" t="s">
        <v>87</v>
      </c>
      <c r="AW814" s="141" t="s">
        <v>33</v>
      </c>
      <c r="AX814" s="141" t="s">
        <v>80</v>
      </c>
      <c r="AY814" s="144" t="s">
        <v>337</v>
      </c>
    </row>
    <row r="815" spans="2:51" s="148" customFormat="1" x14ac:dyDescent="0.2">
      <c r="B815" s="149"/>
      <c r="D815" s="143" t="s">
        <v>346</v>
      </c>
      <c r="E815" s="150"/>
      <c r="F815" s="151" t="s">
        <v>3653</v>
      </c>
      <c r="H815" s="152">
        <v>8.14</v>
      </c>
      <c r="L815" s="149"/>
      <c r="M815" s="153"/>
      <c r="T815" s="154"/>
      <c r="AT815" s="150" t="s">
        <v>346</v>
      </c>
      <c r="AU815" s="150" t="s">
        <v>90</v>
      </c>
      <c r="AV815" s="148" t="s">
        <v>90</v>
      </c>
      <c r="AW815" s="148" t="s">
        <v>33</v>
      </c>
      <c r="AX815" s="148" t="s">
        <v>80</v>
      </c>
      <c r="AY815" s="150" t="s">
        <v>337</v>
      </c>
    </row>
    <row r="816" spans="2:51" s="172" customFormat="1" x14ac:dyDescent="0.2">
      <c r="B816" s="173"/>
      <c r="D816" s="143" t="s">
        <v>346</v>
      </c>
      <c r="E816" s="174" t="s">
        <v>3035</v>
      </c>
      <c r="F816" s="175" t="s">
        <v>609</v>
      </c>
      <c r="H816" s="176">
        <v>1350.47</v>
      </c>
      <c r="L816" s="173"/>
      <c r="M816" s="177"/>
      <c r="T816" s="178"/>
      <c r="AT816" s="174" t="s">
        <v>346</v>
      </c>
      <c r="AU816" s="174" t="s">
        <v>90</v>
      </c>
      <c r="AV816" s="172" t="s">
        <v>113</v>
      </c>
      <c r="AW816" s="172" t="s">
        <v>33</v>
      </c>
      <c r="AX816" s="172" t="s">
        <v>87</v>
      </c>
      <c r="AY816" s="174" t="s">
        <v>337</v>
      </c>
    </row>
    <row r="817" spans="2:65" s="172" customFormat="1" x14ac:dyDescent="0.2">
      <c r="B817" s="173"/>
      <c r="D817" s="143"/>
      <c r="E817" s="174"/>
      <c r="F817" s="175" t="s">
        <v>9241</v>
      </c>
      <c r="H817" s="176"/>
      <c r="L817" s="173"/>
      <c r="M817" s="177"/>
      <c r="T817" s="178"/>
      <c r="AT817" s="174"/>
      <c r="AU817" s="174"/>
      <c r="AY817" s="174"/>
    </row>
    <row r="818" spans="2:65" s="16" customFormat="1" ht="16.5" customHeight="1" x14ac:dyDescent="0.2">
      <c r="B818" s="17"/>
      <c r="C818" s="162">
        <v>74</v>
      </c>
      <c r="D818" s="162" t="s">
        <v>519</v>
      </c>
      <c r="E818" s="163" t="s">
        <v>3422</v>
      </c>
      <c r="F818" s="164" t="s">
        <v>3423</v>
      </c>
      <c r="G818" s="165" t="s">
        <v>425</v>
      </c>
      <c r="H818" s="166">
        <v>212.7</v>
      </c>
      <c r="I818" s="167"/>
      <c r="J818" s="168">
        <f>ROUND(I818*H818,2)</f>
        <v>0</v>
      </c>
      <c r="K818" s="164" t="s">
        <v>343</v>
      </c>
      <c r="L818" s="169"/>
      <c r="M818" s="170"/>
      <c r="N818" s="171" t="s">
        <v>45</v>
      </c>
      <c r="P818" s="137">
        <f>O818*H818</f>
        <v>0</v>
      </c>
      <c r="Q818" s="137">
        <v>4.7999999999999996E-3</v>
      </c>
      <c r="R818" s="137">
        <f>Q818*H818</f>
        <v>1.0209599999999999</v>
      </c>
      <c r="S818" s="137">
        <v>0</v>
      </c>
      <c r="T818" s="138">
        <f>S818*H818</f>
        <v>0</v>
      </c>
      <c r="AR818" s="139" t="s">
        <v>621</v>
      </c>
      <c r="AT818" s="139" t="s">
        <v>519</v>
      </c>
      <c r="AU818" s="139" t="s">
        <v>90</v>
      </c>
      <c r="AY818" s="2" t="s">
        <v>337</v>
      </c>
      <c r="BE818" s="140">
        <f>IF(N818="základní",J818,0)</f>
        <v>0</v>
      </c>
      <c r="BF818" s="140">
        <f>IF(N818="snížená",J818,0)</f>
        <v>0</v>
      </c>
      <c r="BG818" s="140">
        <f>IF(N818="zákl. přenesená",J818,0)</f>
        <v>0</v>
      </c>
      <c r="BH818" s="140">
        <f>IF(N818="sníž. přenesená",J818,0)</f>
        <v>0</v>
      </c>
      <c r="BI818" s="140">
        <f>IF(N818="nulová",J818,0)</f>
        <v>0</v>
      </c>
      <c r="BJ818" s="2" t="s">
        <v>87</v>
      </c>
      <c r="BK818" s="140">
        <f>ROUND(I818*H818,2)</f>
        <v>0</v>
      </c>
      <c r="BL818" s="2" t="s">
        <v>496</v>
      </c>
      <c r="BM818" s="139" t="s">
        <v>3654</v>
      </c>
    </row>
    <row r="819" spans="2:65" s="148" customFormat="1" x14ac:dyDescent="0.2">
      <c r="B819" s="149"/>
      <c r="D819" s="143" t="s">
        <v>346</v>
      </c>
      <c r="E819" s="150"/>
      <c r="F819" s="151" t="s">
        <v>3368</v>
      </c>
      <c r="H819" s="152">
        <v>202.571</v>
      </c>
      <c r="L819" s="149"/>
      <c r="M819" s="153"/>
      <c r="T819" s="154"/>
      <c r="AT819" s="150" t="s">
        <v>346</v>
      </c>
      <c r="AU819" s="150" t="s">
        <v>90</v>
      </c>
      <c r="AV819" s="148" t="s">
        <v>90</v>
      </c>
      <c r="AW819" s="148" t="s">
        <v>33</v>
      </c>
      <c r="AX819" s="148" t="s">
        <v>87</v>
      </c>
      <c r="AY819" s="150" t="s">
        <v>337</v>
      </c>
    </row>
    <row r="820" spans="2:65" s="148" customFormat="1" x14ac:dyDescent="0.2">
      <c r="B820" s="149"/>
      <c r="D820" s="143" t="s">
        <v>346</v>
      </c>
      <c r="F820" s="151" t="s">
        <v>3655</v>
      </c>
      <c r="H820" s="152">
        <v>212.7</v>
      </c>
      <c r="L820" s="149"/>
      <c r="M820" s="153"/>
      <c r="T820" s="154"/>
      <c r="AT820" s="150" t="s">
        <v>346</v>
      </c>
      <c r="AU820" s="150" t="s">
        <v>90</v>
      </c>
      <c r="AV820" s="148" t="s">
        <v>90</v>
      </c>
      <c r="AW820" s="148" t="s">
        <v>3</v>
      </c>
      <c r="AX820" s="148" t="s">
        <v>87</v>
      </c>
      <c r="AY820" s="150" t="s">
        <v>337</v>
      </c>
    </row>
    <row r="821" spans="2:65" s="16" customFormat="1" ht="16.5" customHeight="1" x14ac:dyDescent="0.2">
      <c r="B821" s="17"/>
      <c r="C821" s="128">
        <v>75</v>
      </c>
      <c r="D821" s="128" t="s">
        <v>339</v>
      </c>
      <c r="E821" s="129" t="s">
        <v>3656</v>
      </c>
      <c r="F821" s="130" t="s">
        <v>3657</v>
      </c>
      <c r="G821" s="131" t="s">
        <v>724</v>
      </c>
      <c r="H821" s="132">
        <v>262.75</v>
      </c>
      <c r="I821" s="133"/>
      <c r="J821" s="134">
        <f>ROUND(I821*H821,2)</f>
        <v>0</v>
      </c>
      <c r="K821" s="130" t="s">
        <v>343</v>
      </c>
      <c r="L821" s="17"/>
      <c r="M821" s="135"/>
      <c r="N821" s="136" t="s">
        <v>45</v>
      </c>
      <c r="P821" s="137">
        <f>O821*H821</f>
        <v>0</v>
      </c>
      <c r="Q821" s="137">
        <v>3.0000000000000001E-5</v>
      </c>
      <c r="R821" s="137">
        <f>Q821*H821</f>
        <v>7.8825000000000006E-3</v>
      </c>
      <c r="S821" s="137">
        <v>0</v>
      </c>
      <c r="T821" s="138">
        <f>S821*H821</f>
        <v>0</v>
      </c>
      <c r="AR821" s="139" t="s">
        <v>344</v>
      </c>
      <c r="AT821" s="139" t="s">
        <v>339</v>
      </c>
      <c r="AU821" s="139" t="s">
        <v>90</v>
      </c>
      <c r="AY821" s="2" t="s">
        <v>337</v>
      </c>
      <c r="BE821" s="140">
        <f>IF(N821="základní",J821,0)</f>
        <v>0</v>
      </c>
      <c r="BF821" s="140">
        <f>IF(N821="snížená",J821,0)</f>
        <v>0</v>
      </c>
      <c r="BG821" s="140">
        <f>IF(N821="zákl. přenesená",J821,0)</f>
        <v>0</v>
      </c>
      <c r="BH821" s="140">
        <f>IF(N821="sníž. přenesená",J821,0)</f>
        <v>0</v>
      </c>
      <c r="BI821" s="140">
        <f>IF(N821="nulová",J821,0)</f>
        <v>0</v>
      </c>
      <c r="BJ821" s="2" t="s">
        <v>87</v>
      </c>
      <c r="BK821" s="140">
        <f>ROUND(I821*H821,2)</f>
        <v>0</v>
      </c>
      <c r="BL821" s="2" t="s">
        <v>344</v>
      </c>
      <c r="BM821" s="139" t="s">
        <v>3658</v>
      </c>
    </row>
    <row r="822" spans="2:65" s="141" customFormat="1" x14ac:dyDescent="0.2">
      <c r="B822" s="142"/>
      <c r="D822" s="143" t="s">
        <v>346</v>
      </c>
      <c r="E822" s="144"/>
      <c r="F822" s="145" t="s">
        <v>3659</v>
      </c>
      <c r="H822" s="144"/>
      <c r="L822" s="142"/>
      <c r="M822" s="146"/>
      <c r="T822" s="147"/>
      <c r="AT822" s="144" t="s">
        <v>346</v>
      </c>
      <c r="AU822" s="144" t="s">
        <v>90</v>
      </c>
      <c r="AV822" s="141" t="s">
        <v>87</v>
      </c>
      <c r="AW822" s="141" t="s">
        <v>33</v>
      </c>
      <c r="AX822" s="141" t="s">
        <v>80</v>
      </c>
      <c r="AY822" s="144" t="s">
        <v>337</v>
      </c>
    </row>
    <row r="823" spans="2:65" s="141" customFormat="1" x14ac:dyDescent="0.2">
      <c r="B823" s="142"/>
      <c r="D823" s="143" t="s">
        <v>346</v>
      </c>
      <c r="E823" s="144"/>
      <c r="F823" s="145" t="s">
        <v>3253</v>
      </c>
      <c r="H823" s="144"/>
      <c r="L823" s="142"/>
      <c r="M823" s="146"/>
      <c r="T823" s="147"/>
      <c r="AT823" s="144" t="s">
        <v>346</v>
      </c>
      <c r="AU823" s="144" t="s">
        <v>90</v>
      </c>
      <c r="AV823" s="141" t="s">
        <v>87</v>
      </c>
      <c r="AW823" s="141" t="s">
        <v>33</v>
      </c>
      <c r="AX823" s="141" t="s">
        <v>80</v>
      </c>
      <c r="AY823" s="144" t="s">
        <v>337</v>
      </c>
    </row>
    <row r="824" spans="2:65" s="148" customFormat="1" x14ac:dyDescent="0.2">
      <c r="B824" s="149"/>
      <c r="D824" s="143" t="s">
        <v>346</v>
      </c>
      <c r="E824" s="150"/>
      <c r="F824" s="151" t="s">
        <v>3660</v>
      </c>
      <c r="H824" s="152">
        <v>96.5</v>
      </c>
      <c r="L824" s="149"/>
      <c r="M824" s="153"/>
      <c r="T824" s="154"/>
      <c r="AT824" s="150" t="s">
        <v>346</v>
      </c>
      <c r="AU824" s="150" t="s">
        <v>90</v>
      </c>
      <c r="AV824" s="148" t="s">
        <v>90</v>
      </c>
      <c r="AW824" s="148" t="s">
        <v>33</v>
      </c>
      <c r="AX824" s="148" t="s">
        <v>80</v>
      </c>
      <c r="AY824" s="150" t="s">
        <v>337</v>
      </c>
    </row>
    <row r="825" spans="2:65" s="141" customFormat="1" x14ac:dyDescent="0.2">
      <c r="B825" s="142"/>
      <c r="D825" s="143" t="s">
        <v>346</v>
      </c>
      <c r="E825" s="144"/>
      <c r="F825" s="145" t="s">
        <v>3259</v>
      </c>
      <c r="H825" s="144"/>
      <c r="L825" s="142"/>
      <c r="M825" s="146"/>
      <c r="T825" s="147"/>
      <c r="AT825" s="144" t="s">
        <v>346</v>
      </c>
      <c r="AU825" s="144" t="s">
        <v>90</v>
      </c>
      <c r="AV825" s="141" t="s">
        <v>87</v>
      </c>
      <c r="AW825" s="141" t="s">
        <v>33</v>
      </c>
      <c r="AX825" s="141" t="s">
        <v>80</v>
      </c>
      <c r="AY825" s="144" t="s">
        <v>337</v>
      </c>
    </row>
    <row r="826" spans="2:65" s="148" customFormat="1" x14ac:dyDescent="0.2">
      <c r="B826" s="149"/>
      <c r="D826" s="143" t="s">
        <v>346</v>
      </c>
      <c r="E826" s="150"/>
      <c r="F826" s="151" t="s">
        <v>3661</v>
      </c>
      <c r="H826" s="152">
        <v>33.950000000000003</v>
      </c>
      <c r="L826" s="149"/>
      <c r="M826" s="153"/>
      <c r="T826" s="154"/>
      <c r="AT826" s="150" t="s">
        <v>346</v>
      </c>
      <c r="AU826" s="150" t="s">
        <v>90</v>
      </c>
      <c r="AV826" s="148" t="s">
        <v>90</v>
      </c>
      <c r="AW826" s="148" t="s">
        <v>33</v>
      </c>
      <c r="AX826" s="148" t="s">
        <v>80</v>
      </c>
      <c r="AY826" s="150" t="s">
        <v>337</v>
      </c>
    </row>
    <row r="827" spans="2:65" s="141" customFormat="1" x14ac:dyDescent="0.2">
      <c r="B827" s="142"/>
      <c r="D827" s="143" t="s">
        <v>346</v>
      </c>
      <c r="E827" s="144"/>
      <c r="F827" s="145" t="s">
        <v>3051</v>
      </c>
      <c r="H827" s="144"/>
      <c r="L827" s="142"/>
      <c r="M827" s="146"/>
      <c r="T827" s="147"/>
      <c r="AT827" s="144" t="s">
        <v>346</v>
      </c>
      <c r="AU827" s="144" t="s">
        <v>90</v>
      </c>
      <c r="AV827" s="141" t="s">
        <v>87</v>
      </c>
      <c r="AW827" s="141" t="s">
        <v>33</v>
      </c>
      <c r="AX827" s="141" t="s">
        <v>80</v>
      </c>
      <c r="AY827" s="144" t="s">
        <v>337</v>
      </c>
    </row>
    <row r="828" spans="2:65" s="148" customFormat="1" x14ac:dyDescent="0.2">
      <c r="B828" s="149"/>
      <c r="D828" s="143" t="s">
        <v>346</v>
      </c>
      <c r="E828" s="150"/>
      <c r="F828" s="151" t="s">
        <v>3662</v>
      </c>
      <c r="H828" s="152">
        <v>79.900000000000006</v>
      </c>
      <c r="L828" s="149"/>
      <c r="M828" s="153"/>
      <c r="T828" s="154"/>
      <c r="AT828" s="150" t="s">
        <v>346</v>
      </c>
      <c r="AU828" s="150" t="s">
        <v>90</v>
      </c>
      <c r="AV828" s="148" t="s">
        <v>90</v>
      </c>
      <c r="AW828" s="148" t="s">
        <v>33</v>
      </c>
      <c r="AX828" s="148" t="s">
        <v>80</v>
      </c>
      <c r="AY828" s="150" t="s">
        <v>337</v>
      </c>
    </row>
    <row r="829" spans="2:65" s="141" customFormat="1" x14ac:dyDescent="0.2">
      <c r="B829" s="142"/>
      <c r="D829" s="143" t="s">
        <v>346</v>
      </c>
      <c r="E829" s="144"/>
      <c r="F829" s="145" t="s">
        <v>3460</v>
      </c>
      <c r="H829" s="144"/>
      <c r="L829" s="142"/>
      <c r="M829" s="146"/>
      <c r="T829" s="147"/>
      <c r="AT829" s="144" t="s">
        <v>346</v>
      </c>
      <c r="AU829" s="144" t="s">
        <v>90</v>
      </c>
      <c r="AV829" s="141" t="s">
        <v>87</v>
      </c>
      <c r="AW829" s="141" t="s">
        <v>33</v>
      </c>
      <c r="AX829" s="141" t="s">
        <v>80</v>
      </c>
      <c r="AY829" s="144" t="s">
        <v>337</v>
      </c>
    </row>
    <row r="830" spans="2:65" s="148" customFormat="1" x14ac:dyDescent="0.2">
      <c r="B830" s="149"/>
      <c r="D830" s="143" t="s">
        <v>346</v>
      </c>
      <c r="E830" s="150"/>
      <c r="F830" s="151" t="s">
        <v>3663</v>
      </c>
      <c r="H830" s="152">
        <v>10.5</v>
      </c>
      <c r="L830" s="149"/>
      <c r="M830" s="153"/>
      <c r="T830" s="154"/>
      <c r="AT830" s="150" t="s">
        <v>346</v>
      </c>
      <c r="AU830" s="150" t="s">
        <v>90</v>
      </c>
      <c r="AV830" s="148" t="s">
        <v>90</v>
      </c>
      <c r="AW830" s="148" t="s">
        <v>33</v>
      </c>
      <c r="AX830" s="148" t="s">
        <v>80</v>
      </c>
      <c r="AY830" s="150" t="s">
        <v>337</v>
      </c>
    </row>
    <row r="831" spans="2:65" s="141" customFormat="1" x14ac:dyDescent="0.2">
      <c r="B831" s="142"/>
      <c r="D831" s="143" t="s">
        <v>346</v>
      </c>
      <c r="E831" s="144"/>
      <c r="F831" s="145" t="s">
        <v>3117</v>
      </c>
      <c r="H831" s="144"/>
      <c r="L831" s="142"/>
      <c r="M831" s="146"/>
      <c r="T831" s="147"/>
      <c r="AT831" s="144" t="s">
        <v>346</v>
      </c>
      <c r="AU831" s="144" t="s">
        <v>90</v>
      </c>
      <c r="AV831" s="141" t="s">
        <v>87</v>
      </c>
      <c r="AW831" s="141" t="s">
        <v>33</v>
      </c>
      <c r="AX831" s="141" t="s">
        <v>80</v>
      </c>
      <c r="AY831" s="144" t="s">
        <v>337</v>
      </c>
    </row>
    <row r="832" spans="2:65" s="141" customFormat="1" x14ac:dyDescent="0.2">
      <c r="B832" s="142"/>
      <c r="D832" s="143" t="s">
        <v>346</v>
      </c>
      <c r="E832" s="144"/>
      <c r="F832" s="145" t="s">
        <v>3664</v>
      </c>
      <c r="H832" s="144"/>
      <c r="L832" s="142"/>
      <c r="M832" s="146"/>
      <c r="T832" s="147"/>
      <c r="AT832" s="144" t="s">
        <v>346</v>
      </c>
      <c r="AU832" s="144" t="s">
        <v>90</v>
      </c>
      <c r="AV832" s="141" t="s">
        <v>87</v>
      </c>
      <c r="AW832" s="141" t="s">
        <v>33</v>
      </c>
      <c r="AX832" s="141" t="s">
        <v>80</v>
      </c>
      <c r="AY832" s="144" t="s">
        <v>337</v>
      </c>
    </row>
    <row r="833" spans="2:65" s="148" customFormat="1" x14ac:dyDescent="0.2">
      <c r="B833" s="149"/>
      <c r="D833" s="143" t="s">
        <v>346</v>
      </c>
      <c r="E833" s="150"/>
      <c r="F833" s="151" t="s">
        <v>3665</v>
      </c>
      <c r="H833" s="152">
        <v>7.1</v>
      </c>
      <c r="L833" s="149"/>
      <c r="M833" s="153"/>
      <c r="T833" s="154"/>
      <c r="AT833" s="150" t="s">
        <v>346</v>
      </c>
      <c r="AU833" s="150" t="s">
        <v>90</v>
      </c>
      <c r="AV833" s="148" t="s">
        <v>90</v>
      </c>
      <c r="AW833" s="148" t="s">
        <v>33</v>
      </c>
      <c r="AX833" s="148" t="s">
        <v>80</v>
      </c>
      <c r="AY833" s="150" t="s">
        <v>337</v>
      </c>
    </row>
    <row r="834" spans="2:65" s="141" customFormat="1" x14ac:dyDescent="0.2">
      <c r="B834" s="142"/>
      <c r="D834" s="143" t="s">
        <v>346</v>
      </c>
      <c r="E834" s="144"/>
      <c r="F834" s="145" t="s">
        <v>759</v>
      </c>
      <c r="H834" s="144"/>
      <c r="L834" s="142"/>
      <c r="M834" s="146"/>
      <c r="T834" s="147"/>
      <c r="AT834" s="144" t="s">
        <v>346</v>
      </c>
      <c r="AU834" s="144" t="s">
        <v>90</v>
      </c>
      <c r="AV834" s="141" t="s">
        <v>87</v>
      </c>
      <c r="AW834" s="141" t="s">
        <v>33</v>
      </c>
      <c r="AX834" s="141" t="s">
        <v>80</v>
      </c>
      <c r="AY834" s="144" t="s">
        <v>337</v>
      </c>
    </row>
    <row r="835" spans="2:65" s="148" customFormat="1" x14ac:dyDescent="0.2">
      <c r="B835" s="149"/>
      <c r="D835" s="143" t="s">
        <v>346</v>
      </c>
      <c r="E835" s="150"/>
      <c r="F835" s="151" t="s">
        <v>3666</v>
      </c>
      <c r="H835" s="152">
        <v>5.3</v>
      </c>
      <c r="L835" s="149"/>
      <c r="M835" s="153"/>
      <c r="T835" s="154"/>
      <c r="AT835" s="150" t="s">
        <v>346</v>
      </c>
      <c r="AU835" s="150" t="s">
        <v>90</v>
      </c>
      <c r="AV835" s="148" t="s">
        <v>90</v>
      </c>
      <c r="AW835" s="148" t="s">
        <v>33</v>
      </c>
      <c r="AX835" s="148" t="s">
        <v>80</v>
      </c>
      <c r="AY835" s="150" t="s">
        <v>337</v>
      </c>
    </row>
    <row r="836" spans="2:65" s="148" customFormat="1" x14ac:dyDescent="0.2">
      <c r="B836" s="149"/>
      <c r="D836" s="143" t="s">
        <v>346</v>
      </c>
      <c r="E836" s="150"/>
      <c r="F836" s="151" t="s">
        <v>3667</v>
      </c>
      <c r="H836" s="152">
        <v>9.5</v>
      </c>
      <c r="L836" s="149"/>
      <c r="M836" s="153"/>
      <c r="T836" s="154"/>
      <c r="AT836" s="150" t="s">
        <v>346</v>
      </c>
      <c r="AU836" s="150" t="s">
        <v>90</v>
      </c>
      <c r="AV836" s="148" t="s">
        <v>90</v>
      </c>
      <c r="AW836" s="148" t="s">
        <v>33</v>
      </c>
      <c r="AX836" s="148" t="s">
        <v>80</v>
      </c>
      <c r="AY836" s="150" t="s">
        <v>337</v>
      </c>
    </row>
    <row r="837" spans="2:65" s="141" customFormat="1" x14ac:dyDescent="0.2">
      <c r="B837" s="142"/>
      <c r="D837" s="143" t="s">
        <v>346</v>
      </c>
      <c r="E837" s="144"/>
      <c r="F837" s="145" t="s">
        <v>3668</v>
      </c>
      <c r="H837" s="144"/>
      <c r="L837" s="142"/>
      <c r="M837" s="146"/>
      <c r="T837" s="147"/>
      <c r="AT837" s="144" t="s">
        <v>346</v>
      </c>
      <c r="AU837" s="144" t="s">
        <v>90</v>
      </c>
      <c r="AV837" s="141" t="s">
        <v>87</v>
      </c>
      <c r="AW837" s="141" t="s">
        <v>33</v>
      </c>
      <c r="AX837" s="141" t="s">
        <v>80</v>
      </c>
      <c r="AY837" s="144" t="s">
        <v>337</v>
      </c>
    </row>
    <row r="838" spans="2:65" s="148" customFormat="1" x14ac:dyDescent="0.2">
      <c r="B838" s="149"/>
      <c r="D838" s="143" t="s">
        <v>346</v>
      </c>
      <c r="E838" s="150"/>
      <c r="F838" s="151" t="s">
        <v>980</v>
      </c>
      <c r="H838" s="152">
        <v>20</v>
      </c>
      <c r="L838" s="149"/>
      <c r="M838" s="153"/>
      <c r="T838" s="154"/>
      <c r="AT838" s="150" t="s">
        <v>346</v>
      </c>
      <c r="AU838" s="150" t="s">
        <v>90</v>
      </c>
      <c r="AV838" s="148" t="s">
        <v>90</v>
      </c>
      <c r="AW838" s="148" t="s">
        <v>33</v>
      </c>
      <c r="AX838" s="148" t="s">
        <v>80</v>
      </c>
      <c r="AY838" s="150" t="s">
        <v>337</v>
      </c>
    </row>
    <row r="839" spans="2:65" s="155" customFormat="1" x14ac:dyDescent="0.2">
      <c r="B839" s="156"/>
      <c r="D839" s="143" t="s">
        <v>346</v>
      </c>
      <c r="E839" s="157"/>
      <c r="F839" s="158" t="s">
        <v>351</v>
      </c>
      <c r="H839" s="159">
        <v>262.75</v>
      </c>
      <c r="L839" s="156"/>
      <c r="M839" s="160"/>
      <c r="T839" s="161"/>
      <c r="AT839" s="157" t="s">
        <v>346</v>
      </c>
      <c r="AU839" s="157" t="s">
        <v>90</v>
      </c>
      <c r="AV839" s="155" t="s">
        <v>344</v>
      </c>
      <c r="AW839" s="155" t="s">
        <v>33</v>
      </c>
      <c r="AX839" s="155" t="s">
        <v>87</v>
      </c>
      <c r="AY839" s="157" t="s">
        <v>337</v>
      </c>
    </row>
    <row r="840" spans="2:65" s="16" customFormat="1" ht="16.5" customHeight="1" x14ac:dyDescent="0.2">
      <c r="B840" s="17"/>
      <c r="C840" s="162">
        <v>76</v>
      </c>
      <c r="D840" s="162" t="s">
        <v>519</v>
      </c>
      <c r="E840" s="163" t="s">
        <v>3669</v>
      </c>
      <c r="F840" s="164" t="s">
        <v>3670</v>
      </c>
      <c r="G840" s="165" t="s">
        <v>724</v>
      </c>
      <c r="H840" s="166">
        <v>275.88799999999998</v>
      </c>
      <c r="I840" s="167"/>
      <c r="J840" s="168">
        <f>ROUND(I840*H840,2)</f>
        <v>0</v>
      </c>
      <c r="K840" s="164" t="s">
        <v>343</v>
      </c>
      <c r="L840" s="169"/>
      <c r="M840" s="170"/>
      <c r="N840" s="171" t="s">
        <v>45</v>
      </c>
      <c r="P840" s="137">
        <f>O840*H840</f>
        <v>0</v>
      </c>
      <c r="Q840" s="137">
        <v>7.6000000000000004E-4</v>
      </c>
      <c r="R840" s="137">
        <f>Q840*H840</f>
        <v>0.20967487999999998</v>
      </c>
      <c r="S840" s="137">
        <v>0</v>
      </c>
      <c r="T840" s="138">
        <f>S840*H840</f>
        <v>0</v>
      </c>
      <c r="AR840" s="139" t="s">
        <v>446</v>
      </c>
      <c r="AT840" s="139" t="s">
        <v>519</v>
      </c>
      <c r="AU840" s="139" t="s">
        <v>90</v>
      </c>
      <c r="AY840" s="2" t="s">
        <v>337</v>
      </c>
      <c r="BE840" s="140">
        <f>IF(N840="základní",J840,0)</f>
        <v>0</v>
      </c>
      <c r="BF840" s="140">
        <f>IF(N840="snížená",J840,0)</f>
        <v>0</v>
      </c>
      <c r="BG840" s="140">
        <f>IF(N840="zákl. přenesená",J840,0)</f>
        <v>0</v>
      </c>
      <c r="BH840" s="140">
        <f>IF(N840="sníž. přenesená",J840,0)</f>
        <v>0</v>
      </c>
      <c r="BI840" s="140">
        <f>IF(N840="nulová",J840,0)</f>
        <v>0</v>
      </c>
      <c r="BJ840" s="2" t="s">
        <v>87</v>
      </c>
      <c r="BK840" s="140">
        <f>ROUND(I840*H840,2)</f>
        <v>0</v>
      </c>
      <c r="BL840" s="2" t="s">
        <v>344</v>
      </c>
      <c r="BM840" s="139" t="s">
        <v>3671</v>
      </c>
    </row>
    <row r="841" spans="2:65" s="148" customFormat="1" x14ac:dyDescent="0.2">
      <c r="B841" s="149"/>
      <c r="D841" s="143" t="s">
        <v>346</v>
      </c>
      <c r="F841" s="151" t="s">
        <v>3672</v>
      </c>
      <c r="H841" s="152">
        <v>275.88799999999998</v>
      </c>
      <c r="L841" s="149"/>
      <c r="M841" s="153"/>
      <c r="T841" s="154"/>
      <c r="AT841" s="150" t="s">
        <v>346</v>
      </c>
      <c r="AU841" s="150" t="s">
        <v>90</v>
      </c>
      <c r="AV841" s="148" t="s">
        <v>90</v>
      </c>
      <c r="AW841" s="148" t="s">
        <v>3</v>
      </c>
      <c r="AX841" s="148" t="s">
        <v>87</v>
      </c>
      <c r="AY841" s="150" t="s">
        <v>337</v>
      </c>
    </row>
    <row r="842" spans="2:65" s="16" customFormat="1" ht="16.5" customHeight="1" x14ac:dyDescent="0.2">
      <c r="B842" s="17"/>
      <c r="C842" s="128">
        <v>77</v>
      </c>
      <c r="D842" s="128" t="s">
        <v>339</v>
      </c>
      <c r="E842" s="129" t="s">
        <v>3673</v>
      </c>
      <c r="F842" s="130" t="s">
        <v>3674</v>
      </c>
      <c r="G842" s="131" t="s">
        <v>724</v>
      </c>
      <c r="H842" s="132">
        <v>2300</v>
      </c>
      <c r="I842" s="133"/>
      <c r="J842" s="134">
        <f>ROUND(I842*H842,2)</f>
        <v>0</v>
      </c>
      <c r="K842" s="130" t="s">
        <v>343</v>
      </c>
      <c r="L842" s="17"/>
      <c r="M842" s="135"/>
      <c r="N842" s="136" t="s">
        <v>45</v>
      </c>
      <c r="P842" s="137">
        <f>O842*H842</f>
        <v>0</v>
      </c>
      <c r="Q842" s="137">
        <v>0</v>
      </c>
      <c r="R842" s="137">
        <f>Q842*H842</f>
        <v>0</v>
      </c>
      <c r="S842" s="137">
        <v>0</v>
      </c>
      <c r="T842" s="138">
        <f>S842*H842</f>
        <v>0</v>
      </c>
      <c r="AR842" s="139" t="s">
        <v>344</v>
      </c>
      <c r="AT842" s="139" t="s">
        <v>339</v>
      </c>
      <c r="AU842" s="139" t="s">
        <v>90</v>
      </c>
      <c r="AY842" s="2" t="s">
        <v>337</v>
      </c>
      <c r="BE842" s="140">
        <f>IF(N842="základní",J842,0)</f>
        <v>0</v>
      </c>
      <c r="BF842" s="140">
        <f>IF(N842="snížená",J842,0)</f>
        <v>0</v>
      </c>
      <c r="BG842" s="140">
        <f>IF(N842="zákl. přenesená",J842,0)</f>
        <v>0</v>
      </c>
      <c r="BH842" s="140">
        <f>IF(N842="sníž. přenesená",J842,0)</f>
        <v>0</v>
      </c>
      <c r="BI842" s="140">
        <f>IF(N842="nulová",J842,0)</f>
        <v>0</v>
      </c>
      <c r="BJ842" s="2" t="s">
        <v>87</v>
      </c>
      <c r="BK842" s="140">
        <f>ROUND(I842*H842,2)</f>
        <v>0</v>
      </c>
      <c r="BL842" s="2" t="s">
        <v>344</v>
      </c>
      <c r="BM842" s="139" t="s">
        <v>3675</v>
      </c>
    </row>
    <row r="843" spans="2:65" s="148" customFormat="1" x14ac:dyDescent="0.2">
      <c r="B843" s="149"/>
      <c r="D843" s="143" t="s">
        <v>346</v>
      </c>
      <c r="E843" s="150"/>
      <c r="F843" s="151" t="s">
        <v>3676</v>
      </c>
      <c r="H843" s="152">
        <v>2300</v>
      </c>
      <c r="L843" s="149"/>
      <c r="M843" s="153"/>
      <c r="T843" s="154"/>
      <c r="AT843" s="150" t="s">
        <v>346</v>
      </c>
      <c r="AU843" s="150" t="s">
        <v>90</v>
      </c>
      <c r="AV843" s="148" t="s">
        <v>90</v>
      </c>
      <c r="AW843" s="148" t="s">
        <v>33</v>
      </c>
      <c r="AX843" s="148" t="s">
        <v>87</v>
      </c>
      <c r="AY843" s="150" t="s">
        <v>337</v>
      </c>
    </row>
    <row r="844" spans="2:65" s="16" customFormat="1" ht="16.5" customHeight="1" x14ac:dyDescent="0.2">
      <c r="B844" s="17"/>
      <c r="C844" s="162">
        <v>78</v>
      </c>
      <c r="D844" s="162" t="s">
        <v>519</v>
      </c>
      <c r="E844" s="163" t="s">
        <v>3677</v>
      </c>
      <c r="F844" s="164" t="s">
        <v>3678</v>
      </c>
      <c r="G844" s="165" t="s">
        <v>724</v>
      </c>
      <c r="H844" s="166">
        <v>2415</v>
      </c>
      <c r="I844" s="167"/>
      <c r="J844" s="168">
        <f>ROUND(I844*H844,2)</f>
        <v>0</v>
      </c>
      <c r="K844" s="164"/>
      <c r="L844" s="169"/>
      <c r="M844" s="170"/>
      <c r="N844" s="171" t="s">
        <v>45</v>
      </c>
      <c r="P844" s="137">
        <f>O844*H844</f>
        <v>0</v>
      </c>
      <c r="Q844" s="137">
        <v>1.1E-4</v>
      </c>
      <c r="R844" s="137">
        <f>Q844*H844</f>
        <v>0.26565</v>
      </c>
      <c r="S844" s="137">
        <v>0</v>
      </c>
      <c r="T844" s="138">
        <f>S844*H844</f>
        <v>0</v>
      </c>
      <c r="AR844" s="139" t="s">
        <v>446</v>
      </c>
      <c r="AT844" s="139" t="s">
        <v>519</v>
      </c>
      <c r="AU844" s="139" t="s">
        <v>90</v>
      </c>
      <c r="AY844" s="2" t="s">
        <v>337</v>
      </c>
      <c r="BE844" s="140">
        <f>IF(N844="základní",J844,0)</f>
        <v>0</v>
      </c>
      <c r="BF844" s="140">
        <f>IF(N844="snížená",J844,0)</f>
        <v>0</v>
      </c>
      <c r="BG844" s="140">
        <f>IF(N844="zákl. přenesená",J844,0)</f>
        <v>0</v>
      </c>
      <c r="BH844" s="140">
        <f>IF(N844="sníž. přenesená",J844,0)</f>
        <v>0</v>
      </c>
      <c r="BI844" s="140">
        <f>IF(N844="nulová",J844,0)</f>
        <v>0</v>
      </c>
      <c r="BJ844" s="2" t="s">
        <v>87</v>
      </c>
      <c r="BK844" s="140">
        <f>ROUND(I844*H844,2)</f>
        <v>0</v>
      </c>
      <c r="BL844" s="2" t="s">
        <v>344</v>
      </c>
      <c r="BM844" s="139" t="s">
        <v>3679</v>
      </c>
    </row>
    <row r="845" spans="2:65" s="148" customFormat="1" x14ac:dyDescent="0.2">
      <c r="B845" s="149"/>
      <c r="D845" s="143" t="s">
        <v>346</v>
      </c>
      <c r="F845" s="151" t="s">
        <v>3680</v>
      </c>
      <c r="H845" s="152">
        <v>2415</v>
      </c>
      <c r="L845" s="149"/>
      <c r="M845" s="153"/>
      <c r="T845" s="154"/>
      <c r="AT845" s="150" t="s">
        <v>346</v>
      </c>
      <c r="AU845" s="150" t="s">
        <v>90</v>
      </c>
      <c r="AV845" s="148" t="s">
        <v>90</v>
      </c>
      <c r="AW845" s="148" t="s">
        <v>3</v>
      </c>
      <c r="AX845" s="148" t="s">
        <v>87</v>
      </c>
      <c r="AY845" s="150" t="s">
        <v>337</v>
      </c>
    </row>
    <row r="846" spans="2:65" s="16" customFormat="1" ht="16.5" customHeight="1" x14ac:dyDescent="0.2">
      <c r="B846" s="17"/>
      <c r="C846" s="128">
        <v>79</v>
      </c>
      <c r="D846" s="128" t="s">
        <v>339</v>
      </c>
      <c r="E846" s="129" t="s">
        <v>3681</v>
      </c>
      <c r="F846" s="130" t="s">
        <v>3682</v>
      </c>
      <c r="G846" s="131" t="s">
        <v>425</v>
      </c>
      <c r="H846" s="132">
        <v>400.06099999999998</v>
      </c>
      <c r="I846" s="133"/>
      <c r="J846" s="134">
        <f>ROUND(I846*H846,2)</f>
        <v>0</v>
      </c>
      <c r="K846" s="130" t="s">
        <v>343</v>
      </c>
      <c r="L846" s="17"/>
      <c r="M846" s="135"/>
      <c r="N846" s="136" t="s">
        <v>45</v>
      </c>
      <c r="P846" s="137">
        <f>O846*H846</f>
        <v>0</v>
      </c>
      <c r="Q846" s="137">
        <v>2.3099999999999999E-2</v>
      </c>
      <c r="R846" s="137">
        <f>Q846*H846</f>
        <v>9.2414090999999985</v>
      </c>
      <c r="S846" s="137">
        <v>0</v>
      </c>
      <c r="T846" s="138">
        <f>S846*H846</f>
        <v>0</v>
      </c>
      <c r="AR846" s="139" t="s">
        <v>344</v>
      </c>
      <c r="AT846" s="139" t="s">
        <v>339</v>
      </c>
      <c r="AU846" s="139" t="s">
        <v>90</v>
      </c>
      <c r="AY846" s="2" t="s">
        <v>337</v>
      </c>
      <c r="BE846" s="140">
        <f>IF(N846="základní",J846,0)</f>
        <v>0</v>
      </c>
      <c r="BF846" s="140">
        <f>IF(N846="snížená",J846,0)</f>
        <v>0</v>
      </c>
      <c r="BG846" s="140">
        <f>IF(N846="zákl. přenesená",J846,0)</f>
        <v>0</v>
      </c>
      <c r="BH846" s="140">
        <f>IF(N846="sníž. přenesená",J846,0)</f>
        <v>0</v>
      </c>
      <c r="BI846" s="140">
        <f>IF(N846="nulová",J846,0)</f>
        <v>0</v>
      </c>
      <c r="BJ846" s="2" t="s">
        <v>87</v>
      </c>
      <c r="BK846" s="140">
        <f>ROUND(I846*H846,2)</f>
        <v>0</v>
      </c>
      <c r="BL846" s="2" t="s">
        <v>344</v>
      </c>
      <c r="BM846" s="139" t="s">
        <v>3683</v>
      </c>
    </row>
    <row r="847" spans="2:65" s="141" customFormat="1" x14ac:dyDescent="0.2">
      <c r="B847" s="142"/>
      <c r="D847" s="143" t="s">
        <v>346</v>
      </c>
      <c r="E847" s="144"/>
      <c r="F847" s="145" t="s">
        <v>695</v>
      </c>
      <c r="H847" s="144"/>
      <c r="L847" s="142"/>
      <c r="M847" s="146"/>
      <c r="T847" s="147"/>
      <c r="AT847" s="144" t="s">
        <v>346</v>
      </c>
      <c r="AU847" s="144" t="s">
        <v>90</v>
      </c>
      <c r="AV847" s="141" t="s">
        <v>87</v>
      </c>
      <c r="AW847" s="141" t="s">
        <v>33</v>
      </c>
      <c r="AX847" s="141" t="s">
        <v>80</v>
      </c>
      <c r="AY847" s="144" t="s">
        <v>337</v>
      </c>
    </row>
    <row r="848" spans="2:65" s="141" customFormat="1" x14ac:dyDescent="0.2">
      <c r="B848" s="142"/>
      <c r="D848" s="143" t="s">
        <v>346</v>
      </c>
      <c r="E848" s="144"/>
      <c r="F848" s="145" t="s">
        <v>357</v>
      </c>
      <c r="H848" s="144"/>
      <c r="L848" s="142"/>
      <c r="M848" s="146"/>
      <c r="T848" s="147"/>
      <c r="AT848" s="144" t="s">
        <v>346</v>
      </c>
      <c r="AU848" s="144" t="s">
        <v>90</v>
      </c>
      <c r="AV848" s="141" t="s">
        <v>87</v>
      </c>
      <c r="AW848" s="141" t="s">
        <v>33</v>
      </c>
      <c r="AX848" s="141" t="s">
        <v>80</v>
      </c>
      <c r="AY848" s="144" t="s">
        <v>337</v>
      </c>
    </row>
    <row r="849" spans="2:51" s="148" customFormat="1" x14ac:dyDescent="0.2">
      <c r="B849" s="149"/>
      <c r="D849" s="143" t="s">
        <v>346</v>
      </c>
      <c r="E849" s="150"/>
      <c r="F849" s="151" t="s">
        <v>3684</v>
      </c>
      <c r="H849" s="152">
        <v>6.48</v>
      </c>
      <c r="L849" s="149"/>
      <c r="M849" s="153"/>
      <c r="T849" s="154"/>
      <c r="AT849" s="150" t="s">
        <v>346</v>
      </c>
      <c r="AU849" s="150" t="s">
        <v>90</v>
      </c>
      <c r="AV849" s="148" t="s">
        <v>90</v>
      </c>
      <c r="AW849" s="148" t="s">
        <v>33</v>
      </c>
      <c r="AX849" s="148" t="s">
        <v>80</v>
      </c>
      <c r="AY849" s="150" t="s">
        <v>337</v>
      </c>
    </row>
    <row r="850" spans="2:51" s="141" customFormat="1" x14ac:dyDescent="0.2">
      <c r="B850" s="142"/>
      <c r="D850" s="143" t="s">
        <v>346</v>
      </c>
      <c r="E850" s="144"/>
      <c r="F850" s="145" t="s">
        <v>696</v>
      </c>
      <c r="H850" s="144"/>
      <c r="L850" s="142"/>
      <c r="M850" s="146"/>
      <c r="T850" s="147"/>
      <c r="AT850" s="144" t="s">
        <v>346</v>
      </c>
      <c r="AU850" s="144" t="s">
        <v>90</v>
      </c>
      <c r="AV850" s="141" t="s">
        <v>87</v>
      </c>
      <c r="AW850" s="141" t="s">
        <v>33</v>
      </c>
      <c r="AX850" s="141" t="s">
        <v>80</v>
      </c>
      <c r="AY850" s="144" t="s">
        <v>337</v>
      </c>
    </row>
    <row r="851" spans="2:51" s="141" customFormat="1" x14ac:dyDescent="0.2">
      <c r="B851" s="142"/>
      <c r="D851" s="143" t="s">
        <v>346</v>
      </c>
      <c r="E851" s="144"/>
      <c r="F851" s="145" t="s">
        <v>3685</v>
      </c>
      <c r="H851" s="144"/>
      <c r="L851" s="142"/>
      <c r="M851" s="146"/>
      <c r="T851" s="147"/>
      <c r="AT851" s="144" t="s">
        <v>346</v>
      </c>
      <c r="AU851" s="144" t="s">
        <v>90</v>
      </c>
      <c r="AV851" s="141" t="s">
        <v>87</v>
      </c>
      <c r="AW851" s="141" t="s">
        <v>33</v>
      </c>
      <c r="AX851" s="141" t="s">
        <v>80</v>
      </c>
      <c r="AY851" s="144" t="s">
        <v>337</v>
      </c>
    </row>
    <row r="852" spans="2:51" s="148" customFormat="1" x14ac:dyDescent="0.2">
      <c r="B852" s="149"/>
      <c r="D852" s="143" t="s">
        <v>346</v>
      </c>
      <c r="E852" s="150"/>
      <c r="F852" s="151" t="s">
        <v>3686</v>
      </c>
      <c r="H852" s="152">
        <v>40</v>
      </c>
      <c r="L852" s="149"/>
      <c r="M852" s="153"/>
      <c r="T852" s="154"/>
      <c r="AT852" s="150" t="s">
        <v>346</v>
      </c>
      <c r="AU852" s="150" t="s">
        <v>90</v>
      </c>
      <c r="AV852" s="148" t="s">
        <v>90</v>
      </c>
      <c r="AW852" s="148" t="s">
        <v>33</v>
      </c>
      <c r="AX852" s="148" t="s">
        <v>80</v>
      </c>
      <c r="AY852" s="150" t="s">
        <v>337</v>
      </c>
    </row>
    <row r="853" spans="2:51" s="141" customFormat="1" x14ac:dyDescent="0.2">
      <c r="B853" s="142"/>
      <c r="D853" s="143" t="s">
        <v>346</v>
      </c>
      <c r="E853" s="144"/>
      <c r="F853" s="145" t="s">
        <v>3687</v>
      </c>
      <c r="H853" s="144"/>
      <c r="L853" s="142"/>
      <c r="M853" s="146"/>
      <c r="T853" s="147"/>
      <c r="AT853" s="144" t="s">
        <v>346</v>
      </c>
      <c r="AU853" s="144" t="s">
        <v>90</v>
      </c>
      <c r="AV853" s="141" t="s">
        <v>87</v>
      </c>
      <c r="AW853" s="141" t="s">
        <v>33</v>
      </c>
      <c r="AX853" s="141" t="s">
        <v>80</v>
      </c>
      <c r="AY853" s="144" t="s">
        <v>337</v>
      </c>
    </row>
    <row r="854" spans="2:51" s="141" customFormat="1" x14ac:dyDescent="0.2">
      <c r="B854" s="142"/>
      <c r="D854" s="143" t="s">
        <v>346</v>
      </c>
      <c r="E854" s="144"/>
      <c r="F854" s="145" t="s">
        <v>3259</v>
      </c>
      <c r="H854" s="144"/>
      <c r="L854" s="142"/>
      <c r="M854" s="146"/>
      <c r="T854" s="147"/>
      <c r="AT854" s="144" t="s">
        <v>346</v>
      </c>
      <c r="AU854" s="144" t="s">
        <v>90</v>
      </c>
      <c r="AV854" s="141" t="s">
        <v>87</v>
      </c>
      <c r="AW854" s="141" t="s">
        <v>33</v>
      </c>
      <c r="AX854" s="141" t="s">
        <v>80</v>
      </c>
      <c r="AY854" s="144" t="s">
        <v>337</v>
      </c>
    </row>
    <row r="855" spans="2:51" s="148" customFormat="1" x14ac:dyDescent="0.2">
      <c r="B855" s="149"/>
      <c r="D855" s="143" t="s">
        <v>346</v>
      </c>
      <c r="E855" s="150"/>
      <c r="F855" s="151" t="s">
        <v>3688</v>
      </c>
      <c r="H855" s="152">
        <v>50.24</v>
      </c>
      <c r="L855" s="149"/>
      <c r="M855" s="153"/>
      <c r="T855" s="154"/>
      <c r="AT855" s="150" t="s">
        <v>346</v>
      </c>
      <c r="AU855" s="150" t="s">
        <v>90</v>
      </c>
      <c r="AV855" s="148" t="s">
        <v>90</v>
      </c>
      <c r="AW855" s="148" t="s">
        <v>33</v>
      </c>
      <c r="AX855" s="148" t="s">
        <v>80</v>
      </c>
      <c r="AY855" s="150" t="s">
        <v>337</v>
      </c>
    </row>
    <row r="856" spans="2:51" s="141" customFormat="1" x14ac:dyDescent="0.2">
      <c r="B856" s="142"/>
      <c r="D856" s="143" t="s">
        <v>346</v>
      </c>
      <c r="E856" s="144"/>
      <c r="F856" s="145" t="s">
        <v>3112</v>
      </c>
      <c r="H856" s="144"/>
      <c r="L856" s="142"/>
      <c r="M856" s="146"/>
      <c r="T856" s="147"/>
      <c r="AT856" s="144" t="s">
        <v>346</v>
      </c>
      <c r="AU856" s="144" t="s">
        <v>90</v>
      </c>
      <c r="AV856" s="141" t="s">
        <v>87</v>
      </c>
      <c r="AW856" s="141" t="s">
        <v>33</v>
      </c>
      <c r="AX856" s="141" t="s">
        <v>80</v>
      </c>
      <c r="AY856" s="144" t="s">
        <v>337</v>
      </c>
    </row>
    <row r="857" spans="2:51" s="141" customFormat="1" x14ac:dyDescent="0.2">
      <c r="B857" s="142"/>
      <c r="D857" s="143" t="s">
        <v>346</v>
      </c>
      <c r="E857" s="144"/>
      <c r="F857" s="145" t="s">
        <v>3689</v>
      </c>
      <c r="H857" s="144"/>
      <c r="L857" s="142"/>
      <c r="M857" s="146"/>
      <c r="T857" s="147"/>
      <c r="AT857" s="144" t="s">
        <v>346</v>
      </c>
      <c r="AU857" s="144" t="s">
        <v>90</v>
      </c>
      <c r="AV857" s="141" t="s">
        <v>87</v>
      </c>
      <c r="AW857" s="141" t="s">
        <v>33</v>
      </c>
      <c r="AX857" s="141" t="s">
        <v>80</v>
      </c>
      <c r="AY857" s="144" t="s">
        <v>337</v>
      </c>
    </row>
    <row r="858" spans="2:51" s="148" customFormat="1" x14ac:dyDescent="0.2">
      <c r="B858" s="149"/>
      <c r="D858" s="143" t="s">
        <v>346</v>
      </c>
      <c r="E858" s="150"/>
      <c r="F858" s="151" t="s">
        <v>3690</v>
      </c>
      <c r="H858" s="152">
        <v>117.26</v>
      </c>
      <c r="L858" s="149"/>
      <c r="M858" s="153"/>
      <c r="T858" s="154"/>
      <c r="AT858" s="150" t="s">
        <v>346</v>
      </c>
      <c r="AU858" s="150" t="s">
        <v>90</v>
      </c>
      <c r="AV858" s="148" t="s">
        <v>90</v>
      </c>
      <c r="AW858" s="148" t="s">
        <v>33</v>
      </c>
      <c r="AX858" s="148" t="s">
        <v>80</v>
      </c>
      <c r="AY858" s="150" t="s">
        <v>337</v>
      </c>
    </row>
    <row r="859" spans="2:51" s="141" customFormat="1" x14ac:dyDescent="0.2">
      <c r="B859" s="142"/>
      <c r="D859" s="143" t="s">
        <v>346</v>
      </c>
      <c r="E859" s="144"/>
      <c r="F859" s="145" t="s">
        <v>3691</v>
      </c>
      <c r="H859" s="144"/>
      <c r="L859" s="142"/>
      <c r="M859" s="146"/>
      <c r="T859" s="147"/>
      <c r="AT859" s="144" t="s">
        <v>346</v>
      </c>
      <c r="AU859" s="144" t="s">
        <v>90</v>
      </c>
      <c r="AV859" s="141" t="s">
        <v>87</v>
      </c>
      <c r="AW859" s="141" t="s">
        <v>33</v>
      </c>
      <c r="AX859" s="141" t="s">
        <v>80</v>
      </c>
      <c r="AY859" s="144" t="s">
        <v>337</v>
      </c>
    </row>
    <row r="860" spans="2:51" s="148" customFormat="1" x14ac:dyDescent="0.2">
      <c r="B860" s="149"/>
      <c r="D860" s="143" t="s">
        <v>346</v>
      </c>
      <c r="E860" s="150"/>
      <c r="F860" s="151" t="s">
        <v>3692</v>
      </c>
      <c r="H860" s="152">
        <v>48.448</v>
      </c>
      <c r="L860" s="149"/>
      <c r="M860" s="153"/>
      <c r="T860" s="154"/>
      <c r="AT860" s="150" t="s">
        <v>346</v>
      </c>
      <c r="AU860" s="150" t="s">
        <v>90</v>
      </c>
      <c r="AV860" s="148" t="s">
        <v>90</v>
      </c>
      <c r="AW860" s="148" t="s">
        <v>33</v>
      </c>
      <c r="AX860" s="148" t="s">
        <v>80</v>
      </c>
      <c r="AY860" s="150" t="s">
        <v>337</v>
      </c>
    </row>
    <row r="861" spans="2:51" s="141" customFormat="1" x14ac:dyDescent="0.2">
      <c r="B861" s="142"/>
      <c r="D861" s="143" t="s">
        <v>346</v>
      </c>
      <c r="E861" s="144"/>
      <c r="F861" s="145" t="s">
        <v>3545</v>
      </c>
      <c r="H861" s="144"/>
      <c r="L861" s="142"/>
      <c r="M861" s="146"/>
      <c r="T861" s="147"/>
      <c r="AT861" s="144" t="s">
        <v>346</v>
      </c>
      <c r="AU861" s="144" t="s">
        <v>90</v>
      </c>
      <c r="AV861" s="141" t="s">
        <v>87</v>
      </c>
      <c r="AW861" s="141" t="s">
        <v>33</v>
      </c>
      <c r="AX861" s="141" t="s">
        <v>80</v>
      </c>
      <c r="AY861" s="144" t="s">
        <v>337</v>
      </c>
    </row>
    <row r="862" spans="2:51" s="148" customFormat="1" x14ac:dyDescent="0.2">
      <c r="B862" s="149"/>
      <c r="D862" s="143" t="s">
        <v>346</v>
      </c>
      <c r="E862" s="150"/>
      <c r="F862" s="151" t="s">
        <v>3693</v>
      </c>
      <c r="H862" s="152">
        <v>-8.74</v>
      </c>
      <c r="L862" s="149"/>
      <c r="M862" s="153"/>
      <c r="T862" s="154"/>
      <c r="AT862" s="150" t="s">
        <v>346</v>
      </c>
      <c r="AU862" s="150" t="s">
        <v>90</v>
      </c>
      <c r="AV862" s="148" t="s">
        <v>90</v>
      </c>
      <c r="AW862" s="148" t="s">
        <v>33</v>
      </c>
      <c r="AX862" s="148" t="s">
        <v>80</v>
      </c>
      <c r="AY862" s="150" t="s">
        <v>337</v>
      </c>
    </row>
    <row r="863" spans="2:51" s="141" customFormat="1" x14ac:dyDescent="0.2">
      <c r="B863" s="142"/>
      <c r="D863" s="143" t="s">
        <v>346</v>
      </c>
      <c r="E863" s="144"/>
      <c r="F863" s="145" t="s">
        <v>3460</v>
      </c>
      <c r="H863" s="144"/>
      <c r="L863" s="142"/>
      <c r="M863" s="146"/>
      <c r="T863" s="147"/>
      <c r="AT863" s="144" t="s">
        <v>346</v>
      </c>
      <c r="AU863" s="144" t="s">
        <v>90</v>
      </c>
      <c r="AV863" s="141" t="s">
        <v>87</v>
      </c>
      <c r="AW863" s="141" t="s">
        <v>33</v>
      </c>
      <c r="AX863" s="141" t="s">
        <v>80</v>
      </c>
      <c r="AY863" s="144" t="s">
        <v>337</v>
      </c>
    </row>
    <row r="864" spans="2:51" s="148" customFormat="1" x14ac:dyDescent="0.2">
      <c r="B864" s="149"/>
      <c r="D864" s="143" t="s">
        <v>346</v>
      </c>
      <c r="E864" s="150"/>
      <c r="F864" s="151" t="s">
        <v>3694</v>
      </c>
      <c r="H864" s="152">
        <v>13.39</v>
      </c>
      <c r="L864" s="149"/>
      <c r="M864" s="153"/>
      <c r="T864" s="154"/>
      <c r="AT864" s="150" t="s">
        <v>346</v>
      </c>
      <c r="AU864" s="150" t="s">
        <v>90</v>
      </c>
      <c r="AV864" s="148" t="s">
        <v>90</v>
      </c>
      <c r="AW864" s="148" t="s">
        <v>33</v>
      </c>
      <c r="AX864" s="148" t="s">
        <v>80</v>
      </c>
      <c r="AY864" s="150" t="s">
        <v>337</v>
      </c>
    </row>
    <row r="865" spans="2:51" s="141" customFormat="1" x14ac:dyDescent="0.2">
      <c r="B865" s="142"/>
      <c r="D865" s="143" t="s">
        <v>346</v>
      </c>
      <c r="E865" s="144"/>
      <c r="F865" s="145" t="s">
        <v>3695</v>
      </c>
      <c r="H865" s="144"/>
      <c r="L865" s="142"/>
      <c r="M865" s="146"/>
      <c r="T865" s="147"/>
      <c r="AT865" s="144" t="s">
        <v>346</v>
      </c>
      <c r="AU865" s="144" t="s">
        <v>90</v>
      </c>
      <c r="AV865" s="141" t="s">
        <v>87</v>
      </c>
      <c r="AW865" s="141" t="s">
        <v>33</v>
      </c>
      <c r="AX865" s="141" t="s">
        <v>80</v>
      </c>
      <c r="AY865" s="144" t="s">
        <v>337</v>
      </c>
    </row>
    <row r="866" spans="2:51" s="141" customFormat="1" x14ac:dyDescent="0.2">
      <c r="B866" s="142"/>
      <c r="D866" s="143" t="s">
        <v>346</v>
      </c>
      <c r="E866" s="144"/>
      <c r="F866" s="145" t="s">
        <v>3696</v>
      </c>
      <c r="H866" s="144"/>
      <c r="L866" s="142"/>
      <c r="M866" s="146"/>
      <c r="T866" s="147"/>
      <c r="AT866" s="144" t="s">
        <v>346</v>
      </c>
      <c r="AU866" s="144" t="s">
        <v>90</v>
      </c>
      <c r="AV866" s="141" t="s">
        <v>87</v>
      </c>
      <c r="AW866" s="141" t="s">
        <v>33</v>
      </c>
      <c r="AX866" s="141" t="s">
        <v>80</v>
      </c>
      <c r="AY866" s="144" t="s">
        <v>337</v>
      </c>
    </row>
    <row r="867" spans="2:51" s="148" customFormat="1" x14ac:dyDescent="0.2">
      <c r="B867" s="149"/>
      <c r="D867" s="143" t="s">
        <v>346</v>
      </c>
      <c r="E867" s="150"/>
      <c r="F867" s="151" t="s">
        <v>3697</v>
      </c>
      <c r="H867" s="152">
        <v>6.55</v>
      </c>
      <c r="L867" s="149"/>
      <c r="M867" s="153"/>
      <c r="T867" s="154"/>
      <c r="AT867" s="150" t="s">
        <v>346</v>
      </c>
      <c r="AU867" s="150" t="s">
        <v>90</v>
      </c>
      <c r="AV867" s="148" t="s">
        <v>90</v>
      </c>
      <c r="AW867" s="148" t="s">
        <v>33</v>
      </c>
      <c r="AX867" s="148" t="s">
        <v>80</v>
      </c>
      <c r="AY867" s="150" t="s">
        <v>337</v>
      </c>
    </row>
    <row r="868" spans="2:51" s="141" customFormat="1" x14ac:dyDescent="0.2">
      <c r="B868" s="142"/>
      <c r="D868" s="143" t="s">
        <v>346</v>
      </c>
      <c r="E868" s="144"/>
      <c r="F868" s="145" t="s">
        <v>3698</v>
      </c>
      <c r="H868" s="144"/>
      <c r="L868" s="142"/>
      <c r="M868" s="146"/>
      <c r="T868" s="147"/>
      <c r="AT868" s="144" t="s">
        <v>346</v>
      </c>
      <c r="AU868" s="144" t="s">
        <v>90</v>
      </c>
      <c r="AV868" s="141" t="s">
        <v>87</v>
      </c>
      <c r="AW868" s="141" t="s">
        <v>33</v>
      </c>
      <c r="AX868" s="141" t="s">
        <v>80</v>
      </c>
      <c r="AY868" s="144" t="s">
        <v>337</v>
      </c>
    </row>
    <row r="869" spans="2:51" s="148" customFormat="1" x14ac:dyDescent="0.2">
      <c r="B869" s="149"/>
      <c r="D869" s="143" t="s">
        <v>346</v>
      </c>
      <c r="E869" s="150"/>
      <c r="F869" s="151" t="s">
        <v>3699</v>
      </c>
      <c r="H869" s="152">
        <v>50.33</v>
      </c>
      <c r="L869" s="149"/>
      <c r="M869" s="153"/>
      <c r="T869" s="154"/>
      <c r="AT869" s="150" t="s">
        <v>346</v>
      </c>
      <c r="AU869" s="150" t="s">
        <v>90</v>
      </c>
      <c r="AV869" s="148" t="s">
        <v>90</v>
      </c>
      <c r="AW869" s="148" t="s">
        <v>33</v>
      </c>
      <c r="AX869" s="148" t="s">
        <v>80</v>
      </c>
      <c r="AY869" s="150" t="s">
        <v>337</v>
      </c>
    </row>
    <row r="870" spans="2:51" s="141" customFormat="1" x14ac:dyDescent="0.2">
      <c r="B870" s="142"/>
      <c r="D870" s="143" t="s">
        <v>346</v>
      </c>
      <c r="E870" s="144"/>
      <c r="F870" s="145" t="s">
        <v>3700</v>
      </c>
      <c r="H870" s="144"/>
      <c r="L870" s="142"/>
      <c r="M870" s="146"/>
      <c r="T870" s="147"/>
      <c r="AT870" s="144" t="s">
        <v>346</v>
      </c>
      <c r="AU870" s="144" t="s">
        <v>90</v>
      </c>
      <c r="AV870" s="141" t="s">
        <v>87</v>
      </c>
      <c r="AW870" s="141" t="s">
        <v>33</v>
      </c>
      <c r="AX870" s="141" t="s">
        <v>80</v>
      </c>
      <c r="AY870" s="144" t="s">
        <v>337</v>
      </c>
    </row>
    <row r="871" spans="2:51" s="148" customFormat="1" x14ac:dyDescent="0.2">
      <c r="B871" s="149"/>
      <c r="D871" s="143" t="s">
        <v>346</v>
      </c>
      <c r="E871" s="150"/>
      <c r="F871" s="151" t="s">
        <v>3701</v>
      </c>
      <c r="H871" s="152">
        <v>11.6</v>
      </c>
      <c r="L871" s="149"/>
      <c r="M871" s="153"/>
      <c r="T871" s="154"/>
      <c r="AT871" s="150" t="s">
        <v>346</v>
      </c>
      <c r="AU871" s="150" t="s">
        <v>90</v>
      </c>
      <c r="AV871" s="148" t="s">
        <v>90</v>
      </c>
      <c r="AW871" s="148" t="s">
        <v>33</v>
      </c>
      <c r="AX871" s="148" t="s">
        <v>80</v>
      </c>
      <c r="AY871" s="150" t="s">
        <v>337</v>
      </c>
    </row>
    <row r="872" spans="2:51" s="148" customFormat="1" x14ac:dyDescent="0.2">
      <c r="B872" s="149"/>
      <c r="D872" s="143" t="s">
        <v>346</v>
      </c>
      <c r="E872" s="150"/>
      <c r="F872" s="151" t="s">
        <v>3702</v>
      </c>
      <c r="H872" s="152">
        <v>4.4000000000000004</v>
      </c>
      <c r="L872" s="149"/>
      <c r="M872" s="153"/>
      <c r="T872" s="154"/>
      <c r="AT872" s="150" t="s">
        <v>346</v>
      </c>
      <c r="AU872" s="150" t="s">
        <v>90</v>
      </c>
      <c r="AV872" s="148" t="s">
        <v>90</v>
      </c>
      <c r="AW872" s="148" t="s">
        <v>33</v>
      </c>
      <c r="AX872" s="148" t="s">
        <v>80</v>
      </c>
      <c r="AY872" s="150" t="s">
        <v>337</v>
      </c>
    </row>
    <row r="873" spans="2:51" s="141" customFormat="1" x14ac:dyDescent="0.2">
      <c r="B873" s="142"/>
      <c r="D873" s="143" t="s">
        <v>346</v>
      </c>
      <c r="E873" s="144"/>
      <c r="F873" s="145" t="s">
        <v>3101</v>
      </c>
      <c r="H873" s="144"/>
      <c r="L873" s="142"/>
      <c r="M873" s="146"/>
      <c r="T873" s="147"/>
      <c r="AT873" s="144" t="s">
        <v>346</v>
      </c>
      <c r="AU873" s="144" t="s">
        <v>90</v>
      </c>
      <c r="AV873" s="141" t="s">
        <v>87</v>
      </c>
      <c r="AW873" s="141" t="s">
        <v>33</v>
      </c>
      <c r="AX873" s="141" t="s">
        <v>80</v>
      </c>
      <c r="AY873" s="144" t="s">
        <v>337</v>
      </c>
    </row>
    <row r="874" spans="2:51" s="141" customFormat="1" x14ac:dyDescent="0.2">
      <c r="B874" s="142"/>
      <c r="D874" s="143" t="s">
        <v>346</v>
      </c>
      <c r="E874" s="144"/>
      <c r="F874" s="145" t="s">
        <v>3102</v>
      </c>
      <c r="H874" s="144"/>
      <c r="L874" s="142"/>
      <c r="M874" s="146"/>
      <c r="T874" s="147"/>
      <c r="AT874" s="144" t="s">
        <v>346</v>
      </c>
      <c r="AU874" s="144" t="s">
        <v>90</v>
      </c>
      <c r="AV874" s="141" t="s">
        <v>87</v>
      </c>
      <c r="AW874" s="141" t="s">
        <v>33</v>
      </c>
      <c r="AX874" s="141" t="s">
        <v>80</v>
      </c>
      <c r="AY874" s="144" t="s">
        <v>337</v>
      </c>
    </row>
    <row r="875" spans="2:51" s="148" customFormat="1" x14ac:dyDescent="0.2">
      <c r="B875" s="149"/>
      <c r="D875" s="143" t="s">
        <v>346</v>
      </c>
      <c r="E875" s="150"/>
      <c r="F875" s="151" t="s">
        <v>3703</v>
      </c>
      <c r="H875" s="152">
        <v>6</v>
      </c>
      <c r="L875" s="149"/>
      <c r="M875" s="153"/>
      <c r="T875" s="154"/>
      <c r="AT875" s="150" t="s">
        <v>346</v>
      </c>
      <c r="AU875" s="150" t="s">
        <v>90</v>
      </c>
      <c r="AV875" s="148" t="s">
        <v>90</v>
      </c>
      <c r="AW875" s="148" t="s">
        <v>33</v>
      </c>
      <c r="AX875" s="148" t="s">
        <v>80</v>
      </c>
      <c r="AY875" s="150" t="s">
        <v>337</v>
      </c>
    </row>
    <row r="876" spans="2:51" s="141" customFormat="1" x14ac:dyDescent="0.2">
      <c r="B876" s="142"/>
      <c r="D876" s="143" t="s">
        <v>346</v>
      </c>
      <c r="E876" s="144"/>
      <c r="F876" s="145" t="s">
        <v>3104</v>
      </c>
      <c r="H876" s="144"/>
      <c r="L876" s="142"/>
      <c r="M876" s="146"/>
      <c r="T876" s="147"/>
      <c r="AT876" s="144" t="s">
        <v>346</v>
      </c>
      <c r="AU876" s="144" t="s">
        <v>90</v>
      </c>
      <c r="AV876" s="141" t="s">
        <v>87</v>
      </c>
      <c r="AW876" s="141" t="s">
        <v>33</v>
      </c>
      <c r="AX876" s="141" t="s">
        <v>80</v>
      </c>
      <c r="AY876" s="144" t="s">
        <v>337</v>
      </c>
    </row>
    <row r="877" spans="2:51" s="148" customFormat="1" x14ac:dyDescent="0.2">
      <c r="B877" s="149"/>
      <c r="D877" s="143" t="s">
        <v>346</v>
      </c>
      <c r="E877" s="150"/>
      <c r="F877" s="151" t="s">
        <v>3704</v>
      </c>
      <c r="H877" s="152">
        <v>0.6</v>
      </c>
      <c r="L877" s="149"/>
      <c r="M877" s="153"/>
      <c r="T877" s="154"/>
      <c r="AT877" s="150" t="s">
        <v>346</v>
      </c>
      <c r="AU877" s="150" t="s">
        <v>90</v>
      </c>
      <c r="AV877" s="148" t="s">
        <v>90</v>
      </c>
      <c r="AW877" s="148" t="s">
        <v>33</v>
      </c>
      <c r="AX877" s="148" t="s">
        <v>80</v>
      </c>
      <c r="AY877" s="150" t="s">
        <v>337</v>
      </c>
    </row>
    <row r="878" spans="2:51" s="141" customFormat="1" x14ac:dyDescent="0.2">
      <c r="B878" s="142"/>
      <c r="D878" s="143" t="s">
        <v>346</v>
      </c>
      <c r="E878" s="144"/>
      <c r="F878" s="145" t="s">
        <v>3106</v>
      </c>
      <c r="H878" s="144"/>
      <c r="L878" s="142"/>
      <c r="M878" s="146"/>
      <c r="T878" s="147"/>
      <c r="AT878" s="144" t="s">
        <v>346</v>
      </c>
      <c r="AU878" s="144" t="s">
        <v>90</v>
      </c>
      <c r="AV878" s="141" t="s">
        <v>87</v>
      </c>
      <c r="AW878" s="141" t="s">
        <v>33</v>
      </c>
      <c r="AX878" s="141" t="s">
        <v>80</v>
      </c>
      <c r="AY878" s="144" t="s">
        <v>337</v>
      </c>
    </row>
    <row r="879" spans="2:51" s="148" customFormat="1" x14ac:dyDescent="0.2">
      <c r="B879" s="149"/>
      <c r="D879" s="143" t="s">
        <v>346</v>
      </c>
      <c r="E879" s="150"/>
      <c r="F879" s="151" t="s">
        <v>3705</v>
      </c>
      <c r="H879" s="152">
        <v>10.4</v>
      </c>
      <c r="L879" s="149"/>
      <c r="M879" s="153"/>
      <c r="T879" s="154"/>
      <c r="AT879" s="150" t="s">
        <v>346</v>
      </c>
      <c r="AU879" s="150" t="s">
        <v>90</v>
      </c>
      <c r="AV879" s="148" t="s">
        <v>90</v>
      </c>
      <c r="AW879" s="148" t="s">
        <v>33</v>
      </c>
      <c r="AX879" s="148" t="s">
        <v>80</v>
      </c>
      <c r="AY879" s="150" t="s">
        <v>337</v>
      </c>
    </row>
    <row r="880" spans="2:51" s="141" customFormat="1" x14ac:dyDescent="0.2">
      <c r="B880" s="142"/>
      <c r="D880" s="143" t="s">
        <v>346</v>
      </c>
      <c r="E880" s="144"/>
      <c r="F880" s="145" t="s">
        <v>3108</v>
      </c>
      <c r="H880" s="144"/>
      <c r="L880" s="142"/>
      <c r="M880" s="146"/>
      <c r="T880" s="147"/>
      <c r="AT880" s="144" t="s">
        <v>346</v>
      </c>
      <c r="AU880" s="144" t="s">
        <v>90</v>
      </c>
      <c r="AV880" s="141" t="s">
        <v>87</v>
      </c>
      <c r="AW880" s="141" t="s">
        <v>33</v>
      </c>
      <c r="AX880" s="141" t="s">
        <v>80</v>
      </c>
      <c r="AY880" s="144" t="s">
        <v>337</v>
      </c>
    </row>
    <row r="881" spans="2:65" s="148" customFormat="1" x14ac:dyDescent="0.2">
      <c r="B881" s="149"/>
      <c r="D881" s="143" t="s">
        <v>346</v>
      </c>
      <c r="E881" s="150"/>
      <c r="F881" s="151" t="s">
        <v>3388</v>
      </c>
      <c r="H881" s="152">
        <v>2.7</v>
      </c>
      <c r="L881" s="149"/>
      <c r="M881" s="153"/>
      <c r="T881" s="154"/>
      <c r="AT881" s="150" t="s">
        <v>346</v>
      </c>
      <c r="AU881" s="150" t="s">
        <v>90</v>
      </c>
      <c r="AV881" s="148" t="s">
        <v>90</v>
      </c>
      <c r="AW881" s="148" t="s">
        <v>33</v>
      </c>
      <c r="AX881" s="148" t="s">
        <v>80</v>
      </c>
      <c r="AY881" s="150" t="s">
        <v>337</v>
      </c>
    </row>
    <row r="882" spans="2:65" s="141" customFormat="1" x14ac:dyDescent="0.2">
      <c r="B882" s="142"/>
      <c r="D882" s="143" t="s">
        <v>346</v>
      </c>
      <c r="E882" s="144"/>
      <c r="F882" s="145" t="s">
        <v>3706</v>
      </c>
      <c r="H882" s="144"/>
      <c r="L882" s="142"/>
      <c r="M882" s="146"/>
      <c r="T882" s="147"/>
      <c r="AT882" s="144" t="s">
        <v>346</v>
      </c>
      <c r="AU882" s="144" t="s">
        <v>90</v>
      </c>
      <c r="AV882" s="141" t="s">
        <v>87</v>
      </c>
      <c r="AW882" s="141" t="s">
        <v>33</v>
      </c>
      <c r="AX882" s="141" t="s">
        <v>80</v>
      </c>
      <c r="AY882" s="144" t="s">
        <v>337</v>
      </c>
    </row>
    <row r="883" spans="2:65" s="141" customFormat="1" x14ac:dyDescent="0.2">
      <c r="B883" s="142"/>
      <c r="D883" s="143" t="s">
        <v>346</v>
      </c>
      <c r="E883" s="144"/>
      <c r="F883" s="145" t="s">
        <v>759</v>
      </c>
      <c r="H883" s="144"/>
      <c r="L883" s="142"/>
      <c r="M883" s="146"/>
      <c r="T883" s="147"/>
      <c r="AT883" s="144" t="s">
        <v>346</v>
      </c>
      <c r="AU883" s="144" t="s">
        <v>90</v>
      </c>
      <c r="AV883" s="141" t="s">
        <v>87</v>
      </c>
      <c r="AW883" s="141" t="s">
        <v>33</v>
      </c>
      <c r="AX883" s="141" t="s">
        <v>80</v>
      </c>
      <c r="AY883" s="144" t="s">
        <v>337</v>
      </c>
    </row>
    <row r="884" spans="2:65" s="148" customFormat="1" x14ac:dyDescent="0.2">
      <c r="B884" s="149"/>
      <c r="D884" s="143" t="s">
        <v>346</v>
      </c>
      <c r="E884" s="150"/>
      <c r="F884" s="151" t="s">
        <v>3707</v>
      </c>
      <c r="H884" s="152">
        <v>1.35</v>
      </c>
      <c r="L884" s="149"/>
      <c r="M884" s="153"/>
      <c r="T884" s="154"/>
      <c r="AT884" s="150" t="s">
        <v>346</v>
      </c>
      <c r="AU884" s="150" t="s">
        <v>90</v>
      </c>
      <c r="AV884" s="148" t="s">
        <v>90</v>
      </c>
      <c r="AW884" s="148" t="s">
        <v>33</v>
      </c>
      <c r="AX884" s="148" t="s">
        <v>80</v>
      </c>
      <c r="AY884" s="150" t="s">
        <v>337</v>
      </c>
    </row>
    <row r="885" spans="2:65" s="148" customFormat="1" x14ac:dyDescent="0.2">
      <c r="B885" s="149"/>
      <c r="D885" s="143" t="s">
        <v>346</v>
      </c>
      <c r="E885" s="150"/>
      <c r="F885" s="151" t="s">
        <v>3555</v>
      </c>
      <c r="H885" s="152">
        <v>15.2</v>
      </c>
      <c r="L885" s="149"/>
      <c r="M885" s="153"/>
      <c r="T885" s="154"/>
      <c r="AT885" s="150" t="s">
        <v>346</v>
      </c>
      <c r="AU885" s="150" t="s">
        <v>90</v>
      </c>
      <c r="AV885" s="148" t="s">
        <v>90</v>
      </c>
      <c r="AW885" s="148" t="s">
        <v>33</v>
      </c>
      <c r="AX885" s="148" t="s">
        <v>80</v>
      </c>
      <c r="AY885" s="150" t="s">
        <v>337</v>
      </c>
    </row>
    <row r="886" spans="2:65" s="141" customFormat="1" x14ac:dyDescent="0.2">
      <c r="B886" s="142"/>
      <c r="D886" s="143" t="s">
        <v>346</v>
      </c>
      <c r="E886" s="144"/>
      <c r="F886" s="145" t="s">
        <v>3708</v>
      </c>
      <c r="H886" s="144"/>
      <c r="L886" s="142"/>
      <c r="M886" s="146"/>
      <c r="T886" s="147"/>
      <c r="AT886" s="144" t="s">
        <v>346</v>
      </c>
      <c r="AU886" s="144" t="s">
        <v>90</v>
      </c>
      <c r="AV886" s="141" t="s">
        <v>87</v>
      </c>
      <c r="AW886" s="141" t="s">
        <v>33</v>
      </c>
      <c r="AX886" s="141" t="s">
        <v>80</v>
      </c>
      <c r="AY886" s="144" t="s">
        <v>337</v>
      </c>
    </row>
    <row r="887" spans="2:65" s="148" customFormat="1" x14ac:dyDescent="0.2">
      <c r="B887" s="149"/>
      <c r="D887" s="143" t="s">
        <v>346</v>
      </c>
      <c r="E887" s="150"/>
      <c r="F887" s="151" t="s">
        <v>3709</v>
      </c>
      <c r="H887" s="152">
        <v>10.42</v>
      </c>
      <c r="L887" s="149"/>
      <c r="M887" s="153"/>
      <c r="T887" s="154"/>
      <c r="AT887" s="150" t="s">
        <v>346</v>
      </c>
      <c r="AU887" s="150" t="s">
        <v>90</v>
      </c>
      <c r="AV887" s="148" t="s">
        <v>90</v>
      </c>
      <c r="AW887" s="148" t="s">
        <v>33</v>
      </c>
      <c r="AX887" s="148" t="s">
        <v>80</v>
      </c>
      <c r="AY887" s="150" t="s">
        <v>337</v>
      </c>
    </row>
    <row r="888" spans="2:65" s="141" customFormat="1" x14ac:dyDescent="0.2">
      <c r="B888" s="142"/>
      <c r="D888" s="143" t="s">
        <v>346</v>
      </c>
      <c r="E888" s="144"/>
      <c r="F888" s="145" t="s">
        <v>3710</v>
      </c>
      <c r="H888" s="144"/>
      <c r="L888" s="142"/>
      <c r="M888" s="146"/>
      <c r="T888" s="147"/>
      <c r="AT888" s="144" t="s">
        <v>346</v>
      </c>
      <c r="AU888" s="144" t="s">
        <v>90</v>
      </c>
      <c r="AV888" s="141" t="s">
        <v>87</v>
      </c>
      <c r="AW888" s="141" t="s">
        <v>33</v>
      </c>
      <c r="AX888" s="141" t="s">
        <v>80</v>
      </c>
      <c r="AY888" s="144" t="s">
        <v>337</v>
      </c>
    </row>
    <row r="889" spans="2:65" s="148" customFormat="1" x14ac:dyDescent="0.2">
      <c r="B889" s="149"/>
      <c r="D889" s="143" t="s">
        <v>346</v>
      </c>
      <c r="E889" s="150"/>
      <c r="F889" s="151" t="s">
        <v>3711</v>
      </c>
      <c r="H889" s="152">
        <v>13.433</v>
      </c>
      <c r="L889" s="149"/>
      <c r="M889" s="153"/>
      <c r="T889" s="154"/>
      <c r="AT889" s="150" t="s">
        <v>346</v>
      </c>
      <c r="AU889" s="150" t="s">
        <v>90</v>
      </c>
      <c r="AV889" s="148" t="s">
        <v>90</v>
      </c>
      <c r="AW889" s="148" t="s">
        <v>33</v>
      </c>
      <c r="AX889" s="148" t="s">
        <v>80</v>
      </c>
      <c r="AY889" s="150" t="s">
        <v>337</v>
      </c>
    </row>
    <row r="890" spans="2:65" s="155" customFormat="1" x14ac:dyDescent="0.2">
      <c r="B890" s="156"/>
      <c r="D890" s="143" t="s">
        <v>346</v>
      </c>
      <c r="E890" s="157" t="s">
        <v>3018</v>
      </c>
      <c r="F890" s="158" t="s">
        <v>351</v>
      </c>
      <c r="H890" s="159">
        <v>400.06099999999998</v>
      </c>
      <c r="L890" s="156"/>
      <c r="M890" s="160"/>
      <c r="T890" s="161"/>
      <c r="AT890" s="157" t="s">
        <v>346</v>
      </c>
      <c r="AU890" s="157" t="s">
        <v>90</v>
      </c>
      <c r="AV890" s="155" t="s">
        <v>344</v>
      </c>
      <c r="AW890" s="155" t="s">
        <v>33</v>
      </c>
      <c r="AX890" s="155" t="s">
        <v>87</v>
      </c>
      <c r="AY890" s="157" t="s">
        <v>337</v>
      </c>
    </row>
    <row r="891" spans="2:65" s="16" customFormat="1" ht="16.5" customHeight="1" x14ac:dyDescent="0.2">
      <c r="B891" s="17"/>
      <c r="C891" s="128">
        <v>80</v>
      </c>
      <c r="D891" s="128" t="s">
        <v>339</v>
      </c>
      <c r="E891" s="129" t="s">
        <v>3712</v>
      </c>
      <c r="F891" s="130" t="s">
        <v>3713</v>
      </c>
      <c r="G891" s="131" t="s">
        <v>425</v>
      </c>
      <c r="H891" s="132">
        <v>11.45</v>
      </c>
      <c r="I891" s="133"/>
      <c r="J891" s="134">
        <f>ROUND(I891*H891,2)</f>
        <v>0</v>
      </c>
      <c r="K891" s="130" t="s">
        <v>343</v>
      </c>
      <c r="L891" s="17"/>
      <c r="M891" s="135"/>
      <c r="N891" s="136" t="s">
        <v>45</v>
      </c>
      <c r="P891" s="137">
        <f>O891*H891</f>
        <v>0</v>
      </c>
      <c r="Q891" s="137">
        <v>2.6360000000000001E-2</v>
      </c>
      <c r="R891" s="137">
        <f>Q891*H891</f>
        <v>0.30182199999999998</v>
      </c>
      <c r="S891" s="137">
        <v>0</v>
      </c>
      <c r="T891" s="138">
        <f>S891*H891</f>
        <v>0</v>
      </c>
      <c r="AR891" s="139" t="s">
        <v>344</v>
      </c>
      <c r="AT891" s="139" t="s">
        <v>339</v>
      </c>
      <c r="AU891" s="139" t="s">
        <v>90</v>
      </c>
      <c r="AY891" s="2" t="s">
        <v>337</v>
      </c>
      <c r="BE891" s="140">
        <f>IF(N891="základní",J891,0)</f>
        <v>0</v>
      </c>
      <c r="BF891" s="140">
        <f>IF(N891="snížená",J891,0)</f>
        <v>0</v>
      </c>
      <c r="BG891" s="140">
        <f>IF(N891="zákl. přenesená",J891,0)</f>
        <v>0</v>
      </c>
      <c r="BH891" s="140">
        <f>IF(N891="sníž. přenesená",J891,0)</f>
        <v>0</v>
      </c>
      <c r="BI891" s="140">
        <f>IF(N891="nulová",J891,0)</f>
        <v>0</v>
      </c>
      <c r="BJ891" s="2" t="s">
        <v>87</v>
      </c>
      <c r="BK891" s="140">
        <f>ROUND(I891*H891,2)</f>
        <v>0</v>
      </c>
      <c r="BL891" s="2" t="s">
        <v>344</v>
      </c>
      <c r="BM891" s="139" t="s">
        <v>3714</v>
      </c>
    </row>
    <row r="892" spans="2:65" s="141" customFormat="1" x14ac:dyDescent="0.2">
      <c r="B892" s="142"/>
      <c r="D892" s="143" t="s">
        <v>346</v>
      </c>
      <c r="E892" s="144"/>
      <c r="F892" s="145" t="s">
        <v>3715</v>
      </c>
      <c r="H892" s="144"/>
      <c r="L892" s="142"/>
      <c r="M892" s="146"/>
      <c r="T892" s="147"/>
      <c r="AT892" s="144" t="s">
        <v>346</v>
      </c>
      <c r="AU892" s="144" t="s">
        <v>90</v>
      </c>
      <c r="AV892" s="141" t="s">
        <v>87</v>
      </c>
      <c r="AW892" s="141" t="s">
        <v>33</v>
      </c>
      <c r="AX892" s="141" t="s">
        <v>80</v>
      </c>
      <c r="AY892" s="144" t="s">
        <v>337</v>
      </c>
    </row>
    <row r="893" spans="2:65" s="141" customFormat="1" x14ac:dyDescent="0.2">
      <c r="B893" s="142"/>
      <c r="D893" s="143" t="s">
        <v>346</v>
      </c>
      <c r="E893" s="144"/>
      <c r="F893" s="145" t="s">
        <v>3716</v>
      </c>
      <c r="H893" s="144"/>
      <c r="L893" s="142"/>
      <c r="M893" s="146"/>
      <c r="T893" s="147"/>
      <c r="AT893" s="144" t="s">
        <v>346</v>
      </c>
      <c r="AU893" s="144" t="s">
        <v>90</v>
      </c>
      <c r="AV893" s="141" t="s">
        <v>87</v>
      </c>
      <c r="AW893" s="141" t="s">
        <v>33</v>
      </c>
      <c r="AX893" s="141" t="s">
        <v>80</v>
      </c>
      <c r="AY893" s="144" t="s">
        <v>337</v>
      </c>
    </row>
    <row r="894" spans="2:65" s="148" customFormat="1" x14ac:dyDescent="0.2">
      <c r="B894" s="149"/>
      <c r="D894" s="143" t="s">
        <v>346</v>
      </c>
      <c r="E894" s="150"/>
      <c r="F894" s="151" t="s">
        <v>3717</v>
      </c>
      <c r="H894" s="152">
        <v>3</v>
      </c>
      <c r="L894" s="149"/>
      <c r="M894" s="153"/>
      <c r="T894" s="154"/>
      <c r="AT894" s="150" t="s">
        <v>346</v>
      </c>
      <c r="AU894" s="150" t="s">
        <v>90</v>
      </c>
      <c r="AV894" s="148" t="s">
        <v>90</v>
      </c>
      <c r="AW894" s="148" t="s">
        <v>33</v>
      </c>
      <c r="AX894" s="148" t="s">
        <v>80</v>
      </c>
      <c r="AY894" s="150" t="s">
        <v>337</v>
      </c>
    </row>
    <row r="895" spans="2:65" s="148" customFormat="1" x14ac:dyDescent="0.2">
      <c r="B895" s="149"/>
      <c r="D895" s="143" t="s">
        <v>346</v>
      </c>
      <c r="E895" s="150"/>
      <c r="F895" s="151" t="s">
        <v>3718</v>
      </c>
      <c r="H895" s="152">
        <v>3.65</v>
      </c>
      <c r="L895" s="149"/>
      <c r="M895" s="153"/>
      <c r="T895" s="154"/>
      <c r="AT895" s="150" t="s">
        <v>346</v>
      </c>
      <c r="AU895" s="150" t="s">
        <v>90</v>
      </c>
      <c r="AV895" s="148" t="s">
        <v>90</v>
      </c>
      <c r="AW895" s="148" t="s">
        <v>33</v>
      </c>
      <c r="AX895" s="148" t="s">
        <v>80</v>
      </c>
      <c r="AY895" s="150" t="s">
        <v>337</v>
      </c>
    </row>
    <row r="896" spans="2:65" s="148" customFormat="1" x14ac:dyDescent="0.2">
      <c r="B896" s="149"/>
      <c r="D896" s="143" t="s">
        <v>346</v>
      </c>
      <c r="E896" s="150"/>
      <c r="F896" s="151" t="s">
        <v>3719</v>
      </c>
      <c r="H896" s="152">
        <v>4.8</v>
      </c>
      <c r="L896" s="149"/>
      <c r="M896" s="153"/>
      <c r="T896" s="154"/>
      <c r="AT896" s="150" t="s">
        <v>346</v>
      </c>
      <c r="AU896" s="150" t="s">
        <v>90</v>
      </c>
      <c r="AV896" s="148" t="s">
        <v>90</v>
      </c>
      <c r="AW896" s="148" t="s">
        <v>33</v>
      </c>
      <c r="AX896" s="148" t="s">
        <v>80</v>
      </c>
      <c r="AY896" s="150" t="s">
        <v>337</v>
      </c>
    </row>
    <row r="897" spans="2:65" s="155" customFormat="1" x14ac:dyDescent="0.2">
      <c r="B897" s="156"/>
      <c r="D897" s="143" t="s">
        <v>346</v>
      </c>
      <c r="E897" s="157" t="s">
        <v>3020</v>
      </c>
      <c r="F897" s="158" t="s">
        <v>351</v>
      </c>
      <c r="H897" s="159">
        <v>11.45</v>
      </c>
      <c r="L897" s="156"/>
      <c r="M897" s="160"/>
      <c r="T897" s="161"/>
      <c r="AT897" s="157" t="s">
        <v>346</v>
      </c>
      <c r="AU897" s="157" t="s">
        <v>90</v>
      </c>
      <c r="AV897" s="155" t="s">
        <v>344</v>
      </c>
      <c r="AW897" s="155" t="s">
        <v>33</v>
      </c>
      <c r="AX897" s="155" t="s">
        <v>87</v>
      </c>
      <c r="AY897" s="157" t="s">
        <v>337</v>
      </c>
    </row>
    <row r="898" spans="2:65" s="16" customFormat="1" ht="16.5" customHeight="1" x14ac:dyDescent="0.2">
      <c r="B898" s="17"/>
      <c r="C898" s="128">
        <v>81</v>
      </c>
      <c r="D898" s="128" t="s">
        <v>339</v>
      </c>
      <c r="E898" s="129" t="s">
        <v>3720</v>
      </c>
      <c r="F898" s="130" t="s">
        <v>3721</v>
      </c>
      <c r="G898" s="131" t="s">
        <v>425</v>
      </c>
      <c r="H898" s="132">
        <v>823.02200000000005</v>
      </c>
      <c r="I898" s="133"/>
      <c r="J898" s="134">
        <f>ROUND(I898*H898,2)</f>
        <v>0</v>
      </c>
      <c r="K898" s="130" t="s">
        <v>343</v>
      </c>
      <c r="L898" s="17"/>
      <c r="M898" s="135"/>
      <c r="N898" s="136" t="s">
        <v>45</v>
      </c>
      <c r="P898" s="137">
        <f>O898*H898</f>
        <v>0</v>
      </c>
      <c r="Q898" s="137">
        <v>7.9000000000000008E-3</v>
      </c>
      <c r="R898" s="137">
        <f>Q898*H898</f>
        <v>6.5018738000000011</v>
      </c>
      <c r="S898" s="137">
        <v>0</v>
      </c>
      <c r="T898" s="138">
        <f>S898*H898</f>
        <v>0</v>
      </c>
      <c r="AR898" s="139" t="s">
        <v>344</v>
      </c>
      <c r="AT898" s="139" t="s">
        <v>339</v>
      </c>
      <c r="AU898" s="139" t="s">
        <v>90</v>
      </c>
      <c r="AY898" s="2" t="s">
        <v>337</v>
      </c>
      <c r="BE898" s="140">
        <f>IF(N898="základní",J898,0)</f>
        <v>0</v>
      </c>
      <c r="BF898" s="140">
        <f>IF(N898="snížená",J898,0)</f>
        <v>0</v>
      </c>
      <c r="BG898" s="140">
        <f>IF(N898="zákl. přenesená",J898,0)</f>
        <v>0</v>
      </c>
      <c r="BH898" s="140">
        <f>IF(N898="sníž. přenesená",J898,0)</f>
        <v>0</v>
      </c>
      <c r="BI898" s="140">
        <f>IF(N898="nulová",J898,0)</f>
        <v>0</v>
      </c>
      <c r="BJ898" s="2" t="s">
        <v>87</v>
      </c>
      <c r="BK898" s="140">
        <f>ROUND(I898*H898,2)</f>
        <v>0</v>
      </c>
      <c r="BL898" s="2" t="s">
        <v>344</v>
      </c>
      <c r="BM898" s="139" t="s">
        <v>3722</v>
      </c>
    </row>
    <row r="899" spans="2:65" s="16" customFormat="1" ht="19.5" x14ac:dyDescent="0.2">
      <c r="B899" s="17"/>
      <c r="D899" s="143" t="s">
        <v>644</v>
      </c>
      <c r="F899" s="179" t="s">
        <v>3723</v>
      </c>
      <c r="L899" s="17"/>
      <c r="M899" s="180"/>
      <c r="T899" s="41"/>
      <c r="AT899" s="2" t="s">
        <v>644</v>
      </c>
      <c r="AU899" s="2" t="s">
        <v>90</v>
      </c>
    </row>
    <row r="900" spans="2:65" s="148" customFormat="1" x14ac:dyDescent="0.2">
      <c r="B900" s="149"/>
      <c r="D900" s="143" t="s">
        <v>346</v>
      </c>
      <c r="F900" s="151" t="s">
        <v>3724</v>
      </c>
      <c r="H900" s="152">
        <v>823.02200000000005</v>
      </c>
      <c r="L900" s="149"/>
      <c r="M900" s="153"/>
      <c r="T900" s="154"/>
      <c r="AT900" s="150" t="s">
        <v>346</v>
      </c>
      <c r="AU900" s="150" t="s">
        <v>90</v>
      </c>
      <c r="AV900" s="148" t="s">
        <v>90</v>
      </c>
      <c r="AW900" s="148" t="s">
        <v>3</v>
      </c>
      <c r="AX900" s="148" t="s">
        <v>87</v>
      </c>
      <c r="AY900" s="150" t="s">
        <v>337</v>
      </c>
    </row>
    <row r="901" spans="2:65" s="16" customFormat="1" ht="16.5" customHeight="1" x14ac:dyDescent="0.2">
      <c r="B901" s="17"/>
      <c r="C901" s="128">
        <v>82</v>
      </c>
      <c r="D901" s="128" t="s">
        <v>339</v>
      </c>
      <c r="E901" s="129" t="s">
        <v>3725</v>
      </c>
      <c r="F901" s="130" t="s">
        <v>3726</v>
      </c>
      <c r="G901" s="131" t="s">
        <v>425</v>
      </c>
      <c r="H901" s="132">
        <v>3075.2489999999998</v>
      </c>
      <c r="I901" s="133"/>
      <c r="J901" s="134">
        <f>ROUND(I901*H901,2)</f>
        <v>0</v>
      </c>
      <c r="K901" s="130" t="s">
        <v>343</v>
      </c>
      <c r="L901" s="17"/>
      <c r="M901" s="135"/>
      <c r="N901" s="136" t="s">
        <v>45</v>
      </c>
      <c r="P901" s="137">
        <f>O901*H901</f>
        <v>0</v>
      </c>
      <c r="Q901" s="137">
        <v>3.82E-3</v>
      </c>
      <c r="R901" s="137">
        <f>Q901*H901</f>
        <v>11.747451179999999</v>
      </c>
      <c r="S901" s="137">
        <v>0</v>
      </c>
      <c r="T901" s="138">
        <f>S901*H901</f>
        <v>0</v>
      </c>
      <c r="AR901" s="139" t="s">
        <v>344</v>
      </c>
      <c r="AT901" s="139" t="s">
        <v>339</v>
      </c>
      <c r="AU901" s="139" t="s">
        <v>90</v>
      </c>
      <c r="AY901" s="2" t="s">
        <v>337</v>
      </c>
      <c r="BE901" s="140">
        <f>IF(N901="základní",J901,0)</f>
        <v>0</v>
      </c>
      <c r="BF901" s="140">
        <f>IF(N901="snížená",J901,0)</f>
        <v>0</v>
      </c>
      <c r="BG901" s="140">
        <f>IF(N901="zákl. přenesená",J901,0)</f>
        <v>0</v>
      </c>
      <c r="BH901" s="140">
        <f>IF(N901="sníž. přenesená",J901,0)</f>
        <v>0</v>
      </c>
      <c r="BI901" s="140">
        <f>IF(N901="nulová",J901,0)</f>
        <v>0</v>
      </c>
      <c r="BJ901" s="2" t="s">
        <v>87</v>
      </c>
      <c r="BK901" s="140">
        <f>ROUND(I901*H901,2)</f>
        <v>0</v>
      </c>
      <c r="BL901" s="2" t="s">
        <v>344</v>
      </c>
      <c r="BM901" s="139" t="s">
        <v>3727</v>
      </c>
    </row>
    <row r="902" spans="2:65" s="141" customFormat="1" ht="22.5" x14ac:dyDescent="0.2">
      <c r="B902" s="142"/>
      <c r="D902" s="143" t="s">
        <v>346</v>
      </c>
      <c r="E902" s="144"/>
      <c r="F902" s="145" t="s">
        <v>3350</v>
      </c>
      <c r="H902" s="144"/>
      <c r="L902" s="142"/>
      <c r="M902" s="146"/>
      <c r="T902" s="147"/>
      <c r="AT902" s="144" t="s">
        <v>346</v>
      </c>
      <c r="AU902" s="144" t="s">
        <v>90</v>
      </c>
      <c r="AV902" s="141" t="s">
        <v>87</v>
      </c>
      <c r="AW902" s="141" t="s">
        <v>33</v>
      </c>
      <c r="AX902" s="141" t="s">
        <v>80</v>
      </c>
      <c r="AY902" s="144" t="s">
        <v>337</v>
      </c>
    </row>
    <row r="903" spans="2:65" s="141" customFormat="1" x14ac:dyDescent="0.2">
      <c r="B903" s="142"/>
      <c r="D903" s="143" t="s">
        <v>346</v>
      </c>
      <c r="E903" s="144"/>
      <c r="F903" s="145" t="s">
        <v>3351</v>
      </c>
      <c r="H903" s="144"/>
      <c r="L903" s="142"/>
      <c r="M903" s="146"/>
      <c r="T903" s="147"/>
      <c r="AT903" s="144" t="s">
        <v>346</v>
      </c>
      <c r="AU903" s="144" t="s">
        <v>90</v>
      </c>
      <c r="AV903" s="141" t="s">
        <v>87</v>
      </c>
      <c r="AW903" s="141" t="s">
        <v>33</v>
      </c>
      <c r="AX903" s="141" t="s">
        <v>80</v>
      </c>
      <c r="AY903" s="144" t="s">
        <v>337</v>
      </c>
    </row>
    <row r="904" spans="2:65" s="148" customFormat="1" x14ac:dyDescent="0.2">
      <c r="B904" s="149"/>
      <c r="D904" s="143" t="s">
        <v>346</v>
      </c>
      <c r="E904" s="150"/>
      <c r="F904" s="151" t="s">
        <v>3004</v>
      </c>
      <c r="H904" s="152">
        <v>3.95</v>
      </c>
      <c r="L904" s="149"/>
      <c r="M904" s="153"/>
      <c r="T904" s="154"/>
      <c r="AT904" s="150" t="s">
        <v>346</v>
      </c>
      <c r="AU904" s="150" t="s">
        <v>90</v>
      </c>
      <c r="AV904" s="148" t="s">
        <v>90</v>
      </c>
      <c r="AW904" s="148" t="s">
        <v>33</v>
      </c>
      <c r="AX904" s="148" t="s">
        <v>80</v>
      </c>
      <c r="AY904" s="150" t="s">
        <v>337</v>
      </c>
    </row>
    <row r="905" spans="2:65" s="148" customFormat="1" x14ac:dyDescent="0.2">
      <c r="B905" s="149"/>
      <c r="D905" s="143" t="s">
        <v>346</v>
      </c>
      <c r="E905" s="150"/>
      <c r="F905" s="151" t="s">
        <v>3008</v>
      </c>
      <c r="H905" s="152">
        <v>42.542999999999999</v>
      </c>
      <c r="L905" s="149"/>
      <c r="M905" s="153"/>
      <c r="T905" s="154"/>
      <c r="AT905" s="150" t="s">
        <v>346</v>
      </c>
      <c r="AU905" s="150" t="s">
        <v>90</v>
      </c>
      <c r="AV905" s="148" t="s">
        <v>90</v>
      </c>
      <c r="AW905" s="148" t="s">
        <v>33</v>
      </c>
      <c r="AX905" s="148" t="s">
        <v>80</v>
      </c>
      <c r="AY905" s="150" t="s">
        <v>337</v>
      </c>
    </row>
    <row r="906" spans="2:65" s="148" customFormat="1" x14ac:dyDescent="0.2">
      <c r="B906" s="149"/>
      <c r="D906" s="143" t="s">
        <v>346</v>
      </c>
      <c r="E906" s="150"/>
      <c r="F906" s="151" t="s">
        <v>3000</v>
      </c>
      <c r="H906" s="152">
        <v>140.36000000000001</v>
      </c>
      <c r="L906" s="149"/>
      <c r="M906" s="153"/>
      <c r="T906" s="154"/>
      <c r="AT906" s="150" t="s">
        <v>346</v>
      </c>
      <c r="AU906" s="150" t="s">
        <v>90</v>
      </c>
      <c r="AV906" s="148" t="s">
        <v>90</v>
      </c>
      <c r="AW906" s="148" t="s">
        <v>33</v>
      </c>
      <c r="AX906" s="148" t="s">
        <v>80</v>
      </c>
      <c r="AY906" s="150" t="s">
        <v>337</v>
      </c>
    </row>
    <row r="907" spans="2:65" s="148" customFormat="1" x14ac:dyDescent="0.2">
      <c r="B907" s="149"/>
      <c r="D907" s="143" t="s">
        <v>346</v>
      </c>
      <c r="E907" s="150"/>
      <c r="F907" s="151" t="s">
        <v>3002</v>
      </c>
      <c r="H907" s="152">
        <v>2545.8339999999998</v>
      </c>
      <c r="L907" s="149"/>
      <c r="M907" s="153"/>
      <c r="T907" s="154"/>
      <c r="AT907" s="150" t="s">
        <v>346</v>
      </c>
      <c r="AU907" s="150" t="s">
        <v>90</v>
      </c>
      <c r="AV907" s="148" t="s">
        <v>90</v>
      </c>
      <c r="AW907" s="148" t="s">
        <v>33</v>
      </c>
      <c r="AX907" s="148" t="s">
        <v>80</v>
      </c>
      <c r="AY907" s="150" t="s">
        <v>337</v>
      </c>
    </row>
    <row r="908" spans="2:65" s="148" customFormat="1" x14ac:dyDescent="0.2">
      <c r="B908" s="149"/>
      <c r="D908" s="143" t="s">
        <v>346</v>
      </c>
      <c r="E908" s="150"/>
      <c r="F908" s="151" t="s">
        <v>2998</v>
      </c>
      <c r="H908" s="152">
        <v>342.56200000000001</v>
      </c>
      <c r="L908" s="149"/>
      <c r="M908" s="153"/>
      <c r="T908" s="154"/>
      <c r="AT908" s="150" t="s">
        <v>346</v>
      </c>
      <c r="AU908" s="150" t="s">
        <v>90</v>
      </c>
      <c r="AV908" s="148" t="s">
        <v>90</v>
      </c>
      <c r="AW908" s="148" t="s">
        <v>33</v>
      </c>
      <c r="AX908" s="148" t="s">
        <v>80</v>
      </c>
      <c r="AY908" s="150" t="s">
        <v>337</v>
      </c>
    </row>
    <row r="909" spans="2:65" s="155" customFormat="1" x14ac:dyDescent="0.2">
      <c r="B909" s="156"/>
      <c r="D909" s="143" t="s">
        <v>346</v>
      </c>
      <c r="E909" s="157"/>
      <c r="F909" s="158" t="s">
        <v>351</v>
      </c>
      <c r="H909" s="159">
        <v>3075.2489999999998</v>
      </c>
      <c r="L909" s="156"/>
      <c r="M909" s="160"/>
      <c r="T909" s="161"/>
      <c r="AT909" s="157" t="s">
        <v>346</v>
      </c>
      <c r="AU909" s="157" t="s">
        <v>90</v>
      </c>
      <c r="AV909" s="155" t="s">
        <v>344</v>
      </c>
      <c r="AW909" s="155" t="s">
        <v>33</v>
      </c>
      <c r="AX909" s="155" t="s">
        <v>87</v>
      </c>
      <c r="AY909" s="157" t="s">
        <v>337</v>
      </c>
    </row>
    <row r="910" spans="2:65" s="16" customFormat="1" ht="16.5" customHeight="1" x14ac:dyDescent="0.2">
      <c r="B910" s="17"/>
      <c r="C910" s="128">
        <v>83</v>
      </c>
      <c r="D910" s="128" t="s">
        <v>339</v>
      </c>
      <c r="E910" s="129" t="s">
        <v>3728</v>
      </c>
      <c r="F910" s="130" t="s">
        <v>3729</v>
      </c>
      <c r="G910" s="131" t="s">
        <v>425</v>
      </c>
      <c r="H910" s="132">
        <v>101.66</v>
      </c>
      <c r="I910" s="133"/>
      <c r="J910" s="134">
        <f>ROUND(I910*H910,2)</f>
        <v>0</v>
      </c>
      <c r="K910" s="130" t="s">
        <v>343</v>
      </c>
      <c r="L910" s="17"/>
      <c r="M910" s="135"/>
      <c r="N910" s="136" t="s">
        <v>45</v>
      </c>
      <c r="P910" s="137">
        <f>O910*H910</f>
        <v>0</v>
      </c>
      <c r="Q910" s="137">
        <v>5.7000000000000002E-3</v>
      </c>
      <c r="R910" s="137">
        <f>Q910*H910</f>
        <v>0.57946200000000003</v>
      </c>
      <c r="S910" s="137">
        <v>0</v>
      </c>
      <c r="T910" s="138">
        <f>S910*H910</f>
        <v>0</v>
      </c>
      <c r="AR910" s="139" t="s">
        <v>344</v>
      </c>
      <c r="AT910" s="139" t="s">
        <v>339</v>
      </c>
      <c r="AU910" s="139" t="s">
        <v>90</v>
      </c>
      <c r="AY910" s="2" t="s">
        <v>337</v>
      </c>
      <c r="BE910" s="140">
        <f>IF(N910="základní",J910,0)</f>
        <v>0</v>
      </c>
      <c r="BF910" s="140">
        <f>IF(N910="snížená",J910,0)</f>
        <v>0</v>
      </c>
      <c r="BG910" s="140">
        <f>IF(N910="zákl. přenesená",J910,0)</f>
        <v>0</v>
      </c>
      <c r="BH910" s="140">
        <f>IF(N910="sníž. přenesená",J910,0)</f>
        <v>0</v>
      </c>
      <c r="BI910" s="140">
        <f>IF(N910="nulová",J910,0)</f>
        <v>0</v>
      </c>
      <c r="BJ910" s="2" t="s">
        <v>87</v>
      </c>
      <c r="BK910" s="140">
        <f>ROUND(I910*H910,2)</f>
        <v>0</v>
      </c>
      <c r="BL910" s="2" t="s">
        <v>344</v>
      </c>
      <c r="BM910" s="139" t="s">
        <v>3730</v>
      </c>
    </row>
    <row r="911" spans="2:65" s="141" customFormat="1" x14ac:dyDescent="0.2">
      <c r="B911" s="142"/>
      <c r="D911" s="143" t="s">
        <v>346</v>
      </c>
      <c r="E911" s="144"/>
      <c r="F911" s="145" t="s">
        <v>3731</v>
      </c>
      <c r="H911" s="144"/>
      <c r="L911" s="142"/>
      <c r="M911" s="146"/>
      <c r="T911" s="147"/>
      <c r="AT911" s="144" t="s">
        <v>346</v>
      </c>
      <c r="AU911" s="144" t="s">
        <v>90</v>
      </c>
      <c r="AV911" s="141" t="s">
        <v>87</v>
      </c>
      <c r="AW911" s="141" t="s">
        <v>33</v>
      </c>
      <c r="AX911" s="141" t="s">
        <v>80</v>
      </c>
      <c r="AY911" s="144" t="s">
        <v>337</v>
      </c>
    </row>
    <row r="912" spans="2:65" s="148" customFormat="1" x14ac:dyDescent="0.2">
      <c r="B912" s="149"/>
      <c r="D912" s="143" t="s">
        <v>346</v>
      </c>
      <c r="E912" s="150"/>
      <c r="F912" s="151" t="s">
        <v>3027</v>
      </c>
      <c r="H912" s="152">
        <v>101.66</v>
      </c>
      <c r="L912" s="149"/>
      <c r="M912" s="153"/>
      <c r="T912" s="154"/>
      <c r="AT912" s="150" t="s">
        <v>346</v>
      </c>
      <c r="AU912" s="150" t="s">
        <v>90</v>
      </c>
      <c r="AV912" s="148" t="s">
        <v>90</v>
      </c>
      <c r="AW912" s="148" t="s">
        <v>33</v>
      </c>
      <c r="AX912" s="148" t="s">
        <v>87</v>
      </c>
      <c r="AY912" s="150" t="s">
        <v>337</v>
      </c>
    </row>
    <row r="913" spans="2:65" s="16" customFormat="1" ht="16.5" customHeight="1" x14ac:dyDescent="0.2">
      <c r="B913" s="17"/>
      <c r="C913" s="128">
        <v>84</v>
      </c>
      <c r="D913" s="128" t="s">
        <v>339</v>
      </c>
      <c r="E913" s="129" t="s">
        <v>3732</v>
      </c>
      <c r="F913" s="130" t="s">
        <v>3733</v>
      </c>
      <c r="G913" s="131" t="s">
        <v>425</v>
      </c>
      <c r="H913" s="132">
        <v>1462.261</v>
      </c>
      <c r="I913" s="133"/>
      <c r="J913" s="134">
        <f>ROUND(I913*H913,2)</f>
        <v>0</v>
      </c>
      <c r="K913" s="130" t="s">
        <v>343</v>
      </c>
      <c r="L913" s="17"/>
      <c r="M913" s="135"/>
      <c r="N913" s="136" t="s">
        <v>45</v>
      </c>
      <c r="P913" s="137">
        <f>O913*H913</f>
        <v>0</v>
      </c>
      <c r="Q913" s="137">
        <v>3.3800000000000002E-3</v>
      </c>
      <c r="R913" s="137">
        <f>Q913*H913</f>
        <v>4.9424421800000005</v>
      </c>
      <c r="S913" s="137">
        <v>0</v>
      </c>
      <c r="T913" s="138">
        <f>S913*H913</f>
        <v>0</v>
      </c>
      <c r="AR913" s="139" t="s">
        <v>344</v>
      </c>
      <c r="AT913" s="139" t="s">
        <v>339</v>
      </c>
      <c r="AU913" s="139" t="s">
        <v>90</v>
      </c>
      <c r="AY913" s="2" t="s">
        <v>337</v>
      </c>
      <c r="BE913" s="140">
        <f>IF(N913="základní",J913,0)</f>
        <v>0</v>
      </c>
      <c r="BF913" s="140">
        <f>IF(N913="snížená",J913,0)</f>
        <v>0</v>
      </c>
      <c r="BG913" s="140">
        <f>IF(N913="zákl. přenesená",J913,0)</f>
        <v>0</v>
      </c>
      <c r="BH913" s="140">
        <f>IF(N913="sníž. přenesená",J913,0)</f>
        <v>0</v>
      </c>
      <c r="BI913" s="140">
        <f>IF(N913="nulová",J913,0)</f>
        <v>0</v>
      </c>
      <c r="BJ913" s="2" t="s">
        <v>87</v>
      </c>
      <c r="BK913" s="140">
        <f>ROUND(I913*H913,2)</f>
        <v>0</v>
      </c>
      <c r="BL913" s="2" t="s">
        <v>344</v>
      </c>
      <c r="BM913" s="139" t="s">
        <v>3734</v>
      </c>
    </row>
    <row r="914" spans="2:65" s="141" customFormat="1" x14ac:dyDescent="0.2">
      <c r="B914" s="142"/>
      <c r="D914" s="143" t="s">
        <v>346</v>
      </c>
      <c r="E914" s="144"/>
      <c r="F914" s="145" t="s">
        <v>3735</v>
      </c>
      <c r="H914" s="144"/>
      <c r="L914" s="142"/>
      <c r="M914" s="146"/>
      <c r="T914" s="147"/>
      <c r="AT914" s="144" t="s">
        <v>346</v>
      </c>
      <c r="AU914" s="144" t="s">
        <v>90</v>
      </c>
      <c r="AV914" s="141" t="s">
        <v>87</v>
      </c>
      <c r="AW914" s="141" t="s">
        <v>33</v>
      </c>
      <c r="AX914" s="141" t="s">
        <v>80</v>
      </c>
      <c r="AY914" s="144" t="s">
        <v>337</v>
      </c>
    </row>
    <row r="915" spans="2:65" s="141" customFormat="1" x14ac:dyDescent="0.2">
      <c r="B915" s="142"/>
      <c r="D915" s="143" t="s">
        <v>346</v>
      </c>
      <c r="E915" s="144"/>
      <c r="F915" s="145" t="s">
        <v>3459</v>
      </c>
      <c r="H915" s="144"/>
      <c r="L915" s="142"/>
      <c r="M915" s="146"/>
      <c r="T915" s="147"/>
      <c r="AT915" s="144" t="s">
        <v>346</v>
      </c>
      <c r="AU915" s="144" t="s">
        <v>90</v>
      </c>
      <c r="AV915" s="141" t="s">
        <v>87</v>
      </c>
      <c r="AW915" s="141" t="s">
        <v>33</v>
      </c>
      <c r="AX915" s="141" t="s">
        <v>80</v>
      </c>
      <c r="AY915" s="144" t="s">
        <v>337</v>
      </c>
    </row>
    <row r="916" spans="2:65" s="141" customFormat="1" x14ac:dyDescent="0.2">
      <c r="B916" s="142"/>
      <c r="D916" s="143" t="s">
        <v>346</v>
      </c>
      <c r="E916" s="144"/>
      <c r="F916" s="145" t="s">
        <v>3466</v>
      </c>
      <c r="H916" s="144"/>
      <c r="L916" s="142"/>
      <c r="M916" s="146"/>
      <c r="T916" s="147"/>
      <c r="AT916" s="144" t="s">
        <v>346</v>
      </c>
      <c r="AU916" s="144" t="s">
        <v>90</v>
      </c>
      <c r="AV916" s="141" t="s">
        <v>87</v>
      </c>
      <c r="AW916" s="141" t="s">
        <v>33</v>
      </c>
      <c r="AX916" s="141" t="s">
        <v>80</v>
      </c>
      <c r="AY916" s="144" t="s">
        <v>337</v>
      </c>
    </row>
    <row r="917" spans="2:65" s="141" customFormat="1" x14ac:dyDescent="0.2">
      <c r="B917" s="142"/>
      <c r="D917" s="143" t="s">
        <v>346</v>
      </c>
      <c r="E917" s="144"/>
      <c r="F917" s="145" t="s">
        <v>3467</v>
      </c>
      <c r="H917" s="144"/>
      <c r="L917" s="142"/>
      <c r="M917" s="146"/>
      <c r="T917" s="147"/>
      <c r="AT917" s="144" t="s">
        <v>346</v>
      </c>
      <c r="AU917" s="144" t="s">
        <v>90</v>
      </c>
      <c r="AV917" s="141" t="s">
        <v>87</v>
      </c>
      <c r="AW917" s="141" t="s">
        <v>33</v>
      </c>
      <c r="AX917" s="141" t="s">
        <v>80</v>
      </c>
      <c r="AY917" s="144" t="s">
        <v>337</v>
      </c>
    </row>
    <row r="918" spans="2:65" s="141" customFormat="1" x14ac:dyDescent="0.2">
      <c r="B918" s="142"/>
      <c r="D918" s="143" t="s">
        <v>346</v>
      </c>
      <c r="E918" s="144"/>
      <c r="F918" s="145" t="s">
        <v>3468</v>
      </c>
      <c r="H918" s="144"/>
      <c r="L918" s="142"/>
      <c r="M918" s="146"/>
      <c r="T918" s="147"/>
      <c r="AT918" s="144" t="s">
        <v>346</v>
      </c>
      <c r="AU918" s="144" t="s">
        <v>90</v>
      </c>
      <c r="AV918" s="141" t="s">
        <v>87</v>
      </c>
      <c r="AW918" s="141" t="s">
        <v>33</v>
      </c>
      <c r="AX918" s="141" t="s">
        <v>80</v>
      </c>
      <c r="AY918" s="144" t="s">
        <v>337</v>
      </c>
    </row>
    <row r="919" spans="2:65" s="141" customFormat="1" x14ac:dyDescent="0.2">
      <c r="B919" s="142"/>
      <c r="D919" s="143" t="s">
        <v>346</v>
      </c>
      <c r="E919" s="144"/>
      <c r="F919" s="145" t="s">
        <v>3381</v>
      </c>
      <c r="H919" s="144"/>
      <c r="L919" s="142"/>
      <c r="M919" s="146"/>
      <c r="T919" s="147"/>
      <c r="AT919" s="144" t="s">
        <v>346</v>
      </c>
      <c r="AU919" s="144" t="s">
        <v>90</v>
      </c>
      <c r="AV919" s="141" t="s">
        <v>87</v>
      </c>
      <c r="AW919" s="141" t="s">
        <v>33</v>
      </c>
      <c r="AX919" s="141" t="s">
        <v>80</v>
      </c>
      <c r="AY919" s="144" t="s">
        <v>337</v>
      </c>
    </row>
    <row r="920" spans="2:65" s="148" customFormat="1" x14ac:dyDescent="0.2">
      <c r="B920" s="149"/>
      <c r="D920" s="143" t="s">
        <v>346</v>
      </c>
      <c r="E920" s="150"/>
      <c r="F920" s="151" t="s">
        <v>3736</v>
      </c>
      <c r="H920" s="152">
        <v>506.54</v>
      </c>
      <c r="L920" s="149"/>
      <c r="M920" s="153"/>
      <c r="T920" s="154"/>
      <c r="AT920" s="150" t="s">
        <v>346</v>
      </c>
      <c r="AU920" s="150" t="s">
        <v>90</v>
      </c>
      <c r="AV920" s="148" t="s">
        <v>90</v>
      </c>
      <c r="AW920" s="148" t="s">
        <v>33</v>
      </c>
      <c r="AX920" s="148" t="s">
        <v>80</v>
      </c>
      <c r="AY920" s="150" t="s">
        <v>337</v>
      </c>
    </row>
    <row r="921" spans="2:65" s="141" customFormat="1" x14ac:dyDescent="0.2">
      <c r="B921" s="142"/>
      <c r="D921" s="143" t="s">
        <v>346</v>
      </c>
      <c r="E921" s="144"/>
      <c r="F921" s="145" t="s">
        <v>3383</v>
      </c>
      <c r="H921" s="144"/>
      <c r="L921" s="142"/>
      <c r="M921" s="146"/>
      <c r="T921" s="147"/>
      <c r="AT921" s="144" t="s">
        <v>346</v>
      </c>
      <c r="AU921" s="144" t="s">
        <v>90</v>
      </c>
      <c r="AV921" s="141" t="s">
        <v>87</v>
      </c>
      <c r="AW921" s="141" t="s">
        <v>33</v>
      </c>
      <c r="AX921" s="141" t="s">
        <v>80</v>
      </c>
      <c r="AY921" s="144" t="s">
        <v>337</v>
      </c>
    </row>
    <row r="922" spans="2:65" s="148" customFormat="1" x14ac:dyDescent="0.2">
      <c r="B922" s="149"/>
      <c r="D922" s="143" t="s">
        <v>346</v>
      </c>
      <c r="E922" s="150"/>
      <c r="F922" s="151" t="s">
        <v>3473</v>
      </c>
      <c r="H922" s="152">
        <v>41.08</v>
      </c>
      <c r="L922" s="149"/>
      <c r="M922" s="153"/>
      <c r="T922" s="154"/>
      <c r="AT922" s="150" t="s">
        <v>346</v>
      </c>
      <c r="AU922" s="150" t="s">
        <v>90</v>
      </c>
      <c r="AV922" s="148" t="s">
        <v>90</v>
      </c>
      <c r="AW922" s="148" t="s">
        <v>33</v>
      </c>
      <c r="AX922" s="148" t="s">
        <v>80</v>
      </c>
      <c r="AY922" s="150" t="s">
        <v>337</v>
      </c>
    </row>
    <row r="923" spans="2:65" s="141" customFormat="1" x14ac:dyDescent="0.2">
      <c r="B923" s="142"/>
      <c r="D923" s="143" t="s">
        <v>346</v>
      </c>
      <c r="E923" s="144"/>
      <c r="F923" s="145" t="s">
        <v>3475</v>
      </c>
      <c r="H923" s="144"/>
      <c r="L923" s="142"/>
      <c r="M923" s="146"/>
      <c r="T923" s="147"/>
      <c r="AT923" s="144" t="s">
        <v>346</v>
      </c>
      <c r="AU923" s="144" t="s">
        <v>90</v>
      </c>
      <c r="AV923" s="141" t="s">
        <v>87</v>
      </c>
      <c r="AW923" s="141" t="s">
        <v>33</v>
      </c>
      <c r="AX923" s="141" t="s">
        <v>80</v>
      </c>
      <c r="AY923" s="144" t="s">
        <v>337</v>
      </c>
    </row>
    <row r="924" spans="2:65" s="148" customFormat="1" x14ac:dyDescent="0.2">
      <c r="B924" s="149"/>
      <c r="D924" s="143" t="s">
        <v>346</v>
      </c>
      <c r="E924" s="150"/>
      <c r="F924" s="151" t="s">
        <v>3476</v>
      </c>
      <c r="H924" s="152">
        <v>-8.6</v>
      </c>
      <c r="L924" s="149"/>
      <c r="M924" s="153"/>
      <c r="T924" s="154"/>
      <c r="AT924" s="150" t="s">
        <v>346</v>
      </c>
      <c r="AU924" s="150" t="s">
        <v>90</v>
      </c>
      <c r="AV924" s="148" t="s">
        <v>90</v>
      </c>
      <c r="AW924" s="148" t="s">
        <v>33</v>
      </c>
      <c r="AX924" s="148" t="s">
        <v>80</v>
      </c>
      <c r="AY924" s="150" t="s">
        <v>337</v>
      </c>
    </row>
    <row r="925" spans="2:65" s="148" customFormat="1" x14ac:dyDescent="0.2">
      <c r="B925" s="149"/>
      <c r="D925" s="143" t="s">
        <v>346</v>
      </c>
      <c r="E925" s="150"/>
      <c r="F925" s="151" t="s">
        <v>3477</v>
      </c>
      <c r="H925" s="152">
        <v>-2.903</v>
      </c>
      <c r="L925" s="149"/>
      <c r="M925" s="153"/>
      <c r="T925" s="154"/>
      <c r="AT925" s="150" t="s">
        <v>346</v>
      </c>
      <c r="AU925" s="150" t="s">
        <v>90</v>
      </c>
      <c r="AV925" s="148" t="s">
        <v>90</v>
      </c>
      <c r="AW925" s="148" t="s">
        <v>33</v>
      </c>
      <c r="AX925" s="148" t="s">
        <v>80</v>
      </c>
      <c r="AY925" s="150" t="s">
        <v>337</v>
      </c>
    </row>
    <row r="926" spans="2:65" s="141" customFormat="1" x14ac:dyDescent="0.2">
      <c r="B926" s="142"/>
      <c r="D926" s="143" t="s">
        <v>346</v>
      </c>
      <c r="E926" s="144"/>
      <c r="F926" s="145" t="s">
        <v>3478</v>
      </c>
      <c r="H926" s="144"/>
      <c r="L926" s="142"/>
      <c r="M926" s="146"/>
      <c r="T926" s="147"/>
      <c r="AT926" s="144" t="s">
        <v>346</v>
      </c>
      <c r="AU926" s="144" t="s">
        <v>90</v>
      </c>
      <c r="AV926" s="141" t="s">
        <v>87</v>
      </c>
      <c r="AW926" s="141" t="s">
        <v>33</v>
      </c>
      <c r="AX926" s="141" t="s">
        <v>80</v>
      </c>
      <c r="AY926" s="144" t="s">
        <v>337</v>
      </c>
    </row>
    <row r="927" spans="2:65" s="148" customFormat="1" x14ac:dyDescent="0.2">
      <c r="B927" s="149"/>
      <c r="D927" s="143" t="s">
        <v>346</v>
      </c>
      <c r="E927" s="150"/>
      <c r="F927" s="151" t="s">
        <v>3737</v>
      </c>
      <c r="H927" s="152">
        <v>-10.8</v>
      </c>
      <c r="L927" s="149"/>
      <c r="M927" s="153"/>
      <c r="T927" s="154"/>
      <c r="AT927" s="150" t="s">
        <v>346</v>
      </c>
      <c r="AU927" s="150" t="s">
        <v>90</v>
      </c>
      <c r="AV927" s="148" t="s">
        <v>90</v>
      </c>
      <c r="AW927" s="148" t="s">
        <v>33</v>
      </c>
      <c r="AX927" s="148" t="s">
        <v>80</v>
      </c>
      <c r="AY927" s="150" t="s">
        <v>337</v>
      </c>
    </row>
    <row r="928" spans="2:65" s="148" customFormat="1" x14ac:dyDescent="0.2">
      <c r="B928" s="149"/>
      <c r="D928" s="143" t="s">
        <v>346</v>
      </c>
      <c r="E928" s="150"/>
      <c r="F928" s="151" t="s">
        <v>3480</v>
      </c>
      <c r="H928" s="152">
        <v>-3.51</v>
      </c>
      <c r="L928" s="149"/>
      <c r="M928" s="153"/>
      <c r="T928" s="154"/>
      <c r="AT928" s="150" t="s">
        <v>346</v>
      </c>
      <c r="AU928" s="150" t="s">
        <v>90</v>
      </c>
      <c r="AV928" s="148" t="s">
        <v>90</v>
      </c>
      <c r="AW928" s="148" t="s">
        <v>33</v>
      </c>
      <c r="AX928" s="148" t="s">
        <v>80</v>
      </c>
      <c r="AY928" s="150" t="s">
        <v>337</v>
      </c>
    </row>
    <row r="929" spans="2:51" s="148" customFormat="1" x14ac:dyDescent="0.2">
      <c r="B929" s="149"/>
      <c r="D929" s="143" t="s">
        <v>346</v>
      </c>
      <c r="E929" s="150"/>
      <c r="F929" s="151" t="s">
        <v>3482</v>
      </c>
      <c r="H929" s="152">
        <v>-2.3519999999999999</v>
      </c>
      <c r="L929" s="149"/>
      <c r="M929" s="153"/>
      <c r="T929" s="154"/>
      <c r="AT929" s="150" t="s">
        <v>346</v>
      </c>
      <c r="AU929" s="150" t="s">
        <v>90</v>
      </c>
      <c r="AV929" s="148" t="s">
        <v>90</v>
      </c>
      <c r="AW929" s="148" t="s">
        <v>33</v>
      </c>
      <c r="AX929" s="148" t="s">
        <v>80</v>
      </c>
      <c r="AY929" s="150" t="s">
        <v>337</v>
      </c>
    </row>
    <row r="930" spans="2:51" s="148" customFormat="1" x14ac:dyDescent="0.2">
      <c r="B930" s="149"/>
      <c r="D930" s="143" t="s">
        <v>346</v>
      </c>
      <c r="E930" s="150"/>
      <c r="F930" s="151" t="s">
        <v>3484</v>
      </c>
      <c r="H930" s="152">
        <v>-7.02</v>
      </c>
      <c r="L930" s="149"/>
      <c r="M930" s="153"/>
      <c r="T930" s="154"/>
      <c r="AT930" s="150" t="s">
        <v>346</v>
      </c>
      <c r="AU930" s="150" t="s">
        <v>90</v>
      </c>
      <c r="AV930" s="148" t="s">
        <v>90</v>
      </c>
      <c r="AW930" s="148" t="s">
        <v>33</v>
      </c>
      <c r="AX930" s="148" t="s">
        <v>80</v>
      </c>
      <c r="AY930" s="150" t="s">
        <v>337</v>
      </c>
    </row>
    <row r="931" spans="2:51" s="148" customFormat="1" x14ac:dyDescent="0.2">
      <c r="B931" s="149"/>
      <c r="D931" s="143" t="s">
        <v>346</v>
      </c>
      <c r="E931" s="150"/>
      <c r="F931" s="151" t="s">
        <v>3738</v>
      </c>
      <c r="H931" s="152">
        <v>-36</v>
      </c>
      <c r="L931" s="149"/>
      <c r="M931" s="153"/>
      <c r="T931" s="154"/>
      <c r="AT931" s="150" t="s">
        <v>346</v>
      </c>
      <c r="AU931" s="150" t="s">
        <v>90</v>
      </c>
      <c r="AV931" s="148" t="s">
        <v>90</v>
      </c>
      <c r="AW931" s="148" t="s">
        <v>33</v>
      </c>
      <c r="AX931" s="148" t="s">
        <v>80</v>
      </c>
      <c r="AY931" s="150" t="s">
        <v>337</v>
      </c>
    </row>
    <row r="932" spans="2:51" s="148" customFormat="1" x14ac:dyDescent="0.2">
      <c r="B932" s="149"/>
      <c r="D932" s="143" t="s">
        <v>346</v>
      </c>
      <c r="E932" s="150"/>
      <c r="F932" s="151" t="s">
        <v>3739</v>
      </c>
      <c r="H932" s="152">
        <v>-97.2</v>
      </c>
      <c r="L932" s="149"/>
      <c r="M932" s="153"/>
      <c r="T932" s="154"/>
      <c r="AT932" s="150" t="s">
        <v>346</v>
      </c>
      <c r="AU932" s="150" t="s">
        <v>90</v>
      </c>
      <c r="AV932" s="148" t="s">
        <v>90</v>
      </c>
      <c r="AW932" s="148" t="s">
        <v>33</v>
      </c>
      <c r="AX932" s="148" t="s">
        <v>80</v>
      </c>
      <c r="AY932" s="150" t="s">
        <v>337</v>
      </c>
    </row>
    <row r="933" spans="2:51" s="148" customFormat="1" x14ac:dyDescent="0.2">
      <c r="B933" s="149"/>
      <c r="D933" s="143" t="s">
        <v>346</v>
      </c>
      <c r="E933" s="150"/>
      <c r="F933" s="151" t="s">
        <v>3740</v>
      </c>
      <c r="H933" s="152">
        <v>-49.5</v>
      </c>
      <c r="L933" s="149"/>
      <c r="M933" s="153"/>
      <c r="T933" s="154"/>
      <c r="AT933" s="150" t="s">
        <v>346</v>
      </c>
      <c r="AU933" s="150" t="s">
        <v>90</v>
      </c>
      <c r="AV933" s="148" t="s">
        <v>90</v>
      </c>
      <c r="AW933" s="148" t="s">
        <v>33</v>
      </c>
      <c r="AX933" s="148" t="s">
        <v>80</v>
      </c>
      <c r="AY933" s="150" t="s">
        <v>337</v>
      </c>
    </row>
    <row r="934" spans="2:51" s="141" customFormat="1" x14ac:dyDescent="0.2">
      <c r="B934" s="142"/>
      <c r="D934" s="143" t="s">
        <v>346</v>
      </c>
      <c r="E934" s="144"/>
      <c r="F934" s="145" t="s">
        <v>3259</v>
      </c>
      <c r="H934" s="144"/>
      <c r="L934" s="142"/>
      <c r="M934" s="146"/>
      <c r="T934" s="147"/>
      <c r="AT934" s="144" t="s">
        <v>346</v>
      </c>
      <c r="AU934" s="144" t="s">
        <v>90</v>
      </c>
      <c r="AV934" s="141" t="s">
        <v>87</v>
      </c>
      <c r="AW934" s="141" t="s">
        <v>33</v>
      </c>
      <c r="AX934" s="141" t="s">
        <v>80</v>
      </c>
      <c r="AY934" s="144" t="s">
        <v>337</v>
      </c>
    </row>
    <row r="935" spans="2:51" s="141" customFormat="1" x14ac:dyDescent="0.2">
      <c r="B935" s="142"/>
      <c r="D935" s="143" t="s">
        <v>346</v>
      </c>
      <c r="E935" s="144"/>
      <c r="F935" s="145" t="s">
        <v>3467</v>
      </c>
      <c r="H935" s="144"/>
      <c r="L935" s="142"/>
      <c r="M935" s="146"/>
      <c r="T935" s="147"/>
      <c r="AT935" s="144" t="s">
        <v>346</v>
      </c>
      <c r="AU935" s="144" t="s">
        <v>90</v>
      </c>
      <c r="AV935" s="141" t="s">
        <v>87</v>
      </c>
      <c r="AW935" s="141" t="s">
        <v>33</v>
      </c>
      <c r="AX935" s="141" t="s">
        <v>80</v>
      </c>
      <c r="AY935" s="144" t="s">
        <v>337</v>
      </c>
    </row>
    <row r="936" spans="2:51" s="141" customFormat="1" x14ac:dyDescent="0.2">
      <c r="B936" s="142"/>
      <c r="D936" s="143" t="s">
        <v>346</v>
      </c>
      <c r="E936" s="144"/>
      <c r="F936" s="145" t="s">
        <v>3389</v>
      </c>
      <c r="H936" s="144"/>
      <c r="L936" s="142"/>
      <c r="M936" s="146"/>
      <c r="T936" s="147"/>
      <c r="AT936" s="144" t="s">
        <v>346</v>
      </c>
      <c r="AU936" s="144" t="s">
        <v>90</v>
      </c>
      <c r="AV936" s="141" t="s">
        <v>87</v>
      </c>
      <c r="AW936" s="141" t="s">
        <v>33</v>
      </c>
      <c r="AX936" s="141" t="s">
        <v>80</v>
      </c>
      <c r="AY936" s="144" t="s">
        <v>337</v>
      </c>
    </row>
    <row r="937" spans="2:51" s="148" customFormat="1" x14ac:dyDescent="0.2">
      <c r="B937" s="149"/>
      <c r="D937" s="143" t="s">
        <v>346</v>
      </c>
      <c r="E937" s="150"/>
      <c r="F937" s="151" t="s">
        <v>3741</v>
      </c>
      <c r="H937" s="152">
        <v>43.47</v>
      </c>
      <c r="L937" s="149"/>
      <c r="M937" s="153"/>
      <c r="T937" s="154"/>
      <c r="AT937" s="150" t="s">
        <v>346</v>
      </c>
      <c r="AU937" s="150" t="s">
        <v>90</v>
      </c>
      <c r="AV937" s="148" t="s">
        <v>90</v>
      </c>
      <c r="AW937" s="148" t="s">
        <v>33</v>
      </c>
      <c r="AX937" s="148" t="s">
        <v>80</v>
      </c>
      <c r="AY937" s="150" t="s">
        <v>337</v>
      </c>
    </row>
    <row r="938" spans="2:51" s="141" customFormat="1" x14ac:dyDescent="0.2">
      <c r="B938" s="142"/>
      <c r="D938" s="143" t="s">
        <v>346</v>
      </c>
      <c r="E938" s="144"/>
      <c r="F938" s="145" t="s">
        <v>3742</v>
      </c>
      <c r="H938" s="144"/>
      <c r="L938" s="142"/>
      <c r="M938" s="146"/>
      <c r="T938" s="147"/>
      <c r="AT938" s="144" t="s">
        <v>346</v>
      </c>
      <c r="AU938" s="144" t="s">
        <v>90</v>
      </c>
      <c r="AV938" s="141" t="s">
        <v>87</v>
      </c>
      <c r="AW938" s="141" t="s">
        <v>33</v>
      </c>
      <c r="AX938" s="141" t="s">
        <v>80</v>
      </c>
      <c r="AY938" s="144" t="s">
        <v>337</v>
      </c>
    </row>
    <row r="939" spans="2:51" s="148" customFormat="1" x14ac:dyDescent="0.2">
      <c r="B939" s="149"/>
      <c r="D939" s="143" t="s">
        <v>346</v>
      </c>
      <c r="E939" s="150"/>
      <c r="F939" s="151" t="s">
        <v>3743</v>
      </c>
      <c r="H939" s="152">
        <v>2.4710000000000001</v>
      </c>
      <c r="L939" s="149"/>
      <c r="M939" s="153"/>
      <c r="T939" s="154"/>
      <c r="AT939" s="150" t="s">
        <v>346</v>
      </c>
      <c r="AU939" s="150" t="s">
        <v>90</v>
      </c>
      <c r="AV939" s="148" t="s">
        <v>90</v>
      </c>
      <c r="AW939" s="148" t="s">
        <v>33</v>
      </c>
      <c r="AX939" s="148" t="s">
        <v>80</v>
      </c>
      <c r="AY939" s="150" t="s">
        <v>337</v>
      </c>
    </row>
    <row r="940" spans="2:51" s="148" customFormat="1" x14ac:dyDescent="0.2">
      <c r="B940" s="149"/>
      <c r="D940" s="143" t="s">
        <v>346</v>
      </c>
      <c r="E940" s="150"/>
      <c r="F940" s="151" t="s">
        <v>3744</v>
      </c>
      <c r="H940" s="152">
        <v>6.7869999999999999</v>
      </c>
      <c r="L940" s="149"/>
      <c r="M940" s="153"/>
      <c r="T940" s="154"/>
      <c r="AT940" s="150" t="s">
        <v>346</v>
      </c>
      <c r="AU940" s="150" t="s">
        <v>90</v>
      </c>
      <c r="AV940" s="148" t="s">
        <v>90</v>
      </c>
      <c r="AW940" s="148" t="s">
        <v>33</v>
      </c>
      <c r="AX940" s="148" t="s">
        <v>80</v>
      </c>
      <c r="AY940" s="150" t="s">
        <v>337</v>
      </c>
    </row>
    <row r="941" spans="2:51" s="141" customFormat="1" x14ac:dyDescent="0.2">
      <c r="B941" s="142"/>
      <c r="D941" s="143" t="s">
        <v>346</v>
      </c>
      <c r="E941" s="144"/>
      <c r="F941" s="145" t="s">
        <v>3745</v>
      </c>
      <c r="H941" s="144"/>
      <c r="L941" s="142"/>
      <c r="M941" s="146"/>
      <c r="T941" s="147"/>
      <c r="AT941" s="144" t="s">
        <v>346</v>
      </c>
      <c r="AU941" s="144" t="s">
        <v>90</v>
      </c>
      <c r="AV941" s="141" t="s">
        <v>87</v>
      </c>
      <c r="AW941" s="141" t="s">
        <v>33</v>
      </c>
      <c r="AX941" s="141" t="s">
        <v>80</v>
      </c>
      <c r="AY941" s="144" t="s">
        <v>337</v>
      </c>
    </row>
    <row r="942" spans="2:51" s="148" customFormat="1" x14ac:dyDescent="0.2">
      <c r="B942" s="149"/>
      <c r="D942" s="143" t="s">
        <v>346</v>
      </c>
      <c r="E942" s="150"/>
      <c r="F942" s="151" t="s">
        <v>3578</v>
      </c>
      <c r="H942" s="152">
        <v>22.195</v>
      </c>
      <c r="L942" s="149"/>
      <c r="M942" s="153"/>
      <c r="T942" s="154"/>
      <c r="AT942" s="150" t="s">
        <v>346</v>
      </c>
      <c r="AU942" s="150" t="s">
        <v>90</v>
      </c>
      <c r="AV942" s="148" t="s">
        <v>90</v>
      </c>
      <c r="AW942" s="148" t="s">
        <v>33</v>
      </c>
      <c r="AX942" s="148" t="s">
        <v>80</v>
      </c>
      <c r="AY942" s="150" t="s">
        <v>337</v>
      </c>
    </row>
    <row r="943" spans="2:51" s="148" customFormat="1" x14ac:dyDescent="0.2">
      <c r="B943" s="149"/>
      <c r="D943" s="143" t="s">
        <v>346</v>
      </c>
      <c r="E943" s="150"/>
      <c r="F943" s="151" t="s">
        <v>3579</v>
      </c>
      <c r="H943" s="152">
        <v>0.66</v>
      </c>
      <c r="L943" s="149"/>
      <c r="M943" s="153"/>
      <c r="T943" s="154"/>
      <c r="AT943" s="150" t="s">
        <v>346</v>
      </c>
      <c r="AU943" s="150" t="s">
        <v>90</v>
      </c>
      <c r="AV943" s="148" t="s">
        <v>90</v>
      </c>
      <c r="AW943" s="148" t="s">
        <v>33</v>
      </c>
      <c r="AX943" s="148" t="s">
        <v>80</v>
      </c>
      <c r="AY943" s="150" t="s">
        <v>337</v>
      </c>
    </row>
    <row r="944" spans="2:51" s="141" customFormat="1" x14ac:dyDescent="0.2">
      <c r="B944" s="142"/>
      <c r="D944" s="143" t="s">
        <v>346</v>
      </c>
      <c r="E944" s="144"/>
      <c r="F944" s="145" t="s">
        <v>3475</v>
      </c>
      <c r="H944" s="144"/>
      <c r="L944" s="142"/>
      <c r="M944" s="146"/>
      <c r="T944" s="147"/>
      <c r="AT944" s="144" t="s">
        <v>346</v>
      </c>
      <c r="AU944" s="144" t="s">
        <v>90</v>
      </c>
      <c r="AV944" s="141" t="s">
        <v>87</v>
      </c>
      <c r="AW944" s="141" t="s">
        <v>33</v>
      </c>
      <c r="AX944" s="141" t="s">
        <v>80</v>
      </c>
      <c r="AY944" s="144" t="s">
        <v>337</v>
      </c>
    </row>
    <row r="945" spans="2:51" s="148" customFormat="1" x14ac:dyDescent="0.2">
      <c r="B945" s="149"/>
      <c r="D945" s="143" t="s">
        <v>346</v>
      </c>
      <c r="E945" s="150"/>
      <c r="F945" s="151" t="s">
        <v>3580</v>
      </c>
      <c r="H945" s="152">
        <v>-0.76500000000000001</v>
      </c>
      <c r="L945" s="149"/>
      <c r="M945" s="153"/>
      <c r="T945" s="154"/>
      <c r="AT945" s="150" t="s">
        <v>346</v>
      </c>
      <c r="AU945" s="150" t="s">
        <v>90</v>
      </c>
      <c r="AV945" s="148" t="s">
        <v>90</v>
      </c>
      <c r="AW945" s="148" t="s">
        <v>33</v>
      </c>
      <c r="AX945" s="148" t="s">
        <v>80</v>
      </c>
      <c r="AY945" s="150" t="s">
        <v>337</v>
      </c>
    </row>
    <row r="946" spans="2:51" s="141" customFormat="1" x14ac:dyDescent="0.2">
      <c r="B946" s="142"/>
      <c r="D946" s="143" t="s">
        <v>346</v>
      </c>
      <c r="E946" s="144"/>
      <c r="F946" s="145" t="s">
        <v>3746</v>
      </c>
      <c r="H946" s="144"/>
      <c r="L946" s="142"/>
      <c r="M946" s="146"/>
      <c r="T946" s="147"/>
      <c r="AT946" s="144" t="s">
        <v>346</v>
      </c>
      <c r="AU946" s="144" t="s">
        <v>90</v>
      </c>
      <c r="AV946" s="141" t="s">
        <v>87</v>
      </c>
      <c r="AW946" s="141" t="s">
        <v>33</v>
      </c>
      <c r="AX946" s="141" t="s">
        <v>80</v>
      </c>
      <c r="AY946" s="144" t="s">
        <v>337</v>
      </c>
    </row>
    <row r="947" spans="2:51" s="148" customFormat="1" x14ac:dyDescent="0.2">
      <c r="B947" s="149"/>
      <c r="D947" s="143" t="s">
        <v>346</v>
      </c>
      <c r="E947" s="150"/>
      <c r="F947" s="151" t="s">
        <v>3582</v>
      </c>
      <c r="H947" s="152">
        <v>-8.74</v>
      </c>
      <c r="L947" s="149"/>
      <c r="M947" s="153"/>
      <c r="T947" s="154"/>
      <c r="AT947" s="150" t="s">
        <v>346</v>
      </c>
      <c r="AU947" s="150" t="s">
        <v>90</v>
      </c>
      <c r="AV947" s="148" t="s">
        <v>90</v>
      </c>
      <c r="AW947" s="148" t="s">
        <v>33</v>
      </c>
      <c r="AX947" s="148" t="s">
        <v>80</v>
      </c>
      <c r="AY947" s="150" t="s">
        <v>337</v>
      </c>
    </row>
    <row r="948" spans="2:51" s="141" customFormat="1" x14ac:dyDescent="0.2">
      <c r="B948" s="142"/>
      <c r="D948" s="143" t="s">
        <v>346</v>
      </c>
      <c r="E948" s="144"/>
      <c r="F948" s="145" t="s">
        <v>3336</v>
      </c>
      <c r="H948" s="144"/>
      <c r="L948" s="142"/>
      <c r="M948" s="146"/>
      <c r="T948" s="147"/>
      <c r="AT948" s="144" t="s">
        <v>346</v>
      </c>
      <c r="AU948" s="144" t="s">
        <v>90</v>
      </c>
      <c r="AV948" s="141" t="s">
        <v>87</v>
      </c>
      <c r="AW948" s="141" t="s">
        <v>33</v>
      </c>
      <c r="AX948" s="141" t="s">
        <v>80</v>
      </c>
      <c r="AY948" s="144" t="s">
        <v>337</v>
      </c>
    </row>
    <row r="949" spans="2:51" s="141" customFormat="1" x14ac:dyDescent="0.2">
      <c r="B949" s="142"/>
      <c r="D949" s="143" t="s">
        <v>346</v>
      </c>
      <c r="E949" s="144"/>
      <c r="F949" s="145" t="s">
        <v>3513</v>
      </c>
      <c r="H949" s="144"/>
      <c r="L949" s="142"/>
      <c r="M949" s="146"/>
      <c r="T949" s="147"/>
      <c r="AT949" s="144" t="s">
        <v>346</v>
      </c>
      <c r="AU949" s="144" t="s">
        <v>90</v>
      </c>
      <c r="AV949" s="141" t="s">
        <v>87</v>
      </c>
      <c r="AW949" s="141" t="s">
        <v>33</v>
      </c>
      <c r="AX949" s="141" t="s">
        <v>80</v>
      </c>
      <c r="AY949" s="144" t="s">
        <v>337</v>
      </c>
    </row>
    <row r="950" spans="2:51" s="141" customFormat="1" x14ac:dyDescent="0.2">
      <c r="B950" s="142"/>
      <c r="D950" s="143" t="s">
        <v>346</v>
      </c>
      <c r="E950" s="144"/>
      <c r="F950" s="145" t="s">
        <v>3514</v>
      </c>
      <c r="H950" s="144"/>
      <c r="L950" s="142"/>
      <c r="M950" s="146"/>
      <c r="T950" s="147"/>
      <c r="AT950" s="144" t="s">
        <v>346</v>
      </c>
      <c r="AU950" s="144" t="s">
        <v>90</v>
      </c>
      <c r="AV950" s="141" t="s">
        <v>87</v>
      </c>
      <c r="AW950" s="141" t="s">
        <v>33</v>
      </c>
      <c r="AX950" s="141" t="s">
        <v>80</v>
      </c>
      <c r="AY950" s="144" t="s">
        <v>337</v>
      </c>
    </row>
    <row r="951" spans="2:51" s="141" customFormat="1" x14ac:dyDescent="0.2">
      <c r="B951" s="142"/>
      <c r="D951" s="143" t="s">
        <v>346</v>
      </c>
      <c r="E951" s="144"/>
      <c r="F951" s="145" t="s">
        <v>3394</v>
      </c>
      <c r="H951" s="144"/>
      <c r="L951" s="142"/>
      <c r="M951" s="146"/>
      <c r="T951" s="147"/>
      <c r="AT951" s="144" t="s">
        <v>346</v>
      </c>
      <c r="AU951" s="144" t="s">
        <v>90</v>
      </c>
      <c r="AV951" s="141" t="s">
        <v>87</v>
      </c>
      <c r="AW951" s="141" t="s">
        <v>33</v>
      </c>
      <c r="AX951" s="141" t="s">
        <v>80</v>
      </c>
      <c r="AY951" s="144" t="s">
        <v>337</v>
      </c>
    </row>
    <row r="952" spans="2:51" s="148" customFormat="1" x14ac:dyDescent="0.2">
      <c r="B952" s="149"/>
      <c r="D952" s="143" t="s">
        <v>346</v>
      </c>
      <c r="E952" s="150"/>
      <c r="F952" s="151" t="s">
        <v>3747</v>
      </c>
      <c r="H952" s="152">
        <v>67.424999999999997</v>
      </c>
      <c r="L952" s="149"/>
      <c r="M952" s="153"/>
      <c r="T952" s="154"/>
      <c r="AT952" s="150" t="s">
        <v>346</v>
      </c>
      <c r="AU952" s="150" t="s">
        <v>90</v>
      </c>
      <c r="AV952" s="148" t="s">
        <v>90</v>
      </c>
      <c r="AW952" s="148" t="s">
        <v>33</v>
      </c>
      <c r="AX952" s="148" t="s">
        <v>80</v>
      </c>
      <c r="AY952" s="150" t="s">
        <v>337</v>
      </c>
    </row>
    <row r="953" spans="2:51" s="148" customFormat="1" x14ac:dyDescent="0.2">
      <c r="B953" s="149"/>
      <c r="D953" s="143" t="s">
        <v>346</v>
      </c>
      <c r="E953" s="150"/>
      <c r="F953" s="151" t="s">
        <v>3748</v>
      </c>
      <c r="H953" s="152">
        <v>169.19499999999999</v>
      </c>
      <c r="L953" s="149"/>
      <c r="M953" s="153"/>
      <c r="T953" s="154"/>
      <c r="AT953" s="150" t="s">
        <v>346</v>
      </c>
      <c r="AU953" s="150" t="s">
        <v>90</v>
      </c>
      <c r="AV953" s="148" t="s">
        <v>90</v>
      </c>
      <c r="AW953" s="148" t="s">
        <v>33</v>
      </c>
      <c r="AX953" s="148" t="s">
        <v>80</v>
      </c>
      <c r="AY953" s="150" t="s">
        <v>337</v>
      </c>
    </row>
    <row r="954" spans="2:51" s="148" customFormat="1" x14ac:dyDescent="0.2">
      <c r="B954" s="149"/>
      <c r="D954" s="143" t="s">
        <v>346</v>
      </c>
      <c r="E954" s="150"/>
      <c r="F954" s="151" t="s">
        <v>3749</v>
      </c>
      <c r="H954" s="152">
        <v>164.4</v>
      </c>
      <c r="L954" s="149"/>
      <c r="M954" s="153"/>
      <c r="T954" s="154"/>
      <c r="AT954" s="150" t="s">
        <v>346</v>
      </c>
      <c r="AU954" s="150" t="s">
        <v>90</v>
      </c>
      <c r="AV954" s="148" t="s">
        <v>90</v>
      </c>
      <c r="AW954" s="148" t="s">
        <v>33</v>
      </c>
      <c r="AX954" s="148" t="s">
        <v>80</v>
      </c>
      <c r="AY954" s="150" t="s">
        <v>337</v>
      </c>
    </row>
    <row r="955" spans="2:51" s="141" customFormat="1" x14ac:dyDescent="0.2">
      <c r="B955" s="142"/>
      <c r="D955" s="143" t="s">
        <v>346</v>
      </c>
      <c r="E955" s="144"/>
      <c r="F955" s="145" t="s">
        <v>3398</v>
      </c>
      <c r="H955" s="144"/>
      <c r="L955" s="142"/>
      <c r="M955" s="146"/>
      <c r="T955" s="147"/>
      <c r="AT955" s="144" t="s">
        <v>346</v>
      </c>
      <c r="AU955" s="144" t="s">
        <v>90</v>
      </c>
      <c r="AV955" s="141" t="s">
        <v>87</v>
      </c>
      <c r="AW955" s="141" t="s">
        <v>33</v>
      </c>
      <c r="AX955" s="141" t="s">
        <v>80</v>
      </c>
      <c r="AY955" s="144" t="s">
        <v>337</v>
      </c>
    </row>
    <row r="956" spans="2:51" s="148" customFormat="1" x14ac:dyDescent="0.2">
      <c r="B956" s="149"/>
      <c r="D956" s="143" t="s">
        <v>346</v>
      </c>
      <c r="E956" s="150"/>
      <c r="F956" s="151" t="s">
        <v>3750</v>
      </c>
      <c r="H956" s="152">
        <v>105.6</v>
      </c>
      <c r="L956" s="149"/>
      <c r="M956" s="153"/>
      <c r="T956" s="154"/>
      <c r="AT956" s="150" t="s">
        <v>346</v>
      </c>
      <c r="AU956" s="150" t="s">
        <v>90</v>
      </c>
      <c r="AV956" s="148" t="s">
        <v>90</v>
      </c>
      <c r="AW956" s="148" t="s">
        <v>33</v>
      </c>
      <c r="AX956" s="148" t="s">
        <v>80</v>
      </c>
      <c r="AY956" s="150" t="s">
        <v>337</v>
      </c>
    </row>
    <row r="957" spans="2:51" s="141" customFormat="1" x14ac:dyDescent="0.2">
      <c r="B957" s="142"/>
      <c r="D957" s="143" t="s">
        <v>346</v>
      </c>
      <c r="E957" s="144"/>
      <c r="F957" s="145" t="s">
        <v>3403</v>
      </c>
      <c r="H957" s="144"/>
      <c r="L957" s="142"/>
      <c r="M957" s="146"/>
      <c r="T957" s="147"/>
      <c r="AT957" s="144" t="s">
        <v>346</v>
      </c>
      <c r="AU957" s="144" t="s">
        <v>90</v>
      </c>
      <c r="AV957" s="141" t="s">
        <v>87</v>
      </c>
      <c r="AW957" s="141" t="s">
        <v>33</v>
      </c>
      <c r="AX957" s="141" t="s">
        <v>80</v>
      </c>
      <c r="AY957" s="144" t="s">
        <v>337</v>
      </c>
    </row>
    <row r="958" spans="2:51" s="148" customFormat="1" x14ac:dyDescent="0.2">
      <c r="B958" s="149"/>
      <c r="D958" s="143" t="s">
        <v>346</v>
      </c>
      <c r="E958" s="150"/>
      <c r="F958" s="151" t="s">
        <v>3751</v>
      </c>
      <c r="H958" s="152">
        <v>12.561999999999999</v>
      </c>
      <c r="L958" s="149"/>
      <c r="M958" s="153"/>
      <c r="T958" s="154"/>
      <c r="AT958" s="150" t="s">
        <v>346</v>
      </c>
      <c r="AU958" s="150" t="s">
        <v>90</v>
      </c>
      <c r="AV958" s="148" t="s">
        <v>90</v>
      </c>
      <c r="AW958" s="148" t="s">
        <v>33</v>
      </c>
      <c r="AX958" s="148" t="s">
        <v>80</v>
      </c>
      <c r="AY958" s="150" t="s">
        <v>337</v>
      </c>
    </row>
    <row r="959" spans="2:51" s="141" customFormat="1" x14ac:dyDescent="0.2">
      <c r="B959" s="142"/>
      <c r="D959" s="143" t="s">
        <v>346</v>
      </c>
      <c r="E959" s="144"/>
      <c r="F959" s="145" t="s">
        <v>3396</v>
      </c>
      <c r="H959" s="144"/>
      <c r="L959" s="142"/>
      <c r="M959" s="146"/>
      <c r="T959" s="147"/>
      <c r="AT959" s="144" t="s">
        <v>346</v>
      </c>
      <c r="AU959" s="144" t="s">
        <v>90</v>
      </c>
      <c r="AV959" s="141" t="s">
        <v>87</v>
      </c>
      <c r="AW959" s="141" t="s">
        <v>33</v>
      </c>
      <c r="AX959" s="141" t="s">
        <v>80</v>
      </c>
      <c r="AY959" s="144" t="s">
        <v>337</v>
      </c>
    </row>
    <row r="960" spans="2:51" s="148" customFormat="1" x14ac:dyDescent="0.2">
      <c r="B960" s="149"/>
      <c r="D960" s="143" t="s">
        <v>346</v>
      </c>
      <c r="E960" s="150"/>
      <c r="F960" s="151" t="s">
        <v>3752</v>
      </c>
      <c r="H960" s="152">
        <v>0.46200000000000002</v>
      </c>
      <c r="L960" s="149"/>
      <c r="M960" s="153"/>
      <c r="T960" s="154"/>
      <c r="AT960" s="150" t="s">
        <v>346</v>
      </c>
      <c r="AU960" s="150" t="s">
        <v>90</v>
      </c>
      <c r="AV960" s="148" t="s">
        <v>90</v>
      </c>
      <c r="AW960" s="148" t="s">
        <v>33</v>
      </c>
      <c r="AX960" s="148" t="s">
        <v>80</v>
      </c>
      <c r="AY960" s="150" t="s">
        <v>337</v>
      </c>
    </row>
    <row r="961" spans="2:51" s="141" customFormat="1" x14ac:dyDescent="0.2">
      <c r="B961" s="142"/>
      <c r="D961" s="143" t="s">
        <v>346</v>
      </c>
      <c r="E961" s="144"/>
      <c r="F961" s="145" t="s">
        <v>3406</v>
      </c>
      <c r="H961" s="144"/>
      <c r="L961" s="142"/>
      <c r="M961" s="146"/>
      <c r="T961" s="147"/>
      <c r="AT961" s="144" t="s">
        <v>346</v>
      </c>
      <c r="AU961" s="144" t="s">
        <v>90</v>
      </c>
      <c r="AV961" s="141" t="s">
        <v>87</v>
      </c>
      <c r="AW961" s="141" t="s">
        <v>33</v>
      </c>
      <c r="AX961" s="141" t="s">
        <v>80</v>
      </c>
      <c r="AY961" s="144" t="s">
        <v>337</v>
      </c>
    </row>
    <row r="962" spans="2:51" s="141" customFormat="1" x14ac:dyDescent="0.2">
      <c r="B962" s="142"/>
      <c r="D962" s="143" t="s">
        <v>346</v>
      </c>
      <c r="E962" s="144"/>
      <c r="F962" s="145" t="s">
        <v>3407</v>
      </c>
      <c r="H962" s="144"/>
      <c r="L962" s="142"/>
      <c r="M962" s="146"/>
      <c r="T962" s="147"/>
      <c r="AT962" s="144" t="s">
        <v>346</v>
      </c>
      <c r="AU962" s="144" t="s">
        <v>90</v>
      </c>
      <c r="AV962" s="141" t="s">
        <v>87</v>
      </c>
      <c r="AW962" s="141" t="s">
        <v>33</v>
      </c>
      <c r="AX962" s="141" t="s">
        <v>80</v>
      </c>
      <c r="AY962" s="144" t="s">
        <v>337</v>
      </c>
    </row>
    <row r="963" spans="2:51" s="148" customFormat="1" x14ac:dyDescent="0.2">
      <c r="B963" s="149"/>
      <c r="D963" s="143" t="s">
        <v>346</v>
      </c>
      <c r="E963" s="150"/>
      <c r="F963" s="151" t="s">
        <v>3522</v>
      </c>
      <c r="H963" s="152">
        <v>31.11</v>
      </c>
      <c r="L963" s="149"/>
      <c r="M963" s="153"/>
      <c r="T963" s="154"/>
      <c r="AT963" s="150" t="s">
        <v>346</v>
      </c>
      <c r="AU963" s="150" t="s">
        <v>90</v>
      </c>
      <c r="AV963" s="148" t="s">
        <v>90</v>
      </c>
      <c r="AW963" s="148" t="s">
        <v>33</v>
      </c>
      <c r="AX963" s="148" t="s">
        <v>80</v>
      </c>
      <c r="AY963" s="150" t="s">
        <v>337</v>
      </c>
    </row>
    <row r="964" spans="2:51" s="141" customFormat="1" x14ac:dyDescent="0.2">
      <c r="B964" s="142"/>
      <c r="D964" s="143" t="s">
        <v>346</v>
      </c>
      <c r="E964" s="144"/>
      <c r="F964" s="145" t="s">
        <v>511</v>
      </c>
      <c r="H964" s="144"/>
      <c r="L964" s="142"/>
      <c r="M964" s="146"/>
      <c r="T964" s="147"/>
      <c r="AT964" s="144" t="s">
        <v>346</v>
      </c>
      <c r="AU964" s="144" t="s">
        <v>90</v>
      </c>
      <c r="AV964" s="141" t="s">
        <v>87</v>
      </c>
      <c r="AW964" s="141" t="s">
        <v>33</v>
      </c>
      <c r="AX964" s="141" t="s">
        <v>80</v>
      </c>
      <c r="AY964" s="144" t="s">
        <v>337</v>
      </c>
    </row>
    <row r="965" spans="2:51" s="148" customFormat="1" x14ac:dyDescent="0.2">
      <c r="B965" s="149"/>
      <c r="D965" s="143" t="s">
        <v>346</v>
      </c>
      <c r="E965" s="150"/>
      <c r="F965" s="151" t="s">
        <v>3525</v>
      </c>
      <c r="H965" s="152">
        <v>-7.56</v>
      </c>
      <c r="L965" s="149"/>
      <c r="M965" s="153"/>
      <c r="T965" s="154"/>
      <c r="AT965" s="150" t="s">
        <v>346</v>
      </c>
      <c r="AU965" s="150" t="s">
        <v>90</v>
      </c>
      <c r="AV965" s="148" t="s">
        <v>90</v>
      </c>
      <c r="AW965" s="148" t="s">
        <v>33</v>
      </c>
      <c r="AX965" s="148" t="s">
        <v>80</v>
      </c>
      <c r="AY965" s="150" t="s">
        <v>337</v>
      </c>
    </row>
    <row r="966" spans="2:51" s="148" customFormat="1" x14ac:dyDescent="0.2">
      <c r="B966" s="149"/>
      <c r="D966" s="143" t="s">
        <v>346</v>
      </c>
      <c r="E966" s="150"/>
      <c r="F966" s="151" t="s">
        <v>3526</v>
      </c>
      <c r="H966" s="152">
        <v>-4.32</v>
      </c>
      <c r="L966" s="149"/>
      <c r="M966" s="153"/>
      <c r="T966" s="154"/>
      <c r="AT966" s="150" t="s">
        <v>346</v>
      </c>
      <c r="AU966" s="150" t="s">
        <v>90</v>
      </c>
      <c r="AV966" s="148" t="s">
        <v>90</v>
      </c>
      <c r="AW966" s="148" t="s">
        <v>33</v>
      </c>
      <c r="AX966" s="148" t="s">
        <v>80</v>
      </c>
      <c r="AY966" s="150" t="s">
        <v>337</v>
      </c>
    </row>
    <row r="967" spans="2:51" s="148" customFormat="1" x14ac:dyDescent="0.2">
      <c r="B967" s="149"/>
      <c r="D967" s="143" t="s">
        <v>346</v>
      </c>
      <c r="E967" s="150"/>
      <c r="F967" s="151" t="s">
        <v>3527</v>
      </c>
      <c r="H967" s="152">
        <v>-1.819</v>
      </c>
      <c r="L967" s="149"/>
      <c r="M967" s="153"/>
      <c r="T967" s="154"/>
      <c r="AT967" s="150" t="s">
        <v>346</v>
      </c>
      <c r="AU967" s="150" t="s">
        <v>90</v>
      </c>
      <c r="AV967" s="148" t="s">
        <v>90</v>
      </c>
      <c r="AW967" s="148" t="s">
        <v>33</v>
      </c>
      <c r="AX967" s="148" t="s">
        <v>80</v>
      </c>
      <c r="AY967" s="150" t="s">
        <v>337</v>
      </c>
    </row>
    <row r="968" spans="2:51" s="148" customFormat="1" x14ac:dyDescent="0.2">
      <c r="B968" s="149"/>
      <c r="D968" s="143" t="s">
        <v>346</v>
      </c>
      <c r="E968" s="150"/>
      <c r="F968" s="151" t="s">
        <v>3528</v>
      </c>
      <c r="H968" s="152">
        <v>-3.24</v>
      </c>
      <c r="L968" s="149"/>
      <c r="M968" s="153"/>
      <c r="T968" s="154"/>
      <c r="AT968" s="150" t="s">
        <v>346</v>
      </c>
      <c r="AU968" s="150" t="s">
        <v>90</v>
      </c>
      <c r="AV968" s="148" t="s">
        <v>90</v>
      </c>
      <c r="AW968" s="148" t="s">
        <v>33</v>
      </c>
      <c r="AX968" s="148" t="s">
        <v>80</v>
      </c>
      <c r="AY968" s="150" t="s">
        <v>337</v>
      </c>
    </row>
    <row r="969" spans="2:51" s="148" customFormat="1" x14ac:dyDescent="0.2">
      <c r="B969" s="149"/>
      <c r="D969" s="143" t="s">
        <v>346</v>
      </c>
      <c r="E969" s="150"/>
      <c r="F969" s="151" t="s">
        <v>3529</v>
      </c>
      <c r="H969" s="152">
        <v>-2.5680000000000001</v>
      </c>
      <c r="L969" s="149"/>
      <c r="M969" s="153"/>
      <c r="T969" s="154"/>
      <c r="AT969" s="150" t="s">
        <v>346</v>
      </c>
      <c r="AU969" s="150" t="s">
        <v>90</v>
      </c>
      <c r="AV969" s="148" t="s">
        <v>90</v>
      </c>
      <c r="AW969" s="148" t="s">
        <v>33</v>
      </c>
      <c r="AX969" s="148" t="s">
        <v>80</v>
      </c>
      <c r="AY969" s="150" t="s">
        <v>337</v>
      </c>
    </row>
    <row r="970" spans="2:51" s="148" customFormat="1" x14ac:dyDescent="0.2">
      <c r="B970" s="149"/>
      <c r="D970" s="143" t="s">
        <v>346</v>
      </c>
      <c r="E970" s="150"/>
      <c r="F970" s="151" t="s">
        <v>3530</v>
      </c>
      <c r="H970" s="152">
        <v>-13.824</v>
      </c>
      <c r="L970" s="149"/>
      <c r="M970" s="153"/>
      <c r="T970" s="154"/>
      <c r="AT970" s="150" t="s">
        <v>346</v>
      </c>
      <c r="AU970" s="150" t="s">
        <v>90</v>
      </c>
      <c r="AV970" s="148" t="s">
        <v>90</v>
      </c>
      <c r="AW970" s="148" t="s">
        <v>33</v>
      </c>
      <c r="AX970" s="148" t="s">
        <v>80</v>
      </c>
      <c r="AY970" s="150" t="s">
        <v>337</v>
      </c>
    </row>
    <row r="971" spans="2:51" s="148" customFormat="1" x14ac:dyDescent="0.2">
      <c r="B971" s="149"/>
      <c r="D971" s="143" t="s">
        <v>346</v>
      </c>
      <c r="E971" s="150"/>
      <c r="F971" s="151" t="s">
        <v>3532</v>
      </c>
      <c r="H971" s="152">
        <v>-4.8150000000000004</v>
      </c>
      <c r="L971" s="149"/>
      <c r="M971" s="153"/>
      <c r="T971" s="154"/>
      <c r="AT971" s="150" t="s">
        <v>346</v>
      </c>
      <c r="AU971" s="150" t="s">
        <v>90</v>
      </c>
      <c r="AV971" s="148" t="s">
        <v>90</v>
      </c>
      <c r="AW971" s="148" t="s">
        <v>33</v>
      </c>
      <c r="AX971" s="148" t="s">
        <v>80</v>
      </c>
      <c r="AY971" s="150" t="s">
        <v>337</v>
      </c>
    </row>
    <row r="972" spans="2:51" s="148" customFormat="1" x14ac:dyDescent="0.2">
      <c r="B972" s="149"/>
      <c r="D972" s="143" t="s">
        <v>346</v>
      </c>
      <c r="E972" s="150"/>
      <c r="F972" s="151" t="s">
        <v>3534</v>
      </c>
      <c r="H972" s="152">
        <v>-7.02</v>
      </c>
      <c r="L972" s="149"/>
      <c r="M972" s="153"/>
      <c r="T972" s="154"/>
      <c r="AT972" s="150" t="s">
        <v>346</v>
      </c>
      <c r="AU972" s="150" t="s">
        <v>90</v>
      </c>
      <c r="AV972" s="148" t="s">
        <v>90</v>
      </c>
      <c r="AW972" s="148" t="s">
        <v>33</v>
      </c>
      <c r="AX972" s="148" t="s">
        <v>80</v>
      </c>
      <c r="AY972" s="150" t="s">
        <v>337</v>
      </c>
    </row>
    <row r="973" spans="2:51" s="148" customFormat="1" x14ac:dyDescent="0.2">
      <c r="B973" s="149"/>
      <c r="D973" s="143" t="s">
        <v>346</v>
      </c>
      <c r="E973" s="150"/>
      <c r="F973" s="151" t="s">
        <v>3753</v>
      </c>
      <c r="H973" s="152">
        <v>-149.51499999999999</v>
      </c>
      <c r="L973" s="149"/>
      <c r="M973" s="153"/>
      <c r="T973" s="154"/>
      <c r="AT973" s="150" t="s">
        <v>346</v>
      </c>
      <c r="AU973" s="150" t="s">
        <v>90</v>
      </c>
      <c r="AV973" s="148" t="s">
        <v>90</v>
      </c>
      <c r="AW973" s="148" t="s">
        <v>33</v>
      </c>
      <c r="AX973" s="148" t="s">
        <v>80</v>
      </c>
      <c r="AY973" s="150" t="s">
        <v>337</v>
      </c>
    </row>
    <row r="974" spans="2:51" s="148" customFormat="1" x14ac:dyDescent="0.2">
      <c r="B974" s="149"/>
      <c r="D974" s="143" t="s">
        <v>346</v>
      </c>
      <c r="E974" s="150"/>
      <c r="F974" s="151" t="s">
        <v>3538</v>
      </c>
      <c r="H974" s="152">
        <v>-3.117</v>
      </c>
      <c r="L974" s="149"/>
      <c r="M974" s="153"/>
      <c r="T974" s="154"/>
      <c r="AT974" s="150" t="s">
        <v>346</v>
      </c>
      <c r="AU974" s="150" t="s">
        <v>90</v>
      </c>
      <c r="AV974" s="148" t="s">
        <v>90</v>
      </c>
      <c r="AW974" s="148" t="s">
        <v>33</v>
      </c>
      <c r="AX974" s="148" t="s">
        <v>80</v>
      </c>
      <c r="AY974" s="150" t="s">
        <v>337</v>
      </c>
    </row>
    <row r="975" spans="2:51" s="141" customFormat="1" x14ac:dyDescent="0.2">
      <c r="B975" s="142"/>
      <c r="D975" s="143" t="s">
        <v>346</v>
      </c>
      <c r="E975" s="144"/>
      <c r="F975" s="145" t="s">
        <v>3754</v>
      </c>
      <c r="H975" s="144"/>
      <c r="L975" s="142"/>
      <c r="M975" s="146"/>
      <c r="T975" s="147"/>
      <c r="AT975" s="144" t="s">
        <v>346</v>
      </c>
      <c r="AU975" s="144" t="s">
        <v>90</v>
      </c>
      <c r="AV975" s="141" t="s">
        <v>87</v>
      </c>
      <c r="AW975" s="141" t="s">
        <v>33</v>
      </c>
      <c r="AX975" s="141" t="s">
        <v>80</v>
      </c>
      <c r="AY975" s="144" t="s">
        <v>337</v>
      </c>
    </row>
    <row r="976" spans="2:51" s="148" customFormat="1" x14ac:dyDescent="0.2">
      <c r="B976" s="149"/>
      <c r="D976" s="143" t="s">
        <v>346</v>
      </c>
      <c r="E976" s="150"/>
      <c r="F976" s="151" t="s">
        <v>3584</v>
      </c>
      <c r="H976" s="152">
        <v>157.16999999999999</v>
      </c>
      <c r="L976" s="149"/>
      <c r="M976" s="153"/>
      <c r="T976" s="154"/>
      <c r="AT976" s="150" t="s">
        <v>346</v>
      </c>
      <c r="AU976" s="150" t="s">
        <v>90</v>
      </c>
      <c r="AV976" s="148" t="s">
        <v>90</v>
      </c>
      <c r="AW976" s="148" t="s">
        <v>33</v>
      </c>
      <c r="AX976" s="148" t="s">
        <v>80</v>
      </c>
      <c r="AY976" s="150" t="s">
        <v>337</v>
      </c>
    </row>
    <row r="977" spans="2:51" s="141" customFormat="1" x14ac:dyDescent="0.2">
      <c r="B977" s="142"/>
      <c r="D977" s="143" t="s">
        <v>346</v>
      </c>
      <c r="E977" s="144"/>
      <c r="F977" s="145" t="s">
        <v>3585</v>
      </c>
      <c r="H977" s="144"/>
      <c r="L977" s="142"/>
      <c r="M977" s="146"/>
      <c r="T977" s="147"/>
      <c r="AT977" s="144" t="s">
        <v>346</v>
      </c>
      <c r="AU977" s="144" t="s">
        <v>90</v>
      </c>
      <c r="AV977" s="141" t="s">
        <v>87</v>
      </c>
      <c r="AW977" s="141" t="s">
        <v>33</v>
      </c>
      <c r="AX977" s="141" t="s">
        <v>80</v>
      </c>
      <c r="AY977" s="144" t="s">
        <v>337</v>
      </c>
    </row>
    <row r="978" spans="2:51" s="148" customFormat="1" x14ac:dyDescent="0.2">
      <c r="B978" s="149"/>
      <c r="D978" s="143" t="s">
        <v>346</v>
      </c>
      <c r="E978" s="150"/>
      <c r="F978" s="151" t="s">
        <v>3586</v>
      </c>
      <c r="H978" s="152">
        <v>55.77</v>
      </c>
      <c r="L978" s="149"/>
      <c r="M978" s="153"/>
      <c r="T978" s="154"/>
      <c r="AT978" s="150" t="s">
        <v>346</v>
      </c>
      <c r="AU978" s="150" t="s">
        <v>90</v>
      </c>
      <c r="AV978" s="148" t="s">
        <v>90</v>
      </c>
      <c r="AW978" s="148" t="s">
        <v>33</v>
      </c>
      <c r="AX978" s="148" t="s">
        <v>80</v>
      </c>
      <c r="AY978" s="150" t="s">
        <v>337</v>
      </c>
    </row>
    <row r="979" spans="2:51" s="141" customFormat="1" x14ac:dyDescent="0.2">
      <c r="B979" s="142"/>
      <c r="D979" s="143" t="s">
        <v>346</v>
      </c>
      <c r="E979" s="144"/>
      <c r="F979" s="145" t="s">
        <v>3587</v>
      </c>
      <c r="H979" s="144"/>
      <c r="L979" s="142"/>
      <c r="M979" s="146"/>
      <c r="T979" s="147"/>
      <c r="AT979" s="144" t="s">
        <v>346</v>
      </c>
      <c r="AU979" s="144" t="s">
        <v>90</v>
      </c>
      <c r="AV979" s="141" t="s">
        <v>87</v>
      </c>
      <c r="AW979" s="141" t="s">
        <v>33</v>
      </c>
      <c r="AX979" s="141" t="s">
        <v>80</v>
      </c>
      <c r="AY979" s="144" t="s">
        <v>337</v>
      </c>
    </row>
    <row r="980" spans="2:51" s="148" customFormat="1" x14ac:dyDescent="0.2">
      <c r="B980" s="149"/>
      <c r="D980" s="143" t="s">
        <v>346</v>
      </c>
      <c r="E980" s="150"/>
      <c r="F980" s="151" t="s">
        <v>3588</v>
      </c>
      <c r="H980" s="152">
        <v>-70.36</v>
      </c>
      <c r="L980" s="149"/>
      <c r="M980" s="153"/>
      <c r="T980" s="154"/>
      <c r="AT980" s="150" t="s">
        <v>346</v>
      </c>
      <c r="AU980" s="150" t="s">
        <v>90</v>
      </c>
      <c r="AV980" s="148" t="s">
        <v>90</v>
      </c>
      <c r="AW980" s="148" t="s">
        <v>33</v>
      </c>
      <c r="AX980" s="148" t="s">
        <v>80</v>
      </c>
      <c r="AY980" s="150" t="s">
        <v>337</v>
      </c>
    </row>
    <row r="981" spans="2:51" s="141" customFormat="1" x14ac:dyDescent="0.2">
      <c r="B981" s="142"/>
      <c r="D981" s="143" t="s">
        <v>346</v>
      </c>
      <c r="E981" s="144"/>
      <c r="F981" s="145" t="s">
        <v>3409</v>
      </c>
      <c r="H981" s="144"/>
      <c r="L981" s="142"/>
      <c r="M981" s="146"/>
      <c r="T981" s="147"/>
      <c r="AT981" s="144" t="s">
        <v>346</v>
      </c>
      <c r="AU981" s="144" t="s">
        <v>90</v>
      </c>
      <c r="AV981" s="141" t="s">
        <v>87</v>
      </c>
      <c r="AW981" s="141" t="s">
        <v>33</v>
      </c>
      <c r="AX981" s="141" t="s">
        <v>80</v>
      </c>
      <c r="AY981" s="144" t="s">
        <v>337</v>
      </c>
    </row>
    <row r="982" spans="2:51" s="148" customFormat="1" x14ac:dyDescent="0.2">
      <c r="B982" s="149"/>
      <c r="D982" s="143" t="s">
        <v>346</v>
      </c>
      <c r="E982" s="150"/>
      <c r="F982" s="151" t="s">
        <v>3544</v>
      </c>
      <c r="H982" s="152">
        <v>11.2</v>
      </c>
      <c r="L982" s="149"/>
      <c r="M982" s="153"/>
      <c r="T982" s="154"/>
      <c r="AT982" s="150" t="s">
        <v>346</v>
      </c>
      <c r="AU982" s="150" t="s">
        <v>90</v>
      </c>
      <c r="AV982" s="148" t="s">
        <v>90</v>
      </c>
      <c r="AW982" s="148" t="s">
        <v>33</v>
      </c>
      <c r="AX982" s="148" t="s">
        <v>80</v>
      </c>
      <c r="AY982" s="150" t="s">
        <v>337</v>
      </c>
    </row>
    <row r="983" spans="2:51" s="141" customFormat="1" x14ac:dyDescent="0.2">
      <c r="B983" s="142"/>
      <c r="D983" s="143" t="s">
        <v>346</v>
      </c>
      <c r="E983" s="144"/>
      <c r="F983" s="145" t="s">
        <v>3545</v>
      </c>
      <c r="H983" s="144"/>
      <c r="L983" s="142"/>
      <c r="M983" s="146"/>
      <c r="T983" s="147"/>
      <c r="AT983" s="144" t="s">
        <v>346</v>
      </c>
      <c r="AU983" s="144" t="s">
        <v>90</v>
      </c>
      <c r="AV983" s="141" t="s">
        <v>87</v>
      </c>
      <c r="AW983" s="141" t="s">
        <v>33</v>
      </c>
      <c r="AX983" s="141" t="s">
        <v>80</v>
      </c>
      <c r="AY983" s="144" t="s">
        <v>337</v>
      </c>
    </row>
    <row r="984" spans="2:51" s="148" customFormat="1" x14ac:dyDescent="0.2">
      <c r="B984" s="149"/>
      <c r="D984" s="143" t="s">
        <v>346</v>
      </c>
      <c r="E984" s="150"/>
      <c r="F984" s="151" t="s">
        <v>3546</v>
      </c>
      <c r="H984" s="152">
        <v>-4.37</v>
      </c>
      <c r="L984" s="149"/>
      <c r="M984" s="153"/>
      <c r="T984" s="154"/>
      <c r="AT984" s="150" t="s">
        <v>346</v>
      </c>
      <c r="AU984" s="150" t="s">
        <v>90</v>
      </c>
      <c r="AV984" s="148" t="s">
        <v>90</v>
      </c>
      <c r="AW984" s="148" t="s">
        <v>33</v>
      </c>
      <c r="AX984" s="148" t="s">
        <v>80</v>
      </c>
      <c r="AY984" s="150" t="s">
        <v>337</v>
      </c>
    </row>
    <row r="985" spans="2:51" s="141" customFormat="1" x14ac:dyDescent="0.2">
      <c r="B985" s="142"/>
      <c r="D985" s="143" t="s">
        <v>346</v>
      </c>
      <c r="E985" s="144"/>
      <c r="F985" s="145" t="s">
        <v>3566</v>
      </c>
      <c r="H985" s="144"/>
      <c r="L985" s="142"/>
      <c r="M985" s="146"/>
      <c r="T985" s="147"/>
      <c r="AT985" s="144" t="s">
        <v>346</v>
      </c>
      <c r="AU985" s="144" t="s">
        <v>90</v>
      </c>
      <c r="AV985" s="141" t="s">
        <v>87</v>
      </c>
      <c r="AW985" s="141" t="s">
        <v>33</v>
      </c>
      <c r="AX985" s="141" t="s">
        <v>80</v>
      </c>
      <c r="AY985" s="144" t="s">
        <v>337</v>
      </c>
    </row>
    <row r="986" spans="2:51" s="148" customFormat="1" x14ac:dyDescent="0.2">
      <c r="B986" s="149"/>
      <c r="D986" s="143" t="s">
        <v>346</v>
      </c>
      <c r="E986" s="150"/>
      <c r="F986" s="151" t="s">
        <v>3567</v>
      </c>
      <c r="H986" s="152">
        <v>39.975000000000001</v>
      </c>
      <c r="L986" s="149"/>
      <c r="M986" s="153"/>
      <c r="T986" s="154"/>
      <c r="AT986" s="150" t="s">
        <v>346</v>
      </c>
      <c r="AU986" s="150" t="s">
        <v>90</v>
      </c>
      <c r="AV986" s="148" t="s">
        <v>90</v>
      </c>
      <c r="AW986" s="148" t="s">
        <v>33</v>
      </c>
      <c r="AX986" s="148" t="s">
        <v>80</v>
      </c>
      <c r="AY986" s="150" t="s">
        <v>337</v>
      </c>
    </row>
    <row r="987" spans="2:51" s="148" customFormat="1" x14ac:dyDescent="0.2">
      <c r="B987" s="149"/>
      <c r="D987" s="143" t="s">
        <v>346</v>
      </c>
      <c r="E987" s="150"/>
      <c r="F987" s="151" t="s">
        <v>3568</v>
      </c>
      <c r="H987" s="152">
        <v>0.432</v>
      </c>
      <c r="L987" s="149"/>
      <c r="M987" s="153"/>
      <c r="T987" s="154"/>
      <c r="AT987" s="150" t="s">
        <v>346</v>
      </c>
      <c r="AU987" s="150" t="s">
        <v>90</v>
      </c>
      <c r="AV987" s="148" t="s">
        <v>90</v>
      </c>
      <c r="AW987" s="148" t="s">
        <v>33</v>
      </c>
      <c r="AX987" s="148" t="s">
        <v>80</v>
      </c>
      <c r="AY987" s="150" t="s">
        <v>337</v>
      </c>
    </row>
    <row r="988" spans="2:51" s="141" customFormat="1" x14ac:dyDescent="0.2">
      <c r="B988" s="142"/>
      <c r="D988" s="143" t="s">
        <v>346</v>
      </c>
      <c r="E988" s="144"/>
      <c r="F988" s="145" t="s">
        <v>3475</v>
      </c>
      <c r="H988" s="144"/>
      <c r="L988" s="142"/>
      <c r="M988" s="146"/>
      <c r="T988" s="147"/>
      <c r="AT988" s="144" t="s">
        <v>346</v>
      </c>
      <c r="AU988" s="144" t="s">
        <v>90</v>
      </c>
      <c r="AV988" s="141" t="s">
        <v>87</v>
      </c>
      <c r="AW988" s="141" t="s">
        <v>33</v>
      </c>
      <c r="AX988" s="141" t="s">
        <v>80</v>
      </c>
      <c r="AY988" s="144" t="s">
        <v>337</v>
      </c>
    </row>
    <row r="989" spans="2:51" s="148" customFormat="1" x14ac:dyDescent="0.2">
      <c r="B989" s="149"/>
      <c r="D989" s="143" t="s">
        <v>346</v>
      </c>
      <c r="E989" s="150"/>
      <c r="F989" s="151" t="s">
        <v>3569</v>
      </c>
      <c r="H989" s="152">
        <v>-2.15</v>
      </c>
      <c r="L989" s="149"/>
      <c r="M989" s="153"/>
      <c r="T989" s="154"/>
      <c r="AT989" s="150" t="s">
        <v>346</v>
      </c>
      <c r="AU989" s="150" t="s">
        <v>90</v>
      </c>
      <c r="AV989" s="148" t="s">
        <v>90</v>
      </c>
      <c r="AW989" s="148" t="s">
        <v>33</v>
      </c>
      <c r="AX989" s="148" t="s">
        <v>80</v>
      </c>
      <c r="AY989" s="150" t="s">
        <v>337</v>
      </c>
    </row>
    <row r="990" spans="2:51" s="141" customFormat="1" x14ac:dyDescent="0.2">
      <c r="B990" s="142"/>
      <c r="D990" s="143" t="s">
        <v>346</v>
      </c>
      <c r="E990" s="144"/>
      <c r="F990" s="145" t="s">
        <v>3117</v>
      </c>
      <c r="H990" s="144"/>
      <c r="L990" s="142"/>
      <c r="M990" s="146"/>
      <c r="T990" s="147"/>
      <c r="AT990" s="144" t="s">
        <v>346</v>
      </c>
      <c r="AU990" s="144" t="s">
        <v>90</v>
      </c>
      <c r="AV990" s="141" t="s">
        <v>87</v>
      </c>
      <c r="AW990" s="141" t="s">
        <v>33</v>
      </c>
      <c r="AX990" s="141" t="s">
        <v>80</v>
      </c>
      <c r="AY990" s="144" t="s">
        <v>337</v>
      </c>
    </row>
    <row r="991" spans="2:51" s="141" customFormat="1" x14ac:dyDescent="0.2">
      <c r="B991" s="142"/>
      <c r="D991" s="143" t="s">
        <v>346</v>
      </c>
      <c r="E991" s="144"/>
      <c r="F991" s="145" t="s">
        <v>3547</v>
      </c>
      <c r="H991" s="144"/>
      <c r="L991" s="142"/>
      <c r="M991" s="146"/>
      <c r="T991" s="147"/>
      <c r="AT991" s="144" t="s">
        <v>346</v>
      </c>
      <c r="AU991" s="144" t="s">
        <v>90</v>
      </c>
      <c r="AV991" s="141" t="s">
        <v>87</v>
      </c>
      <c r="AW991" s="141" t="s">
        <v>33</v>
      </c>
      <c r="AX991" s="141" t="s">
        <v>80</v>
      </c>
      <c r="AY991" s="144" t="s">
        <v>337</v>
      </c>
    </row>
    <row r="992" spans="2:51" s="141" customFormat="1" x14ac:dyDescent="0.2">
      <c r="B992" s="142"/>
      <c r="D992" s="143" t="s">
        <v>346</v>
      </c>
      <c r="E992" s="144"/>
      <c r="F992" s="145" t="s">
        <v>3548</v>
      </c>
      <c r="H992" s="144"/>
      <c r="L992" s="142"/>
      <c r="M992" s="146"/>
      <c r="T992" s="147"/>
      <c r="AT992" s="144" t="s">
        <v>346</v>
      </c>
      <c r="AU992" s="144" t="s">
        <v>90</v>
      </c>
      <c r="AV992" s="141" t="s">
        <v>87</v>
      </c>
      <c r="AW992" s="141" t="s">
        <v>33</v>
      </c>
      <c r="AX992" s="141" t="s">
        <v>80</v>
      </c>
      <c r="AY992" s="144" t="s">
        <v>337</v>
      </c>
    </row>
    <row r="993" spans="2:51" s="148" customFormat="1" x14ac:dyDescent="0.2">
      <c r="B993" s="149"/>
      <c r="D993" s="143" t="s">
        <v>346</v>
      </c>
      <c r="E993" s="150"/>
      <c r="F993" s="151" t="s">
        <v>3549</v>
      </c>
      <c r="H993" s="152">
        <v>39</v>
      </c>
      <c r="L993" s="149"/>
      <c r="M993" s="153"/>
      <c r="T993" s="154"/>
      <c r="AT993" s="150" t="s">
        <v>346</v>
      </c>
      <c r="AU993" s="150" t="s">
        <v>90</v>
      </c>
      <c r="AV993" s="148" t="s">
        <v>90</v>
      </c>
      <c r="AW993" s="148" t="s">
        <v>33</v>
      </c>
      <c r="AX993" s="148" t="s">
        <v>80</v>
      </c>
      <c r="AY993" s="150" t="s">
        <v>337</v>
      </c>
    </row>
    <row r="994" spans="2:51" s="141" customFormat="1" x14ac:dyDescent="0.2">
      <c r="B994" s="142"/>
      <c r="D994" s="143" t="s">
        <v>346</v>
      </c>
      <c r="E994" s="144"/>
      <c r="F994" s="145" t="s">
        <v>3550</v>
      </c>
      <c r="H994" s="144"/>
      <c r="L994" s="142"/>
      <c r="M994" s="146"/>
      <c r="T994" s="147"/>
      <c r="AT994" s="144" t="s">
        <v>346</v>
      </c>
      <c r="AU994" s="144" t="s">
        <v>90</v>
      </c>
      <c r="AV994" s="141" t="s">
        <v>87</v>
      </c>
      <c r="AW994" s="141" t="s">
        <v>33</v>
      </c>
      <c r="AX994" s="141" t="s">
        <v>80</v>
      </c>
      <c r="AY994" s="144" t="s">
        <v>337</v>
      </c>
    </row>
    <row r="995" spans="2:51" s="148" customFormat="1" x14ac:dyDescent="0.2">
      <c r="B995" s="149"/>
      <c r="D995" s="143" t="s">
        <v>346</v>
      </c>
      <c r="E995" s="150"/>
      <c r="F995" s="151" t="s">
        <v>3551</v>
      </c>
      <c r="H995" s="152">
        <v>23.4</v>
      </c>
      <c r="L995" s="149"/>
      <c r="M995" s="153"/>
      <c r="T995" s="154"/>
      <c r="AT995" s="150" t="s">
        <v>346</v>
      </c>
      <c r="AU995" s="150" t="s">
        <v>90</v>
      </c>
      <c r="AV995" s="148" t="s">
        <v>90</v>
      </c>
      <c r="AW995" s="148" t="s">
        <v>33</v>
      </c>
      <c r="AX995" s="148" t="s">
        <v>80</v>
      </c>
      <c r="AY995" s="150" t="s">
        <v>337</v>
      </c>
    </row>
    <row r="996" spans="2:51" s="141" customFormat="1" x14ac:dyDescent="0.2">
      <c r="B996" s="142"/>
      <c r="D996" s="143" t="s">
        <v>346</v>
      </c>
      <c r="E996" s="144"/>
      <c r="F996" s="145" t="s">
        <v>3552</v>
      </c>
      <c r="H996" s="144"/>
      <c r="L996" s="142"/>
      <c r="M996" s="146"/>
      <c r="T996" s="147"/>
      <c r="AT996" s="144" t="s">
        <v>346</v>
      </c>
      <c r="AU996" s="144" t="s">
        <v>90</v>
      </c>
      <c r="AV996" s="141" t="s">
        <v>87</v>
      </c>
      <c r="AW996" s="141" t="s">
        <v>33</v>
      </c>
      <c r="AX996" s="141" t="s">
        <v>80</v>
      </c>
      <c r="AY996" s="144" t="s">
        <v>337</v>
      </c>
    </row>
    <row r="997" spans="2:51" s="148" customFormat="1" x14ac:dyDescent="0.2">
      <c r="B997" s="149"/>
      <c r="D997" s="143" t="s">
        <v>346</v>
      </c>
      <c r="E997" s="150"/>
      <c r="F997" s="151" t="s">
        <v>3553</v>
      </c>
      <c r="H997" s="152">
        <v>35.145000000000003</v>
      </c>
      <c r="L997" s="149"/>
      <c r="M997" s="153"/>
      <c r="T997" s="154"/>
      <c r="AT997" s="150" t="s">
        <v>346</v>
      </c>
      <c r="AU997" s="150" t="s">
        <v>90</v>
      </c>
      <c r="AV997" s="148" t="s">
        <v>90</v>
      </c>
      <c r="AW997" s="148" t="s">
        <v>33</v>
      </c>
      <c r="AX997" s="148" t="s">
        <v>80</v>
      </c>
      <c r="AY997" s="150" t="s">
        <v>337</v>
      </c>
    </row>
    <row r="998" spans="2:51" s="141" customFormat="1" x14ac:dyDescent="0.2">
      <c r="B998" s="142"/>
      <c r="D998" s="143" t="s">
        <v>346</v>
      </c>
      <c r="E998" s="144"/>
      <c r="F998" s="145" t="s">
        <v>759</v>
      </c>
      <c r="H998" s="144"/>
      <c r="L998" s="142"/>
      <c r="M998" s="146"/>
      <c r="T998" s="147"/>
      <c r="AT998" s="144" t="s">
        <v>346</v>
      </c>
      <c r="AU998" s="144" t="s">
        <v>90</v>
      </c>
      <c r="AV998" s="141" t="s">
        <v>87</v>
      </c>
      <c r="AW998" s="141" t="s">
        <v>33</v>
      </c>
      <c r="AX998" s="141" t="s">
        <v>80</v>
      </c>
      <c r="AY998" s="144" t="s">
        <v>337</v>
      </c>
    </row>
    <row r="999" spans="2:51" s="148" customFormat="1" x14ac:dyDescent="0.2">
      <c r="B999" s="149"/>
      <c r="D999" s="143" t="s">
        <v>346</v>
      </c>
      <c r="E999" s="150"/>
      <c r="F999" s="151" t="s">
        <v>3554</v>
      </c>
      <c r="H999" s="152">
        <v>4.7699999999999996</v>
      </c>
      <c r="L999" s="149"/>
      <c r="M999" s="153"/>
      <c r="T999" s="154"/>
      <c r="AT999" s="150" t="s">
        <v>346</v>
      </c>
      <c r="AU999" s="150" t="s">
        <v>90</v>
      </c>
      <c r="AV999" s="148" t="s">
        <v>90</v>
      </c>
      <c r="AW999" s="148" t="s">
        <v>33</v>
      </c>
      <c r="AX999" s="148" t="s">
        <v>80</v>
      </c>
      <c r="AY999" s="150" t="s">
        <v>337</v>
      </c>
    </row>
    <row r="1000" spans="2:51" s="148" customFormat="1" x14ac:dyDescent="0.2">
      <c r="B1000" s="149"/>
      <c r="D1000" s="143" t="s">
        <v>346</v>
      </c>
      <c r="E1000" s="150"/>
      <c r="F1000" s="151" t="s">
        <v>3555</v>
      </c>
      <c r="H1000" s="152">
        <v>15.2</v>
      </c>
      <c r="L1000" s="149"/>
      <c r="M1000" s="153"/>
      <c r="T1000" s="154"/>
      <c r="AT1000" s="150" t="s">
        <v>346</v>
      </c>
      <c r="AU1000" s="150" t="s">
        <v>90</v>
      </c>
      <c r="AV1000" s="148" t="s">
        <v>90</v>
      </c>
      <c r="AW1000" s="148" t="s">
        <v>33</v>
      </c>
      <c r="AX1000" s="148" t="s">
        <v>80</v>
      </c>
      <c r="AY1000" s="150" t="s">
        <v>337</v>
      </c>
    </row>
    <row r="1001" spans="2:51" s="141" customFormat="1" x14ac:dyDescent="0.2">
      <c r="B1001" s="142"/>
      <c r="D1001" s="143" t="s">
        <v>346</v>
      </c>
      <c r="E1001" s="144"/>
      <c r="F1001" s="145" t="s">
        <v>3556</v>
      </c>
      <c r="H1001" s="144"/>
      <c r="L1001" s="142"/>
      <c r="M1001" s="146"/>
      <c r="T1001" s="147"/>
      <c r="AT1001" s="144" t="s">
        <v>346</v>
      </c>
      <c r="AU1001" s="144" t="s">
        <v>90</v>
      </c>
      <c r="AV1001" s="141" t="s">
        <v>87</v>
      </c>
      <c r="AW1001" s="141" t="s">
        <v>33</v>
      </c>
      <c r="AX1001" s="141" t="s">
        <v>80</v>
      </c>
      <c r="AY1001" s="144" t="s">
        <v>337</v>
      </c>
    </row>
    <row r="1002" spans="2:51" s="148" customFormat="1" x14ac:dyDescent="0.2">
      <c r="B1002" s="149"/>
      <c r="D1002" s="143" t="s">
        <v>346</v>
      </c>
      <c r="E1002" s="150"/>
      <c r="F1002" s="151" t="s">
        <v>3557</v>
      </c>
      <c r="H1002" s="152">
        <v>5.843</v>
      </c>
      <c r="L1002" s="149"/>
      <c r="M1002" s="153"/>
      <c r="T1002" s="154"/>
      <c r="AT1002" s="150" t="s">
        <v>346</v>
      </c>
      <c r="AU1002" s="150" t="s">
        <v>90</v>
      </c>
      <c r="AV1002" s="148" t="s">
        <v>90</v>
      </c>
      <c r="AW1002" s="148" t="s">
        <v>33</v>
      </c>
      <c r="AX1002" s="148" t="s">
        <v>80</v>
      </c>
      <c r="AY1002" s="150" t="s">
        <v>337</v>
      </c>
    </row>
    <row r="1003" spans="2:51" s="141" customFormat="1" x14ac:dyDescent="0.2">
      <c r="B1003" s="142"/>
      <c r="D1003" s="143" t="s">
        <v>346</v>
      </c>
      <c r="E1003" s="144"/>
      <c r="F1003" s="145" t="s">
        <v>3420</v>
      </c>
      <c r="H1003" s="144"/>
      <c r="L1003" s="142"/>
      <c r="M1003" s="146"/>
      <c r="T1003" s="147"/>
      <c r="AT1003" s="144" t="s">
        <v>346</v>
      </c>
      <c r="AU1003" s="144" t="s">
        <v>90</v>
      </c>
      <c r="AV1003" s="141" t="s">
        <v>87</v>
      </c>
      <c r="AW1003" s="141" t="s">
        <v>33</v>
      </c>
      <c r="AX1003" s="141" t="s">
        <v>80</v>
      </c>
      <c r="AY1003" s="144" t="s">
        <v>337</v>
      </c>
    </row>
    <row r="1004" spans="2:51" s="148" customFormat="1" x14ac:dyDescent="0.2">
      <c r="B1004" s="149"/>
      <c r="D1004" s="143" t="s">
        <v>346</v>
      </c>
      <c r="E1004" s="150"/>
      <c r="F1004" s="151" t="s">
        <v>3421</v>
      </c>
      <c r="H1004" s="152">
        <v>3.95</v>
      </c>
      <c r="L1004" s="149"/>
      <c r="M1004" s="153"/>
      <c r="T1004" s="154"/>
      <c r="AT1004" s="150" t="s">
        <v>346</v>
      </c>
      <c r="AU1004" s="150" t="s">
        <v>90</v>
      </c>
      <c r="AV1004" s="148" t="s">
        <v>90</v>
      </c>
      <c r="AW1004" s="148" t="s">
        <v>33</v>
      </c>
      <c r="AX1004" s="148" t="s">
        <v>80</v>
      </c>
      <c r="AY1004" s="150" t="s">
        <v>337</v>
      </c>
    </row>
    <row r="1005" spans="2:51" s="141" customFormat="1" x14ac:dyDescent="0.2">
      <c r="B1005" s="142"/>
      <c r="D1005" s="143" t="s">
        <v>346</v>
      </c>
      <c r="E1005" s="144"/>
      <c r="F1005" s="145" t="s">
        <v>3558</v>
      </c>
      <c r="H1005" s="144"/>
      <c r="L1005" s="142"/>
      <c r="M1005" s="146"/>
      <c r="T1005" s="147"/>
      <c r="AT1005" s="144" t="s">
        <v>346</v>
      </c>
      <c r="AU1005" s="144" t="s">
        <v>90</v>
      </c>
      <c r="AV1005" s="141" t="s">
        <v>87</v>
      </c>
      <c r="AW1005" s="141" t="s">
        <v>33</v>
      </c>
      <c r="AX1005" s="141" t="s">
        <v>80</v>
      </c>
      <c r="AY1005" s="144" t="s">
        <v>337</v>
      </c>
    </row>
    <row r="1006" spans="2:51" s="148" customFormat="1" x14ac:dyDescent="0.2">
      <c r="B1006" s="149"/>
      <c r="D1006" s="143" t="s">
        <v>346</v>
      </c>
      <c r="E1006" s="150"/>
      <c r="F1006" s="151" t="s">
        <v>3559</v>
      </c>
      <c r="H1006" s="152">
        <v>-3.6379999999999999</v>
      </c>
      <c r="L1006" s="149"/>
      <c r="M1006" s="153"/>
      <c r="T1006" s="154"/>
      <c r="AT1006" s="150" t="s">
        <v>346</v>
      </c>
      <c r="AU1006" s="150" t="s">
        <v>90</v>
      </c>
      <c r="AV1006" s="148" t="s">
        <v>90</v>
      </c>
      <c r="AW1006" s="148" t="s">
        <v>33</v>
      </c>
      <c r="AX1006" s="148" t="s">
        <v>80</v>
      </c>
      <c r="AY1006" s="150" t="s">
        <v>337</v>
      </c>
    </row>
    <row r="1007" spans="2:51" s="148" customFormat="1" x14ac:dyDescent="0.2">
      <c r="B1007" s="149"/>
      <c r="D1007" s="143" t="s">
        <v>346</v>
      </c>
      <c r="E1007" s="150"/>
      <c r="F1007" s="151" t="s">
        <v>3560</v>
      </c>
      <c r="H1007" s="152">
        <v>-9.6959999999999997</v>
      </c>
      <c r="L1007" s="149"/>
      <c r="M1007" s="153"/>
      <c r="T1007" s="154"/>
      <c r="AT1007" s="150" t="s">
        <v>346</v>
      </c>
      <c r="AU1007" s="150" t="s">
        <v>90</v>
      </c>
      <c r="AV1007" s="148" t="s">
        <v>90</v>
      </c>
      <c r="AW1007" s="148" t="s">
        <v>33</v>
      </c>
      <c r="AX1007" s="148" t="s">
        <v>80</v>
      </c>
      <c r="AY1007" s="150" t="s">
        <v>337</v>
      </c>
    </row>
    <row r="1008" spans="2:51" s="141" customFormat="1" x14ac:dyDescent="0.2">
      <c r="B1008" s="142"/>
      <c r="D1008" s="143" t="s">
        <v>346</v>
      </c>
      <c r="E1008" s="144"/>
      <c r="F1008" s="145" t="s">
        <v>3755</v>
      </c>
      <c r="H1008" s="144"/>
      <c r="L1008" s="142"/>
      <c r="M1008" s="146"/>
      <c r="T1008" s="147"/>
      <c r="AT1008" s="144" t="s">
        <v>346</v>
      </c>
      <c r="AU1008" s="144" t="s">
        <v>90</v>
      </c>
      <c r="AV1008" s="141" t="s">
        <v>87</v>
      </c>
      <c r="AW1008" s="141" t="s">
        <v>33</v>
      </c>
      <c r="AX1008" s="141" t="s">
        <v>80</v>
      </c>
      <c r="AY1008" s="144" t="s">
        <v>337</v>
      </c>
    </row>
    <row r="1009" spans="2:51" s="141" customFormat="1" x14ac:dyDescent="0.2">
      <c r="B1009" s="142"/>
      <c r="D1009" s="143" t="s">
        <v>346</v>
      </c>
      <c r="E1009" s="144"/>
      <c r="F1009" s="145" t="s">
        <v>3447</v>
      </c>
      <c r="H1009" s="144"/>
      <c r="L1009" s="142"/>
      <c r="M1009" s="146"/>
      <c r="T1009" s="147"/>
      <c r="AT1009" s="144" t="s">
        <v>346</v>
      </c>
      <c r="AU1009" s="144" t="s">
        <v>90</v>
      </c>
      <c r="AV1009" s="141" t="s">
        <v>87</v>
      </c>
      <c r="AW1009" s="141" t="s">
        <v>33</v>
      </c>
      <c r="AX1009" s="141" t="s">
        <v>80</v>
      </c>
      <c r="AY1009" s="144" t="s">
        <v>337</v>
      </c>
    </row>
    <row r="1010" spans="2:51" s="148" customFormat="1" x14ac:dyDescent="0.2">
      <c r="B1010" s="149"/>
      <c r="D1010" s="143" t="s">
        <v>346</v>
      </c>
      <c r="E1010" s="150"/>
      <c r="F1010" s="151" t="s">
        <v>3756</v>
      </c>
      <c r="H1010" s="152">
        <v>44.66</v>
      </c>
      <c r="L1010" s="149"/>
      <c r="M1010" s="153"/>
      <c r="T1010" s="154"/>
      <c r="AT1010" s="150" t="s">
        <v>346</v>
      </c>
      <c r="AU1010" s="150" t="s">
        <v>90</v>
      </c>
      <c r="AV1010" s="148" t="s">
        <v>90</v>
      </c>
      <c r="AW1010" s="148" t="s">
        <v>33</v>
      </c>
      <c r="AX1010" s="148" t="s">
        <v>80</v>
      </c>
      <c r="AY1010" s="150" t="s">
        <v>337</v>
      </c>
    </row>
    <row r="1011" spans="2:51" s="141" customFormat="1" x14ac:dyDescent="0.2">
      <c r="B1011" s="142"/>
      <c r="D1011" s="143" t="s">
        <v>346</v>
      </c>
      <c r="E1011" s="144"/>
      <c r="F1011" s="145" t="s">
        <v>3449</v>
      </c>
      <c r="H1011" s="144"/>
      <c r="L1011" s="142"/>
      <c r="M1011" s="146"/>
      <c r="T1011" s="147"/>
      <c r="AT1011" s="144" t="s">
        <v>346</v>
      </c>
      <c r="AU1011" s="144" t="s">
        <v>90</v>
      </c>
      <c r="AV1011" s="141" t="s">
        <v>87</v>
      </c>
      <c r="AW1011" s="141" t="s">
        <v>33</v>
      </c>
      <c r="AX1011" s="141" t="s">
        <v>80</v>
      </c>
      <c r="AY1011" s="144" t="s">
        <v>337</v>
      </c>
    </row>
    <row r="1012" spans="2:51" s="148" customFormat="1" x14ac:dyDescent="0.2">
      <c r="B1012" s="149"/>
      <c r="D1012" s="143" t="s">
        <v>346</v>
      </c>
      <c r="E1012" s="150"/>
      <c r="F1012" s="151" t="s">
        <v>3757</v>
      </c>
      <c r="H1012" s="152">
        <v>172.26</v>
      </c>
      <c r="L1012" s="149"/>
      <c r="M1012" s="153"/>
      <c r="T1012" s="154"/>
      <c r="AT1012" s="150" t="s">
        <v>346</v>
      </c>
      <c r="AU1012" s="150" t="s">
        <v>90</v>
      </c>
      <c r="AV1012" s="148" t="s">
        <v>90</v>
      </c>
      <c r="AW1012" s="148" t="s">
        <v>33</v>
      </c>
      <c r="AX1012" s="148" t="s">
        <v>80</v>
      </c>
      <c r="AY1012" s="150" t="s">
        <v>337</v>
      </c>
    </row>
    <row r="1013" spans="2:51" s="141" customFormat="1" x14ac:dyDescent="0.2">
      <c r="B1013" s="142"/>
      <c r="D1013" s="143" t="s">
        <v>346</v>
      </c>
      <c r="E1013" s="144"/>
      <c r="F1013" s="145" t="s">
        <v>3758</v>
      </c>
      <c r="H1013" s="144"/>
      <c r="L1013" s="142"/>
      <c r="M1013" s="146"/>
      <c r="T1013" s="147"/>
      <c r="AT1013" s="144" t="s">
        <v>346</v>
      </c>
      <c r="AU1013" s="144" t="s">
        <v>90</v>
      </c>
      <c r="AV1013" s="141" t="s">
        <v>87</v>
      </c>
      <c r="AW1013" s="141" t="s">
        <v>33</v>
      </c>
      <c r="AX1013" s="141" t="s">
        <v>80</v>
      </c>
      <c r="AY1013" s="144" t="s">
        <v>337</v>
      </c>
    </row>
    <row r="1014" spans="2:51" s="148" customFormat="1" x14ac:dyDescent="0.2">
      <c r="B1014" s="149"/>
      <c r="D1014" s="143" t="s">
        <v>346</v>
      </c>
      <c r="E1014" s="150"/>
      <c r="F1014" s="151" t="s">
        <v>3759</v>
      </c>
      <c r="H1014" s="152">
        <v>20.588000000000001</v>
      </c>
      <c r="L1014" s="149"/>
      <c r="M1014" s="153"/>
      <c r="T1014" s="154"/>
      <c r="AT1014" s="150" t="s">
        <v>346</v>
      </c>
      <c r="AU1014" s="150" t="s">
        <v>90</v>
      </c>
      <c r="AV1014" s="148" t="s">
        <v>90</v>
      </c>
      <c r="AW1014" s="148" t="s">
        <v>33</v>
      </c>
      <c r="AX1014" s="148" t="s">
        <v>80</v>
      </c>
      <c r="AY1014" s="150" t="s">
        <v>337</v>
      </c>
    </row>
    <row r="1015" spans="2:51" s="141" customFormat="1" x14ac:dyDescent="0.2">
      <c r="B1015" s="142"/>
      <c r="D1015" s="143" t="s">
        <v>346</v>
      </c>
      <c r="E1015" s="144"/>
      <c r="F1015" s="145" t="s">
        <v>3432</v>
      </c>
      <c r="H1015" s="144"/>
      <c r="L1015" s="142"/>
      <c r="M1015" s="146"/>
      <c r="T1015" s="147"/>
      <c r="AT1015" s="144" t="s">
        <v>346</v>
      </c>
      <c r="AU1015" s="144" t="s">
        <v>90</v>
      </c>
      <c r="AV1015" s="141" t="s">
        <v>87</v>
      </c>
      <c r="AW1015" s="141" t="s">
        <v>33</v>
      </c>
      <c r="AX1015" s="141" t="s">
        <v>80</v>
      </c>
      <c r="AY1015" s="144" t="s">
        <v>337</v>
      </c>
    </row>
    <row r="1016" spans="2:51" s="148" customFormat="1" x14ac:dyDescent="0.2">
      <c r="B1016" s="149"/>
      <c r="D1016" s="143" t="s">
        <v>346</v>
      </c>
      <c r="E1016" s="150"/>
      <c r="F1016" s="151" t="s">
        <v>3433</v>
      </c>
      <c r="H1016" s="152">
        <v>10.88</v>
      </c>
      <c r="L1016" s="149"/>
      <c r="M1016" s="153"/>
      <c r="T1016" s="154"/>
      <c r="AT1016" s="150" t="s">
        <v>346</v>
      </c>
      <c r="AU1016" s="150" t="s">
        <v>90</v>
      </c>
      <c r="AV1016" s="148" t="s">
        <v>90</v>
      </c>
      <c r="AW1016" s="148" t="s">
        <v>33</v>
      </c>
      <c r="AX1016" s="148" t="s">
        <v>80</v>
      </c>
      <c r="AY1016" s="150" t="s">
        <v>337</v>
      </c>
    </row>
    <row r="1017" spans="2:51" s="148" customFormat="1" x14ac:dyDescent="0.2">
      <c r="B1017" s="149"/>
      <c r="D1017" s="143" t="s">
        <v>346</v>
      </c>
      <c r="E1017" s="150"/>
      <c r="F1017" s="151" t="s">
        <v>3434</v>
      </c>
      <c r="H1017" s="152">
        <v>31.663</v>
      </c>
      <c r="L1017" s="149"/>
      <c r="M1017" s="153"/>
      <c r="T1017" s="154"/>
      <c r="AT1017" s="150" t="s">
        <v>346</v>
      </c>
      <c r="AU1017" s="150" t="s">
        <v>90</v>
      </c>
      <c r="AV1017" s="148" t="s">
        <v>90</v>
      </c>
      <c r="AW1017" s="148" t="s">
        <v>33</v>
      </c>
      <c r="AX1017" s="148" t="s">
        <v>80</v>
      </c>
      <c r="AY1017" s="150" t="s">
        <v>337</v>
      </c>
    </row>
    <row r="1018" spans="2:51" s="141" customFormat="1" x14ac:dyDescent="0.2">
      <c r="B1018" s="142"/>
      <c r="D1018" s="143" t="s">
        <v>346</v>
      </c>
      <c r="E1018" s="144"/>
      <c r="F1018" s="145" t="s">
        <v>3760</v>
      </c>
      <c r="H1018" s="144"/>
      <c r="L1018" s="142"/>
      <c r="M1018" s="146"/>
      <c r="T1018" s="147"/>
      <c r="AT1018" s="144" t="s">
        <v>346</v>
      </c>
      <c r="AU1018" s="144" t="s">
        <v>90</v>
      </c>
      <c r="AV1018" s="141" t="s">
        <v>87</v>
      </c>
      <c r="AW1018" s="141" t="s">
        <v>33</v>
      </c>
      <c r="AX1018" s="141" t="s">
        <v>80</v>
      </c>
      <c r="AY1018" s="144" t="s">
        <v>337</v>
      </c>
    </row>
    <row r="1019" spans="2:51" s="148" customFormat="1" x14ac:dyDescent="0.2">
      <c r="B1019" s="149"/>
      <c r="D1019" s="143" t="s">
        <v>346</v>
      </c>
      <c r="E1019" s="150"/>
      <c r="F1019" s="151" t="s">
        <v>3761</v>
      </c>
      <c r="H1019" s="152">
        <v>91.156999999999996</v>
      </c>
      <c r="L1019" s="149"/>
      <c r="M1019" s="153"/>
      <c r="T1019" s="154"/>
      <c r="AT1019" s="150" t="s">
        <v>346</v>
      </c>
      <c r="AU1019" s="150" t="s">
        <v>90</v>
      </c>
      <c r="AV1019" s="148" t="s">
        <v>90</v>
      </c>
      <c r="AW1019" s="148" t="s">
        <v>33</v>
      </c>
      <c r="AX1019" s="148" t="s">
        <v>80</v>
      </c>
      <c r="AY1019" s="150" t="s">
        <v>337</v>
      </c>
    </row>
    <row r="1020" spans="2:51" s="172" customFormat="1" x14ac:dyDescent="0.2">
      <c r="B1020" s="173"/>
      <c r="D1020" s="143" t="s">
        <v>346</v>
      </c>
      <c r="E1020" s="174" t="s">
        <v>2991</v>
      </c>
      <c r="F1020" s="175" t="s">
        <v>609</v>
      </c>
      <c r="H1020" s="176">
        <v>1421.6179999999999</v>
      </c>
      <c r="L1020" s="173"/>
      <c r="M1020" s="177"/>
      <c r="T1020" s="178"/>
      <c r="AT1020" s="174" t="s">
        <v>346</v>
      </c>
      <c r="AU1020" s="174" t="s">
        <v>90</v>
      </c>
      <c r="AV1020" s="172" t="s">
        <v>113</v>
      </c>
      <c r="AW1020" s="172" t="s">
        <v>33</v>
      </c>
      <c r="AX1020" s="172" t="s">
        <v>80</v>
      </c>
      <c r="AY1020" s="174" t="s">
        <v>337</v>
      </c>
    </row>
    <row r="1021" spans="2:51" s="141" customFormat="1" x14ac:dyDescent="0.2">
      <c r="B1021" s="142"/>
      <c r="D1021" s="143" t="s">
        <v>346</v>
      </c>
      <c r="E1021" s="144"/>
      <c r="F1021" s="145" t="s">
        <v>3762</v>
      </c>
      <c r="H1021" s="144"/>
      <c r="L1021" s="142"/>
      <c r="M1021" s="146"/>
      <c r="T1021" s="147"/>
      <c r="AT1021" s="144" t="s">
        <v>346</v>
      </c>
      <c r="AU1021" s="144" t="s">
        <v>90</v>
      </c>
      <c r="AV1021" s="141" t="s">
        <v>87</v>
      </c>
      <c r="AW1021" s="141" t="s">
        <v>33</v>
      </c>
      <c r="AX1021" s="141" t="s">
        <v>80</v>
      </c>
      <c r="AY1021" s="144" t="s">
        <v>337</v>
      </c>
    </row>
    <row r="1022" spans="2:51" s="141" customFormat="1" x14ac:dyDescent="0.2">
      <c r="B1022" s="142"/>
      <c r="D1022" s="143" t="s">
        <v>346</v>
      </c>
      <c r="E1022" s="144"/>
      <c r="F1022" s="145" t="s">
        <v>3763</v>
      </c>
      <c r="H1022" s="144"/>
      <c r="L1022" s="142"/>
      <c r="M1022" s="146"/>
      <c r="T1022" s="147"/>
      <c r="AT1022" s="144" t="s">
        <v>346</v>
      </c>
      <c r="AU1022" s="144" t="s">
        <v>90</v>
      </c>
      <c r="AV1022" s="141" t="s">
        <v>87</v>
      </c>
      <c r="AW1022" s="141" t="s">
        <v>33</v>
      </c>
      <c r="AX1022" s="141" t="s">
        <v>80</v>
      </c>
      <c r="AY1022" s="144" t="s">
        <v>337</v>
      </c>
    </row>
    <row r="1023" spans="2:51" s="141" customFormat="1" x14ac:dyDescent="0.2">
      <c r="B1023" s="142"/>
      <c r="D1023" s="143" t="s">
        <v>346</v>
      </c>
      <c r="E1023" s="144"/>
      <c r="F1023" s="145" t="s">
        <v>3695</v>
      </c>
      <c r="H1023" s="144"/>
      <c r="L1023" s="142"/>
      <c r="M1023" s="146"/>
      <c r="T1023" s="147"/>
      <c r="AT1023" s="144" t="s">
        <v>346</v>
      </c>
      <c r="AU1023" s="144" t="s">
        <v>90</v>
      </c>
      <c r="AV1023" s="141" t="s">
        <v>87</v>
      </c>
      <c r="AW1023" s="141" t="s">
        <v>33</v>
      </c>
      <c r="AX1023" s="141" t="s">
        <v>80</v>
      </c>
      <c r="AY1023" s="144" t="s">
        <v>337</v>
      </c>
    </row>
    <row r="1024" spans="2:51" s="141" customFormat="1" x14ac:dyDescent="0.2">
      <c r="B1024" s="142"/>
      <c r="D1024" s="143" t="s">
        <v>346</v>
      </c>
      <c r="E1024" s="144"/>
      <c r="F1024" s="145" t="s">
        <v>3764</v>
      </c>
      <c r="H1024" s="144"/>
      <c r="L1024" s="142"/>
      <c r="M1024" s="146"/>
      <c r="T1024" s="147"/>
      <c r="AT1024" s="144" t="s">
        <v>346</v>
      </c>
      <c r="AU1024" s="144" t="s">
        <v>90</v>
      </c>
      <c r="AV1024" s="141" t="s">
        <v>87</v>
      </c>
      <c r="AW1024" s="141" t="s">
        <v>33</v>
      </c>
      <c r="AX1024" s="141" t="s">
        <v>80</v>
      </c>
      <c r="AY1024" s="144" t="s">
        <v>337</v>
      </c>
    </row>
    <row r="1025" spans="2:65" s="141" customFormat="1" x14ac:dyDescent="0.2">
      <c r="B1025" s="142"/>
      <c r="D1025" s="143" t="s">
        <v>346</v>
      </c>
      <c r="E1025" s="144"/>
      <c r="F1025" s="145" t="s">
        <v>3765</v>
      </c>
      <c r="H1025" s="144"/>
      <c r="L1025" s="142"/>
      <c r="M1025" s="146"/>
      <c r="T1025" s="147"/>
      <c r="AT1025" s="144" t="s">
        <v>346</v>
      </c>
      <c r="AU1025" s="144" t="s">
        <v>90</v>
      </c>
      <c r="AV1025" s="141" t="s">
        <v>87</v>
      </c>
      <c r="AW1025" s="141" t="s">
        <v>33</v>
      </c>
      <c r="AX1025" s="141" t="s">
        <v>80</v>
      </c>
      <c r="AY1025" s="144" t="s">
        <v>337</v>
      </c>
    </row>
    <row r="1026" spans="2:65" s="148" customFormat="1" x14ac:dyDescent="0.2">
      <c r="B1026" s="149"/>
      <c r="D1026" s="143" t="s">
        <v>346</v>
      </c>
      <c r="E1026" s="150"/>
      <c r="F1026" s="151" t="s">
        <v>3766</v>
      </c>
      <c r="H1026" s="152">
        <v>8.3949999999999996</v>
      </c>
      <c r="L1026" s="149"/>
      <c r="M1026" s="153"/>
      <c r="T1026" s="154"/>
      <c r="AT1026" s="150" t="s">
        <v>346</v>
      </c>
      <c r="AU1026" s="150" t="s">
        <v>90</v>
      </c>
      <c r="AV1026" s="148" t="s">
        <v>90</v>
      </c>
      <c r="AW1026" s="148" t="s">
        <v>33</v>
      </c>
      <c r="AX1026" s="148" t="s">
        <v>80</v>
      </c>
      <c r="AY1026" s="150" t="s">
        <v>337</v>
      </c>
    </row>
    <row r="1027" spans="2:65" s="141" customFormat="1" x14ac:dyDescent="0.2">
      <c r="B1027" s="142"/>
      <c r="D1027" s="143" t="s">
        <v>346</v>
      </c>
      <c r="E1027" s="144"/>
      <c r="F1027" s="145" t="s">
        <v>3767</v>
      </c>
      <c r="H1027" s="144"/>
      <c r="L1027" s="142"/>
      <c r="M1027" s="146"/>
      <c r="T1027" s="147"/>
      <c r="AT1027" s="144" t="s">
        <v>346</v>
      </c>
      <c r="AU1027" s="144" t="s">
        <v>90</v>
      </c>
      <c r="AV1027" s="141" t="s">
        <v>87</v>
      </c>
      <c r="AW1027" s="141" t="s">
        <v>33</v>
      </c>
      <c r="AX1027" s="141" t="s">
        <v>80</v>
      </c>
      <c r="AY1027" s="144" t="s">
        <v>337</v>
      </c>
    </row>
    <row r="1028" spans="2:65" s="148" customFormat="1" x14ac:dyDescent="0.2">
      <c r="B1028" s="149"/>
      <c r="D1028" s="143" t="s">
        <v>346</v>
      </c>
      <c r="E1028" s="150"/>
      <c r="F1028" s="151" t="s">
        <v>3768</v>
      </c>
      <c r="H1028" s="152">
        <v>27.448</v>
      </c>
      <c r="L1028" s="149"/>
      <c r="M1028" s="153"/>
      <c r="T1028" s="154"/>
      <c r="AT1028" s="150" t="s">
        <v>346</v>
      </c>
      <c r="AU1028" s="150" t="s">
        <v>90</v>
      </c>
      <c r="AV1028" s="148" t="s">
        <v>90</v>
      </c>
      <c r="AW1028" s="148" t="s">
        <v>33</v>
      </c>
      <c r="AX1028" s="148" t="s">
        <v>80</v>
      </c>
      <c r="AY1028" s="150" t="s">
        <v>337</v>
      </c>
    </row>
    <row r="1029" spans="2:65" s="141" customFormat="1" x14ac:dyDescent="0.2">
      <c r="B1029" s="142"/>
      <c r="D1029" s="143" t="s">
        <v>346</v>
      </c>
      <c r="E1029" s="144"/>
      <c r="F1029" s="145" t="s">
        <v>3259</v>
      </c>
      <c r="H1029" s="144"/>
      <c r="L1029" s="142"/>
      <c r="M1029" s="146"/>
      <c r="T1029" s="147"/>
      <c r="AT1029" s="144" t="s">
        <v>346</v>
      </c>
      <c r="AU1029" s="144" t="s">
        <v>90</v>
      </c>
      <c r="AV1029" s="141" t="s">
        <v>87</v>
      </c>
      <c r="AW1029" s="141" t="s">
        <v>33</v>
      </c>
      <c r="AX1029" s="141" t="s">
        <v>80</v>
      </c>
      <c r="AY1029" s="144" t="s">
        <v>337</v>
      </c>
    </row>
    <row r="1030" spans="2:65" s="141" customFormat="1" x14ac:dyDescent="0.2">
      <c r="B1030" s="142"/>
      <c r="D1030" s="143" t="s">
        <v>346</v>
      </c>
      <c r="E1030" s="144"/>
      <c r="F1030" s="145" t="s">
        <v>3769</v>
      </c>
      <c r="H1030" s="144"/>
      <c r="L1030" s="142"/>
      <c r="M1030" s="146"/>
      <c r="T1030" s="147"/>
      <c r="AT1030" s="144" t="s">
        <v>346</v>
      </c>
      <c r="AU1030" s="144" t="s">
        <v>90</v>
      </c>
      <c r="AV1030" s="141" t="s">
        <v>87</v>
      </c>
      <c r="AW1030" s="141" t="s">
        <v>33</v>
      </c>
      <c r="AX1030" s="141" t="s">
        <v>80</v>
      </c>
      <c r="AY1030" s="144" t="s">
        <v>337</v>
      </c>
    </row>
    <row r="1031" spans="2:65" s="148" customFormat="1" x14ac:dyDescent="0.2">
      <c r="B1031" s="149"/>
      <c r="D1031" s="143" t="s">
        <v>346</v>
      </c>
      <c r="E1031" s="150"/>
      <c r="F1031" s="151" t="s">
        <v>3719</v>
      </c>
      <c r="H1031" s="152">
        <v>4.8</v>
      </c>
      <c r="L1031" s="149"/>
      <c r="M1031" s="153"/>
      <c r="T1031" s="154"/>
      <c r="AT1031" s="150" t="s">
        <v>346</v>
      </c>
      <c r="AU1031" s="150" t="s">
        <v>90</v>
      </c>
      <c r="AV1031" s="148" t="s">
        <v>90</v>
      </c>
      <c r="AW1031" s="148" t="s">
        <v>33</v>
      </c>
      <c r="AX1031" s="148" t="s">
        <v>80</v>
      </c>
      <c r="AY1031" s="150" t="s">
        <v>337</v>
      </c>
    </row>
    <row r="1032" spans="2:65" s="155" customFormat="1" x14ac:dyDescent="0.2">
      <c r="B1032" s="156"/>
      <c r="D1032" s="143" t="s">
        <v>346</v>
      </c>
      <c r="E1032" s="157"/>
      <c r="F1032" s="158" t="s">
        <v>351</v>
      </c>
      <c r="H1032" s="159">
        <v>1462.261</v>
      </c>
      <c r="L1032" s="156"/>
      <c r="M1032" s="160"/>
      <c r="T1032" s="161"/>
      <c r="AT1032" s="157" t="s">
        <v>346</v>
      </c>
      <c r="AU1032" s="157" t="s">
        <v>90</v>
      </c>
      <c r="AV1032" s="155" t="s">
        <v>344</v>
      </c>
      <c r="AW1032" s="155" t="s">
        <v>33</v>
      </c>
      <c r="AX1032" s="155" t="s">
        <v>87</v>
      </c>
      <c r="AY1032" s="157" t="s">
        <v>337</v>
      </c>
    </row>
    <row r="1033" spans="2:65" s="16" customFormat="1" ht="16.5" customHeight="1" x14ac:dyDescent="0.2">
      <c r="B1033" s="17"/>
      <c r="C1033" s="128">
        <v>85</v>
      </c>
      <c r="D1033" s="128" t="s">
        <v>339</v>
      </c>
      <c r="E1033" s="129" t="s">
        <v>3770</v>
      </c>
      <c r="F1033" s="130" t="s">
        <v>3771</v>
      </c>
      <c r="G1033" s="131" t="s">
        <v>425</v>
      </c>
      <c r="H1033" s="132">
        <v>1789.6020000000001</v>
      </c>
      <c r="I1033" s="133"/>
      <c r="J1033" s="134">
        <f>ROUND(I1033*H1033,2)</f>
        <v>0</v>
      </c>
      <c r="K1033" s="130"/>
      <c r="L1033" s="17"/>
      <c r="M1033" s="135"/>
      <c r="N1033" s="136" t="s">
        <v>45</v>
      </c>
      <c r="P1033" s="137">
        <f>O1033*H1033</f>
        <v>0</v>
      </c>
      <c r="Q1033" s="137">
        <v>3.3800000000000002E-3</v>
      </c>
      <c r="R1033" s="137">
        <f>Q1033*H1033</f>
        <v>6.0488547600000002</v>
      </c>
      <c r="S1033" s="137">
        <v>0</v>
      </c>
      <c r="T1033" s="138">
        <f>S1033*H1033</f>
        <v>0</v>
      </c>
      <c r="AR1033" s="139" t="s">
        <v>344</v>
      </c>
      <c r="AT1033" s="139" t="s">
        <v>339</v>
      </c>
      <c r="AU1033" s="139" t="s">
        <v>90</v>
      </c>
      <c r="AY1033" s="2" t="s">
        <v>337</v>
      </c>
      <c r="BE1033" s="140">
        <f>IF(N1033="základní",J1033,0)</f>
        <v>0</v>
      </c>
      <c r="BF1033" s="140">
        <f>IF(N1033="snížená",J1033,0)</f>
        <v>0</v>
      </c>
      <c r="BG1033" s="140">
        <f>IF(N1033="zákl. přenesená",J1033,0)</f>
        <v>0</v>
      </c>
      <c r="BH1033" s="140">
        <f>IF(N1033="sníž. přenesená",J1033,0)</f>
        <v>0</v>
      </c>
      <c r="BI1033" s="140">
        <f>IF(N1033="nulová",J1033,0)</f>
        <v>0</v>
      </c>
      <c r="BJ1033" s="2" t="s">
        <v>87</v>
      </c>
      <c r="BK1033" s="140">
        <f>ROUND(I1033*H1033,2)</f>
        <v>0</v>
      </c>
      <c r="BL1033" s="2" t="s">
        <v>344</v>
      </c>
      <c r="BM1033" s="139" t="s">
        <v>3772</v>
      </c>
    </row>
    <row r="1034" spans="2:65" s="141" customFormat="1" x14ac:dyDescent="0.2">
      <c r="B1034" s="142"/>
      <c r="D1034" s="143" t="s">
        <v>346</v>
      </c>
      <c r="E1034" s="144"/>
      <c r="F1034" s="145" t="s">
        <v>3773</v>
      </c>
      <c r="H1034" s="144"/>
      <c r="L1034" s="142"/>
      <c r="M1034" s="146"/>
      <c r="T1034" s="147"/>
      <c r="AT1034" s="144" t="s">
        <v>346</v>
      </c>
      <c r="AU1034" s="144" t="s">
        <v>90</v>
      </c>
      <c r="AV1034" s="141" t="s">
        <v>87</v>
      </c>
      <c r="AW1034" s="141" t="s">
        <v>33</v>
      </c>
      <c r="AX1034" s="141" t="s">
        <v>80</v>
      </c>
      <c r="AY1034" s="144" t="s">
        <v>337</v>
      </c>
    </row>
    <row r="1035" spans="2:65" s="148" customFormat="1" x14ac:dyDescent="0.2">
      <c r="B1035" s="149"/>
      <c r="D1035" s="143" t="s">
        <v>346</v>
      </c>
      <c r="E1035" s="150"/>
      <c r="F1035" s="151" t="s">
        <v>3004</v>
      </c>
      <c r="H1035" s="152">
        <v>3.95</v>
      </c>
      <c r="L1035" s="149"/>
      <c r="M1035" s="153"/>
      <c r="T1035" s="154"/>
      <c r="AT1035" s="150" t="s">
        <v>346</v>
      </c>
      <c r="AU1035" s="150" t="s">
        <v>90</v>
      </c>
      <c r="AV1035" s="148" t="s">
        <v>90</v>
      </c>
      <c r="AW1035" s="148" t="s">
        <v>33</v>
      </c>
      <c r="AX1035" s="148" t="s">
        <v>80</v>
      </c>
      <c r="AY1035" s="150" t="s">
        <v>337</v>
      </c>
    </row>
    <row r="1036" spans="2:65" s="148" customFormat="1" x14ac:dyDescent="0.2">
      <c r="B1036" s="149"/>
      <c r="D1036" s="143" t="s">
        <v>346</v>
      </c>
      <c r="E1036" s="150"/>
      <c r="F1036" s="151" t="s">
        <v>3008</v>
      </c>
      <c r="H1036" s="152">
        <v>42.542999999999999</v>
      </c>
      <c r="L1036" s="149"/>
      <c r="M1036" s="153"/>
      <c r="T1036" s="154"/>
      <c r="AT1036" s="150" t="s">
        <v>346</v>
      </c>
      <c r="AU1036" s="150" t="s">
        <v>90</v>
      </c>
      <c r="AV1036" s="148" t="s">
        <v>90</v>
      </c>
      <c r="AW1036" s="148" t="s">
        <v>33</v>
      </c>
      <c r="AX1036" s="148" t="s">
        <v>80</v>
      </c>
      <c r="AY1036" s="150" t="s">
        <v>337</v>
      </c>
    </row>
    <row r="1037" spans="2:65" s="148" customFormat="1" x14ac:dyDescent="0.2">
      <c r="B1037" s="149"/>
      <c r="D1037" s="143" t="s">
        <v>346</v>
      </c>
      <c r="E1037" s="150"/>
      <c r="F1037" s="151" t="s">
        <v>3000</v>
      </c>
      <c r="H1037" s="152">
        <v>140.36000000000001</v>
      </c>
      <c r="L1037" s="149"/>
      <c r="M1037" s="153"/>
      <c r="T1037" s="154"/>
      <c r="AT1037" s="150" t="s">
        <v>346</v>
      </c>
      <c r="AU1037" s="150" t="s">
        <v>90</v>
      </c>
      <c r="AV1037" s="148" t="s">
        <v>90</v>
      </c>
      <c r="AW1037" s="148" t="s">
        <v>33</v>
      </c>
      <c r="AX1037" s="148" t="s">
        <v>80</v>
      </c>
      <c r="AY1037" s="150" t="s">
        <v>337</v>
      </c>
    </row>
    <row r="1038" spans="2:65" s="148" customFormat="1" x14ac:dyDescent="0.2">
      <c r="B1038" s="149"/>
      <c r="D1038" s="143" t="s">
        <v>346</v>
      </c>
      <c r="E1038" s="150"/>
      <c r="F1038" s="151" t="s">
        <v>3002</v>
      </c>
      <c r="H1038" s="152">
        <v>2545.8339999999998</v>
      </c>
      <c r="L1038" s="149"/>
      <c r="M1038" s="153"/>
      <c r="T1038" s="154"/>
      <c r="AT1038" s="150" t="s">
        <v>346</v>
      </c>
      <c r="AU1038" s="150" t="s">
        <v>90</v>
      </c>
      <c r="AV1038" s="148" t="s">
        <v>90</v>
      </c>
      <c r="AW1038" s="148" t="s">
        <v>33</v>
      </c>
      <c r="AX1038" s="148" t="s">
        <v>80</v>
      </c>
      <c r="AY1038" s="150" t="s">
        <v>337</v>
      </c>
    </row>
    <row r="1039" spans="2:65" s="148" customFormat="1" x14ac:dyDescent="0.2">
      <c r="B1039" s="149"/>
      <c r="D1039" s="143" t="s">
        <v>346</v>
      </c>
      <c r="E1039" s="150"/>
      <c r="F1039" s="151" t="s">
        <v>2998</v>
      </c>
      <c r="H1039" s="152">
        <v>342.56200000000001</v>
      </c>
      <c r="L1039" s="149"/>
      <c r="M1039" s="153"/>
      <c r="T1039" s="154"/>
      <c r="AT1039" s="150" t="s">
        <v>346</v>
      </c>
      <c r="AU1039" s="150" t="s">
        <v>90</v>
      </c>
      <c r="AV1039" s="148" t="s">
        <v>90</v>
      </c>
      <c r="AW1039" s="148" t="s">
        <v>33</v>
      </c>
      <c r="AX1039" s="148" t="s">
        <v>80</v>
      </c>
      <c r="AY1039" s="150" t="s">
        <v>337</v>
      </c>
    </row>
    <row r="1040" spans="2:65" s="141" customFormat="1" x14ac:dyDescent="0.2">
      <c r="B1040" s="142"/>
      <c r="D1040" s="143" t="s">
        <v>346</v>
      </c>
      <c r="E1040" s="144"/>
      <c r="F1040" s="145" t="s">
        <v>3774</v>
      </c>
      <c r="H1040" s="144"/>
      <c r="L1040" s="142"/>
      <c r="M1040" s="146"/>
      <c r="T1040" s="147"/>
      <c r="AT1040" s="144" t="s">
        <v>346</v>
      </c>
      <c r="AU1040" s="144" t="s">
        <v>90</v>
      </c>
      <c r="AV1040" s="141" t="s">
        <v>87</v>
      </c>
      <c r="AW1040" s="141" t="s">
        <v>33</v>
      </c>
      <c r="AX1040" s="141" t="s">
        <v>80</v>
      </c>
      <c r="AY1040" s="144" t="s">
        <v>337</v>
      </c>
    </row>
    <row r="1041" spans="2:65" s="148" customFormat="1" x14ac:dyDescent="0.2">
      <c r="B1041" s="149"/>
      <c r="D1041" s="143" t="s">
        <v>346</v>
      </c>
      <c r="E1041" s="150"/>
      <c r="F1041" s="151" t="s">
        <v>3368</v>
      </c>
      <c r="H1041" s="152">
        <v>202.571</v>
      </c>
      <c r="L1041" s="149"/>
      <c r="M1041" s="153"/>
      <c r="T1041" s="154"/>
      <c r="AT1041" s="150" t="s">
        <v>346</v>
      </c>
      <c r="AU1041" s="150" t="s">
        <v>90</v>
      </c>
      <c r="AV1041" s="148" t="s">
        <v>90</v>
      </c>
      <c r="AW1041" s="148" t="s">
        <v>33</v>
      </c>
      <c r="AX1041" s="148" t="s">
        <v>80</v>
      </c>
      <c r="AY1041" s="150" t="s">
        <v>337</v>
      </c>
    </row>
    <row r="1042" spans="2:65" s="141" customFormat="1" x14ac:dyDescent="0.2">
      <c r="B1042" s="142"/>
      <c r="D1042" s="143" t="s">
        <v>346</v>
      </c>
      <c r="E1042" s="144"/>
      <c r="F1042" s="145" t="s">
        <v>3775</v>
      </c>
      <c r="H1042" s="144"/>
      <c r="L1042" s="142"/>
      <c r="M1042" s="146"/>
      <c r="T1042" s="147"/>
      <c r="AT1042" s="144" t="s">
        <v>346</v>
      </c>
      <c r="AU1042" s="144" t="s">
        <v>90</v>
      </c>
      <c r="AV1042" s="141" t="s">
        <v>87</v>
      </c>
      <c r="AW1042" s="141" t="s">
        <v>33</v>
      </c>
      <c r="AX1042" s="141" t="s">
        <v>80</v>
      </c>
      <c r="AY1042" s="144" t="s">
        <v>337</v>
      </c>
    </row>
    <row r="1043" spans="2:65" s="148" customFormat="1" x14ac:dyDescent="0.2">
      <c r="B1043" s="149"/>
      <c r="D1043" s="143" t="s">
        <v>346</v>
      </c>
      <c r="E1043" s="150"/>
      <c r="F1043" s="151" t="s">
        <v>3776</v>
      </c>
      <c r="H1043" s="152">
        <v>-66.599999999999994</v>
      </c>
      <c r="L1043" s="149"/>
      <c r="M1043" s="153"/>
      <c r="T1043" s="154"/>
      <c r="AT1043" s="150" t="s">
        <v>346</v>
      </c>
      <c r="AU1043" s="150" t="s">
        <v>90</v>
      </c>
      <c r="AV1043" s="148" t="s">
        <v>90</v>
      </c>
      <c r="AW1043" s="148" t="s">
        <v>33</v>
      </c>
      <c r="AX1043" s="148" t="s">
        <v>80</v>
      </c>
      <c r="AY1043" s="150" t="s">
        <v>337</v>
      </c>
    </row>
    <row r="1044" spans="2:65" s="141" customFormat="1" x14ac:dyDescent="0.2">
      <c r="B1044" s="142"/>
      <c r="D1044" s="143" t="s">
        <v>346</v>
      </c>
      <c r="E1044" s="144"/>
      <c r="F1044" s="145" t="s">
        <v>3360</v>
      </c>
      <c r="H1044" s="144"/>
      <c r="L1044" s="142"/>
      <c r="M1044" s="146"/>
      <c r="T1044" s="147"/>
      <c r="AT1044" s="144" t="s">
        <v>346</v>
      </c>
      <c r="AU1044" s="144" t="s">
        <v>90</v>
      </c>
      <c r="AV1044" s="141" t="s">
        <v>87</v>
      </c>
      <c r="AW1044" s="141" t="s">
        <v>33</v>
      </c>
      <c r="AX1044" s="141" t="s">
        <v>80</v>
      </c>
      <c r="AY1044" s="144" t="s">
        <v>337</v>
      </c>
    </row>
    <row r="1045" spans="2:65" s="148" customFormat="1" x14ac:dyDescent="0.2">
      <c r="B1045" s="149"/>
      <c r="D1045" s="143" t="s">
        <v>346</v>
      </c>
      <c r="E1045" s="150"/>
      <c r="F1045" s="151" t="s">
        <v>3777</v>
      </c>
      <c r="H1045" s="152">
        <v>-1421.6179999999999</v>
      </c>
      <c r="L1045" s="149"/>
      <c r="M1045" s="153"/>
      <c r="T1045" s="154"/>
      <c r="AT1045" s="150" t="s">
        <v>346</v>
      </c>
      <c r="AU1045" s="150" t="s">
        <v>90</v>
      </c>
      <c r="AV1045" s="148" t="s">
        <v>90</v>
      </c>
      <c r="AW1045" s="148" t="s">
        <v>33</v>
      </c>
      <c r="AX1045" s="148" t="s">
        <v>80</v>
      </c>
      <c r="AY1045" s="150" t="s">
        <v>337</v>
      </c>
    </row>
    <row r="1046" spans="2:65" s="172" customFormat="1" x14ac:dyDescent="0.2">
      <c r="B1046" s="173"/>
      <c r="D1046" s="143" t="s">
        <v>346</v>
      </c>
      <c r="E1046" s="174" t="s">
        <v>2987</v>
      </c>
      <c r="F1046" s="175" t="s">
        <v>609</v>
      </c>
      <c r="H1046" s="176">
        <v>1789.6020000000001</v>
      </c>
      <c r="L1046" s="173"/>
      <c r="M1046" s="177"/>
      <c r="T1046" s="178"/>
      <c r="AT1046" s="174" t="s">
        <v>346</v>
      </c>
      <c r="AU1046" s="174" t="s">
        <v>90</v>
      </c>
      <c r="AV1046" s="172" t="s">
        <v>113</v>
      </c>
      <c r="AW1046" s="172" t="s">
        <v>33</v>
      </c>
      <c r="AX1046" s="172" t="s">
        <v>87</v>
      </c>
      <c r="AY1046" s="174" t="s">
        <v>337</v>
      </c>
    </row>
    <row r="1047" spans="2:65" s="16" customFormat="1" ht="16.5" customHeight="1" x14ac:dyDescent="0.2">
      <c r="B1047" s="17"/>
      <c r="C1047" s="128">
        <v>86</v>
      </c>
      <c r="D1047" s="128" t="s">
        <v>339</v>
      </c>
      <c r="E1047" s="129" t="s">
        <v>3779</v>
      </c>
      <c r="F1047" s="130" t="s">
        <v>3780</v>
      </c>
      <c r="G1047" s="131" t="s">
        <v>425</v>
      </c>
      <c r="H1047" s="132">
        <v>66.599999999999994</v>
      </c>
      <c r="I1047" s="133"/>
      <c r="J1047" s="134">
        <f>ROUND(I1047*H1047,2)</f>
        <v>0</v>
      </c>
      <c r="K1047" s="130" t="s">
        <v>343</v>
      </c>
      <c r="L1047" s="17"/>
      <c r="M1047" s="135"/>
      <c r="N1047" s="136" t="s">
        <v>45</v>
      </c>
      <c r="P1047" s="137">
        <f>O1047*H1047</f>
        <v>0</v>
      </c>
      <c r="Q1047" s="137">
        <v>2.5999999999999998E-4</v>
      </c>
      <c r="R1047" s="137">
        <f>Q1047*H1047</f>
        <v>1.7315999999999998E-2</v>
      </c>
      <c r="S1047" s="137">
        <v>0</v>
      </c>
      <c r="T1047" s="138">
        <f>S1047*H1047</f>
        <v>0</v>
      </c>
      <c r="AR1047" s="139" t="s">
        <v>344</v>
      </c>
      <c r="AT1047" s="139" t="s">
        <v>339</v>
      </c>
      <c r="AU1047" s="139" t="s">
        <v>90</v>
      </c>
      <c r="AY1047" s="2" t="s">
        <v>337</v>
      </c>
      <c r="BE1047" s="140">
        <f>IF(N1047="základní",J1047,0)</f>
        <v>0</v>
      </c>
      <c r="BF1047" s="140">
        <f>IF(N1047="snížená",J1047,0)</f>
        <v>0</v>
      </c>
      <c r="BG1047" s="140">
        <f>IF(N1047="zákl. přenesená",J1047,0)</f>
        <v>0</v>
      </c>
      <c r="BH1047" s="140">
        <f>IF(N1047="sníž. přenesená",J1047,0)</f>
        <v>0</v>
      </c>
      <c r="BI1047" s="140">
        <f>IF(N1047="nulová",J1047,0)</f>
        <v>0</v>
      </c>
      <c r="BJ1047" s="2" t="s">
        <v>87</v>
      </c>
      <c r="BK1047" s="140">
        <f>ROUND(I1047*H1047,2)</f>
        <v>0</v>
      </c>
      <c r="BL1047" s="2" t="s">
        <v>344</v>
      </c>
      <c r="BM1047" s="139" t="s">
        <v>3781</v>
      </c>
    </row>
    <row r="1048" spans="2:65" s="148" customFormat="1" x14ac:dyDescent="0.2">
      <c r="B1048" s="149"/>
      <c r="D1048" s="143" t="s">
        <v>346</v>
      </c>
      <c r="E1048" s="150"/>
      <c r="F1048" s="151" t="s">
        <v>2985</v>
      </c>
      <c r="H1048" s="152">
        <v>66.599999999999994</v>
      </c>
      <c r="L1048" s="149"/>
      <c r="M1048" s="153"/>
      <c r="T1048" s="154"/>
      <c r="AT1048" s="150" t="s">
        <v>346</v>
      </c>
      <c r="AU1048" s="150" t="s">
        <v>90</v>
      </c>
      <c r="AV1048" s="148" t="s">
        <v>90</v>
      </c>
      <c r="AW1048" s="148" t="s">
        <v>33</v>
      </c>
      <c r="AX1048" s="148" t="s">
        <v>80</v>
      </c>
      <c r="AY1048" s="150" t="s">
        <v>337</v>
      </c>
    </row>
    <row r="1049" spans="2:65" s="155" customFormat="1" x14ac:dyDescent="0.2">
      <c r="B1049" s="156"/>
      <c r="D1049" s="143" t="s">
        <v>346</v>
      </c>
      <c r="E1049" s="157"/>
      <c r="F1049" s="158" t="s">
        <v>351</v>
      </c>
      <c r="H1049" s="159">
        <v>66.599999999999994</v>
      </c>
      <c r="L1049" s="156"/>
      <c r="M1049" s="160"/>
      <c r="T1049" s="161"/>
      <c r="AT1049" s="157" t="s">
        <v>346</v>
      </c>
      <c r="AU1049" s="157" t="s">
        <v>90</v>
      </c>
      <c r="AV1049" s="155" t="s">
        <v>344</v>
      </c>
      <c r="AW1049" s="155" t="s">
        <v>33</v>
      </c>
      <c r="AX1049" s="155" t="s">
        <v>87</v>
      </c>
      <c r="AY1049" s="157" t="s">
        <v>337</v>
      </c>
    </row>
    <row r="1050" spans="2:65" s="16" customFormat="1" ht="16.5" customHeight="1" x14ac:dyDescent="0.2">
      <c r="B1050" s="17"/>
      <c r="C1050" s="128">
        <v>87</v>
      </c>
      <c r="D1050" s="128" t="s">
        <v>339</v>
      </c>
      <c r="E1050" s="129" t="s">
        <v>3782</v>
      </c>
      <c r="F1050" s="130" t="s">
        <v>3783</v>
      </c>
      <c r="G1050" s="131" t="s">
        <v>425</v>
      </c>
      <c r="H1050" s="132">
        <v>66.599999999999994</v>
      </c>
      <c r="I1050" s="133"/>
      <c r="J1050" s="134">
        <f>ROUND(I1050*H1050,2)</f>
        <v>0</v>
      </c>
      <c r="K1050" s="130" t="s">
        <v>343</v>
      </c>
      <c r="L1050" s="17"/>
      <c r="M1050" s="135"/>
      <c r="N1050" s="136" t="s">
        <v>45</v>
      </c>
      <c r="P1050" s="137">
        <f>O1050*H1050</f>
        <v>0</v>
      </c>
      <c r="Q1050" s="137">
        <v>2.0000000000000001E-4</v>
      </c>
      <c r="R1050" s="137">
        <f>Q1050*H1050</f>
        <v>1.332E-2</v>
      </c>
      <c r="S1050" s="137">
        <v>0</v>
      </c>
      <c r="T1050" s="138">
        <f>S1050*H1050</f>
        <v>0</v>
      </c>
      <c r="AR1050" s="139" t="s">
        <v>344</v>
      </c>
      <c r="AT1050" s="139" t="s">
        <v>339</v>
      </c>
      <c r="AU1050" s="139" t="s">
        <v>90</v>
      </c>
      <c r="AY1050" s="2" t="s">
        <v>337</v>
      </c>
      <c r="BE1050" s="140">
        <f>IF(N1050="základní",J1050,0)</f>
        <v>0</v>
      </c>
      <c r="BF1050" s="140">
        <f>IF(N1050="snížená",J1050,0)</f>
        <v>0</v>
      </c>
      <c r="BG1050" s="140">
        <f>IF(N1050="zákl. přenesená",J1050,0)</f>
        <v>0</v>
      </c>
      <c r="BH1050" s="140">
        <f>IF(N1050="sníž. přenesená",J1050,0)</f>
        <v>0</v>
      </c>
      <c r="BI1050" s="140">
        <f>IF(N1050="nulová",J1050,0)</f>
        <v>0</v>
      </c>
      <c r="BJ1050" s="2" t="s">
        <v>87</v>
      </c>
      <c r="BK1050" s="140">
        <f>ROUND(I1050*H1050,2)</f>
        <v>0</v>
      </c>
      <c r="BL1050" s="2" t="s">
        <v>344</v>
      </c>
      <c r="BM1050" s="139" t="s">
        <v>3784</v>
      </c>
    </row>
    <row r="1051" spans="2:65" s="148" customFormat="1" x14ac:dyDescent="0.2">
      <c r="B1051" s="149"/>
      <c r="D1051" s="143" t="s">
        <v>346</v>
      </c>
      <c r="E1051" s="150"/>
      <c r="F1051" s="151" t="s">
        <v>2985</v>
      </c>
      <c r="H1051" s="152">
        <v>66.599999999999994</v>
      </c>
      <c r="L1051" s="149"/>
      <c r="M1051" s="153"/>
      <c r="T1051" s="154"/>
      <c r="AT1051" s="150" t="s">
        <v>346</v>
      </c>
      <c r="AU1051" s="150" t="s">
        <v>90</v>
      </c>
      <c r="AV1051" s="148" t="s">
        <v>90</v>
      </c>
      <c r="AW1051" s="148" t="s">
        <v>33</v>
      </c>
      <c r="AX1051" s="148" t="s">
        <v>80</v>
      </c>
      <c r="AY1051" s="150" t="s">
        <v>337</v>
      </c>
    </row>
    <row r="1052" spans="2:65" s="155" customFormat="1" x14ac:dyDescent="0.2">
      <c r="B1052" s="156"/>
      <c r="D1052" s="143" t="s">
        <v>346</v>
      </c>
      <c r="E1052" s="157"/>
      <c r="F1052" s="158" t="s">
        <v>351</v>
      </c>
      <c r="H1052" s="159">
        <v>66.599999999999994</v>
      </c>
      <c r="L1052" s="156"/>
      <c r="M1052" s="160"/>
      <c r="T1052" s="161"/>
      <c r="AT1052" s="157" t="s">
        <v>346</v>
      </c>
      <c r="AU1052" s="157" t="s">
        <v>90</v>
      </c>
      <c r="AV1052" s="155" t="s">
        <v>344</v>
      </c>
      <c r="AW1052" s="155" t="s">
        <v>33</v>
      </c>
      <c r="AX1052" s="155" t="s">
        <v>87</v>
      </c>
      <c r="AY1052" s="157" t="s">
        <v>337</v>
      </c>
    </row>
    <row r="1053" spans="2:65" s="16" customFormat="1" ht="16.5" customHeight="1" x14ac:dyDescent="0.2">
      <c r="B1053" s="17"/>
      <c r="C1053" s="128">
        <v>88</v>
      </c>
      <c r="D1053" s="128" t="s">
        <v>339</v>
      </c>
      <c r="E1053" s="129" t="s">
        <v>3785</v>
      </c>
      <c r="F1053" s="130" t="s">
        <v>3786</v>
      </c>
      <c r="G1053" s="131" t="s">
        <v>425</v>
      </c>
      <c r="H1053" s="132">
        <v>6.66</v>
      </c>
      <c r="I1053" s="133"/>
      <c r="J1053" s="134">
        <f>ROUND(I1053*H1053,2)</f>
        <v>0</v>
      </c>
      <c r="K1053" s="130" t="s">
        <v>343</v>
      </c>
      <c r="L1053" s="17"/>
      <c r="M1053" s="135"/>
      <c r="N1053" s="136" t="s">
        <v>45</v>
      </c>
      <c r="P1053" s="137">
        <f>O1053*H1053</f>
        <v>0</v>
      </c>
      <c r="Q1053" s="137">
        <v>1.8000000000000001E-4</v>
      </c>
      <c r="R1053" s="137">
        <f>Q1053*H1053</f>
        <v>1.1988000000000001E-3</v>
      </c>
      <c r="S1053" s="137">
        <v>0</v>
      </c>
      <c r="T1053" s="138">
        <f>S1053*H1053</f>
        <v>0</v>
      </c>
      <c r="AR1053" s="139" t="s">
        <v>344</v>
      </c>
      <c r="AT1053" s="139" t="s">
        <v>339</v>
      </c>
      <c r="AU1053" s="139" t="s">
        <v>90</v>
      </c>
      <c r="AY1053" s="2" t="s">
        <v>337</v>
      </c>
      <c r="BE1053" s="140">
        <f>IF(N1053="základní",J1053,0)</f>
        <v>0</v>
      </c>
      <c r="BF1053" s="140">
        <f>IF(N1053="snížená",J1053,0)</f>
        <v>0</v>
      </c>
      <c r="BG1053" s="140">
        <f>IF(N1053="zákl. přenesená",J1053,0)</f>
        <v>0</v>
      </c>
      <c r="BH1053" s="140">
        <f>IF(N1053="sníž. přenesená",J1053,0)</f>
        <v>0</v>
      </c>
      <c r="BI1053" s="140">
        <f>IF(N1053="nulová",J1053,0)</f>
        <v>0</v>
      </c>
      <c r="BJ1053" s="2" t="s">
        <v>87</v>
      </c>
      <c r="BK1053" s="140">
        <f>ROUND(I1053*H1053,2)</f>
        <v>0</v>
      </c>
      <c r="BL1053" s="2" t="s">
        <v>344</v>
      </c>
      <c r="BM1053" s="139" t="s">
        <v>3787</v>
      </c>
    </row>
    <row r="1054" spans="2:65" s="16" customFormat="1" ht="16.5" customHeight="1" x14ac:dyDescent="0.2">
      <c r="B1054" s="17"/>
      <c r="C1054" s="128">
        <v>89</v>
      </c>
      <c r="D1054" s="128" t="s">
        <v>339</v>
      </c>
      <c r="E1054" s="129" t="s">
        <v>3788</v>
      </c>
      <c r="F1054" s="130" t="s">
        <v>3789</v>
      </c>
      <c r="G1054" s="131" t="s">
        <v>425</v>
      </c>
      <c r="H1054" s="132">
        <v>6.66</v>
      </c>
      <c r="I1054" s="133"/>
      <c r="J1054" s="134">
        <f>ROUND(I1054*H1054,2)</f>
        <v>0</v>
      </c>
      <c r="K1054" s="130" t="s">
        <v>343</v>
      </c>
      <c r="L1054" s="17"/>
      <c r="M1054" s="135"/>
      <c r="N1054" s="136" t="s">
        <v>45</v>
      </c>
      <c r="P1054" s="137">
        <f>O1054*H1054</f>
        <v>0</v>
      </c>
      <c r="Q1054" s="137">
        <v>5.7000000000000002E-3</v>
      </c>
      <c r="R1054" s="137">
        <f>Q1054*H1054</f>
        <v>3.7962000000000003E-2</v>
      </c>
      <c r="S1054" s="137">
        <v>0</v>
      </c>
      <c r="T1054" s="138">
        <f>S1054*H1054</f>
        <v>0</v>
      </c>
      <c r="AR1054" s="139" t="s">
        <v>344</v>
      </c>
      <c r="AT1054" s="139" t="s">
        <v>339</v>
      </c>
      <c r="AU1054" s="139" t="s">
        <v>90</v>
      </c>
      <c r="AY1054" s="2" t="s">
        <v>337</v>
      </c>
      <c r="BE1054" s="140">
        <f>IF(N1054="základní",J1054,0)</f>
        <v>0</v>
      </c>
      <c r="BF1054" s="140">
        <f>IF(N1054="snížená",J1054,0)</f>
        <v>0</v>
      </c>
      <c r="BG1054" s="140">
        <f>IF(N1054="zákl. přenesená",J1054,0)</f>
        <v>0</v>
      </c>
      <c r="BH1054" s="140">
        <f>IF(N1054="sníž. přenesená",J1054,0)</f>
        <v>0</v>
      </c>
      <c r="BI1054" s="140">
        <f>IF(N1054="nulová",J1054,0)</f>
        <v>0</v>
      </c>
      <c r="BJ1054" s="2" t="s">
        <v>87</v>
      </c>
      <c r="BK1054" s="140">
        <f>ROUND(I1054*H1054,2)</f>
        <v>0</v>
      </c>
      <c r="BL1054" s="2" t="s">
        <v>344</v>
      </c>
      <c r="BM1054" s="139" t="s">
        <v>3790</v>
      </c>
    </row>
    <row r="1055" spans="2:65" s="141" customFormat="1" x14ac:dyDescent="0.2">
      <c r="B1055" s="142"/>
      <c r="D1055" s="143" t="s">
        <v>346</v>
      </c>
      <c r="E1055" s="144"/>
      <c r="F1055" s="145" t="s">
        <v>3259</v>
      </c>
      <c r="H1055" s="144"/>
      <c r="L1055" s="142"/>
      <c r="M1055" s="146"/>
      <c r="T1055" s="147"/>
      <c r="AT1055" s="144" t="s">
        <v>346</v>
      </c>
      <c r="AU1055" s="144" t="s">
        <v>90</v>
      </c>
      <c r="AV1055" s="141" t="s">
        <v>87</v>
      </c>
      <c r="AW1055" s="141" t="s">
        <v>33</v>
      </c>
      <c r="AX1055" s="141" t="s">
        <v>80</v>
      </c>
      <c r="AY1055" s="144" t="s">
        <v>337</v>
      </c>
    </row>
    <row r="1056" spans="2:65" s="141" customFormat="1" x14ac:dyDescent="0.2">
      <c r="B1056" s="142"/>
      <c r="D1056" s="143" t="s">
        <v>346</v>
      </c>
      <c r="E1056" s="144"/>
      <c r="F1056" s="145" t="s">
        <v>3392</v>
      </c>
      <c r="H1056" s="144"/>
      <c r="L1056" s="142"/>
      <c r="M1056" s="146"/>
      <c r="T1056" s="147"/>
      <c r="AT1056" s="144" t="s">
        <v>346</v>
      </c>
      <c r="AU1056" s="144" t="s">
        <v>90</v>
      </c>
      <c r="AV1056" s="141" t="s">
        <v>87</v>
      </c>
      <c r="AW1056" s="141" t="s">
        <v>33</v>
      </c>
      <c r="AX1056" s="141" t="s">
        <v>80</v>
      </c>
      <c r="AY1056" s="144" t="s">
        <v>337</v>
      </c>
    </row>
    <row r="1057" spans="2:65" s="148" customFormat="1" x14ac:dyDescent="0.2">
      <c r="B1057" s="149"/>
      <c r="D1057" s="143" t="s">
        <v>346</v>
      </c>
      <c r="E1057" s="150"/>
      <c r="F1057" s="151" t="s">
        <v>3393</v>
      </c>
      <c r="H1057" s="152">
        <v>6.66</v>
      </c>
      <c r="L1057" s="149"/>
      <c r="M1057" s="153"/>
      <c r="T1057" s="154"/>
      <c r="AT1057" s="150" t="s">
        <v>346</v>
      </c>
      <c r="AU1057" s="150" t="s">
        <v>90</v>
      </c>
      <c r="AV1057" s="148" t="s">
        <v>90</v>
      </c>
      <c r="AW1057" s="148" t="s">
        <v>33</v>
      </c>
      <c r="AX1057" s="148" t="s">
        <v>87</v>
      </c>
      <c r="AY1057" s="150" t="s">
        <v>337</v>
      </c>
    </row>
    <row r="1058" spans="2:65" s="16" customFormat="1" ht="16.5" customHeight="1" x14ac:dyDescent="0.2">
      <c r="B1058" s="17"/>
      <c r="C1058" s="128">
        <v>90</v>
      </c>
      <c r="D1058" s="128" t="s">
        <v>339</v>
      </c>
      <c r="E1058" s="129" t="s">
        <v>3791</v>
      </c>
      <c r="F1058" s="130" t="s">
        <v>3792</v>
      </c>
      <c r="G1058" s="131" t="s">
        <v>425</v>
      </c>
      <c r="H1058" s="132">
        <v>66.599999999999994</v>
      </c>
      <c r="I1058" s="133"/>
      <c r="J1058" s="134">
        <f>ROUND(I1058*H1058,2)</f>
        <v>0</v>
      </c>
      <c r="K1058" s="130"/>
      <c r="L1058" s="17"/>
      <c r="M1058" s="135"/>
      <c r="N1058" s="136" t="s">
        <v>45</v>
      </c>
      <c r="P1058" s="137">
        <f>O1058*H1058</f>
        <v>0</v>
      </c>
      <c r="Q1058" s="137">
        <v>3.3800000000000002E-3</v>
      </c>
      <c r="R1058" s="137">
        <f>Q1058*H1058</f>
        <v>0.225108</v>
      </c>
      <c r="S1058" s="137">
        <v>0</v>
      </c>
      <c r="T1058" s="138">
        <f>S1058*H1058</f>
        <v>0</v>
      </c>
      <c r="AR1058" s="139" t="s">
        <v>344</v>
      </c>
      <c r="AT1058" s="139" t="s">
        <v>339</v>
      </c>
      <c r="AU1058" s="139" t="s">
        <v>90</v>
      </c>
      <c r="AY1058" s="2" t="s">
        <v>337</v>
      </c>
      <c r="BE1058" s="140">
        <f>IF(N1058="základní",J1058,0)</f>
        <v>0</v>
      </c>
      <c r="BF1058" s="140">
        <f>IF(N1058="snížená",J1058,0)</f>
        <v>0</v>
      </c>
      <c r="BG1058" s="140">
        <f>IF(N1058="zákl. přenesená",J1058,0)</f>
        <v>0</v>
      </c>
      <c r="BH1058" s="140">
        <f>IF(N1058="sníž. přenesená",J1058,0)</f>
        <v>0</v>
      </c>
      <c r="BI1058" s="140">
        <f>IF(N1058="nulová",J1058,0)</f>
        <v>0</v>
      </c>
      <c r="BJ1058" s="2" t="s">
        <v>87</v>
      </c>
      <c r="BK1058" s="140">
        <f>ROUND(I1058*H1058,2)</f>
        <v>0</v>
      </c>
      <c r="BL1058" s="2" t="s">
        <v>344</v>
      </c>
      <c r="BM1058" s="139" t="s">
        <v>3793</v>
      </c>
    </row>
    <row r="1059" spans="2:65" s="141" customFormat="1" x14ac:dyDescent="0.2">
      <c r="B1059" s="142"/>
      <c r="D1059" s="143" t="s">
        <v>346</v>
      </c>
      <c r="E1059" s="144"/>
      <c r="F1059" s="145" t="s">
        <v>3259</v>
      </c>
      <c r="H1059" s="144"/>
      <c r="L1059" s="142"/>
      <c r="M1059" s="146"/>
      <c r="T1059" s="147"/>
      <c r="AT1059" s="144" t="s">
        <v>346</v>
      </c>
      <c r="AU1059" s="144" t="s">
        <v>90</v>
      </c>
      <c r="AV1059" s="141" t="s">
        <v>87</v>
      </c>
      <c r="AW1059" s="141" t="s">
        <v>33</v>
      </c>
      <c r="AX1059" s="141" t="s">
        <v>80</v>
      </c>
      <c r="AY1059" s="144" t="s">
        <v>337</v>
      </c>
    </row>
    <row r="1060" spans="2:65" s="141" customFormat="1" x14ac:dyDescent="0.2">
      <c r="B1060" s="142"/>
      <c r="D1060" s="143" t="s">
        <v>346</v>
      </c>
      <c r="E1060" s="144"/>
      <c r="F1060" s="145" t="s">
        <v>3392</v>
      </c>
      <c r="H1060" s="144"/>
      <c r="L1060" s="142"/>
      <c r="M1060" s="146"/>
      <c r="T1060" s="147"/>
      <c r="AT1060" s="144" t="s">
        <v>346</v>
      </c>
      <c r="AU1060" s="144" t="s">
        <v>90</v>
      </c>
      <c r="AV1060" s="141" t="s">
        <v>87</v>
      </c>
      <c r="AW1060" s="141" t="s">
        <v>33</v>
      </c>
      <c r="AX1060" s="141" t="s">
        <v>80</v>
      </c>
      <c r="AY1060" s="144" t="s">
        <v>337</v>
      </c>
    </row>
    <row r="1061" spans="2:65" s="148" customFormat="1" x14ac:dyDescent="0.2">
      <c r="B1061" s="149"/>
      <c r="D1061" s="143" t="s">
        <v>346</v>
      </c>
      <c r="E1061" s="150"/>
      <c r="F1061" s="151" t="s">
        <v>3500</v>
      </c>
      <c r="H1061" s="152">
        <v>66.599999999999994</v>
      </c>
      <c r="L1061" s="149"/>
      <c r="M1061" s="153"/>
      <c r="T1061" s="154"/>
      <c r="AT1061" s="150" t="s">
        <v>346</v>
      </c>
      <c r="AU1061" s="150" t="s">
        <v>90</v>
      </c>
      <c r="AV1061" s="148" t="s">
        <v>90</v>
      </c>
      <c r="AW1061" s="148" t="s">
        <v>33</v>
      </c>
      <c r="AX1061" s="148" t="s">
        <v>80</v>
      </c>
      <c r="AY1061" s="150" t="s">
        <v>337</v>
      </c>
    </row>
    <row r="1062" spans="2:65" s="172" customFormat="1" x14ac:dyDescent="0.2">
      <c r="B1062" s="173"/>
      <c r="D1062" s="143" t="s">
        <v>346</v>
      </c>
      <c r="E1062" s="174" t="s">
        <v>2985</v>
      </c>
      <c r="F1062" s="175" t="s">
        <v>609</v>
      </c>
      <c r="H1062" s="176">
        <v>66.599999999999994</v>
      </c>
      <c r="L1062" s="173"/>
      <c r="M1062" s="177"/>
      <c r="T1062" s="178"/>
      <c r="AT1062" s="174" t="s">
        <v>346</v>
      </c>
      <c r="AU1062" s="174" t="s">
        <v>90</v>
      </c>
      <c r="AV1062" s="172" t="s">
        <v>113</v>
      </c>
      <c r="AW1062" s="172" t="s">
        <v>33</v>
      </c>
      <c r="AX1062" s="172" t="s">
        <v>87</v>
      </c>
      <c r="AY1062" s="174" t="s">
        <v>337</v>
      </c>
    </row>
    <row r="1063" spans="2:65" s="16" customFormat="1" ht="16.5" customHeight="1" x14ac:dyDescent="0.2">
      <c r="B1063" s="17"/>
      <c r="C1063" s="128">
        <v>91</v>
      </c>
      <c r="D1063" s="128" t="s">
        <v>339</v>
      </c>
      <c r="E1063" s="129" t="s">
        <v>3794</v>
      </c>
      <c r="F1063" s="130" t="s">
        <v>3795</v>
      </c>
      <c r="G1063" s="131" t="s">
        <v>724</v>
      </c>
      <c r="H1063" s="132">
        <v>960.952</v>
      </c>
      <c r="I1063" s="133"/>
      <c r="J1063" s="134">
        <f>ROUND(I1063*H1063,2)</f>
        <v>0</v>
      </c>
      <c r="K1063" s="130" t="s">
        <v>343</v>
      </c>
      <c r="L1063" s="17"/>
      <c r="M1063" s="135"/>
      <c r="N1063" s="136" t="s">
        <v>45</v>
      </c>
      <c r="P1063" s="137">
        <f>O1063*H1063</f>
        <v>0</v>
      </c>
      <c r="Q1063" s="137">
        <v>2.0650000000000002E-2</v>
      </c>
      <c r="R1063" s="137">
        <f>Q1063*H1063</f>
        <v>19.8436588</v>
      </c>
      <c r="S1063" s="137">
        <v>0</v>
      </c>
      <c r="T1063" s="138">
        <f>S1063*H1063</f>
        <v>0</v>
      </c>
      <c r="AR1063" s="139" t="s">
        <v>344</v>
      </c>
      <c r="AT1063" s="139" t="s">
        <v>339</v>
      </c>
      <c r="AU1063" s="139" t="s">
        <v>90</v>
      </c>
      <c r="AY1063" s="2" t="s">
        <v>337</v>
      </c>
      <c r="BE1063" s="140">
        <f>IF(N1063="základní",J1063,0)</f>
        <v>0</v>
      </c>
      <c r="BF1063" s="140">
        <f>IF(N1063="snížená",J1063,0)</f>
        <v>0</v>
      </c>
      <c r="BG1063" s="140">
        <f>IF(N1063="zákl. přenesená",J1063,0)</f>
        <v>0</v>
      </c>
      <c r="BH1063" s="140">
        <f>IF(N1063="sníž. přenesená",J1063,0)</f>
        <v>0</v>
      </c>
      <c r="BI1063" s="140">
        <f>IF(N1063="nulová",J1063,0)</f>
        <v>0</v>
      </c>
      <c r="BJ1063" s="2" t="s">
        <v>87</v>
      </c>
      <c r="BK1063" s="140">
        <f>ROUND(I1063*H1063,2)</f>
        <v>0</v>
      </c>
      <c r="BL1063" s="2" t="s">
        <v>344</v>
      </c>
      <c r="BM1063" s="139" t="s">
        <v>3796</v>
      </c>
    </row>
    <row r="1064" spans="2:65" s="141" customFormat="1" x14ac:dyDescent="0.2">
      <c r="B1064" s="142"/>
      <c r="D1064" s="143" t="s">
        <v>346</v>
      </c>
      <c r="E1064" s="144"/>
      <c r="F1064" s="145" t="s">
        <v>3797</v>
      </c>
      <c r="H1064" s="144"/>
      <c r="L1064" s="142"/>
      <c r="M1064" s="146"/>
      <c r="T1064" s="147"/>
      <c r="AT1064" s="144" t="s">
        <v>346</v>
      </c>
      <c r="AU1064" s="144" t="s">
        <v>90</v>
      </c>
      <c r="AV1064" s="141" t="s">
        <v>87</v>
      </c>
      <c r="AW1064" s="141" t="s">
        <v>33</v>
      </c>
      <c r="AX1064" s="141" t="s">
        <v>80</v>
      </c>
      <c r="AY1064" s="144" t="s">
        <v>337</v>
      </c>
    </row>
    <row r="1065" spans="2:65" s="148" customFormat="1" x14ac:dyDescent="0.2">
      <c r="B1065" s="149"/>
      <c r="D1065" s="143" t="s">
        <v>346</v>
      </c>
      <c r="E1065" s="150"/>
      <c r="F1065" s="151" t="s">
        <v>3798</v>
      </c>
      <c r="H1065" s="152">
        <v>412.66</v>
      </c>
      <c r="L1065" s="149"/>
      <c r="M1065" s="153"/>
      <c r="T1065" s="154"/>
      <c r="AT1065" s="150" t="s">
        <v>346</v>
      </c>
      <c r="AU1065" s="150" t="s">
        <v>90</v>
      </c>
      <c r="AV1065" s="148" t="s">
        <v>90</v>
      </c>
      <c r="AW1065" s="148" t="s">
        <v>33</v>
      </c>
      <c r="AX1065" s="148" t="s">
        <v>80</v>
      </c>
      <c r="AY1065" s="150" t="s">
        <v>337</v>
      </c>
    </row>
    <row r="1066" spans="2:65" s="141" customFormat="1" x14ac:dyDescent="0.2">
      <c r="B1066" s="142"/>
      <c r="D1066" s="143" t="s">
        <v>346</v>
      </c>
      <c r="E1066" s="144"/>
      <c r="F1066" s="145" t="s">
        <v>3799</v>
      </c>
      <c r="H1066" s="144"/>
      <c r="L1066" s="142"/>
      <c r="M1066" s="146"/>
      <c r="T1066" s="147"/>
      <c r="AT1066" s="144" t="s">
        <v>346</v>
      </c>
      <c r="AU1066" s="144" t="s">
        <v>90</v>
      </c>
      <c r="AV1066" s="141" t="s">
        <v>87</v>
      </c>
      <c r="AW1066" s="141" t="s">
        <v>33</v>
      </c>
      <c r="AX1066" s="141" t="s">
        <v>80</v>
      </c>
      <c r="AY1066" s="144" t="s">
        <v>337</v>
      </c>
    </row>
    <row r="1067" spans="2:65" s="148" customFormat="1" x14ac:dyDescent="0.2">
      <c r="B1067" s="149"/>
      <c r="D1067" s="143" t="s">
        <v>346</v>
      </c>
      <c r="E1067" s="150"/>
      <c r="F1067" s="151" t="s">
        <v>3800</v>
      </c>
      <c r="H1067" s="152">
        <v>34.65</v>
      </c>
      <c r="L1067" s="149"/>
      <c r="M1067" s="153"/>
      <c r="T1067" s="154"/>
      <c r="AT1067" s="150" t="s">
        <v>346</v>
      </c>
      <c r="AU1067" s="150" t="s">
        <v>90</v>
      </c>
      <c r="AV1067" s="148" t="s">
        <v>90</v>
      </c>
      <c r="AW1067" s="148" t="s">
        <v>33</v>
      </c>
      <c r="AX1067" s="148" t="s">
        <v>80</v>
      </c>
      <c r="AY1067" s="150" t="s">
        <v>337</v>
      </c>
    </row>
    <row r="1068" spans="2:65" s="141" customFormat="1" x14ac:dyDescent="0.2">
      <c r="B1068" s="142"/>
      <c r="D1068" s="143" t="s">
        <v>346</v>
      </c>
      <c r="E1068" s="144"/>
      <c r="F1068" s="145" t="s">
        <v>3801</v>
      </c>
      <c r="H1068" s="144"/>
      <c r="L1068" s="142"/>
      <c r="M1068" s="146"/>
      <c r="T1068" s="147"/>
      <c r="AT1068" s="144" t="s">
        <v>346</v>
      </c>
      <c r="AU1068" s="144" t="s">
        <v>90</v>
      </c>
      <c r="AV1068" s="141" t="s">
        <v>87</v>
      </c>
      <c r="AW1068" s="141" t="s">
        <v>33</v>
      </c>
      <c r="AX1068" s="141" t="s">
        <v>80</v>
      </c>
      <c r="AY1068" s="144" t="s">
        <v>337</v>
      </c>
    </row>
    <row r="1069" spans="2:65" s="148" customFormat="1" x14ac:dyDescent="0.2">
      <c r="B1069" s="149"/>
      <c r="D1069" s="143" t="s">
        <v>346</v>
      </c>
      <c r="E1069" s="150"/>
      <c r="F1069" s="151" t="s">
        <v>3802</v>
      </c>
      <c r="H1069" s="152">
        <v>46.35</v>
      </c>
      <c r="L1069" s="149"/>
      <c r="M1069" s="153"/>
      <c r="T1069" s="154"/>
      <c r="AT1069" s="150" t="s">
        <v>346</v>
      </c>
      <c r="AU1069" s="150" t="s">
        <v>90</v>
      </c>
      <c r="AV1069" s="148" t="s">
        <v>90</v>
      </c>
      <c r="AW1069" s="148" t="s">
        <v>33</v>
      </c>
      <c r="AX1069" s="148" t="s">
        <v>80</v>
      </c>
      <c r="AY1069" s="150" t="s">
        <v>337</v>
      </c>
    </row>
    <row r="1070" spans="2:65" s="141" customFormat="1" x14ac:dyDescent="0.2">
      <c r="B1070" s="142"/>
      <c r="D1070" s="143" t="s">
        <v>346</v>
      </c>
      <c r="E1070" s="144"/>
      <c r="F1070" s="145" t="s">
        <v>3803</v>
      </c>
      <c r="H1070" s="144"/>
      <c r="L1070" s="142"/>
      <c r="M1070" s="146"/>
      <c r="T1070" s="147"/>
      <c r="AT1070" s="144" t="s">
        <v>346</v>
      </c>
      <c r="AU1070" s="144" t="s">
        <v>90</v>
      </c>
      <c r="AV1070" s="141" t="s">
        <v>87</v>
      </c>
      <c r="AW1070" s="141" t="s">
        <v>33</v>
      </c>
      <c r="AX1070" s="141" t="s">
        <v>80</v>
      </c>
      <c r="AY1070" s="144" t="s">
        <v>337</v>
      </c>
    </row>
    <row r="1071" spans="2:65" s="148" customFormat="1" x14ac:dyDescent="0.2">
      <c r="B1071" s="149"/>
      <c r="D1071" s="143" t="s">
        <v>346</v>
      </c>
      <c r="E1071" s="150"/>
      <c r="F1071" s="151" t="s">
        <v>3804</v>
      </c>
      <c r="H1071" s="152">
        <v>116.83499999999999</v>
      </c>
      <c r="L1071" s="149"/>
      <c r="M1071" s="153"/>
      <c r="T1071" s="154"/>
      <c r="AT1071" s="150" t="s">
        <v>346</v>
      </c>
      <c r="AU1071" s="150" t="s">
        <v>90</v>
      </c>
      <c r="AV1071" s="148" t="s">
        <v>90</v>
      </c>
      <c r="AW1071" s="148" t="s">
        <v>33</v>
      </c>
      <c r="AX1071" s="148" t="s">
        <v>80</v>
      </c>
      <c r="AY1071" s="150" t="s">
        <v>337</v>
      </c>
    </row>
    <row r="1072" spans="2:65" s="141" customFormat="1" x14ac:dyDescent="0.2">
      <c r="B1072" s="142"/>
      <c r="D1072" s="143" t="s">
        <v>346</v>
      </c>
      <c r="E1072" s="144"/>
      <c r="F1072" s="145" t="s">
        <v>3805</v>
      </c>
      <c r="H1072" s="144"/>
      <c r="L1072" s="142"/>
      <c r="M1072" s="146"/>
      <c r="T1072" s="147"/>
      <c r="AT1072" s="144" t="s">
        <v>346</v>
      </c>
      <c r="AU1072" s="144" t="s">
        <v>90</v>
      </c>
      <c r="AV1072" s="141" t="s">
        <v>87</v>
      </c>
      <c r="AW1072" s="141" t="s">
        <v>33</v>
      </c>
      <c r="AX1072" s="141" t="s">
        <v>80</v>
      </c>
      <c r="AY1072" s="144" t="s">
        <v>337</v>
      </c>
    </row>
    <row r="1073" spans="2:51" s="148" customFormat="1" x14ac:dyDescent="0.2">
      <c r="B1073" s="149"/>
      <c r="D1073" s="143" t="s">
        <v>346</v>
      </c>
      <c r="E1073" s="150"/>
      <c r="F1073" s="151" t="s">
        <v>3806</v>
      </c>
      <c r="H1073" s="152">
        <v>141.148</v>
      </c>
      <c r="L1073" s="149"/>
      <c r="M1073" s="153"/>
      <c r="T1073" s="154"/>
      <c r="AT1073" s="150" t="s">
        <v>346</v>
      </c>
      <c r="AU1073" s="150" t="s">
        <v>90</v>
      </c>
      <c r="AV1073" s="148" t="s">
        <v>90</v>
      </c>
      <c r="AW1073" s="148" t="s">
        <v>33</v>
      </c>
      <c r="AX1073" s="148" t="s">
        <v>80</v>
      </c>
      <c r="AY1073" s="150" t="s">
        <v>337</v>
      </c>
    </row>
    <row r="1074" spans="2:51" s="141" customFormat="1" x14ac:dyDescent="0.2">
      <c r="B1074" s="142"/>
      <c r="D1074" s="143" t="s">
        <v>346</v>
      </c>
      <c r="E1074" s="144"/>
      <c r="F1074" s="145" t="s">
        <v>3807</v>
      </c>
      <c r="H1074" s="144"/>
      <c r="L1074" s="142"/>
      <c r="M1074" s="146"/>
      <c r="T1074" s="147"/>
      <c r="AT1074" s="144" t="s">
        <v>346</v>
      </c>
      <c r="AU1074" s="144" t="s">
        <v>90</v>
      </c>
      <c r="AV1074" s="141" t="s">
        <v>87</v>
      </c>
      <c r="AW1074" s="141" t="s">
        <v>33</v>
      </c>
      <c r="AX1074" s="141" t="s">
        <v>80</v>
      </c>
      <c r="AY1074" s="144" t="s">
        <v>337</v>
      </c>
    </row>
    <row r="1075" spans="2:51" s="148" customFormat="1" x14ac:dyDescent="0.2">
      <c r="B1075" s="149"/>
      <c r="D1075" s="143" t="s">
        <v>346</v>
      </c>
      <c r="E1075" s="150"/>
      <c r="F1075" s="151" t="s">
        <v>80</v>
      </c>
      <c r="H1075" s="152">
        <v>0</v>
      </c>
      <c r="L1075" s="149"/>
      <c r="M1075" s="153"/>
      <c r="T1075" s="154"/>
      <c r="AT1075" s="150" t="s">
        <v>346</v>
      </c>
      <c r="AU1075" s="150" t="s">
        <v>90</v>
      </c>
      <c r="AV1075" s="148" t="s">
        <v>90</v>
      </c>
      <c r="AW1075" s="148" t="s">
        <v>33</v>
      </c>
      <c r="AX1075" s="148" t="s">
        <v>80</v>
      </c>
      <c r="AY1075" s="150" t="s">
        <v>337</v>
      </c>
    </row>
    <row r="1076" spans="2:51" s="141" customFormat="1" x14ac:dyDescent="0.2">
      <c r="B1076" s="142"/>
      <c r="D1076" s="143" t="s">
        <v>346</v>
      </c>
      <c r="E1076" s="144"/>
      <c r="F1076" s="145" t="s">
        <v>3808</v>
      </c>
      <c r="H1076" s="144"/>
      <c r="L1076" s="142"/>
      <c r="M1076" s="146"/>
      <c r="T1076" s="147"/>
      <c r="AT1076" s="144" t="s">
        <v>346</v>
      </c>
      <c r="AU1076" s="144" t="s">
        <v>90</v>
      </c>
      <c r="AV1076" s="141" t="s">
        <v>87</v>
      </c>
      <c r="AW1076" s="141" t="s">
        <v>33</v>
      </c>
      <c r="AX1076" s="141" t="s">
        <v>80</v>
      </c>
      <c r="AY1076" s="144" t="s">
        <v>337</v>
      </c>
    </row>
    <row r="1077" spans="2:51" s="148" customFormat="1" x14ac:dyDescent="0.2">
      <c r="B1077" s="149"/>
      <c r="D1077" s="143" t="s">
        <v>346</v>
      </c>
      <c r="E1077" s="150"/>
      <c r="F1077" s="151" t="s">
        <v>3809</v>
      </c>
      <c r="H1077" s="152">
        <v>17.96</v>
      </c>
      <c r="L1077" s="149"/>
      <c r="M1077" s="153"/>
      <c r="T1077" s="154"/>
      <c r="AT1077" s="150" t="s">
        <v>346</v>
      </c>
      <c r="AU1077" s="150" t="s">
        <v>90</v>
      </c>
      <c r="AV1077" s="148" t="s">
        <v>90</v>
      </c>
      <c r="AW1077" s="148" t="s">
        <v>33</v>
      </c>
      <c r="AX1077" s="148" t="s">
        <v>80</v>
      </c>
      <c r="AY1077" s="150" t="s">
        <v>337</v>
      </c>
    </row>
    <row r="1078" spans="2:51" s="141" customFormat="1" x14ac:dyDescent="0.2">
      <c r="B1078" s="142"/>
      <c r="D1078" s="143" t="s">
        <v>346</v>
      </c>
      <c r="E1078" s="144"/>
      <c r="F1078" s="145" t="s">
        <v>3810</v>
      </c>
      <c r="H1078" s="144"/>
      <c r="L1078" s="142"/>
      <c r="M1078" s="146"/>
      <c r="T1078" s="147"/>
      <c r="AT1078" s="144" t="s">
        <v>346</v>
      </c>
      <c r="AU1078" s="144" t="s">
        <v>90</v>
      </c>
      <c r="AV1078" s="141" t="s">
        <v>87</v>
      </c>
      <c r="AW1078" s="141" t="s">
        <v>33</v>
      </c>
      <c r="AX1078" s="141" t="s">
        <v>80</v>
      </c>
      <c r="AY1078" s="144" t="s">
        <v>337</v>
      </c>
    </row>
    <row r="1079" spans="2:51" s="148" customFormat="1" x14ac:dyDescent="0.2">
      <c r="B1079" s="149"/>
      <c r="D1079" s="143" t="s">
        <v>346</v>
      </c>
      <c r="E1079" s="150"/>
      <c r="F1079" s="151" t="s">
        <v>3811</v>
      </c>
      <c r="H1079" s="152">
        <v>11.289</v>
      </c>
      <c r="L1079" s="149"/>
      <c r="M1079" s="153"/>
      <c r="T1079" s="154"/>
      <c r="AT1079" s="150" t="s">
        <v>346</v>
      </c>
      <c r="AU1079" s="150" t="s">
        <v>90</v>
      </c>
      <c r="AV1079" s="148" t="s">
        <v>90</v>
      </c>
      <c r="AW1079" s="148" t="s">
        <v>33</v>
      </c>
      <c r="AX1079" s="148" t="s">
        <v>80</v>
      </c>
      <c r="AY1079" s="150" t="s">
        <v>337</v>
      </c>
    </row>
    <row r="1080" spans="2:51" s="141" customFormat="1" x14ac:dyDescent="0.2">
      <c r="B1080" s="142"/>
      <c r="D1080" s="143" t="s">
        <v>346</v>
      </c>
      <c r="E1080" s="144"/>
      <c r="F1080" s="145" t="s">
        <v>3812</v>
      </c>
      <c r="H1080" s="144"/>
      <c r="L1080" s="142"/>
      <c r="M1080" s="146"/>
      <c r="T1080" s="147"/>
      <c r="AT1080" s="144" t="s">
        <v>346</v>
      </c>
      <c r="AU1080" s="144" t="s">
        <v>90</v>
      </c>
      <c r="AV1080" s="141" t="s">
        <v>87</v>
      </c>
      <c r="AW1080" s="141" t="s">
        <v>33</v>
      </c>
      <c r="AX1080" s="141" t="s">
        <v>80</v>
      </c>
      <c r="AY1080" s="144" t="s">
        <v>337</v>
      </c>
    </row>
    <row r="1081" spans="2:51" s="148" customFormat="1" x14ac:dyDescent="0.2">
      <c r="B1081" s="149"/>
      <c r="D1081" s="143" t="s">
        <v>346</v>
      </c>
      <c r="E1081" s="150"/>
      <c r="F1081" s="151" t="s">
        <v>3813</v>
      </c>
      <c r="H1081" s="152">
        <v>149.38</v>
      </c>
      <c r="L1081" s="149"/>
      <c r="M1081" s="153"/>
      <c r="T1081" s="154"/>
      <c r="AT1081" s="150" t="s">
        <v>346</v>
      </c>
      <c r="AU1081" s="150" t="s">
        <v>90</v>
      </c>
      <c r="AV1081" s="148" t="s">
        <v>90</v>
      </c>
      <c r="AW1081" s="148" t="s">
        <v>33</v>
      </c>
      <c r="AX1081" s="148" t="s">
        <v>80</v>
      </c>
      <c r="AY1081" s="150" t="s">
        <v>337</v>
      </c>
    </row>
    <row r="1082" spans="2:51" s="141" customFormat="1" x14ac:dyDescent="0.2">
      <c r="B1082" s="142"/>
      <c r="D1082" s="143" t="s">
        <v>346</v>
      </c>
      <c r="E1082" s="144"/>
      <c r="F1082" s="145" t="s">
        <v>3814</v>
      </c>
      <c r="H1082" s="144"/>
      <c r="L1082" s="142"/>
      <c r="M1082" s="146"/>
      <c r="T1082" s="147"/>
      <c r="AT1082" s="144" t="s">
        <v>346</v>
      </c>
      <c r="AU1082" s="144" t="s">
        <v>90</v>
      </c>
      <c r="AV1082" s="141" t="s">
        <v>87</v>
      </c>
      <c r="AW1082" s="141" t="s">
        <v>33</v>
      </c>
      <c r="AX1082" s="141" t="s">
        <v>80</v>
      </c>
      <c r="AY1082" s="144" t="s">
        <v>337</v>
      </c>
    </row>
    <row r="1083" spans="2:51" s="148" customFormat="1" x14ac:dyDescent="0.2">
      <c r="B1083" s="149"/>
      <c r="D1083" s="143" t="s">
        <v>346</v>
      </c>
      <c r="E1083" s="150"/>
      <c r="F1083" s="151" t="s">
        <v>3815</v>
      </c>
      <c r="H1083" s="152">
        <v>24.55</v>
      </c>
      <c r="L1083" s="149"/>
      <c r="M1083" s="153"/>
      <c r="T1083" s="154"/>
      <c r="AT1083" s="150" t="s">
        <v>346</v>
      </c>
      <c r="AU1083" s="150" t="s">
        <v>90</v>
      </c>
      <c r="AV1083" s="148" t="s">
        <v>90</v>
      </c>
      <c r="AW1083" s="148" t="s">
        <v>33</v>
      </c>
      <c r="AX1083" s="148" t="s">
        <v>80</v>
      </c>
      <c r="AY1083" s="150" t="s">
        <v>337</v>
      </c>
    </row>
    <row r="1084" spans="2:51" s="141" customFormat="1" x14ac:dyDescent="0.2">
      <c r="B1084" s="142"/>
      <c r="D1084" s="143" t="s">
        <v>346</v>
      </c>
      <c r="E1084" s="144"/>
      <c r="F1084" s="145" t="s">
        <v>3816</v>
      </c>
      <c r="H1084" s="144"/>
      <c r="L1084" s="142"/>
      <c r="M1084" s="146"/>
      <c r="T1084" s="147"/>
      <c r="AT1084" s="144" t="s">
        <v>346</v>
      </c>
      <c r="AU1084" s="144" t="s">
        <v>90</v>
      </c>
      <c r="AV1084" s="141" t="s">
        <v>87</v>
      </c>
      <c r="AW1084" s="141" t="s">
        <v>33</v>
      </c>
      <c r="AX1084" s="141" t="s">
        <v>80</v>
      </c>
      <c r="AY1084" s="144" t="s">
        <v>337</v>
      </c>
    </row>
    <row r="1085" spans="2:51" s="148" customFormat="1" x14ac:dyDescent="0.2">
      <c r="B1085" s="149"/>
      <c r="D1085" s="143" t="s">
        <v>346</v>
      </c>
      <c r="E1085" s="150"/>
      <c r="F1085" s="151" t="s">
        <v>80</v>
      </c>
      <c r="H1085" s="152">
        <v>0</v>
      </c>
      <c r="L1085" s="149"/>
      <c r="M1085" s="153"/>
      <c r="T1085" s="154"/>
      <c r="AT1085" s="150" t="s">
        <v>346</v>
      </c>
      <c r="AU1085" s="150" t="s">
        <v>90</v>
      </c>
      <c r="AV1085" s="148" t="s">
        <v>90</v>
      </c>
      <c r="AW1085" s="148" t="s">
        <v>33</v>
      </c>
      <c r="AX1085" s="148" t="s">
        <v>80</v>
      </c>
      <c r="AY1085" s="150" t="s">
        <v>337</v>
      </c>
    </row>
    <row r="1086" spans="2:51" s="141" customFormat="1" x14ac:dyDescent="0.2">
      <c r="B1086" s="142"/>
      <c r="D1086" s="143" t="s">
        <v>346</v>
      </c>
      <c r="E1086" s="144"/>
      <c r="F1086" s="145" t="s">
        <v>3817</v>
      </c>
      <c r="H1086" s="144"/>
      <c r="L1086" s="142"/>
      <c r="M1086" s="146"/>
      <c r="T1086" s="147"/>
      <c r="AT1086" s="144" t="s">
        <v>346</v>
      </c>
      <c r="AU1086" s="144" t="s">
        <v>90</v>
      </c>
      <c r="AV1086" s="141" t="s">
        <v>87</v>
      </c>
      <c r="AW1086" s="141" t="s">
        <v>33</v>
      </c>
      <c r="AX1086" s="141" t="s">
        <v>80</v>
      </c>
      <c r="AY1086" s="144" t="s">
        <v>337</v>
      </c>
    </row>
    <row r="1087" spans="2:51" s="148" customFormat="1" x14ac:dyDescent="0.2">
      <c r="B1087" s="149"/>
      <c r="D1087" s="143" t="s">
        <v>346</v>
      </c>
      <c r="E1087" s="150"/>
      <c r="F1087" s="151" t="s">
        <v>3818</v>
      </c>
      <c r="H1087" s="152">
        <v>4.33</v>
      </c>
      <c r="L1087" s="149"/>
      <c r="M1087" s="153"/>
      <c r="T1087" s="154"/>
      <c r="AT1087" s="150" t="s">
        <v>346</v>
      </c>
      <c r="AU1087" s="150" t="s">
        <v>90</v>
      </c>
      <c r="AV1087" s="148" t="s">
        <v>90</v>
      </c>
      <c r="AW1087" s="148" t="s">
        <v>33</v>
      </c>
      <c r="AX1087" s="148" t="s">
        <v>80</v>
      </c>
      <c r="AY1087" s="150" t="s">
        <v>337</v>
      </c>
    </row>
    <row r="1088" spans="2:51" s="141" customFormat="1" x14ac:dyDescent="0.2">
      <c r="B1088" s="142"/>
      <c r="D1088" s="143" t="s">
        <v>346</v>
      </c>
      <c r="E1088" s="144"/>
      <c r="F1088" s="145" t="s">
        <v>3819</v>
      </c>
      <c r="H1088" s="144"/>
      <c r="L1088" s="142"/>
      <c r="M1088" s="146"/>
      <c r="T1088" s="147"/>
      <c r="AT1088" s="144" t="s">
        <v>346</v>
      </c>
      <c r="AU1088" s="144" t="s">
        <v>90</v>
      </c>
      <c r="AV1088" s="141" t="s">
        <v>87</v>
      </c>
      <c r="AW1088" s="141" t="s">
        <v>33</v>
      </c>
      <c r="AX1088" s="141" t="s">
        <v>80</v>
      </c>
      <c r="AY1088" s="144" t="s">
        <v>337</v>
      </c>
    </row>
    <row r="1089" spans="2:65" s="148" customFormat="1" x14ac:dyDescent="0.2">
      <c r="B1089" s="149"/>
      <c r="D1089" s="143" t="s">
        <v>346</v>
      </c>
      <c r="E1089" s="150"/>
      <c r="F1089" s="151" t="s">
        <v>2260</v>
      </c>
      <c r="H1089" s="152">
        <v>1.8</v>
      </c>
      <c r="L1089" s="149"/>
      <c r="M1089" s="153"/>
      <c r="T1089" s="154"/>
      <c r="AT1089" s="150" t="s">
        <v>346</v>
      </c>
      <c r="AU1089" s="150" t="s">
        <v>90</v>
      </c>
      <c r="AV1089" s="148" t="s">
        <v>90</v>
      </c>
      <c r="AW1089" s="148" t="s">
        <v>33</v>
      </c>
      <c r="AX1089" s="148" t="s">
        <v>80</v>
      </c>
      <c r="AY1089" s="150" t="s">
        <v>337</v>
      </c>
    </row>
    <row r="1090" spans="2:65" s="155" customFormat="1" x14ac:dyDescent="0.2">
      <c r="B1090" s="156"/>
      <c r="D1090" s="143" t="s">
        <v>346</v>
      </c>
      <c r="E1090" s="157"/>
      <c r="F1090" s="158" t="s">
        <v>351</v>
      </c>
      <c r="H1090" s="159">
        <v>960.952</v>
      </c>
      <c r="L1090" s="156"/>
      <c r="M1090" s="160"/>
      <c r="T1090" s="161"/>
      <c r="AT1090" s="157" t="s">
        <v>346</v>
      </c>
      <c r="AU1090" s="157" t="s">
        <v>90</v>
      </c>
      <c r="AV1090" s="155" t="s">
        <v>344</v>
      </c>
      <c r="AW1090" s="155" t="s">
        <v>33</v>
      </c>
      <c r="AX1090" s="155" t="s">
        <v>87</v>
      </c>
      <c r="AY1090" s="157" t="s">
        <v>337</v>
      </c>
    </row>
    <row r="1091" spans="2:65" s="16" customFormat="1" ht="16.5" customHeight="1" x14ac:dyDescent="0.2">
      <c r="B1091" s="17"/>
      <c r="C1091" s="128">
        <v>92</v>
      </c>
      <c r="D1091" s="128" t="s">
        <v>339</v>
      </c>
      <c r="E1091" s="129" t="s">
        <v>3820</v>
      </c>
      <c r="F1091" s="130" t="s">
        <v>3821</v>
      </c>
      <c r="G1091" s="131" t="s">
        <v>425</v>
      </c>
      <c r="H1091" s="132">
        <v>4054.9319999999998</v>
      </c>
      <c r="I1091" s="133"/>
      <c r="J1091" s="134">
        <f>ROUND(I1091*H1091,2)</f>
        <v>0</v>
      </c>
      <c r="K1091" s="130" t="s">
        <v>343</v>
      </c>
      <c r="L1091" s="17"/>
      <c r="M1091" s="135"/>
      <c r="N1091" s="136" t="s">
        <v>45</v>
      </c>
      <c r="P1091" s="137">
        <f>O1091*H1091</f>
        <v>0</v>
      </c>
      <c r="Q1091" s="137">
        <v>0</v>
      </c>
      <c r="R1091" s="137">
        <f>Q1091*H1091</f>
        <v>0</v>
      </c>
      <c r="S1091" s="137">
        <v>0</v>
      </c>
      <c r="T1091" s="138">
        <f>S1091*H1091</f>
        <v>0</v>
      </c>
      <c r="AR1091" s="139" t="s">
        <v>344</v>
      </c>
      <c r="AT1091" s="139" t="s">
        <v>339</v>
      </c>
      <c r="AU1091" s="139" t="s">
        <v>90</v>
      </c>
      <c r="AY1091" s="2" t="s">
        <v>337</v>
      </c>
      <c r="BE1091" s="140">
        <f>IF(N1091="základní",J1091,0)</f>
        <v>0</v>
      </c>
      <c r="BF1091" s="140">
        <f>IF(N1091="snížená",J1091,0)</f>
        <v>0</v>
      </c>
      <c r="BG1091" s="140">
        <f>IF(N1091="zákl. přenesená",J1091,0)</f>
        <v>0</v>
      </c>
      <c r="BH1091" s="140">
        <f>IF(N1091="sníž. přenesená",J1091,0)</f>
        <v>0</v>
      </c>
      <c r="BI1091" s="140">
        <f>IF(N1091="nulová",J1091,0)</f>
        <v>0</v>
      </c>
      <c r="BJ1091" s="2" t="s">
        <v>87</v>
      </c>
      <c r="BK1091" s="140">
        <f>ROUND(I1091*H1091,2)</f>
        <v>0</v>
      </c>
      <c r="BL1091" s="2" t="s">
        <v>344</v>
      </c>
      <c r="BM1091" s="139" t="s">
        <v>3822</v>
      </c>
    </row>
    <row r="1092" spans="2:65" s="141" customFormat="1" x14ac:dyDescent="0.2">
      <c r="B1092" s="142"/>
      <c r="D1092" s="143" t="s">
        <v>346</v>
      </c>
      <c r="E1092" s="144"/>
      <c r="F1092" s="145" t="s">
        <v>3823</v>
      </c>
      <c r="H1092" s="144"/>
      <c r="L1092" s="142"/>
      <c r="M1092" s="146"/>
      <c r="T1092" s="147"/>
      <c r="AT1092" s="144" t="s">
        <v>346</v>
      </c>
      <c r="AU1092" s="144" t="s">
        <v>90</v>
      </c>
      <c r="AV1092" s="141" t="s">
        <v>87</v>
      </c>
      <c r="AW1092" s="141" t="s">
        <v>33</v>
      </c>
      <c r="AX1092" s="141" t="s">
        <v>80</v>
      </c>
      <c r="AY1092" s="144" t="s">
        <v>337</v>
      </c>
    </row>
    <row r="1093" spans="2:65" s="148" customFormat="1" x14ac:dyDescent="0.2">
      <c r="B1093" s="149"/>
      <c r="D1093" s="143" t="s">
        <v>346</v>
      </c>
      <c r="E1093" s="150"/>
      <c r="F1093" s="151" t="s">
        <v>3012</v>
      </c>
      <c r="H1093" s="152">
        <v>56.335000000000001</v>
      </c>
      <c r="L1093" s="149"/>
      <c r="M1093" s="153"/>
      <c r="T1093" s="154"/>
      <c r="AT1093" s="150" t="s">
        <v>346</v>
      </c>
      <c r="AU1093" s="150" t="s">
        <v>90</v>
      </c>
      <c r="AV1093" s="148" t="s">
        <v>90</v>
      </c>
      <c r="AW1093" s="148" t="s">
        <v>33</v>
      </c>
      <c r="AX1093" s="148" t="s">
        <v>80</v>
      </c>
      <c r="AY1093" s="150" t="s">
        <v>337</v>
      </c>
    </row>
    <row r="1094" spans="2:65" s="148" customFormat="1" x14ac:dyDescent="0.2">
      <c r="B1094" s="149"/>
      <c r="D1094" s="143" t="s">
        <v>346</v>
      </c>
      <c r="E1094" s="150"/>
      <c r="F1094" s="151" t="s">
        <v>3010</v>
      </c>
      <c r="H1094" s="152">
        <v>239.11500000000001</v>
      </c>
      <c r="L1094" s="149"/>
      <c r="M1094" s="153"/>
      <c r="T1094" s="154"/>
      <c r="AT1094" s="150" t="s">
        <v>346</v>
      </c>
      <c r="AU1094" s="150" t="s">
        <v>90</v>
      </c>
      <c r="AV1094" s="148" t="s">
        <v>90</v>
      </c>
      <c r="AW1094" s="148" t="s">
        <v>33</v>
      </c>
      <c r="AX1094" s="148" t="s">
        <v>80</v>
      </c>
      <c r="AY1094" s="150" t="s">
        <v>337</v>
      </c>
    </row>
    <row r="1095" spans="2:65" s="148" customFormat="1" x14ac:dyDescent="0.2">
      <c r="B1095" s="149"/>
      <c r="D1095" s="143" t="s">
        <v>346</v>
      </c>
      <c r="E1095" s="150"/>
      <c r="F1095" s="151" t="s">
        <v>3004</v>
      </c>
      <c r="H1095" s="152">
        <v>3.95</v>
      </c>
      <c r="L1095" s="149"/>
      <c r="M1095" s="153"/>
      <c r="T1095" s="154"/>
      <c r="AT1095" s="150" t="s">
        <v>346</v>
      </c>
      <c r="AU1095" s="150" t="s">
        <v>90</v>
      </c>
      <c r="AV1095" s="148" t="s">
        <v>90</v>
      </c>
      <c r="AW1095" s="148" t="s">
        <v>33</v>
      </c>
      <c r="AX1095" s="148" t="s">
        <v>80</v>
      </c>
      <c r="AY1095" s="150" t="s">
        <v>337</v>
      </c>
    </row>
    <row r="1096" spans="2:65" s="148" customFormat="1" x14ac:dyDescent="0.2">
      <c r="B1096" s="149"/>
      <c r="D1096" s="143" t="s">
        <v>346</v>
      </c>
      <c r="E1096" s="150"/>
      <c r="F1096" s="151" t="s">
        <v>3008</v>
      </c>
      <c r="H1096" s="152">
        <v>42.542999999999999</v>
      </c>
      <c r="L1096" s="149"/>
      <c r="M1096" s="153"/>
      <c r="T1096" s="154"/>
      <c r="AT1096" s="150" t="s">
        <v>346</v>
      </c>
      <c r="AU1096" s="150" t="s">
        <v>90</v>
      </c>
      <c r="AV1096" s="148" t="s">
        <v>90</v>
      </c>
      <c r="AW1096" s="148" t="s">
        <v>33</v>
      </c>
      <c r="AX1096" s="148" t="s">
        <v>80</v>
      </c>
      <c r="AY1096" s="150" t="s">
        <v>337</v>
      </c>
    </row>
    <row r="1097" spans="2:65" s="148" customFormat="1" x14ac:dyDescent="0.2">
      <c r="B1097" s="149"/>
      <c r="D1097" s="143" t="s">
        <v>346</v>
      </c>
      <c r="E1097" s="150"/>
      <c r="F1097" s="151" t="s">
        <v>3000</v>
      </c>
      <c r="H1097" s="152">
        <v>140.36000000000001</v>
      </c>
      <c r="L1097" s="149"/>
      <c r="M1097" s="153"/>
      <c r="T1097" s="154"/>
      <c r="AT1097" s="150" t="s">
        <v>346</v>
      </c>
      <c r="AU1097" s="150" t="s">
        <v>90</v>
      </c>
      <c r="AV1097" s="148" t="s">
        <v>90</v>
      </c>
      <c r="AW1097" s="148" t="s">
        <v>33</v>
      </c>
      <c r="AX1097" s="148" t="s">
        <v>80</v>
      </c>
      <c r="AY1097" s="150" t="s">
        <v>337</v>
      </c>
    </row>
    <row r="1098" spans="2:65" s="148" customFormat="1" x14ac:dyDescent="0.2">
      <c r="B1098" s="149"/>
      <c r="D1098" s="143" t="s">
        <v>346</v>
      </c>
      <c r="E1098" s="150"/>
      <c r="F1098" s="151" t="s">
        <v>3002</v>
      </c>
      <c r="H1098" s="152">
        <v>2545.8339999999998</v>
      </c>
      <c r="L1098" s="149"/>
      <c r="M1098" s="153"/>
      <c r="T1098" s="154"/>
      <c r="AT1098" s="150" t="s">
        <v>346</v>
      </c>
      <c r="AU1098" s="150" t="s">
        <v>90</v>
      </c>
      <c r="AV1098" s="148" t="s">
        <v>90</v>
      </c>
      <c r="AW1098" s="148" t="s">
        <v>33</v>
      </c>
      <c r="AX1098" s="148" t="s">
        <v>80</v>
      </c>
      <c r="AY1098" s="150" t="s">
        <v>337</v>
      </c>
    </row>
    <row r="1099" spans="2:65" s="148" customFormat="1" x14ac:dyDescent="0.2">
      <c r="B1099" s="149"/>
      <c r="D1099" s="143" t="s">
        <v>346</v>
      </c>
      <c r="E1099" s="150"/>
      <c r="F1099" s="151" t="s">
        <v>2998</v>
      </c>
      <c r="H1099" s="152">
        <v>342.56200000000001</v>
      </c>
      <c r="L1099" s="149"/>
      <c r="M1099" s="153"/>
      <c r="T1099" s="154"/>
      <c r="AT1099" s="150" t="s">
        <v>346</v>
      </c>
      <c r="AU1099" s="150" t="s">
        <v>90</v>
      </c>
      <c r="AV1099" s="148" t="s">
        <v>90</v>
      </c>
      <c r="AW1099" s="148" t="s">
        <v>33</v>
      </c>
      <c r="AX1099" s="148" t="s">
        <v>80</v>
      </c>
      <c r="AY1099" s="150" t="s">
        <v>337</v>
      </c>
    </row>
    <row r="1100" spans="2:65" s="148" customFormat="1" x14ac:dyDescent="0.2">
      <c r="B1100" s="149"/>
      <c r="D1100" s="143" t="s">
        <v>346</v>
      </c>
      <c r="E1100" s="150"/>
      <c r="F1100" s="151" t="s">
        <v>3027</v>
      </c>
      <c r="H1100" s="152">
        <v>101.66</v>
      </c>
      <c r="L1100" s="149"/>
      <c r="M1100" s="153"/>
      <c r="T1100" s="154"/>
      <c r="AT1100" s="150" t="s">
        <v>346</v>
      </c>
      <c r="AU1100" s="150" t="s">
        <v>90</v>
      </c>
      <c r="AV1100" s="148" t="s">
        <v>90</v>
      </c>
      <c r="AW1100" s="148" t="s">
        <v>33</v>
      </c>
      <c r="AX1100" s="148" t="s">
        <v>80</v>
      </c>
      <c r="AY1100" s="150" t="s">
        <v>337</v>
      </c>
    </row>
    <row r="1101" spans="2:65" s="148" customFormat="1" x14ac:dyDescent="0.2">
      <c r="B1101" s="149"/>
      <c r="D1101" s="143" t="s">
        <v>346</v>
      </c>
      <c r="E1101" s="150"/>
      <c r="F1101" s="151" t="s">
        <v>3029</v>
      </c>
      <c r="H1101" s="152">
        <v>380.00200000000001</v>
      </c>
      <c r="L1101" s="149"/>
      <c r="M1101" s="153"/>
      <c r="T1101" s="154"/>
      <c r="AT1101" s="150" t="s">
        <v>346</v>
      </c>
      <c r="AU1101" s="150" t="s">
        <v>90</v>
      </c>
      <c r="AV1101" s="148" t="s">
        <v>90</v>
      </c>
      <c r="AW1101" s="148" t="s">
        <v>33</v>
      </c>
      <c r="AX1101" s="148" t="s">
        <v>80</v>
      </c>
      <c r="AY1101" s="150" t="s">
        <v>337</v>
      </c>
    </row>
    <row r="1102" spans="2:65" s="148" customFormat="1" x14ac:dyDescent="0.2">
      <c r="B1102" s="149"/>
      <c r="D1102" s="143" t="s">
        <v>346</v>
      </c>
      <c r="E1102" s="150"/>
      <c r="F1102" s="151" t="s">
        <v>3368</v>
      </c>
      <c r="H1102" s="152">
        <v>202.571</v>
      </c>
      <c r="L1102" s="149"/>
      <c r="M1102" s="153"/>
      <c r="T1102" s="154"/>
      <c r="AT1102" s="150" t="s">
        <v>346</v>
      </c>
      <c r="AU1102" s="150" t="s">
        <v>90</v>
      </c>
      <c r="AV1102" s="148" t="s">
        <v>90</v>
      </c>
      <c r="AW1102" s="148" t="s">
        <v>33</v>
      </c>
      <c r="AX1102" s="148" t="s">
        <v>80</v>
      </c>
      <c r="AY1102" s="150" t="s">
        <v>337</v>
      </c>
    </row>
    <row r="1103" spans="2:65" s="155" customFormat="1" x14ac:dyDescent="0.2">
      <c r="B1103" s="156"/>
      <c r="D1103" s="143" t="s">
        <v>346</v>
      </c>
      <c r="E1103" s="157"/>
      <c r="F1103" s="158" t="s">
        <v>351</v>
      </c>
      <c r="H1103" s="159">
        <v>4054.9319999999998</v>
      </c>
      <c r="L1103" s="156"/>
      <c r="M1103" s="160"/>
      <c r="T1103" s="161"/>
      <c r="AT1103" s="157" t="s">
        <v>346</v>
      </c>
      <c r="AU1103" s="157" t="s">
        <v>90</v>
      </c>
      <c r="AV1103" s="155" t="s">
        <v>344</v>
      </c>
      <c r="AW1103" s="155" t="s">
        <v>33</v>
      </c>
      <c r="AX1103" s="155" t="s">
        <v>87</v>
      </c>
      <c r="AY1103" s="157" t="s">
        <v>337</v>
      </c>
    </row>
    <row r="1104" spans="2:65" s="16" customFormat="1" ht="16.5" customHeight="1" x14ac:dyDescent="0.2">
      <c r="B1104" s="17"/>
      <c r="C1104" s="128">
        <v>93</v>
      </c>
      <c r="D1104" s="128" t="s">
        <v>339</v>
      </c>
      <c r="E1104" s="129" t="s">
        <v>3824</v>
      </c>
      <c r="F1104" s="130" t="s">
        <v>3825</v>
      </c>
      <c r="G1104" s="131" t="s">
        <v>425</v>
      </c>
      <c r="H1104" s="132">
        <v>7.75</v>
      </c>
      <c r="I1104" s="133"/>
      <c r="J1104" s="134">
        <f>ROUND(I1104*H1104,2)</f>
        <v>0</v>
      </c>
      <c r="K1104" s="130" t="s">
        <v>343</v>
      </c>
      <c r="L1104" s="17"/>
      <c r="M1104" s="135"/>
      <c r="N1104" s="136" t="s">
        <v>45</v>
      </c>
      <c r="P1104" s="137">
        <f>O1104*H1104</f>
        <v>0</v>
      </c>
      <c r="Q1104" s="137">
        <v>0.18048</v>
      </c>
      <c r="R1104" s="137">
        <f>Q1104*H1104</f>
        <v>1.39872</v>
      </c>
      <c r="S1104" s="137">
        <v>0</v>
      </c>
      <c r="T1104" s="138">
        <f>S1104*H1104</f>
        <v>0</v>
      </c>
      <c r="AR1104" s="139" t="s">
        <v>344</v>
      </c>
      <c r="AT1104" s="139" t="s">
        <v>339</v>
      </c>
      <c r="AU1104" s="139" t="s">
        <v>90</v>
      </c>
      <c r="AY1104" s="2" t="s">
        <v>337</v>
      </c>
      <c r="BE1104" s="140">
        <f>IF(N1104="základní",J1104,0)</f>
        <v>0</v>
      </c>
      <c r="BF1104" s="140">
        <f>IF(N1104="snížená",J1104,0)</f>
        <v>0</v>
      </c>
      <c r="BG1104" s="140">
        <f>IF(N1104="zákl. přenesená",J1104,0)</f>
        <v>0</v>
      </c>
      <c r="BH1104" s="140">
        <f>IF(N1104="sníž. přenesená",J1104,0)</f>
        <v>0</v>
      </c>
      <c r="BI1104" s="140">
        <f>IF(N1104="nulová",J1104,0)</f>
        <v>0</v>
      </c>
      <c r="BJ1104" s="2" t="s">
        <v>87</v>
      </c>
      <c r="BK1104" s="140">
        <f>ROUND(I1104*H1104,2)</f>
        <v>0</v>
      </c>
      <c r="BL1104" s="2" t="s">
        <v>344</v>
      </c>
      <c r="BM1104" s="139" t="s">
        <v>3826</v>
      </c>
    </row>
    <row r="1105" spans="2:65" s="141" customFormat="1" x14ac:dyDescent="0.2">
      <c r="B1105" s="142"/>
      <c r="D1105" s="143" t="s">
        <v>346</v>
      </c>
      <c r="E1105" s="144"/>
      <c r="F1105" s="145" t="s">
        <v>3827</v>
      </c>
      <c r="H1105" s="144"/>
      <c r="L1105" s="142"/>
      <c r="M1105" s="146"/>
      <c r="T1105" s="147"/>
      <c r="AT1105" s="144" t="s">
        <v>346</v>
      </c>
      <c r="AU1105" s="144" t="s">
        <v>90</v>
      </c>
      <c r="AV1105" s="141" t="s">
        <v>87</v>
      </c>
      <c r="AW1105" s="141" t="s">
        <v>33</v>
      </c>
      <c r="AX1105" s="141" t="s">
        <v>80</v>
      </c>
      <c r="AY1105" s="144" t="s">
        <v>337</v>
      </c>
    </row>
    <row r="1106" spans="2:65" s="141" customFormat="1" x14ac:dyDescent="0.2">
      <c r="B1106" s="142"/>
      <c r="D1106" s="143" t="s">
        <v>346</v>
      </c>
      <c r="E1106" s="144"/>
      <c r="F1106" s="145" t="s">
        <v>3828</v>
      </c>
      <c r="H1106" s="144"/>
      <c r="L1106" s="142"/>
      <c r="M1106" s="146"/>
      <c r="T1106" s="147"/>
      <c r="AT1106" s="144" t="s">
        <v>346</v>
      </c>
      <c r="AU1106" s="144" t="s">
        <v>90</v>
      </c>
      <c r="AV1106" s="141" t="s">
        <v>87</v>
      </c>
      <c r="AW1106" s="141" t="s">
        <v>33</v>
      </c>
      <c r="AX1106" s="141" t="s">
        <v>80</v>
      </c>
      <c r="AY1106" s="144" t="s">
        <v>337</v>
      </c>
    </row>
    <row r="1107" spans="2:65" s="148" customFormat="1" x14ac:dyDescent="0.2">
      <c r="B1107" s="149"/>
      <c r="D1107" s="143" t="s">
        <v>346</v>
      </c>
      <c r="E1107" s="150"/>
      <c r="F1107" s="151" t="s">
        <v>80</v>
      </c>
      <c r="H1107" s="152">
        <v>0</v>
      </c>
      <c r="L1107" s="149"/>
      <c r="M1107" s="153"/>
      <c r="T1107" s="154"/>
      <c r="AT1107" s="150" t="s">
        <v>346</v>
      </c>
      <c r="AU1107" s="150" t="s">
        <v>90</v>
      </c>
      <c r="AV1107" s="148" t="s">
        <v>90</v>
      </c>
      <c r="AW1107" s="148" t="s">
        <v>33</v>
      </c>
      <c r="AX1107" s="148" t="s">
        <v>80</v>
      </c>
      <c r="AY1107" s="150" t="s">
        <v>337</v>
      </c>
    </row>
    <row r="1108" spans="2:65" s="141" customFormat="1" x14ac:dyDescent="0.2">
      <c r="B1108" s="142"/>
      <c r="D1108" s="143" t="s">
        <v>346</v>
      </c>
      <c r="E1108" s="144"/>
      <c r="F1108" s="145" t="s">
        <v>3829</v>
      </c>
      <c r="H1108" s="144"/>
      <c r="L1108" s="142"/>
      <c r="M1108" s="146"/>
      <c r="T1108" s="147"/>
      <c r="AT1108" s="144" t="s">
        <v>346</v>
      </c>
      <c r="AU1108" s="144" t="s">
        <v>90</v>
      </c>
      <c r="AV1108" s="141" t="s">
        <v>87</v>
      </c>
      <c r="AW1108" s="141" t="s">
        <v>33</v>
      </c>
      <c r="AX1108" s="141" t="s">
        <v>80</v>
      </c>
      <c r="AY1108" s="144" t="s">
        <v>337</v>
      </c>
    </row>
    <row r="1109" spans="2:65" s="148" customFormat="1" x14ac:dyDescent="0.2">
      <c r="B1109" s="149"/>
      <c r="D1109" s="143" t="s">
        <v>346</v>
      </c>
      <c r="E1109" s="150"/>
      <c r="F1109" s="151" t="s">
        <v>3830</v>
      </c>
      <c r="H1109" s="152">
        <v>7.75</v>
      </c>
      <c r="L1109" s="149"/>
      <c r="M1109" s="153"/>
      <c r="T1109" s="154"/>
      <c r="AT1109" s="150" t="s">
        <v>346</v>
      </c>
      <c r="AU1109" s="150" t="s">
        <v>90</v>
      </c>
      <c r="AV1109" s="148" t="s">
        <v>90</v>
      </c>
      <c r="AW1109" s="148" t="s">
        <v>33</v>
      </c>
      <c r="AX1109" s="148" t="s">
        <v>80</v>
      </c>
      <c r="AY1109" s="150" t="s">
        <v>337</v>
      </c>
    </row>
    <row r="1110" spans="2:65" s="172" customFormat="1" x14ac:dyDescent="0.2">
      <c r="B1110" s="173"/>
      <c r="D1110" s="143" t="s">
        <v>346</v>
      </c>
      <c r="E1110" s="174" t="s">
        <v>3016</v>
      </c>
      <c r="F1110" s="175" t="s">
        <v>609</v>
      </c>
      <c r="H1110" s="176">
        <v>7.75</v>
      </c>
      <c r="L1110" s="173"/>
      <c r="M1110" s="177"/>
      <c r="T1110" s="178"/>
      <c r="AT1110" s="174" t="s">
        <v>346</v>
      </c>
      <c r="AU1110" s="174" t="s">
        <v>90</v>
      </c>
      <c r="AV1110" s="172" t="s">
        <v>113</v>
      </c>
      <c r="AW1110" s="172" t="s">
        <v>33</v>
      </c>
      <c r="AX1110" s="172" t="s">
        <v>87</v>
      </c>
      <c r="AY1110" s="174" t="s">
        <v>337</v>
      </c>
    </row>
    <row r="1111" spans="2:65" s="116" customFormat="1" ht="22.9" customHeight="1" x14ac:dyDescent="0.2">
      <c r="B1111" s="117"/>
      <c r="D1111" s="118" t="s">
        <v>79</v>
      </c>
      <c r="E1111" s="126" t="s">
        <v>452</v>
      </c>
      <c r="F1111" s="126" t="s">
        <v>869</v>
      </c>
      <c r="J1111" s="127">
        <f>BK1111</f>
        <v>0</v>
      </c>
      <c r="L1111" s="117"/>
      <c r="M1111" s="121"/>
      <c r="P1111" s="122">
        <f>SUM(P1112:P1128)</f>
        <v>0</v>
      </c>
      <c r="R1111" s="122">
        <f>SUM(R1112:R1128)</f>
        <v>17.833899200000001</v>
      </c>
      <c r="T1111" s="123">
        <f>SUM(T1112:T1128)</f>
        <v>0</v>
      </c>
      <c r="AR1111" s="118" t="s">
        <v>87</v>
      </c>
      <c r="AT1111" s="124" t="s">
        <v>79</v>
      </c>
      <c r="AU1111" s="124" t="s">
        <v>87</v>
      </c>
      <c r="AY1111" s="118" t="s">
        <v>337</v>
      </c>
      <c r="BK1111" s="125">
        <f>SUM(BK1112:BK1128)</f>
        <v>0</v>
      </c>
    </row>
    <row r="1112" spans="2:65" s="16" customFormat="1" ht="16.5" customHeight="1" x14ac:dyDescent="0.2">
      <c r="B1112" s="17"/>
      <c r="C1112" s="128">
        <v>94</v>
      </c>
      <c r="D1112" s="128" t="s">
        <v>339</v>
      </c>
      <c r="E1112" s="129" t="s">
        <v>3831</v>
      </c>
      <c r="F1112" s="130" t="s">
        <v>3832</v>
      </c>
      <c r="G1112" s="131" t="s">
        <v>724</v>
      </c>
      <c r="H1112" s="132">
        <v>95.5</v>
      </c>
      <c r="I1112" s="133"/>
      <c r="J1112" s="134">
        <f>ROUND(I1112*H1112,2)</f>
        <v>0</v>
      </c>
      <c r="K1112" s="130" t="s">
        <v>343</v>
      </c>
      <c r="L1112" s="17"/>
      <c r="M1112" s="135"/>
      <c r="N1112" s="136" t="s">
        <v>45</v>
      </c>
      <c r="P1112" s="137">
        <f>O1112*H1112</f>
        <v>0</v>
      </c>
      <c r="Q1112" s="137">
        <v>0.1295</v>
      </c>
      <c r="R1112" s="137">
        <f>Q1112*H1112</f>
        <v>12.36725</v>
      </c>
      <c r="S1112" s="137">
        <v>0</v>
      </c>
      <c r="T1112" s="138">
        <f>S1112*H1112</f>
        <v>0</v>
      </c>
      <c r="AR1112" s="139" t="s">
        <v>344</v>
      </c>
      <c r="AT1112" s="139" t="s">
        <v>339</v>
      </c>
      <c r="AU1112" s="139" t="s">
        <v>90</v>
      </c>
      <c r="AY1112" s="2" t="s">
        <v>337</v>
      </c>
      <c r="BE1112" s="140">
        <f>IF(N1112="základní",J1112,0)</f>
        <v>0</v>
      </c>
      <c r="BF1112" s="140">
        <f>IF(N1112="snížená",J1112,0)</f>
        <v>0</v>
      </c>
      <c r="BG1112" s="140">
        <f>IF(N1112="zákl. přenesená",J1112,0)</f>
        <v>0</v>
      </c>
      <c r="BH1112" s="140">
        <f>IF(N1112="sníž. přenesená",J1112,0)</f>
        <v>0</v>
      </c>
      <c r="BI1112" s="140">
        <f>IF(N1112="nulová",J1112,0)</f>
        <v>0</v>
      </c>
      <c r="BJ1112" s="2" t="s">
        <v>87</v>
      </c>
      <c r="BK1112" s="140">
        <f>ROUND(I1112*H1112,2)</f>
        <v>0</v>
      </c>
      <c r="BL1112" s="2" t="s">
        <v>344</v>
      </c>
      <c r="BM1112" s="139" t="s">
        <v>3833</v>
      </c>
    </row>
    <row r="1113" spans="2:65" s="141" customFormat="1" x14ac:dyDescent="0.2">
      <c r="B1113" s="142"/>
      <c r="D1113" s="143" t="s">
        <v>346</v>
      </c>
      <c r="E1113" s="144"/>
      <c r="F1113" s="145" t="s">
        <v>3834</v>
      </c>
      <c r="H1113" s="144"/>
      <c r="L1113" s="142"/>
      <c r="M1113" s="146"/>
      <c r="T1113" s="147"/>
      <c r="AT1113" s="144" t="s">
        <v>346</v>
      </c>
      <c r="AU1113" s="144" t="s">
        <v>90</v>
      </c>
      <c r="AV1113" s="141" t="s">
        <v>87</v>
      </c>
      <c r="AW1113" s="141" t="s">
        <v>33</v>
      </c>
      <c r="AX1113" s="141" t="s">
        <v>80</v>
      </c>
      <c r="AY1113" s="144" t="s">
        <v>337</v>
      </c>
    </row>
    <row r="1114" spans="2:65" s="141" customFormat="1" x14ac:dyDescent="0.2">
      <c r="B1114" s="142"/>
      <c r="D1114" s="143" t="s">
        <v>346</v>
      </c>
      <c r="E1114" s="144"/>
      <c r="F1114" s="145" t="s">
        <v>3835</v>
      </c>
      <c r="H1114" s="144"/>
      <c r="L1114" s="142"/>
      <c r="M1114" s="146"/>
      <c r="T1114" s="147"/>
      <c r="AT1114" s="144" t="s">
        <v>346</v>
      </c>
      <c r="AU1114" s="144" t="s">
        <v>90</v>
      </c>
      <c r="AV1114" s="141" t="s">
        <v>87</v>
      </c>
      <c r="AW1114" s="141" t="s">
        <v>33</v>
      </c>
      <c r="AX1114" s="141" t="s">
        <v>80</v>
      </c>
      <c r="AY1114" s="144" t="s">
        <v>337</v>
      </c>
    </row>
    <row r="1115" spans="2:65" s="148" customFormat="1" x14ac:dyDescent="0.2">
      <c r="B1115" s="149"/>
      <c r="D1115" s="143" t="s">
        <v>346</v>
      </c>
      <c r="E1115" s="150"/>
      <c r="F1115" s="151" t="s">
        <v>3836</v>
      </c>
      <c r="H1115" s="152">
        <v>76</v>
      </c>
      <c r="L1115" s="149"/>
      <c r="M1115" s="153"/>
      <c r="T1115" s="154"/>
      <c r="AT1115" s="150" t="s">
        <v>346</v>
      </c>
      <c r="AU1115" s="150" t="s">
        <v>90</v>
      </c>
      <c r="AV1115" s="148" t="s">
        <v>90</v>
      </c>
      <c r="AW1115" s="148" t="s">
        <v>33</v>
      </c>
      <c r="AX1115" s="148" t="s">
        <v>80</v>
      </c>
      <c r="AY1115" s="150" t="s">
        <v>337</v>
      </c>
    </row>
    <row r="1116" spans="2:65" s="141" customFormat="1" x14ac:dyDescent="0.2">
      <c r="B1116" s="142"/>
      <c r="D1116" s="143" t="s">
        <v>346</v>
      </c>
      <c r="E1116" s="144"/>
      <c r="F1116" s="145" t="s">
        <v>3829</v>
      </c>
      <c r="H1116" s="144"/>
      <c r="L1116" s="142"/>
      <c r="M1116" s="146"/>
      <c r="T1116" s="147"/>
      <c r="AT1116" s="144" t="s">
        <v>346</v>
      </c>
      <c r="AU1116" s="144" t="s">
        <v>90</v>
      </c>
      <c r="AV1116" s="141" t="s">
        <v>87</v>
      </c>
      <c r="AW1116" s="141" t="s">
        <v>33</v>
      </c>
      <c r="AX1116" s="141" t="s">
        <v>80</v>
      </c>
      <c r="AY1116" s="144" t="s">
        <v>337</v>
      </c>
    </row>
    <row r="1117" spans="2:65" s="148" customFormat="1" x14ac:dyDescent="0.2">
      <c r="B1117" s="149"/>
      <c r="D1117" s="143" t="s">
        <v>346</v>
      </c>
      <c r="E1117" s="150"/>
      <c r="F1117" s="151" t="s">
        <v>3837</v>
      </c>
      <c r="H1117" s="152">
        <v>15.5</v>
      </c>
      <c r="L1117" s="149"/>
      <c r="M1117" s="153"/>
      <c r="T1117" s="154"/>
      <c r="AT1117" s="150" t="s">
        <v>346</v>
      </c>
      <c r="AU1117" s="150" t="s">
        <v>90</v>
      </c>
      <c r="AV1117" s="148" t="s">
        <v>90</v>
      </c>
      <c r="AW1117" s="148" t="s">
        <v>33</v>
      </c>
      <c r="AX1117" s="148" t="s">
        <v>80</v>
      </c>
      <c r="AY1117" s="150" t="s">
        <v>337</v>
      </c>
    </row>
    <row r="1118" spans="2:65" s="141" customFormat="1" ht="22.5" x14ac:dyDescent="0.2">
      <c r="B1118" s="142"/>
      <c r="D1118" s="143" t="s">
        <v>346</v>
      </c>
      <c r="E1118" s="144"/>
      <c r="F1118" s="145" t="s">
        <v>3838</v>
      </c>
      <c r="H1118" s="144"/>
      <c r="L1118" s="142"/>
      <c r="M1118" s="146"/>
      <c r="T1118" s="147"/>
      <c r="AT1118" s="144" t="s">
        <v>346</v>
      </c>
      <c r="AU1118" s="144" t="s">
        <v>90</v>
      </c>
      <c r="AV1118" s="141" t="s">
        <v>87</v>
      </c>
      <c r="AW1118" s="141" t="s">
        <v>33</v>
      </c>
      <c r="AX1118" s="141" t="s">
        <v>80</v>
      </c>
      <c r="AY1118" s="144" t="s">
        <v>337</v>
      </c>
    </row>
    <row r="1119" spans="2:65" s="148" customFormat="1" x14ac:dyDescent="0.2">
      <c r="B1119" s="149"/>
      <c r="D1119" s="143" t="s">
        <v>346</v>
      </c>
      <c r="E1119" s="150"/>
      <c r="F1119" s="151" t="s">
        <v>3839</v>
      </c>
      <c r="H1119" s="152">
        <v>4</v>
      </c>
      <c r="L1119" s="149"/>
      <c r="M1119" s="153"/>
      <c r="T1119" s="154"/>
      <c r="AT1119" s="150" t="s">
        <v>346</v>
      </c>
      <c r="AU1119" s="150" t="s">
        <v>90</v>
      </c>
      <c r="AV1119" s="148" t="s">
        <v>90</v>
      </c>
      <c r="AW1119" s="148" t="s">
        <v>33</v>
      </c>
      <c r="AX1119" s="148" t="s">
        <v>80</v>
      </c>
      <c r="AY1119" s="150" t="s">
        <v>337</v>
      </c>
    </row>
    <row r="1120" spans="2:65" s="155" customFormat="1" x14ac:dyDescent="0.2">
      <c r="B1120" s="156"/>
      <c r="D1120" s="143" t="s">
        <v>346</v>
      </c>
      <c r="E1120" s="157"/>
      <c r="F1120" s="158" t="s">
        <v>351</v>
      </c>
      <c r="H1120" s="159">
        <v>95.5</v>
      </c>
      <c r="L1120" s="156"/>
      <c r="M1120" s="160"/>
      <c r="T1120" s="161"/>
      <c r="AT1120" s="157" t="s">
        <v>346</v>
      </c>
      <c r="AU1120" s="157" t="s">
        <v>90</v>
      </c>
      <c r="AV1120" s="155" t="s">
        <v>344</v>
      </c>
      <c r="AW1120" s="155" t="s">
        <v>33</v>
      </c>
      <c r="AX1120" s="155" t="s">
        <v>87</v>
      </c>
      <c r="AY1120" s="157" t="s">
        <v>337</v>
      </c>
    </row>
    <row r="1121" spans="2:65" s="16" customFormat="1" ht="16.5" customHeight="1" x14ac:dyDescent="0.2">
      <c r="B1121" s="17"/>
      <c r="C1121" s="162">
        <v>95</v>
      </c>
      <c r="D1121" s="162" t="s">
        <v>519</v>
      </c>
      <c r="E1121" s="163" t="s">
        <v>3840</v>
      </c>
      <c r="F1121" s="164" t="s">
        <v>3841</v>
      </c>
      <c r="G1121" s="165" t="s">
        <v>724</v>
      </c>
      <c r="H1121" s="166">
        <v>97.41</v>
      </c>
      <c r="I1121" s="167"/>
      <c r="J1121" s="168">
        <f>ROUND(I1121*H1121,2)</f>
        <v>0</v>
      </c>
      <c r="K1121" s="164" t="s">
        <v>343</v>
      </c>
      <c r="L1121" s="169"/>
      <c r="M1121" s="170"/>
      <c r="N1121" s="171" t="s">
        <v>45</v>
      </c>
      <c r="P1121" s="137">
        <f>O1121*H1121</f>
        <v>0</v>
      </c>
      <c r="Q1121" s="137">
        <v>5.6120000000000003E-2</v>
      </c>
      <c r="R1121" s="137">
        <f>Q1121*H1121</f>
        <v>5.4666492</v>
      </c>
      <c r="S1121" s="137">
        <v>0</v>
      </c>
      <c r="T1121" s="138">
        <f>S1121*H1121</f>
        <v>0</v>
      </c>
      <c r="AR1121" s="139" t="s">
        <v>446</v>
      </c>
      <c r="AT1121" s="139" t="s">
        <v>519</v>
      </c>
      <c r="AU1121" s="139" t="s">
        <v>90</v>
      </c>
      <c r="AY1121" s="2" t="s">
        <v>337</v>
      </c>
      <c r="BE1121" s="140">
        <f>IF(N1121="základní",J1121,0)</f>
        <v>0</v>
      </c>
      <c r="BF1121" s="140">
        <f>IF(N1121="snížená",J1121,0)</f>
        <v>0</v>
      </c>
      <c r="BG1121" s="140">
        <f>IF(N1121="zákl. přenesená",J1121,0)</f>
        <v>0</v>
      </c>
      <c r="BH1121" s="140">
        <f>IF(N1121="sníž. přenesená",J1121,0)</f>
        <v>0</v>
      </c>
      <c r="BI1121" s="140">
        <f>IF(N1121="nulová",J1121,0)</f>
        <v>0</v>
      </c>
      <c r="BJ1121" s="2" t="s">
        <v>87</v>
      </c>
      <c r="BK1121" s="140">
        <f>ROUND(I1121*H1121,2)</f>
        <v>0</v>
      </c>
      <c r="BL1121" s="2" t="s">
        <v>344</v>
      </c>
      <c r="BM1121" s="139" t="s">
        <v>3842</v>
      </c>
    </row>
    <row r="1122" spans="2:65" s="148" customFormat="1" x14ac:dyDescent="0.2">
      <c r="B1122" s="149"/>
      <c r="D1122" s="143" t="s">
        <v>346</v>
      </c>
      <c r="F1122" s="151" t="s">
        <v>3843</v>
      </c>
      <c r="H1122" s="152">
        <v>97.41</v>
      </c>
      <c r="L1122" s="149"/>
      <c r="M1122" s="153"/>
      <c r="T1122" s="154"/>
      <c r="AT1122" s="150" t="s">
        <v>346</v>
      </c>
      <c r="AU1122" s="150" t="s">
        <v>90</v>
      </c>
      <c r="AV1122" s="148" t="s">
        <v>90</v>
      </c>
      <c r="AW1122" s="148" t="s">
        <v>3</v>
      </c>
      <c r="AX1122" s="148" t="s">
        <v>87</v>
      </c>
      <c r="AY1122" s="150" t="s">
        <v>337</v>
      </c>
    </row>
    <row r="1123" spans="2:65" s="16" customFormat="1" ht="16.5" customHeight="1" x14ac:dyDescent="0.2">
      <c r="B1123" s="17"/>
      <c r="C1123" s="128">
        <v>96</v>
      </c>
      <c r="D1123" s="128" t="s">
        <v>339</v>
      </c>
      <c r="E1123" s="129" t="s">
        <v>3844</v>
      </c>
      <c r="F1123" s="130" t="s">
        <v>3845</v>
      </c>
      <c r="G1123" s="131" t="s">
        <v>724</v>
      </c>
      <c r="H1123" s="132">
        <v>19.399999999999999</v>
      </c>
      <c r="I1123" s="133"/>
      <c r="J1123" s="134">
        <f>ROUND(I1123*H1123,2)</f>
        <v>0</v>
      </c>
      <c r="K1123" s="130" t="s">
        <v>343</v>
      </c>
      <c r="L1123" s="17"/>
      <c r="M1123" s="135"/>
      <c r="N1123" s="136" t="s">
        <v>45</v>
      </c>
      <c r="P1123" s="137">
        <f>O1123*H1123</f>
        <v>0</v>
      </c>
      <c r="Q1123" s="137">
        <v>0</v>
      </c>
      <c r="R1123" s="137">
        <f>Q1123*H1123</f>
        <v>0</v>
      </c>
      <c r="S1123" s="137">
        <v>0</v>
      </c>
      <c r="T1123" s="138">
        <f>S1123*H1123</f>
        <v>0</v>
      </c>
      <c r="AR1123" s="139" t="s">
        <v>344</v>
      </c>
      <c r="AT1123" s="139" t="s">
        <v>339</v>
      </c>
      <c r="AU1123" s="139" t="s">
        <v>90</v>
      </c>
      <c r="AY1123" s="2" t="s">
        <v>337</v>
      </c>
      <c r="BE1123" s="140">
        <f>IF(N1123="základní",J1123,0)</f>
        <v>0</v>
      </c>
      <c r="BF1123" s="140">
        <f>IF(N1123="snížená",J1123,0)</f>
        <v>0</v>
      </c>
      <c r="BG1123" s="140">
        <f>IF(N1123="zákl. přenesená",J1123,0)</f>
        <v>0</v>
      </c>
      <c r="BH1123" s="140">
        <f>IF(N1123="sníž. přenesená",J1123,0)</f>
        <v>0</v>
      </c>
      <c r="BI1123" s="140">
        <f>IF(N1123="nulová",J1123,0)</f>
        <v>0</v>
      </c>
      <c r="BJ1123" s="2" t="s">
        <v>87</v>
      </c>
      <c r="BK1123" s="140">
        <f>ROUND(I1123*H1123,2)</f>
        <v>0</v>
      </c>
      <c r="BL1123" s="2" t="s">
        <v>344</v>
      </c>
      <c r="BM1123" s="139" t="s">
        <v>3846</v>
      </c>
    </row>
    <row r="1124" spans="2:65" s="141" customFormat="1" ht="22.5" x14ac:dyDescent="0.2">
      <c r="B1124" s="142"/>
      <c r="D1124" s="143" t="s">
        <v>346</v>
      </c>
      <c r="E1124" s="144"/>
      <c r="F1124" s="145" t="s">
        <v>3847</v>
      </c>
      <c r="H1124" s="144"/>
      <c r="L1124" s="142"/>
      <c r="M1124" s="146"/>
      <c r="T1124" s="147"/>
      <c r="AT1124" s="144" t="s">
        <v>346</v>
      </c>
      <c r="AU1124" s="144" t="s">
        <v>90</v>
      </c>
      <c r="AV1124" s="141" t="s">
        <v>87</v>
      </c>
      <c r="AW1124" s="141" t="s">
        <v>33</v>
      </c>
      <c r="AX1124" s="141" t="s">
        <v>80</v>
      </c>
      <c r="AY1124" s="144" t="s">
        <v>337</v>
      </c>
    </row>
    <row r="1125" spans="2:65" s="148" customFormat="1" x14ac:dyDescent="0.2">
      <c r="B1125" s="149"/>
      <c r="D1125" s="143" t="s">
        <v>346</v>
      </c>
      <c r="E1125" s="150"/>
      <c r="F1125" s="151" t="s">
        <v>3848</v>
      </c>
      <c r="H1125" s="152">
        <v>15.9</v>
      </c>
      <c r="L1125" s="149"/>
      <c r="M1125" s="153"/>
      <c r="T1125" s="154"/>
      <c r="AT1125" s="150" t="s">
        <v>346</v>
      </c>
      <c r="AU1125" s="150" t="s">
        <v>90</v>
      </c>
      <c r="AV1125" s="148" t="s">
        <v>90</v>
      </c>
      <c r="AW1125" s="148" t="s">
        <v>33</v>
      </c>
      <c r="AX1125" s="148" t="s">
        <v>80</v>
      </c>
      <c r="AY1125" s="150" t="s">
        <v>337</v>
      </c>
    </row>
    <row r="1126" spans="2:65" s="141" customFormat="1" x14ac:dyDescent="0.2">
      <c r="B1126" s="142"/>
      <c r="D1126" s="143" t="s">
        <v>346</v>
      </c>
      <c r="E1126" s="144"/>
      <c r="F1126" s="145" t="s">
        <v>3849</v>
      </c>
      <c r="H1126" s="144"/>
      <c r="L1126" s="142"/>
      <c r="M1126" s="146"/>
      <c r="T1126" s="147"/>
      <c r="AT1126" s="144" t="s">
        <v>346</v>
      </c>
      <c r="AU1126" s="144" t="s">
        <v>90</v>
      </c>
      <c r="AV1126" s="141" t="s">
        <v>87</v>
      </c>
      <c r="AW1126" s="141" t="s">
        <v>33</v>
      </c>
      <c r="AX1126" s="141" t="s">
        <v>80</v>
      </c>
      <c r="AY1126" s="144" t="s">
        <v>337</v>
      </c>
    </row>
    <row r="1127" spans="2:65" s="148" customFormat="1" x14ac:dyDescent="0.2">
      <c r="B1127" s="149"/>
      <c r="D1127" s="143" t="s">
        <v>346</v>
      </c>
      <c r="E1127" s="150"/>
      <c r="F1127" s="151" t="s">
        <v>3850</v>
      </c>
      <c r="H1127" s="152">
        <v>3.5</v>
      </c>
      <c r="L1127" s="149"/>
      <c r="M1127" s="153"/>
      <c r="T1127" s="154"/>
      <c r="AT1127" s="150" t="s">
        <v>346</v>
      </c>
      <c r="AU1127" s="150" t="s">
        <v>90</v>
      </c>
      <c r="AV1127" s="148" t="s">
        <v>90</v>
      </c>
      <c r="AW1127" s="148" t="s">
        <v>33</v>
      </c>
      <c r="AX1127" s="148" t="s">
        <v>80</v>
      </c>
      <c r="AY1127" s="150" t="s">
        <v>337</v>
      </c>
    </row>
    <row r="1128" spans="2:65" s="155" customFormat="1" x14ac:dyDescent="0.2">
      <c r="B1128" s="156"/>
      <c r="D1128" s="143" t="s">
        <v>346</v>
      </c>
      <c r="E1128" s="157"/>
      <c r="F1128" s="158" t="s">
        <v>351</v>
      </c>
      <c r="H1128" s="159">
        <v>19.399999999999999</v>
      </c>
      <c r="L1128" s="156"/>
      <c r="M1128" s="160"/>
      <c r="T1128" s="161"/>
      <c r="AT1128" s="157" t="s">
        <v>346</v>
      </c>
      <c r="AU1128" s="157" t="s">
        <v>90</v>
      </c>
      <c r="AV1128" s="155" t="s">
        <v>344</v>
      </c>
      <c r="AW1128" s="155" t="s">
        <v>33</v>
      </c>
      <c r="AX1128" s="155" t="s">
        <v>87</v>
      </c>
      <c r="AY1128" s="157" t="s">
        <v>337</v>
      </c>
    </row>
    <row r="1129" spans="2:65" s="116" customFormat="1" ht="22.9" customHeight="1" x14ac:dyDescent="0.2">
      <c r="B1129" s="117"/>
      <c r="D1129" s="118" t="s">
        <v>79</v>
      </c>
      <c r="E1129" s="126" t="s">
        <v>986</v>
      </c>
      <c r="F1129" s="126" t="s">
        <v>987</v>
      </c>
      <c r="J1129" s="127">
        <f>BK1129</f>
        <v>0</v>
      </c>
      <c r="L1129" s="117"/>
      <c r="M1129" s="121"/>
      <c r="P1129" s="122">
        <f>P1130</f>
        <v>0</v>
      </c>
      <c r="R1129" s="122">
        <f>R1130</f>
        <v>0</v>
      </c>
      <c r="T1129" s="123">
        <f>T1130</f>
        <v>0</v>
      </c>
      <c r="AR1129" s="118" t="s">
        <v>87</v>
      </c>
      <c r="AT1129" s="124" t="s">
        <v>79</v>
      </c>
      <c r="AU1129" s="124" t="s">
        <v>87</v>
      </c>
      <c r="AY1129" s="118" t="s">
        <v>337</v>
      </c>
      <c r="BK1129" s="125">
        <f>BK1130</f>
        <v>0</v>
      </c>
    </row>
    <row r="1130" spans="2:65" s="16" customFormat="1" ht="16.5" customHeight="1" x14ac:dyDescent="0.2">
      <c r="B1130" s="17"/>
      <c r="C1130" s="128">
        <v>97</v>
      </c>
      <c r="D1130" s="128" t="s">
        <v>339</v>
      </c>
      <c r="E1130" s="129" t="s">
        <v>988</v>
      </c>
      <c r="F1130" s="130" t="s">
        <v>989</v>
      </c>
      <c r="G1130" s="131" t="s">
        <v>990</v>
      </c>
      <c r="H1130" s="132">
        <v>310.12599999999998</v>
      </c>
      <c r="I1130" s="133"/>
      <c r="J1130" s="134">
        <f>ROUND(I1130*H1130,2)</f>
        <v>0</v>
      </c>
      <c r="K1130" s="130" t="s">
        <v>343</v>
      </c>
      <c r="L1130" s="17"/>
      <c r="M1130" s="135"/>
      <c r="N1130" s="136" t="s">
        <v>45</v>
      </c>
      <c r="P1130" s="137">
        <f>O1130*H1130</f>
        <v>0</v>
      </c>
      <c r="Q1130" s="137">
        <v>0</v>
      </c>
      <c r="R1130" s="137">
        <f>Q1130*H1130</f>
        <v>0</v>
      </c>
      <c r="S1130" s="137">
        <v>0</v>
      </c>
      <c r="T1130" s="138">
        <f>S1130*H1130</f>
        <v>0</v>
      </c>
      <c r="AR1130" s="139" t="s">
        <v>344</v>
      </c>
      <c r="AT1130" s="139" t="s">
        <v>339</v>
      </c>
      <c r="AU1130" s="139" t="s">
        <v>90</v>
      </c>
      <c r="AY1130" s="2" t="s">
        <v>337</v>
      </c>
      <c r="BE1130" s="140">
        <f>IF(N1130="základní",J1130,0)</f>
        <v>0</v>
      </c>
      <c r="BF1130" s="140">
        <f>IF(N1130="snížená",J1130,0)</f>
        <v>0</v>
      </c>
      <c r="BG1130" s="140">
        <f>IF(N1130="zákl. přenesená",J1130,0)</f>
        <v>0</v>
      </c>
      <c r="BH1130" s="140">
        <f>IF(N1130="sníž. přenesená",J1130,0)</f>
        <v>0</v>
      </c>
      <c r="BI1130" s="140">
        <f>IF(N1130="nulová",J1130,0)</f>
        <v>0</v>
      </c>
      <c r="BJ1130" s="2" t="s">
        <v>87</v>
      </c>
      <c r="BK1130" s="140">
        <f>ROUND(I1130*H1130,2)</f>
        <v>0</v>
      </c>
      <c r="BL1130" s="2" t="s">
        <v>344</v>
      </c>
      <c r="BM1130" s="139" t="s">
        <v>3851</v>
      </c>
    </row>
    <row r="1131" spans="2:65" s="116" customFormat="1" ht="25.9" customHeight="1" x14ac:dyDescent="0.2">
      <c r="B1131" s="117"/>
      <c r="D1131" s="118" t="s">
        <v>79</v>
      </c>
      <c r="E1131" s="119" t="s">
        <v>992</v>
      </c>
      <c r="F1131" s="119" t="s">
        <v>993</v>
      </c>
      <c r="J1131" s="120">
        <f>BK1131</f>
        <v>0</v>
      </c>
      <c r="L1131" s="117"/>
      <c r="M1131" s="121"/>
      <c r="P1131" s="122">
        <f>P1132+P1282+P1347</f>
        <v>0</v>
      </c>
      <c r="R1131" s="122">
        <f>R1132+R1282+R1347</f>
        <v>13.01212816</v>
      </c>
      <c r="T1131" s="123">
        <f>T1132+T1282+T1347</f>
        <v>0</v>
      </c>
      <c r="AR1131" s="118" t="s">
        <v>90</v>
      </c>
      <c r="AT1131" s="124" t="s">
        <v>79</v>
      </c>
      <c r="AU1131" s="124" t="s">
        <v>80</v>
      </c>
      <c r="AY1131" s="118" t="s">
        <v>337</v>
      </c>
      <c r="BK1131" s="125">
        <f>BK1132+BK1282+BK1347</f>
        <v>0</v>
      </c>
    </row>
    <row r="1132" spans="2:65" s="116" customFormat="1" ht="22.9" customHeight="1" x14ac:dyDescent="0.2">
      <c r="B1132" s="117"/>
      <c r="D1132" s="118" t="s">
        <v>79</v>
      </c>
      <c r="E1132" s="126" t="s">
        <v>994</v>
      </c>
      <c r="F1132" s="126" t="s">
        <v>995</v>
      </c>
      <c r="J1132" s="127">
        <f>BK1132</f>
        <v>0</v>
      </c>
      <c r="L1132" s="117"/>
      <c r="M1132" s="121"/>
      <c r="P1132" s="122">
        <f>SUM(P1133:P1281)</f>
        <v>0</v>
      </c>
      <c r="R1132" s="122">
        <f>SUM(R1133:R1281)</f>
        <v>7.9015489600000004</v>
      </c>
      <c r="T1132" s="123">
        <f>SUM(T1133:T1281)</f>
        <v>0</v>
      </c>
      <c r="AR1132" s="118" t="s">
        <v>90</v>
      </c>
      <c r="AT1132" s="124" t="s">
        <v>79</v>
      </c>
      <c r="AU1132" s="124" t="s">
        <v>87</v>
      </c>
      <c r="AY1132" s="118" t="s">
        <v>337</v>
      </c>
      <c r="BK1132" s="125">
        <f>SUM(BK1133:BK1281)</f>
        <v>0</v>
      </c>
    </row>
    <row r="1133" spans="2:65" s="16" customFormat="1" ht="16.5" customHeight="1" x14ac:dyDescent="0.2">
      <c r="B1133" s="17"/>
      <c r="C1133" s="128">
        <v>98</v>
      </c>
      <c r="D1133" s="128" t="s">
        <v>339</v>
      </c>
      <c r="E1133" s="129" t="s">
        <v>3853</v>
      </c>
      <c r="F1133" s="130" t="s">
        <v>3854</v>
      </c>
      <c r="G1133" s="131" t="s">
        <v>425</v>
      </c>
      <c r="H1133" s="132">
        <v>518.01499999999999</v>
      </c>
      <c r="I1133" s="133"/>
      <c r="J1133" s="134">
        <f>ROUND(I1133*H1133,2)</f>
        <v>0</v>
      </c>
      <c r="K1133" s="130" t="s">
        <v>343</v>
      </c>
      <c r="L1133" s="17"/>
      <c r="M1133" s="135"/>
      <c r="N1133" s="136" t="s">
        <v>45</v>
      </c>
      <c r="P1133" s="137">
        <f>O1133*H1133</f>
        <v>0</v>
      </c>
      <c r="Q1133" s="137">
        <v>0</v>
      </c>
      <c r="R1133" s="137">
        <f>Q1133*H1133</f>
        <v>0</v>
      </c>
      <c r="S1133" s="137">
        <v>0</v>
      </c>
      <c r="T1133" s="138">
        <f>S1133*H1133</f>
        <v>0</v>
      </c>
      <c r="AR1133" s="139" t="s">
        <v>496</v>
      </c>
      <c r="AT1133" s="139" t="s">
        <v>339</v>
      </c>
      <c r="AU1133" s="139" t="s">
        <v>90</v>
      </c>
      <c r="AY1133" s="2" t="s">
        <v>337</v>
      </c>
      <c r="BE1133" s="140">
        <f>IF(N1133="základní",J1133,0)</f>
        <v>0</v>
      </c>
      <c r="BF1133" s="140">
        <f>IF(N1133="snížená",J1133,0)</f>
        <v>0</v>
      </c>
      <c r="BG1133" s="140">
        <f>IF(N1133="zákl. přenesená",J1133,0)</f>
        <v>0</v>
      </c>
      <c r="BH1133" s="140">
        <f>IF(N1133="sníž. přenesená",J1133,0)</f>
        <v>0</v>
      </c>
      <c r="BI1133" s="140">
        <f>IF(N1133="nulová",J1133,0)</f>
        <v>0</v>
      </c>
      <c r="BJ1133" s="2" t="s">
        <v>87</v>
      </c>
      <c r="BK1133" s="140">
        <f>ROUND(I1133*H1133,2)</f>
        <v>0</v>
      </c>
      <c r="BL1133" s="2" t="s">
        <v>496</v>
      </c>
      <c r="BM1133" s="139" t="s">
        <v>3855</v>
      </c>
    </row>
    <row r="1134" spans="2:65" s="141" customFormat="1" x14ac:dyDescent="0.2">
      <c r="B1134" s="142"/>
      <c r="D1134" s="143" t="s">
        <v>346</v>
      </c>
      <c r="E1134" s="144"/>
      <c r="F1134" s="145" t="s">
        <v>3856</v>
      </c>
      <c r="H1134" s="144"/>
      <c r="L1134" s="142"/>
      <c r="M1134" s="146"/>
      <c r="T1134" s="147"/>
      <c r="AT1134" s="144" t="s">
        <v>346</v>
      </c>
      <c r="AU1134" s="144" t="s">
        <v>90</v>
      </c>
      <c r="AV1134" s="141" t="s">
        <v>87</v>
      </c>
      <c r="AW1134" s="141" t="s">
        <v>33</v>
      </c>
      <c r="AX1134" s="141" t="s">
        <v>80</v>
      </c>
      <c r="AY1134" s="144" t="s">
        <v>337</v>
      </c>
    </row>
    <row r="1135" spans="2:65" s="141" customFormat="1" x14ac:dyDescent="0.2">
      <c r="B1135" s="142"/>
      <c r="D1135" s="143" t="s">
        <v>346</v>
      </c>
      <c r="E1135" s="144"/>
      <c r="F1135" s="145" t="s">
        <v>3857</v>
      </c>
      <c r="H1135" s="144"/>
      <c r="L1135" s="142"/>
      <c r="M1135" s="146"/>
      <c r="T1135" s="147"/>
      <c r="AT1135" s="144" t="s">
        <v>346</v>
      </c>
      <c r="AU1135" s="144" t="s">
        <v>90</v>
      </c>
      <c r="AV1135" s="141" t="s">
        <v>87</v>
      </c>
      <c r="AW1135" s="141" t="s">
        <v>33</v>
      </c>
      <c r="AX1135" s="141" t="s">
        <v>80</v>
      </c>
      <c r="AY1135" s="144" t="s">
        <v>337</v>
      </c>
    </row>
    <row r="1136" spans="2:65" s="148" customFormat="1" x14ac:dyDescent="0.2">
      <c r="B1136" s="149"/>
      <c r="D1136" s="143" t="s">
        <v>346</v>
      </c>
      <c r="E1136" s="150"/>
      <c r="F1136" s="151" t="s">
        <v>3029</v>
      </c>
      <c r="H1136" s="152">
        <v>380.00200000000001</v>
      </c>
      <c r="L1136" s="149"/>
      <c r="M1136" s="153"/>
      <c r="T1136" s="154"/>
      <c r="AT1136" s="150" t="s">
        <v>346</v>
      </c>
      <c r="AU1136" s="150" t="s">
        <v>90</v>
      </c>
      <c r="AV1136" s="148" t="s">
        <v>90</v>
      </c>
      <c r="AW1136" s="148" t="s">
        <v>33</v>
      </c>
      <c r="AX1136" s="148" t="s">
        <v>80</v>
      </c>
      <c r="AY1136" s="150" t="s">
        <v>337</v>
      </c>
    </row>
    <row r="1137" spans="2:65" s="141" customFormat="1" x14ac:dyDescent="0.2">
      <c r="B1137" s="142"/>
      <c r="D1137" s="143" t="s">
        <v>346</v>
      </c>
      <c r="E1137" s="144"/>
      <c r="F1137" s="145" t="s">
        <v>3858</v>
      </c>
      <c r="H1137" s="144"/>
      <c r="L1137" s="142"/>
      <c r="M1137" s="146"/>
      <c r="T1137" s="147"/>
      <c r="AT1137" s="144" t="s">
        <v>346</v>
      </c>
      <c r="AU1137" s="144" t="s">
        <v>90</v>
      </c>
      <c r="AV1137" s="141" t="s">
        <v>87</v>
      </c>
      <c r="AW1137" s="141" t="s">
        <v>33</v>
      </c>
      <c r="AX1137" s="141" t="s">
        <v>80</v>
      </c>
      <c r="AY1137" s="144" t="s">
        <v>337</v>
      </c>
    </row>
    <row r="1138" spans="2:65" s="148" customFormat="1" x14ac:dyDescent="0.2">
      <c r="B1138" s="149"/>
      <c r="D1138" s="143" t="s">
        <v>346</v>
      </c>
      <c r="E1138" s="150"/>
      <c r="F1138" s="151" t="s">
        <v>3027</v>
      </c>
      <c r="H1138" s="152">
        <v>101.66</v>
      </c>
      <c r="L1138" s="149"/>
      <c r="M1138" s="153"/>
      <c r="T1138" s="154"/>
      <c r="AT1138" s="150" t="s">
        <v>346</v>
      </c>
      <c r="AU1138" s="150" t="s">
        <v>90</v>
      </c>
      <c r="AV1138" s="148" t="s">
        <v>90</v>
      </c>
      <c r="AW1138" s="148" t="s">
        <v>33</v>
      </c>
      <c r="AX1138" s="148" t="s">
        <v>80</v>
      </c>
      <c r="AY1138" s="150" t="s">
        <v>337</v>
      </c>
    </row>
    <row r="1139" spans="2:65" s="141" customFormat="1" x14ac:dyDescent="0.2">
      <c r="B1139" s="142"/>
      <c r="D1139" s="143" t="s">
        <v>346</v>
      </c>
      <c r="E1139" s="144"/>
      <c r="F1139" s="145" t="s">
        <v>3859</v>
      </c>
      <c r="H1139" s="144"/>
      <c r="L1139" s="142"/>
      <c r="M1139" s="146"/>
      <c r="T1139" s="147"/>
      <c r="AT1139" s="144" t="s">
        <v>346</v>
      </c>
      <c r="AU1139" s="144" t="s">
        <v>90</v>
      </c>
      <c r="AV1139" s="141" t="s">
        <v>87</v>
      </c>
      <c r="AW1139" s="141" t="s">
        <v>33</v>
      </c>
      <c r="AX1139" s="141" t="s">
        <v>80</v>
      </c>
      <c r="AY1139" s="144" t="s">
        <v>337</v>
      </c>
    </row>
    <row r="1140" spans="2:65" s="148" customFormat="1" x14ac:dyDescent="0.2">
      <c r="B1140" s="149"/>
      <c r="D1140" s="143" t="s">
        <v>346</v>
      </c>
      <c r="E1140" s="150"/>
      <c r="F1140" s="151" t="s">
        <v>2993</v>
      </c>
      <c r="H1140" s="152">
        <v>36.353000000000002</v>
      </c>
      <c r="L1140" s="149"/>
      <c r="M1140" s="153"/>
      <c r="T1140" s="154"/>
      <c r="AT1140" s="150" t="s">
        <v>346</v>
      </c>
      <c r="AU1140" s="150" t="s">
        <v>90</v>
      </c>
      <c r="AV1140" s="148" t="s">
        <v>90</v>
      </c>
      <c r="AW1140" s="148" t="s">
        <v>33</v>
      </c>
      <c r="AX1140" s="148" t="s">
        <v>80</v>
      </c>
      <c r="AY1140" s="150" t="s">
        <v>337</v>
      </c>
    </row>
    <row r="1141" spans="2:65" s="155" customFormat="1" x14ac:dyDescent="0.2">
      <c r="B1141" s="156"/>
      <c r="D1141" s="143" t="s">
        <v>346</v>
      </c>
      <c r="E1141" s="157"/>
      <c r="F1141" s="158" t="s">
        <v>351</v>
      </c>
      <c r="H1141" s="159">
        <v>518.01499999999999</v>
      </c>
      <c r="L1141" s="156"/>
      <c r="M1141" s="160"/>
      <c r="T1141" s="161"/>
      <c r="AT1141" s="157" t="s">
        <v>346</v>
      </c>
      <c r="AU1141" s="157" t="s">
        <v>90</v>
      </c>
      <c r="AV1141" s="155" t="s">
        <v>344</v>
      </c>
      <c r="AW1141" s="155" t="s">
        <v>33</v>
      </c>
      <c r="AX1141" s="155" t="s">
        <v>87</v>
      </c>
      <c r="AY1141" s="157" t="s">
        <v>337</v>
      </c>
    </row>
    <row r="1142" spans="2:65" s="16" customFormat="1" ht="16.5" customHeight="1" x14ac:dyDescent="0.2">
      <c r="B1142" s="17"/>
      <c r="C1142" s="162">
        <v>99</v>
      </c>
      <c r="D1142" s="162" t="s">
        <v>519</v>
      </c>
      <c r="E1142" s="163" t="s">
        <v>3860</v>
      </c>
      <c r="F1142" s="164" t="s">
        <v>3861</v>
      </c>
      <c r="G1142" s="165" t="s">
        <v>990</v>
      </c>
      <c r="H1142" s="166">
        <v>0.17599999999999999</v>
      </c>
      <c r="I1142" s="167"/>
      <c r="J1142" s="168">
        <f>ROUND(I1142*H1142,2)</f>
        <v>0</v>
      </c>
      <c r="K1142" s="164" t="s">
        <v>343</v>
      </c>
      <c r="L1142" s="169"/>
      <c r="M1142" s="170"/>
      <c r="N1142" s="171" t="s">
        <v>45</v>
      </c>
      <c r="P1142" s="137">
        <f>O1142*H1142</f>
        <v>0</v>
      </c>
      <c r="Q1142" s="137">
        <v>1</v>
      </c>
      <c r="R1142" s="137">
        <f>Q1142*H1142</f>
        <v>0.17599999999999999</v>
      </c>
      <c r="S1142" s="137">
        <v>0</v>
      </c>
      <c r="T1142" s="138">
        <f>S1142*H1142</f>
        <v>0</v>
      </c>
      <c r="AR1142" s="139" t="s">
        <v>621</v>
      </c>
      <c r="AT1142" s="139" t="s">
        <v>519</v>
      </c>
      <c r="AU1142" s="139" t="s">
        <v>90</v>
      </c>
      <c r="AY1142" s="2" t="s">
        <v>337</v>
      </c>
      <c r="BE1142" s="140">
        <f>IF(N1142="základní",J1142,0)</f>
        <v>0</v>
      </c>
      <c r="BF1142" s="140">
        <f>IF(N1142="snížená",J1142,0)</f>
        <v>0</v>
      </c>
      <c r="BG1142" s="140">
        <f>IF(N1142="zákl. přenesená",J1142,0)</f>
        <v>0</v>
      </c>
      <c r="BH1142" s="140">
        <f>IF(N1142="sníž. přenesená",J1142,0)</f>
        <v>0</v>
      </c>
      <c r="BI1142" s="140">
        <f>IF(N1142="nulová",J1142,0)</f>
        <v>0</v>
      </c>
      <c r="BJ1142" s="2" t="s">
        <v>87</v>
      </c>
      <c r="BK1142" s="140">
        <f>ROUND(I1142*H1142,2)</f>
        <v>0</v>
      </c>
      <c r="BL1142" s="2" t="s">
        <v>496</v>
      </c>
      <c r="BM1142" s="139" t="s">
        <v>3862</v>
      </c>
    </row>
    <row r="1143" spans="2:65" s="148" customFormat="1" x14ac:dyDescent="0.2">
      <c r="B1143" s="149"/>
      <c r="D1143" s="143" t="s">
        <v>346</v>
      </c>
      <c r="F1143" s="151" t="s">
        <v>3863</v>
      </c>
      <c r="H1143" s="152">
        <v>0.17599999999999999</v>
      </c>
      <c r="L1143" s="149"/>
      <c r="M1143" s="153"/>
      <c r="T1143" s="154"/>
      <c r="AT1143" s="150" t="s">
        <v>346</v>
      </c>
      <c r="AU1143" s="150" t="s">
        <v>90</v>
      </c>
      <c r="AV1143" s="148" t="s">
        <v>90</v>
      </c>
      <c r="AW1143" s="148" t="s">
        <v>3</v>
      </c>
      <c r="AX1143" s="148" t="s">
        <v>87</v>
      </c>
      <c r="AY1143" s="150" t="s">
        <v>337</v>
      </c>
    </row>
    <row r="1144" spans="2:65" s="16" customFormat="1" ht="16.5" customHeight="1" x14ac:dyDescent="0.2">
      <c r="B1144" s="17"/>
      <c r="C1144" s="128">
        <v>100</v>
      </c>
      <c r="D1144" s="128" t="s">
        <v>339</v>
      </c>
      <c r="E1144" s="129" t="s">
        <v>3865</v>
      </c>
      <c r="F1144" s="130" t="s">
        <v>3866</v>
      </c>
      <c r="G1144" s="131" t="s">
        <v>425</v>
      </c>
      <c r="H1144" s="132">
        <v>1036.03</v>
      </c>
      <c r="I1144" s="133"/>
      <c r="J1144" s="134">
        <f>ROUND(I1144*H1144,2)</f>
        <v>0</v>
      </c>
      <c r="K1144" s="130" t="s">
        <v>343</v>
      </c>
      <c r="L1144" s="17"/>
      <c r="M1144" s="135"/>
      <c r="N1144" s="136" t="s">
        <v>45</v>
      </c>
      <c r="P1144" s="137">
        <f>O1144*H1144</f>
        <v>0</v>
      </c>
      <c r="Q1144" s="137">
        <v>4.0000000000000002E-4</v>
      </c>
      <c r="R1144" s="137">
        <f>Q1144*H1144</f>
        <v>0.414412</v>
      </c>
      <c r="S1144" s="137">
        <v>0</v>
      </c>
      <c r="T1144" s="138">
        <f>S1144*H1144</f>
        <v>0</v>
      </c>
      <c r="AR1144" s="139" t="s">
        <v>496</v>
      </c>
      <c r="AT1144" s="139" t="s">
        <v>339</v>
      </c>
      <c r="AU1144" s="139" t="s">
        <v>90</v>
      </c>
      <c r="AY1144" s="2" t="s">
        <v>337</v>
      </c>
      <c r="BE1144" s="140">
        <f>IF(N1144="základní",J1144,0)</f>
        <v>0</v>
      </c>
      <c r="BF1144" s="140">
        <f>IF(N1144="snížená",J1144,0)</f>
        <v>0</v>
      </c>
      <c r="BG1144" s="140">
        <f>IF(N1144="zákl. přenesená",J1144,0)</f>
        <v>0</v>
      </c>
      <c r="BH1144" s="140">
        <f>IF(N1144="sníž. přenesená",J1144,0)</f>
        <v>0</v>
      </c>
      <c r="BI1144" s="140">
        <f>IF(N1144="nulová",J1144,0)</f>
        <v>0</v>
      </c>
      <c r="BJ1144" s="2" t="s">
        <v>87</v>
      </c>
      <c r="BK1144" s="140">
        <f>ROUND(I1144*H1144,2)</f>
        <v>0</v>
      </c>
      <c r="BL1144" s="2" t="s">
        <v>496</v>
      </c>
      <c r="BM1144" s="139" t="s">
        <v>3867</v>
      </c>
    </row>
    <row r="1145" spans="2:65" s="141" customFormat="1" x14ac:dyDescent="0.2">
      <c r="B1145" s="142"/>
      <c r="D1145" s="143" t="s">
        <v>346</v>
      </c>
      <c r="E1145" s="144"/>
      <c r="F1145" s="145" t="s">
        <v>3857</v>
      </c>
      <c r="H1145" s="144"/>
      <c r="L1145" s="142"/>
      <c r="M1145" s="146"/>
      <c r="T1145" s="147"/>
      <c r="AT1145" s="144" t="s">
        <v>346</v>
      </c>
      <c r="AU1145" s="144" t="s">
        <v>90</v>
      </c>
      <c r="AV1145" s="141" t="s">
        <v>87</v>
      </c>
      <c r="AW1145" s="141" t="s">
        <v>33</v>
      </c>
      <c r="AX1145" s="141" t="s">
        <v>80</v>
      </c>
      <c r="AY1145" s="144" t="s">
        <v>337</v>
      </c>
    </row>
    <row r="1146" spans="2:65" s="148" customFormat="1" x14ac:dyDescent="0.2">
      <c r="B1146" s="149"/>
      <c r="D1146" s="143" t="s">
        <v>346</v>
      </c>
      <c r="E1146" s="150"/>
      <c r="F1146" s="151" t="s">
        <v>3029</v>
      </c>
      <c r="H1146" s="152">
        <v>380.00200000000001</v>
      </c>
      <c r="L1146" s="149"/>
      <c r="M1146" s="153"/>
      <c r="T1146" s="154"/>
      <c r="AT1146" s="150" t="s">
        <v>346</v>
      </c>
      <c r="AU1146" s="150" t="s">
        <v>90</v>
      </c>
      <c r="AV1146" s="148" t="s">
        <v>90</v>
      </c>
      <c r="AW1146" s="148" t="s">
        <v>33</v>
      </c>
      <c r="AX1146" s="148" t="s">
        <v>80</v>
      </c>
      <c r="AY1146" s="150" t="s">
        <v>337</v>
      </c>
    </row>
    <row r="1147" spans="2:65" s="141" customFormat="1" x14ac:dyDescent="0.2">
      <c r="B1147" s="142"/>
      <c r="D1147" s="143" t="s">
        <v>346</v>
      </c>
      <c r="E1147" s="144"/>
      <c r="F1147" s="145" t="s">
        <v>3858</v>
      </c>
      <c r="H1147" s="144"/>
      <c r="L1147" s="142"/>
      <c r="M1147" s="146"/>
      <c r="T1147" s="147"/>
      <c r="AT1147" s="144" t="s">
        <v>346</v>
      </c>
      <c r="AU1147" s="144" t="s">
        <v>90</v>
      </c>
      <c r="AV1147" s="141" t="s">
        <v>87</v>
      </c>
      <c r="AW1147" s="141" t="s">
        <v>33</v>
      </c>
      <c r="AX1147" s="141" t="s">
        <v>80</v>
      </c>
      <c r="AY1147" s="144" t="s">
        <v>337</v>
      </c>
    </row>
    <row r="1148" spans="2:65" s="148" customFormat="1" x14ac:dyDescent="0.2">
      <c r="B1148" s="149"/>
      <c r="D1148" s="143" t="s">
        <v>346</v>
      </c>
      <c r="E1148" s="150"/>
      <c r="F1148" s="151" t="s">
        <v>3027</v>
      </c>
      <c r="H1148" s="152">
        <v>101.66</v>
      </c>
      <c r="L1148" s="149"/>
      <c r="M1148" s="153"/>
      <c r="T1148" s="154"/>
      <c r="AT1148" s="150" t="s">
        <v>346</v>
      </c>
      <c r="AU1148" s="150" t="s">
        <v>90</v>
      </c>
      <c r="AV1148" s="148" t="s">
        <v>90</v>
      </c>
      <c r="AW1148" s="148" t="s">
        <v>33</v>
      </c>
      <c r="AX1148" s="148" t="s">
        <v>80</v>
      </c>
      <c r="AY1148" s="150" t="s">
        <v>337</v>
      </c>
    </row>
    <row r="1149" spans="2:65" s="172" customFormat="1" x14ac:dyDescent="0.2">
      <c r="B1149" s="173"/>
      <c r="D1149" s="143" t="s">
        <v>346</v>
      </c>
      <c r="E1149" s="174"/>
      <c r="F1149" s="175" t="s">
        <v>609</v>
      </c>
      <c r="H1149" s="176">
        <v>481.66199999999998</v>
      </c>
      <c r="L1149" s="173"/>
      <c r="M1149" s="177"/>
      <c r="T1149" s="178"/>
      <c r="AT1149" s="174" t="s">
        <v>346</v>
      </c>
      <c r="AU1149" s="174" t="s">
        <v>90</v>
      </c>
      <c r="AV1149" s="172" t="s">
        <v>113</v>
      </c>
      <c r="AW1149" s="172" t="s">
        <v>33</v>
      </c>
      <c r="AX1149" s="172" t="s">
        <v>80</v>
      </c>
      <c r="AY1149" s="174" t="s">
        <v>337</v>
      </c>
    </row>
    <row r="1150" spans="2:65" s="141" customFormat="1" x14ac:dyDescent="0.2">
      <c r="B1150" s="142"/>
      <c r="D1150" s="143" t="s">
        <v>346</v>
      </c>
      <c r="E1150" s="144"/>
      <c r="F1150" s="145" t="s">
        <v>3868</v>
      </c>
      <c r="H1150" s="144"/>
      <c r="L1150" s="142"/>
      <c r="M1150" s="146"/>
      <c r="T1150" s="147"/>
      <c r="AT1150" s="144" t="s">
        <v>346</v>
      </c>
      <c r="AU1150" s="144" t="s">
        <v>90</v>
      </c>
      <c r="AV1150" s="141" t="s">
        <v>87</v>
      </c>
      <c r="AW1150" s="141" t="s">
        <v>33</v>
      </c>
      <c r="AX1150" s="141" t="s">
        <v>80</v>
      </c>
      <c r="AY1150" s="144" t="s">
        <v>337</v>
      </c>
    </row>
    <row r="1151" spans="2:65" s="141" customFormat="1" x14ac:dyDescent="0.2">
      <c r="B1151" s="142"/>
      <c r="D1151" s="143" t="s">
        <v>346</v>
      </c>
      <c r="E1151" s="144"/>
      <c r="F1151" s="145" t="s">
        <v>3869</v>
      </c>
      <c r="H1151" s="144"/>
      <c r="L1151" s="142"/>
      <c r="M1151" s="146"/>
      <c r="T1151" s="147"/>
      <c r="AT1151" s="144" t="s">
        <v>346</v>
      </c>
      <c r="AU1151" s="144" t="s">
        <v>90</v>
      </c>
      <c r="AV1151" s="141" t="s">
        <v>87</v>
      </c>
      <c r="AW1151" s="141" t="s">
        <v>33</v>
      </c>
      <c r="AX1151" s="141" t="s">
        <v>80</v>
      </c>
      <c r="AY1151" s="144" t="s">
        <v>337</v>
      </c>
    </row>
    <row r="1152" spans="2:65" s="148" customFormat="1" x14ac:dyDescent="0.2">
      <c r="B1152" s="149"/>
      <c r="D1152" s="143" t="s">
        <v>346</v>
      </c>
      <c r="E1152" s="150"/>
      <c r="F1152" s="151" t="s">
        <v>3870</v>
      </c>
      <c r="H1152" s="152">
        <v>10.56</v>
      </c>
      <c r="L1152" s="149"/>
      <c r="M1152" s="153"/>
      <c r="T1152" s="154"/>
      <c r="AT1152" s="150" t="s">
        <v>346</v>
      </c>
      <c r="AU1152" s="150" t="s">
        <v>90</v>
      </c>
      <c r="AV1152" s="148" t="s">
        <v>90</v>
      </c>
      <c r="AW1152" s="148" t="s">
        <v>33</v>
      </c>
      <c r="AX1152" s="148" t="s">
        <v>80</v>
      </c>
      <c r="AY1152" s="150" t="s">
        <v>337</v>
      </c>
    </row>
    <row r="1153" spans="2:65" s="141" customFormat="1" x14ac:dyDescent="0.2">
      <c r="B1153" s="142"/>
      <c r="D1153" s="143" t="s">
        <v>346</v>
      </c>
      <c r="E1153" s="144"/>
      <c r="F1153" s="145" t="s">
        <v>3871</v>
      </c>
      <c r="H1153" s="144"/>
      <c r="L1153" s="142"/>
      <c r="M1153" s="146"/>
      <c r="T1153" s="147"/>
      <c r="AT1153" s="144" t="s">
        <v>346</v>
      </c>
      <c r="AU1153" s="144" t="s">
        <v>90</v>
      </c>
      <c r="AV1153" s="141" t="s">
        <v>87</v>
      </c>
      <c r="AW1153" s="141" t="s">
        <v>33</v>
      </c>
      <c r="AX1153" s="141" t="s">
        <v>80</v>
      </c>
      <c r="AY1153" s="144" t="s">
        <v>337</v>
      </c>
    </row>
    <row r="1154" spans="2:65" s="148" customFormat="1" x14ac:dyDescent="0.2">
      <c r="B1154" s="149"/>
      <c r="D1154" s="143" t="s">
        <v>346</v>
      </c>
      <c r="E1154" s="150"/>
      <c r="F1154" s="151" t="s">
        <v>80</v>
      </c>
      <c r="H1154" s="152">
        <v>0</v>
      </c>
      <c r="L1154" s="149"/>
      <c r="M1154" s="153"/>
      <c r="T1154" s="154"/>
      <c r="AT1154" s="150" t="s">
        <v>346</v>
      </c>
      <c r="AU1154" s="150" t="s">
        <v>90</v>
      </c>
      <c r="AV1154" s="148" t="s">
        <v>90</v>
      </c>
      <c r="AW1154" s="148" t="s">
        <v>33</v>
      </c>
      <c r="AX1154" s="148" t="s">
        <v>80</v>
      </c>
      <c r="AY1154" s="150" t="s">
        <v>337</v>
      </c>
    </row>
    <row r="1155" spans="2:65" s="141" customFormat="1" x14ac:dyDescent="0.2">
      <c r="B1155" s="142"/>
      <c r="D1155" s="143" t="s">
        <v>346</v>
      </c>
      <c r="E1155" s="144"/>
      <c r="F1155" s="145" t="s">
        <v>3872</v>
      </c>
      <c r="H1155" s="144"/>
      <c r="L1155" s="142"/>
      <c r="M1155" s="146"/>
      <c r="T1155" s="147"/>
      <c r="AT1155" s="144" t="s">
        <v>346</v>
      </c>
      <c r="AU1155" s="144" t="s">
        <v>90</v>
      </c>
      <c r="AV1155" s="141" t="s">
        <v>87</v>
      </c>
      <c r="AW1155" s="141" t="s">
        <v>33</v>
      </c>
      <c r="AX1155" s="141" t="s">
        <v>80</v>
      </c>
      <c r="AY1155" s="144" t="s">
        <v>337</v>
      </c>
    </row>
    <row r="1156" spans="2:65" s="148" customFormat="1" x14ac:dyDescent="0.2">
      <c r="B1156" s="149"/>
      <c r="D1156" s="143" t="s">
        <v>346</v>
      </c>
      <c r="E1156" s="150"/>
      <c r="F1156" s="151" t="s">
        <v>80</v>
      </c>
      <c r="H1156" s="152">
        <v>0</v>
      </c>
      <c r="L1156" s="149"/>
      <c r="M1156" s="153"/>
      <c r="T1156" s="154"/>
      <c r="AT1156" s="150" t="s">
        <v>346</v>
      </c>
      <c r="AU1156" s="150" t="s">
        <v>90</v>
      </c>
      <c r="AV1156" s="148" t="s">
        <v>90</v>
      </c>
      <c r="AW1156" s="148" t="s">
        <v>33</v>
      </c>
      <c r="AX1156" s="148" t="s">
        <v>80</v>
      </c>
      <c r="AY1156" s="150" t="s">
        <v>337</v>
      </c>
    </row>
    <row r="1157" spans="2:65" s="141" customFormat="1" x14ac:dyDescent="0.2">
      <c r="B1157" s="142"/>
      <c r="D1157" s="143" t="s">
        <v>346</v>
      </c>
      <c r="E1157" s="144"/>
      <c r="F1157" s="145" t="s">
        <v>3873</v>
      </c>
      <c r="H1157" s="144"/>
      <c r="L1157" s="142"/>
      <c r="M1157" s="146"/>
      <c r="T1157" s="147"/>
      <c r="AT1157" s="144" t="s">
        <v>346</v>
      </c>
      <c r="AU1157" s="144" t="s">
        <v>90</v>
      </c>
      <c r="AV1157" s="141" t="s">
        <v>87</v>
      </c>
      <c r="AW1157" s="141" t="s">
        <v>33</v>
      </c>
      <c r="AX1157" s="141" t="s">
        <v>80</v>
      </c>
      <c r="AY1157" s="144" t="s">
        <v>337</v>
      </c>
    </row>
    <row r="1158" spans="2:65" s="148" customFormat="1" x14ac:dyDescent="0.2">
      <c r="B1158" s="149"/>
      <c r="D1158" s="143" t="s">
        <v>346</v>
      </c>
      <c r="E1158" s="150"/>
      <c r="F1158" s="151" t="s">
        <v>3874</v>
      </c>
      <c r="H1158" s="152">
        <v>20.46</v>
      </c>
      <c r="L1158" s="149"/>
      <c r="M1158" s="153"/>
      <c r="T1158" s="154"/>
      <c r="AT1158" s="150" t="s">
        <v>346</v>
      </c>
      <c r="AU1158" s="150" t="s">
        <v>90</v>
      </c>
      <c r="AV1158" s="148" t="s">
        <v>90</v>
      </c>
      <c r="AW1158" s="148" t="s">
        <v>33</v>
      </c>
      <c r="AX1158" s="148" t="s">
        <v>80</v>
      </c>
      <c r="AY1158" s="150" t="s">
        <v>337</v>
      </c>
    </row>
    <row r="1159" spans="2:65" s="141" customFormat="1" x14ac:dyDescent="0.2">
      <c r="B1159" s="142"/>
      <c r="D1159" s="143" t="s">
        <v>346</v>
      </c>
      <c r="E1159" s="144"/>
      <c r="F1159" s="145" t="s">
        <v>3875</v>
      </c>
      <c r="H1159" s="144"/>
      <c r="L1159" s="142"/>
      <c r="M1159" s="146"/>
      <c r="T1159" s="147"/>
      <c r="AT1159" s="144" t="s">
        <v>346</v>
      </c>
      <c r="AU1159" s="144" t="s">
        <v>90</v>
      </c>
      <c r="AV1159" s="141" t="s">
        <v>87</v>
      </c>
      <c r="AW1159" s="141" t="s">
        <v>33</v>
      </c>
      <c r="AX1159" s="141" t="s">
        <v>80</v>
      </c>
      <c r="AY1159" s="144" t="s">
        <v>337</v>
      </c>
    </row>
    <row r="1160" spans="2:65" s="148" customFormat="1" x14ac:dyDescent="0.2">
      <c r="B1160" s="149"/>
      <c r="D1160" s="143" t="s">
        <v>346</v>
      </c>
      <c r="E1160" s="150"/>
      <c r="F1160" s="151" t="s">
        <v>3876</v>
      </c>
      <c r="H1160" s="152">
        <v>5.3330000000000002</v>
      </c>
      <c r="L1160" s="149"/>
      <c r="M1160" s="153"/>
      <c r="T1160" s="154"/>
      <c r="AT1160" s="150" t="s">
        <v>346</v>
      </c>
      <c r="AU1160" s="150" t="s">
        <v>90</v>
      </c>
      <c r="AV1160" s="148" t="s">
        <v>90</v>
      </c>
      <c r="AW1160" s="148" t="s">
        <v>33</v>
      </c>
      <c r="AX1160" s="148" t="s">
        <v>80</v>
      </c>
      <c r="AY1160" s="150" t="s">
        <v>337</v>
      </c>
    </row>
    <row r="1161" spans="2:65" s="172" customFormat="1" x14ac:dyDescent="0.2">
      <c r="B1161" s="173"/>
      <c r="D1161" s="143" t="s">
        <v>346</v>
      </c>
      <c r="E1161" s="174" t="s">
        <v>2993</v>
      </c>
      <c r="F1161" s="175" t="s">
        <v>609</v>
      </c>
      <c r="H1161" s="176">
        <v>36.353000000000002</v>
      </c>
      <c r="L1161" s="173"/>
      <c r="M1161" s="177"/>
      <c r="T1161" s="178"/>
      <c r="AT1161" s="174" t="s">
        <v>346</v>
      </c>
      <c r="AU1161" s="174" t="s">
        <v>90</v>
      </c>
      <c r="AV1161" s="172" t="s">
        <v>113</v>
      </c>
      <c r="AW1161" s="172" t="s">
        <v>33</v>
      </c>
      <c r="AX1161" s="172" t="s">
        <v>80</v>
      </c>
      <c r="AY1161" s="174" t="s">
        <v>337</v>
      </c>
    </row>
    <row r="1162" spans="2:65" s="141" customFormat="1" x14ac:dyDescent="0.2">
      <c r="B1162" s="142"/>
      <c r="D1162" s="143" t="s">
        <v>346</v>
      </c>
      <c r="E1162" s="144"/>
      <c r="F1162" s="145" t="s">
        <v>3877</v>
      </c>
      <c r="H1162" s="144"/>
      <c r="L1162" s="142"/>
      <c r="M1162" s="146"/>
      <c r="T1162" s="147"/>
      <c r="AT1162" s="144" t="s">
        <v>346</v>
      </c>
      <c r="AU1162" s="144" t="s">
        <v>90</v>
      </c>
      <c r="AV1162" s="141" t="s">
        <v>87</v>
      </c>
      <c r="AW1162" s="141" t="s">
        <v>33</v>
      </c>
      <c r="AX1162" s="141" t="s">
        <v>80</v>
      </c>
      <c r="AY1162" s="144" t="s">
        <v>337</v>
      </c>
    </row>
    <row r="1163" spans="2:65" s="148" customFormat="1" x14ac:dyDescent="0.2">
      <c r="B1163" s="149"/>
      <c r="D1163" s="143" t="s">
        <v>346</v>
      </c>
      <c r="E1163" s="150"/>
      <c r="F1163" s="151" t="s">
        <v>3029</v>
      </c>
      <c r="H1163" s="152">
        <v>380.00200000000001</v>
      </c>
      <c r="L1163" s="149"/>
      <c r="M1163" s="153"/>
      <c r="T1163" s="154"/>
      <c r="AT1163" s="150" t="s">
        <v>346</v>
      </c>
      <c r="AU1163" s="150" t="s">
        <v>90</v>
      </c>
      <c r="AV1163" s="148" t="s">
        <v>90</v>
      </c>
      <c r="AW1163" s="148" t="s">
        <v>33</v>
      </c>
      <c r="AX1163" s="148" t="s">
        <v>80</v>
      </c>
      <c r="AY1163" s="150" t="s">
        <v>337</v>
      </c>
    </row>
    <row r="1164" spans="2:65" s="148" customFormat="1" x14ac:dyDescent="0.2">
      <c r="B1164" s="149"/>
      <c r="D1164" s="143" t="s">
        <v>346</v>
      </c>
      <c r="E1164" s="150"/>
      <c r="F1164" s="151" t="s">
        <v>3027</v>
      </c>
      <c r="H1164" s="152">
        <v>101.66</v>
      </c>
      <c r="L1164" s="149"/>
      <c r="M1164" s="153"/>
      <c r="T1164" s="154"/>
      <c r="AT1164" s="150" t="s">
        <v>346</v>
      </c>
      <c r="AU1164" s="150" t="s">
        <v>90</v>
      </c>
      <c r="AV1164" s="148" t="s">
        <v>90</v>
      </c>
      <c r="AW1164" s="148" t="s">
        <v>33</v>
      </c>
      <c r="AX1164" s="148" t="s">
        <v>80</v>
      </c>
      <c r="AY1164" s="150" t="s">
        <v>337</v>
      </c>
    </row>
    <row r="1165" spans="2:65" s="148" customFormat="1" x14ac:dyDescent="0.2">
      <c r="B1165" s="149"/>
      <c r="D1165" s="143" t="s">
        <v>346</v>
      </c>
      <c r="E1165" s="150"/>
      <c r="F1165" s="151" t="s">
        <v>2993</v>
      </c>
      <c r="H1165" s="152">
        <v>36.353000000000002</v>
      </c>
      <c r="L1165" s="149"/>
      <c r="M1165" s="153"/>
      <c r="T1165" s="154"/>
      <c r="AT1165" s="150" t="s">
        <v>346</v>
      </c>
      <c r="AU1165" s="150" t="s">
        <v>90</v>
      </c>
      <c r="AV1165" s="148" t="s">
        <v>90</v>
      </c>
      <c r="AW1165" s="148" t="s">
        <v>33</v>
      </c>
      <c r="AX1165" s="148" t="s">
        <v>80</v>
      </c>
      <c r="AY1165" s="150" t="s">
        <v>337</v>
      </c>
    </row>
    <row r="1166" spans="2:65" s="155" customFormat="1" x14ac:dyDescent="0.2">
      <c r="B1166" s="156"/>
      <c r="D1166" s="143" t="s">
        <v>346</v>
      </c>
      <c r="E1166" s="157"/>
      <c r="F1166" s="158" t="s">
        <v>351</v>
      </c>
      <c r="H1166" s="159">
        <v>1036.03</v>
      </c>
      <c r="L1166" s="156"/>
      <c r="M1166" s="160"/>
      <c r="T1166" s="161"/>
      <c r="AT1166" s="157" t="s">
        <v>346</v>
      </c>
      <c r="AU1166" s="157" t="s">
        <v>90</v>
      </c>
      <c r="AV1166" s="155" t="s">
        <v>344</v>
      </c>
      <c r="AW1166" s="155" t="s">
        <v>33</v>
      </c>
      <c r="AX1166" s="155" t="s">
        <v>87</v>
      </c>
      <c r="AY1166" s="157" t="s">
        <v>337</v>
      </c>
    </row>
    <row r="1167" spans="2:65" s="16" customFormat="1" ht="24.2" customHeight="1" x14ac:dyDescent="0.2">
      <c r="B1167" s="17"/>
      <c r="C1167" s="162">
        <v>101</v>
      </c>
      <c r="D1167" s="162" t="s">
        <v>519</v>
      </c>
      <c r="E1167" s="163" t="s">
        <v>3878</v>
      </c>
      <c r="F1167" s="164" t="s">
        <v>3879</v>
      </c>
      <c r="G1167" s="165" t="s">
        <v>425</v>
      </c>
      <c r="H1167" s="166">
        <v>621.61800000000005</v>
      </c>
      <c r="I1167" s="167"/>
      <c r="J1167" s="168">
        <f>ROUND(I1167*H1167,2)</f>
        <v>0</v>
      </c>
      <c r="K1167" s="164" t="s">
        <v>343</v>
      </c>
      <c r="L1167" s="169"/>
      <c r="M1167" s="170"/>
      <c r="N1167" s="171" t="s">
        <v>45</v>
      </c>
      <c r="P1167" s="137">
        <f>O1167*H1167</f>
        <v>0</v>
      </c>
      <c r="Q1167" s="137">
        <v>5.4000000000000003E-3</v>
      </c>
      <c r="R1167" s="137">
        <f>Q1167*H1167</f>
        <v>3.3567372000000004</v>
      </c>
      <c r="S1167" s="137">
        <v>0</v>
      </c>
      <c r="T1167" s="138">
        <f>S1167*H1167</f>
        <v>0</v>
      </c>
      <c r="AR1167" s="139" t="s">
        <v>621</v>
      </c>
      <c r="AT1167" s="139" t="s">
        <v>519</v>
      </c>
      <c r="AU1167" s="139" t="s">
        <v>90</v>
      </c>
      <c r="AY1167" s="2" t="s">
        <v>337</v>
      </c>
      <c r="BE1167" s="140">
        <f>IF(N1167="základní",J1167,0)</f>
        <v>0</v>
      </c>
      <c r="BF1167" s="140">
        <f>IF(N1167="snížená",J1167,0)</f>
        <v>0</v>
      </c>
      <c r="BG1167" s="140">
        <f>IF(N1167="zákl. přenesená",J1167,0)</f>
        <v>0</v>
      </c>
      <c r="BH1167" s="140">
        <f>IF(N1167="sníž. přenesená",J1167,0)</f>
        <v>0</v>
      </c>
      <c r="BI1167" s="140">
        <f>IF(N1167="nulová",J1167,0)</f>
        <v>0</v>
      </c>
      <c r="BJ1167" s="2" t="s">
        <v>87</v>
      </c>
      <c r="BK1167" s="140">
        <f>ROUND(I1167*H1167,2)</f>
        <v>0</v>
      </c>
      <c r="BL1167" s="2" t="s">
        <v>496</v>
      </c>
      <c r="BM1167" s="139" t="s">
        <v>3880</v>
      </c>
    </row>
    <row r="1168" spans="2:65" s="141" customFormat="1" x14ac:dyDescent="0.2">
      <c r="B1168" s="142"/>
      <c r="D1168" s="143" t="s">
        <v>346</v>
      </c>
      <c r="E1168" s="144"/>
      <c r="F1168" s="145" t="s">
        <v>3856</v>
      </c>
      <c r="H1168" s="144"/>
      <c r="L1168" s="142"/>
      <c r="M1168" s="146"/>
      <c r="T1168" s="147"/>
      <c r="AT1168" s="144" t="s">
        <v>346</v>
      </c>
      <c r="AU1168" s="144" t="s">
        <v>90</v>
      </c>
      <c r="AV1168" s="141" t="s">
        <v>87</v>
      </c>
      <c r="AW1168" s="141" t="s">
        <v>33</v>
      </c>
      <c r="AX1168" s="141" t="s">
        <v>80</v>
      </c>
      <c r="AY1168" s="144" t="s">
        <v>337</v>
      </c>
    </row>
    <row r="1169" spans="2:65" s="141" customFormat="1" x14ac:dyDescent="0.2">
      <c r="B1169" s="142"/>
      <c r="D1169" s="143" t="s">
        <v>346</v>
      </c>
      <c r="E1169" s="144"/>
      <c r="F1169" s="145" t="s">
        <v>3857</v>
      </c>
      <c r="H1169" s="144"/>
      <c r="L1169" s="142"/>
      <c r="M1169" s="146"/>
      <c r="T1169" s="147"/>
      <c r="AT1169" s="144" t="s">
        <v>346</v>
      </c>
      <c r="AU1169" s="144" t="s">
        <v>90</v>
      </c>
      <c r="AV1169" s="141" t="s">
        <v>87</v>
      </c>
      <c r="AW1169" s="141" t="s">
        <v>33</v>
      </c>
      <c r="AX1169" s="141" t="s">
        <v>80</v>
      </c>
      <c r="AY1169" s="144" t="s">
        <v>337</v>
      </c>
    </row>
    <row r="1170" spans="2:65" s="148" customFormat="1" x14ac:dyDescent="0.2">
      <c r="B1170" s="149"/>
      <c r="D1170" s="143" t="s">
        <v>346</v>
      </c>
      <c r="E1170" s="150"/>
      <c r="F1170" s="151" t="s">
        <v>3029</v>
      </c>
      <c r="H1170" s="152">
        <v>380.00200000000001</v>
      </c>
      <c r="L1170" s="149"/>
      <c r="M1170" s="153"/>
      <c r="T1170" s="154"/>
      <c r="AT1170" s="150" t="s">
        <v>346</v>
      </c>
      <c r="AU1170" s="150" t="s">
        <v>90</v>
      </c>
      <c r="AV1170" s="148" t="s">
        <v>90</v>
      </c>
      <c r="AW1170" s="148" t="s">
        <v>33</v>
      </c>
      <c r="AX1170" s="148" t="s">
        <v>80</v>
      </c>
      <c r="AY1170" s="150" t="s">
        <v>337</v>
      </c>
    </row>
    <row r="1171" spans="2:65" s="141" customFormat="1" x14ac:dyDescent="0.2">
      <c r="B1171" s="142"/>
      <c r="D1171" s="143" t="s">
        <v>346</v>
      </c>
      <c r="E1171" s="144"/>
      <c r="F1171" s="145" t="s">
        <v>3858</v>
      </c>
      <c r="H1171" s="144"/>
      <c r="L1171" s="142"/>
      <c r="M1171" s="146"/>
      <c r="T1171" s="147"/>
      <c r="AT1171" s="144" t="s">
        <v>346</v>
      </c>
      <c r="AU1171" s="144" t="s">
        <v>90</v>
      </c>
      <c r="AV1171" s="141" t="s">
        <v>87</v>
      </c>
      <c r="AW1171" s="141" t="s">
        <v>33</v>
      </c>
      <c r="AX1171" s="141" t="s">
        <v>80</v>
      </c>
      <c r="AY1171" s="144" t="s">
        <v>337</v>
      </c>
    </row>
    <row r="1172" spans="2:65" s="148" customFormat="1" x14ac:dyDescent="0.2">
      <c r="B1172" s="149"/>
      <c r="D1172" s="143" t="s">
        <v>346</v>
      </c>
      <c r="E1172" s="150"/>
      <c r="F1172" s="151" t="s">
        <v>3027</v>
      </c>
      <c r="H1172" s="152">
        <v>101.66</v>
      </c>
      <c r="L1172" s="149"/>
      <c r="M1172" s="153"/>
      <c r="T1172" s="154"/>
      <c r="AT1172" s="150" t="s">
        <v>346</v>
      </c>
      <c r="AU1172" s="150" t="s">
        <v>90</v>
      </c>
      <c r="AV1172" s="148" t="s">
        <v>90</v>
      </c>
      <c r="AW1172" s="148" t="s">
        <v>33</v>
      </c>
      <c r="AX1172" s="148" t="s">
        <v>80</v>
      </c>
      <c r="AY1172" s="150" t="s">
        <v>337</v>
      </c>
    </row>
    <row r="1173" spans="2:65" s="141" customFormat="1" x14ac:dyDescent="0.2">
      <c r="B1173" s="142"/>
      <c r="D1173" s="143" t="s">
        <v>346</v>
      </c>
      <c r="E1173" s="144"/>
      <c r="F1173" s="145" t="s">
        <v>3859</v>
      </c>
      <c r="H1173" s="144"/>
      <c r="L1173" s="142"/>
      <c r="M1173" s="146"/>
      <c r="T1173" s="147"/>
      <c r="AT1173" s="144" t="s">
        <v>346</v>
      </c>
      <c r="AU1173" s="144" t="s">
        <v>90</v>
      </c>
      <c r="AV1173" s="141" t="s">
        <v>87</v>
      </c>
      <c r="AW1173" s="141" t="s">
        <v>33</v>
      </c>
      <c r="AX1173" s="141" t="s">
        <v>80</v>
      </c>
      <c r="AY1173" s="144" t="s">
        <v>337</v>
      </c>
    </row>
    <row r="1174" spans="2:65" s="148" customFormat="1" x14ac:dyDescent="0.2">
      <c r="B1174" s="149"/>
      <c r="D1174" s="143" t="s">
        <v>346</v>
      </c>
      <c r="E1174" s="150"/>
      <c r="F1174" s="151" t="s">
        <v>2993</v>
      </c>
      <c r="H1174" s="152">
        <v>36.353000000000002</v>
      </c>
      <c r="L1174" s="149"/>
      <c r="M1174" s="153"/>
      <c r="T1174" s="154"/>
      <c r="AT1174" s="150" t="s">
        <v>346</v>
      </c>
      <c r="AU1174" s="150" t="s">
        <v>90</v>
      </c>
      <c r="AV1174" s="148" t="s">
        <v>90</v>
      </c>
      <c r="AW1174" s="148" t="s">
        <v>33</v>
      </c>
      <c r="AX1174" s="148" t="s">
        <v>80</v>
      </c>
      <c r="AY1174" s="150" t="s">
        <v>337</v>
      </c>
    </row>
    <row r="1175" spans="2:65" s="155" customFormat="1" x14ac:dyDescent="0.2">
      <c r="B1175" s="156"/>
      <c r="D1175" s="143" t="s">
        <v>346</v>
      </c>
      <c r="E1175" s="157"/>
      <c r="F1175" s="158" t="s">
        <v>351</v>
      </c>
      <c r="H1175" s="159">
        <v>518.01499999999999</v>
      </c>
      <c r="L1175" s="156"/>
      <c r="M1175" s="160"/>
      <c r="T1175" s="161"/>
      <c r="AT1175" s="157" t="s">
        <v>346</v>
      </c>
      <c r="AU1175" s="157" t="s">
        <v>90</v>
      </c>
      <c r="AV1175" s="155" t="s">
        <v>344</v>
      </c>
      <c r="AW1175" s="155" t="s">
        <v>33</v>
      </c>
      <c r="AX1175" s="155" t="s">
        <v>87</v>
      </c>
      <c r="AY1175" s="157" t="s">
        <v>337</v>
      </c>
    </row>
    <row r="1176" spans="2:65" s="148" customFormat="1" x14ac:dyDescent="0.2">
      <c r="B1176" s="149"/>
      <c r="D1176" s="143" t="s">
        <v>346</v>
      </c>
      <c r="F1176" s="151" t="s">
        <v>3881</v>
      </c>
      <c r="H1176" s="152">
        <v>621.61800000000005</v>
      </c>
      <c r="L1176" s="149"/>
      <c r="M1176" s="153"/>
      <c r="T1176" s="154"/>
      <c r="AT1176" s="150" t="s">
        <v>346</v>
      </c>
      <c r="AU1176" s="150" t="s">
        <v>90</v>
      </c>
      <c r="AV1176" s="148" t="s">
        <v>90</v>
      </c>
      <c r="AW1176" s="148" t="s">
        <v>3</v>
      </c>
      <c r="AX1176" s="148" t="s">
        <v>87</v>
      </c>
      <c r="AY1176" s="150" t="s">
        <v>337</v>
      </c>
    </row>
    <row r="1177" spans="2:65" s="16" customFormat="1" ht="24.2" customHeight="1" x14ac:dyDescent="0.2">
      <c r="B1177" s="17"/>
      <c r="C1177" s="162">
        <v>102</v>
      </c>
      <c r="D1177" s="162" t="s">
        <v>519</v>
      </c>
      <c r="E1177" s="163" t="s">
        <v>3882</v>
      </c>
      <c r="F1177" s="164" t="s">
        <v>3883</v>
      </c>
      <c r="G1177" s="165" t="s">
        <v>425</v>
      </c>
      <c r="H1177" s="166">
        <v>621.61800000000005</v>
      </c>
      <c r="I1177" s="167"/>
      <c r="J1177" s="168">
        <f>ROUND(I1177*H1177,2)</f>
        <v>0</v>
      </c>
      <c r="K1177" s="164" t="s">
        <v>343</v>
      </c>
      <c r="L1177" s="169"/>
      <c r="M1177" s="170"/>
      <c r="N1177" s="171" t="s">
        <v>45</v>
      </c>
      <c r="P1177" s="137">
        <f>O1177*H1177</f>
        <v>0</v>
      </c>
      <c r="Q1177" s="137">
        <v>5.3E-3</v>
      </c>
      <c r="R1177" s="137">
        <f>Q1177*H1177</f>
        <v>3.2945754000000003</v>
      </c>
      <c r="S1177" s="137">
        <v>0</v>
      </c>
      <c r="T1177" s="138">
        <f>S1177*H1177</f>
        <v>0</v>
      </c>
      <c r="AR1177" s="139" t="s">
        <v>621</v>
      </c>
      <c r="AT1177" s="139" t="s">
        <v>519</v>
      </c>
      <c r="AU1177" s="139" t="s">
        <v>90</v>
      </c>
      <c r="AY1177" s="2" t="s">
        <v>337</v>
      </c>
      <c r="BE1177" s="140">
        <f>IF(N1177="základní",J1177,0)</f>
        <v>0</v>
      </c>
      <c r="BF1177" s="140">
        <f>IF(N1177="snížená",J1177,0)</f>
        <v>0</v>
      </c>
      <c r="BG1177" s="140">
        <f>IF(N1177="zákl. přenesená",J1177,0)</f>
        <v>0</v>
      </c>
      <c r="BH1177" s="140">
        <f>IF(N1177="sníž. přenesená",J1177,0)</f>
        <v>0</v>
      </c>
      <c r="BI1177" s="140">
        <f>IF(N1177="nulová",J1177,0)</f>
        <v>0</v>
      </c>
      <c r="BJ1177" s="2" t="s">
        <v>87</v>
      </c>
      <c r="BK1177" s="140">
        <f>ROUND(I1177*H1177,2)</f>
        <v>0</v>
      </c>
      <c r="BL1177" s="2" t="s">
        <v>496</v>
      </c>
      <c r="BM1177" s="139" t="s">
        <v>3884</v>
      </c>
    </row>
    <row r="1178" spans="2:65" s="141" customFormat="1" x14ac:dyDescent="0.2">
      <c r="B1178" s="142"/>
      <c r="D1178" s="143" t="s">
        <v>346</v>
      </c>
      <c r="E1178" s="144"/>
      <c r="F1178" s="145" t="s">
        <v>3885</v>
      </c>
      <c r="H1178" s="144"/>
      <c r="L1178" s="142"/>
      <c r="M1178" s="146"/>
      <c r="T1178" s="147"/>
      <c r="AT1178" s="144" t="s">
        <v>346</v>
      </c>
      <c r="AU1178" s="144" t="s">
        <v>90</v>
      </c>
      <c r="AV1178" s="141" t="s">
        <v>87</v>
      </c>
      <c r="AW1178" s="141" t="s">
        <v>33</v>
      </c>
      <c r="AX1178" s="141" t="s">
        <v>80</v>
      </c>
      <c r="AY1178" s="144" t="s">
        <v>337</v>
      </c>
    </row>
    <row r="1179" spans="2:65" s="141" customFormat="1" x14ac:dyDescent="0.2">
      <c r="B1179" s="142"/>
      <c r="D1179" s="143" t="s">
        <v>346</v>
      </c>
      <c r="E1179" s="144"/>
      <c r="F1179" s="145" t="s">
        <v>3857</v>
      </c>
      <c r="H1179" s="144"/>
      <c r="L1179" s="142"/>
      <c r="M1179" s="146"/>
      <c r="T1179" s="147"/>
      <c r="AT1179" s="144" t="s">
        <v>346</v>
      </c>
      <c r="AU1179" s="144" t="s">
        <v>90</v>
      </c>
      <c r="AV1179" s="141" t="s">
        <v>87</v>
      </c>
      <c r="AW1179" s="141" t="s">
        <v>33</v>
      </c>
      <c r="AX1179" s="141" t="s">
        <v>80</v>
      </c>
      <c r="AY1179" s="144" t="s">
        <v>337</v>
      </c>
    </row>
    <row r="1180" spans="2:65" s="148" customFormat="1" x14ac:dyDescent="0.2">
      <c r="B1180" s="149"/>
      <c r="D1180" s="143" t="s">
        <v>346</v>
      </c>
      <c r="E1180" s="150"/>
      <c r="F1180" s="151" t="s">
        <v>3029</v>
      </c>
      <c r="H1180" s="152">
        <v>380.00200000000001</v>
      </c>
      <c r="L1180" s="149"/>
      <c r="M1180" s="153"/>
      <c r="T1180" s="154"/>
      <c r="AT1180" s="150" t="s">
        <v>346</v>
      </c>
      <c r="AU1180" s="150" t="s">
        <v>90</v>
      </c>
      <c r="AV1180" s="148" t="s">
        <v>90</v>
      </c>
      <c r="AW1180" s="148" t="s">
        <v>33</v>
      </c>
      <c r="AX1180" s="148" t="s">
        <v>80</v>
      </c>
      <c r="AY1180" s="150" t="s">
        <v>337</v>
      </c>
    </row>
    <row r="1181" spans="2:65" s="141" customFormat="1" x14ac:dyDescent="0.2">
      <c r="B1181" s="142"/>
      <c r="D1181" s="143" t="s">
        <v>346</v>
      </c>
      <c r="E1181" s="144"/>
      <c r="F1181" s="145" t="s">
        <v>3858</v>
      </c>
      <c r="H1181" s="144"/>
      <c r="L1181" s="142"/>
      <c r="M1181" s="146"/>
      <c r="T1181" s="147"/>
      <c r="AT1181" s="144" t="s">
        <v>346</v>
      </c>
      <c r="AU1181" s="144" t="s">
        <v>90</v>
      </c>
      <c r="AV1181" s="141" t="s">
        <v>87</v>
      </c>
      <c r="AW1181" s="141" t="s">
        <v>33</v>
      </c>
      <c r="AX1181" s="141" t="s">
        <v>80</v>
      </c>
      <c r="AY1181" s="144" t="s">
        <v>337</v>
      </c>
    </row>
    <row r="1182" spans="2:65" s="148" customFormat="1" x14ac:dyDescent="0.2">
      <c r="B1182" s="149"/>
      <c r="D1182" s="143" t="s">
        <v>346</v>
      </c>
      <c r="E1182" s="150"/>
      <c r="F1182" s="151" t="s">
        <v>3027</v>
      </c>
      <c r="H1182" s="152">
        <v>101.66</v>
      </c>
      <c r="L1182" s="149"/>
      <c r="M1182" s="153"/>
      <c r="T1182" s="154"/>
      <c r="AT1182" s="150" t="s">
        <v>346</v>
      </c>
      <c r="AU1182" s="150" t="s">
        <v>90</v>
      </c>
      <c r="AV1182" s="148" t="s">
        <v>90</v>
      </c>
      <c r="AW1182" s="148" t="s">
        <v>33</v>
      </c>
      <c r="AX1182" s="148" t="s">
        <v>80</v>
      </c>
      <c r="AY1182" s="150" t="s">
        <v>337</v>
      </c>
    </row>
    <row r="1183" spans="2:65" s="141" customFormat="1" x14ac:dyDescent="0.2">
      <c r="B1183" s="142"/>
      <c r="D1183" s="143" t="s">
        <v>346</v>
      </c>
      <c r="E1183" s="144"/>
      <c r="F1183" s="145" t="s">
        <v>3859</v>
      </c>
      <c r="H1183" s="144"/>
      <c r="L1183" s="142"/>
      <c r="M1183" s="146"/>
      <c r="T1183" s="147"/>
      <c r="AT1183" s="144" t="s">
        <v>346</v>
      </c>
      <c r="AU1183" s="144" t="s">
        <v>90</v>
      </c>
      <c r="AV1183" s="141" t="s">
        <v>87</v>
      </c>
      <c r="AW1183" s="141" t="s">
        <v>33</v>
      </c>
      <c r="AX1183" s="141" t="s">
        <v>80</v>
      </c>
      <c r="AY1183" s="144" t="s">
        <v>337</v>
      </c>
    </row>
    <row r="1184" spans="2:65" s="148" customFormat="1" x14ac:dyDescent="0.2">
      <c r="B1184" s="149"/>
      <c r="D1184" s="143" t="s">
        <v>346</v>
      </c>
      <c r="E1184" s="150"/>
      <c r="F1184" s="151" t="s">
        <v>2993</v>
      </c>
      <c r="H1184" s="152">
        <v>36.353000000000002</v>
      </c>
      <c r="L1184" s="149"/>
      <c r="M1184" s="153"/>
      <c r="T1184" s="154"/>
      <c r="AT1184" s="150" t="s">
        <v>346</v>
      </c>
      <c r="AU1184" s="150" t="s">
        <v>90</v>
      </c>
      <c r="AV1184" s="148" t="s">
        <v>90</v>
      </c>
      <c r="AW1184" s="148" t="s">
        <v>33</v>
      </c>
      <c r="AX1184" s="148" t="s">
        <v>80</v>
      </c>
      <c r="AY1184" s="150" t="s">
        <v>337</v>
      </c>
    </row>
    <row r="1185" spans="2:65" s="155" customFormat="1" x14ac:dyDescent="0.2">
      <c r="B1185" s="156"/>
      <c r="D1185" s="143" t="s">
        <v>346</v>
      </c>
      <c r="E1185" s="157"/>
      <c r="F1185" s="158" t="s">
        <v>351</v>
      </c>
      <c r="H1185" s="159">
        <v>518.01499999999999</v>
      </c>
      <c r="L1185" s="156"/>
      <c r="M1185" s="160"/>
      <c r="T1185" s="161"/>
      <c r="AT1185" s="157" t="s">
        <v>346</v>
      </c>
      <c r="AU1185" s="157" t="s">
        <v>90</v>
      </c>
      <c r="AV1185" s="155" t="s">
        <v>344</v>
      </c>
      <c r="AW1185" s="155" t="s">
        <v>33</v>
      </c>
      <c r="AX1185" s="155" t="s">
        <v>87</v>
      </c>
      <c r="AY1185" s="157" t="s">
        <v>337</v>
      </c>
    </row>
    <row r="1186" spans="2:65" s="148" customFormat="1" x14ac:dyDescent="0.2">
      <c r="B1186" s="149"/>
      <c r="D1186" s="143" t="s">
        <v>346</v>
      </c>
      <c r="F1186" s="151" t="s">
        <v>3881</v>
      </c>
      <c r="H1186" s="152">
        <v>621.61800000000005</v>
      </c>
      <c r="L1186" s="149"/>
      <c r="M1186" s="153"/>
      <c r="T1186" s="154"/>
      <c r="AT1186" s="150" t="s">
        <v>346</v>
      </c>
      <c r="AU1186" s="150" t="s">
        <v>90</v>
      </c>
      <c r="AV1186" s="148" t="s">
        <v>90</v>
      </c>
      <c r="AW1186" s="148" t="s">
        <v>3</v>
      </c>
      <c r="AX1186" s="148" t="s">
        <v>87</v>
      </c>
      <c r="AY1186" s="150" t="s">
        <v>337</v>
      </c>
    </row>
    <row r="1187" spans="2:65" s="16" customFormat="1" ht="16.5" customHeight="1" x14ac:dyDescent="0.2">
      <c r="B1187" s="17"/>
      <c r="C1187" s="128">
        <v>103</v>
      </c>
      <c r="D1187" s="128" t="s">
        <v>339</v>
      </c>
      <c r="E1187" s="129" t="s">
        <v>3886</v>
      </c>
      <c r="F1187" s="130" t="s">
        <v>3887</v>
      </c>
      <c r="G1187" s="131" t="s">
        <v>425</v>
      </c>
      <c r="H1187" s="132">
        <v>416.35500000000002</v>
      </c>
      <c r="I1187" s="133"/>
      <c r="J1187" s="134">
        <f>ROUND(I1187*H1187,2)</f>
        <v>0</v>
      </c>
      <c r="K1187" s="130" t="s">
        <v>343</v>
      </c>
      <c r="L1187" s="17"/>
      <c r="M1187" s="135"/>
      <c r="N1187" s="136" t="s">
        <v>45</v>
      </c>
      <c r="P1187" s="137">
        <f>O1187*H1187</f>
        <v>0</v>
      </c>
      <c r="Q1187" s="137">
        <v>4.0000000000000002E-4</v>
      </c>
      <c r="R1187" s="137">
        <f>Q1187*H1187</f>
        <v>0.16654200000000002</v>
      </c>
      <c r="S1187" s="137">
        <v>0</v>
      </c>
      <c r="T1187" s="138">
        <f>S1187*H1187</f>
        <v>0</v>
      </c>
      <c r="AR1187" s="139" t="s">
        <v>496</v>
      </c>
      <c r="AT1187" s="139" t="s">
        <v>339</v>
      </c>
      <c r="AU1187" s="139" t="s">
        <v>90</v>
      </c>
      <c r="AY1187" s="2" t="s">
        <v>337</v>
      </c>
      <c r="BE1187" s="140">
        <f>IF(N1187="základní",J1187,0)</f>
        <v>0</v>
      </c>
      <c r="BF1187" s="140">
        <f>IF(N1187="snížená",J1187,0)</f>
        <v>0</v>
      </c>
      <c r="BG1187" s="140">
        <f>IF(N1187="zákl. přenesená",J1187,0)</f>
        <v>0</v>
      </c>
      <c r="BH1187" s="140">
        <f>IF(N1187="sníž. přenesená",J1187,0)</f>
        <v>0</v>
      </c>
      <c r="BI1187" s="140">
        <f>IF(N1187="nulová",J1187,0)</f>
        <v>0</v>
      </c>
      <c r="BJ1187" s="2" t="s">
        <v>87</v>
      </c>
      <c r="BK1187" s="140">
        <f>ROUND(I1187*H1187,2)</f>
        <v>0</v>
      </c>
      <c r="BL1187" s="2" t="s">
        <v>496</v>
      </c>
      <c r="BM1187" s="139" t="s">
        <v>3888</v>
      </c>
    </row>
    <row r="1188" spans="2:65" s="141" customFormat="1" x14ac:dyDescent="0.2">
      <c r="B1188" s="142"/>
      <c r="D1188" s="143" t="s">
        <v>346</v>
      </c>
      <c r="E1188" s="144"/>
      <c r="F1188" s="145" t="s">
        <v>3857</v>
      </c>
      <c r="H1188" s="144"/>
      <c r="L1188" s="142"/>
      <c r="M1188" s="146"/>
      <c r="T1188" s="147"/>
      <c r="AT1188" s="144" t="s">
        <v>346</v>
      </c>
      <c r="AU1188" s="144" t="s">
        <v>90</v>
      </c>
      <c r="AV1188" s="141" t="s">
        <v>87</v>
      </c>
      <c r="AW1188" s="141" t="s">
        <v>33</v>
      </c>
      <c r="AX1188" s="141" t="s">
        <v>80</v>
      </c>
      <c r="AY1188" s="144" t="s">
        <v>337</v>
      </c>
    </row>
    <row r="1189" spans="2:65" s="148" customFormat="1" x14ac:dyDescent="0.2">
      <c r="B1189" s="149"/>
      <c r="D1189" s="143" t="s">
        <v>346</v>
      </c>
      <c r="E1189" s="150"/>
      <c r="F1189" s="151" t="s">
        <v>3029</v>
      </c>
      <c r="H1189" s="152">
        <v>380.00200000000001</v>
      </c>
      <c r="L1189" s="149"/>
      <c r="M1189" s="153"/>
      <c r="T1189" s="154"/>
      <c r="AT1189" s="150" t="s">
        <v>346</v>
      </c>
      <c r="AU1189" s="150" t="s">
        <v>90</v>
      </c>
      <c r="AV1189" s="148" t="s">
        <v>90</v>
      </c>
      <c r="AW1189" s="148" t="s">
        <v>33</v>
      </c>
      <c r="AX1189" s="148" t="s">
        <v>80</v>
      </c>
      <c r="AY1189" s="150" t="s">
        <v>337</v>
      </c>
    </row>
    <row r="1190" spans="2:65" s="141" customFormat="1" x14ac:dyDescent="0.2">
      <c r="B1190" s="142"/>
      <c r="D1190" s="143" t="s">
        <v>346</v>
      </c>
      <c r="E1190" s="144"/>
      <c r="F1190" s="145" t="s">
        <v>3868</v>
      </c>
      <c r="H1190" s="144"/>
      <c r="L1190" s="142"/>
      <c r="M1190" s="146"/>
      <c r="T1190" s="147"/>
      <c r="AT1190" s="144" t="s">
        <v>346</v>
      </c>
      <c r="AU1190" s="144" t="s">
        <v>90</v>
      </c>
      <c r="AV1190" s="141" t="s">
        <v>87</v>
      </c>
      <c r="AW1190" s="141" t="s">
        <v>33</v>
      </c>
      <c r="AX1190" s="141" t="s">
        <v>80</v>
      </c>
      <c r="AY1190" s="144" t="s">
        <v>337</v>
      </c>
    </row>
    <row r="1191" spans="2:65" s="148" customFormat="1" x14ac:dyDescent="0.2">
      <c r="B1191" s="149"/>
      <c r="D1191" s="143" t="s">
        <v>346</v>
      </c>
      <c r="E1191" s="150"/>
      <c r="F1191" s="151" t="s">
        <v>2993</v>
      </c>
      <c r="H1191" s="152">
        <v>36.353000000000002</v>
      </c>
      <c r="L1191" s="149"/>
      <c r="M1191" s="153"/>
      <c r="T1191" s="154"/>
      <c r="AT1191" s="150" t="s">
        <v>346</v>
      </c>
      <c r="AU1191" s="150" t="s">
        <v>90</v>
      </c>
      <c r="AV1191" s="148" t="s">
        <v>90</v>
      </c>
      <c r="AW1191" s="148" t="s">
        <v>33</v>
      </c>
      <c r="AX1191" s="148" t="s">
        <v>80</v>
      </c>
      <c r="AY1191" s="150" t="s">
        <v>337</v>
      </c>
    </row>
    <row r="1192" spans="2:65" s="155" customFormat="1" x14ac:dyDescent="0.2">
      <c r="B1192" s="156"/>
      <c r="D1192" s="143" t="s">
        <v>346</v>
      </c>
      <c r="E1192" s="157"/>
      <c r="F1192" s="158" t="s">
        <v>351</v>
      </c>
      <c r="H1192" s="159">
        <v>416.35500000000002</v>
      </c>
      <c r="L1192" s="156"/>
      <c r="M1192" s="160"/>
      <c r="T1192" s="161"/>
      <c r="AT1192" s="157" t="s">
        <v>346</v>
      </c>
      <c r="AU1192" s="157" t="s">
        <v>90</v>
      </c>
      <c r="AV1192" s="155" t="s">
        <v>344</v>
      </c>
      <c r="AW1192" s="155" t="s">
        <v>33</v>
      </c>
      <c r="AX1192" s="155" t="s">
        <v>87</v>
      </c>
      <c r="AY1192" s="157" t="s">
        <v>337</v>
      </c>
    </row>
    <row r="1193" spans="2:65" s="16" customFormat="1" ht="16.5" customHeight="1" x14ac:dyDescent="0.2">
      <c r="B1193" s="17"/>
      <c r="C1193" s="128">
        <v>104</v>
      </c>
      <c r="D1193" s="128" t="s">
        <v>339</v>
      </c>
      <c r="E1193" s="129" t="s">
        <v>3889</v>
      </c>
      <c r="F1193" s="130" t="s">
        <v>3890</v>
      </c>
      <c r="G1193" s="131" t="s">
        <v>724</v>
      </c>
      <c r="H1193" s="132">
        <v>130.99</v>
      </c>
      <c r="I1193" s="133"/>
      <c r="J1193" s="134">
        <f>ROUND(I1193*H1193,2)</f>
        <v>0</v>
      </c>
      <c r="K1193" s="130" t="s">
        <v>343</v>
      </c>
      <c r="L1193" s="17"/>
      <c r="M1193" s="135"/>
      <c r="N1193" s="136" t="s">
        <v>45</v>
      </c>
      <c r="P1193" s="137">
        <f>O1193*H1193</f>
        <v>0</v>
      </c>
      <c r="Q1193" s="137">
        <v>1.6000000000000001E-4</v>
      </c>
      <c r="R1193" s="137">
        <f>Q1193*H1193</f>
        <v>2.0958400000000002E-2</v>
      </c>
      <c r="S1193" s="137">
        <v>0</v>
      </c>
      <c r="T1193" s="138">
        <f>S1193*H1193</f>
        <v>0</v>
      </c>
      <c r="AR1193" s="139" t="s">
        <v>496</v>
      </c>
      <c r="AT1193" s="139" t="s">
        <v>339</v>
      </c>
      <c r="AU1193" s="139" t="s">
        <v>90</v>
      </c>
      <c r="AY1193" s="2" t="s">
        <v>337</v>
      </c>
      <c r="BE1193" s="140">
        <f>IF(N1193="základní",J1193,0)</f>
        <v>0</v>
      </c>
      <c r="BF1193" s="140">
        <f>IF(N1193="snížená",J1193,0)</f>
        <v>0</v>
      </c>
      <c r="BG1193" s="140">
        <f>IF(N1193="zákl. přenesená",J1193,0)</f>
        <v>0</v>
      </c>
      <c r="BH1193" s="140">
        <f>IF(N1193="sníž. přenesená",J1193,0)</f>
        <v>0</v>
      </c>
      <c r="BI1193" s="140">
        <f>IF(N1193="nulová",J1193,0)</f>
        <v>0</v>
      </c>
      <c r="BJ1193" s="2" t="s">
        <v>87</v>
      </c>
      <c r="BK1193" s="140">
        <f>ROUND(I1193*H1193,2)</f>
        <v>0</v>
      </c>
      <c r="BL1193" s="2" t="s">
        <v>496</v>
      </c>
      <c r="BM1193" s="139" t="s">
        <v>3891</v>
      </c>
    </row>
    <row r="1194" spans="2:65" s="141" customFormat="1" x14ac:dyDescent="0.2">
      <c r="B1194" s="142"/>
      <c r="D1194" s="143" t="s">
        <v>346</v>
      </c>
      <c r="E1194" s="144"/>
      <c r="F1194" s="145" t="s">
        <v>3892</v>
      </c>
      <c r="H1194" s="144"/>
      <c r="L1194" s="142"/>
      <c r="M1194" s="146"/>
      <c r="T1194" s="147"/>
      <c r="AT1194" s="144" t="s">
        <v>346</v>
      </c>
      <c r="AU1194" s="144" t="s">
        <v>90</v>
      </c>
      <c r="AV1194" s="141" t="s">
        <v>87</v>
      </c>
      <c r="AW1194" s="141" t="s">
        <v>33</v>
      </c>
      <c r="AX1194" s="141" t="s">
        <v>80</v>
      </c>
      <c r="AY1194" s="144" t="s">
        <v>337</v>
      </c>
    </row>
    <row r="1195" spans="2:65" s="148" customFormat="1" x14ac:dyDescent="0.2">
      <c r="B1195" s="149"/>
      <c r="D1195" s="143" t="s">
        <v>346</v>
      </c>
      <c r="E1195" s="150"/>
      <c r="F1195" s="151" t="s">
        <v>3893</v>
      </c>
      <c r="H1195" s="152">
        <v>68.48</v>
      </c>
      <c r="L1195" s="149"/>
      <c r="M1195" s="153"/>
      <c r="T1195" s="154"/>
      <c r="AT1195" s="150" t="s">
        <v>346</v>
      </c>
      <c r="AU1195" s="150" t="s">
        <v>90</v>
      </c>
      <c r="AV1195" s="148" t="s">
        <v>90</v>
      </c>
      <c r="AW1195" s="148" t="s">
        <v>33</v>
      </c>
      <c r="AX1195" s="148" t="s">
        <v>80</v>
      </c>
      <c r="AY1195" s="150" t="s">
        <v>337</v>
      </c>
    </row>
    <row r="1196" spans="2:65" s="141" customFormat="1" x14ac:dyDescent="0.2">
      <c r="B1196" s="142"/>
      <c r="D1196" s="143" t="s">
        <v>346</v>
      </c>
      <c r="E1196" s="144"/>
      <c r="F1196" s="145" t="s">
        <v>3101</v>
      </c>
      <c r="H1196" s="144"/>
      <c r="L1196" s="142"/>
      <c r="M1196" s="146"/>
      <c r="T1196" s="147"/>
      <c r="AT1196" s="144" t="s">
        <v>346</v>
      </c>
      <c r="AU1196" s="144" t="s">
        <v>90</v>
      </c>
      <c r="AV1196" s="141" t="s">
        <v>87</v>
      </c>
      <c r="AW1196" s="141" t="s">
        <v>33</v>
      </c>
      <c r="AX1196" s="141" t="s">
        <v>80</v>
      </c>
      <c r="AY1196" s="144" t="s">
        <v>337</v>
      </c>
    </row>
    <row r="1197" spans="2:65" s="141" customFormat="1" x14ac:dyDescent="0.2">
      <c r="B1197" s="142"/>
      <c r="D1197" s="143" t="s">
        <v>346</v>
      </c>
      <c r="E1197" s="144"/>
      <c r="F1197" s="145" t="s">
        <v>3102</v>
      </c>
      <c r="H1197" s="144"/>
      <c r="L1197" s="142"/>
      <c r="M1197" s="146"/>
      <c r="T1197" s="147"/>
      <c r="AT1197" s="144" t="s">
        <v>346</v>
      </c>
      <c r="AU1197" s="144" t="s">
        <v>90</v>
      </c>
      <c r="AV1197" s="141" t="s">
        <v>87</v>
      </c>
      <c r="AW1197" s="141" t="s">
        <v>33</v>
      </c>
      <c r="AX1197" s="141" t="s">
        <v>80</v>
      </c>
      <c r="AY1197" s="144" t="s">
        <v>337</v>
      </c>
    </row>
    <row r="1198" spans="2:65" s="148" customFormat="1" x14ac:dyDescent="0.2">
      <c r="B1198" s="149"/>
      <c r="D1198" s="143" t="s">
        <v>346</v>
      </c>
      <c r="E1198" s="150"/>
      <c r="F1198" s="151" t="s">
        <v>3255</v>
      </c>
      <c r="H1198" s="152">
        <v>6</v>
      </c>
      <c r="L1198" s="149"/>
      <c r="M1198" s="153"/>
      <c r="T1198" s="154"/>
      <c r="AT1198" s="150" t="s">
        <v>346</v>
      </c>
      <c r="AU1198" s="150" t="s">
        <v>90</v>
      </c>
      <c r="AV1198" s="148" t="s">
        <v>90</v>
      </c>
      <c r="AW1198" s="148" t="s">
        <v>33</v>
      </c>
      <c r="AX1198" s="148" t="s">
        <v>80</v>
      </c>
      <c r="AY1198" s="150" t="s">
        <v>337</v>
      </c>
    </row>
    <row r="1199" spans="2:65" s="141" customFormat="1" x14ac:dyDescent="0.2">
      <c r="B1199" s="142"/>
      <c r="D1199" s="143" t="s">
        <v>346</v>
      </c>
      <c r="E1199" s="144"/>
      <c r="F1199" s="145" t="s">
        <v>3104</v>
      </c>
      <c r="H1199" s="144"/>
      <c r="L1199" s="142"/>
      <c r="M1199" s="146"/>
      <c r="T1199" s="147"/>
      <c r="AT1199" s="144" t="s">
        <v>346</v>
      </c>
      <c r="AU1199" s="144" t="s">
        <v>90</v>
      </c>
      <c r="AV1199" s="141" t="s">
        <v>87</v>
      </c>
      <c r="AW1199" s="141" t="s">
        <v>33</v>
      </c>
      <c r="AX1199" s="141" t="s">
        <v>80</v>
      </c>
      <c r="AY1199" s="144" t="s">
        <v>337</v>
      </c>
    </row>
    <row r="1200" spans="2:65" s="148" customFormat="1" x14ac:dyDescent="0.2">
      <c r="B1200" s="149"/>
      <c r="D1200" s="143" t="s">
        <v>346</v>
      </c>
      <c r="E1200" s="150"/>
      <c r="F1200" s="151" t="s">
        <v>3256</v>
      </c>
      <c r="H1200" s="152">
        <v>0.6</v>
      </c>
      <c r="L1200" s="149"/>
      <c r="M1200" s="153"/>
      <c r="T1200" s="154"/>
      <c r="AT1200" s="150" t="s">
        <v>346</v>
      </c>
      <c r="AU1200" s="150" t="s">
        <v>90</v>
      </c>
      <c r="AV1200" s="148" t="s">
        <v>90</v>
      </c>
      <c r="AW1200" s="148" t="s">
        <v>33</v>
      </c>
      <c r="AX1200" s="148" t="s">
        <v>80</v>
      </c>
      <c r="AY1200" s="150" t="s">
        <v>337</v>
      </c>
    </row>
    <row r="1201" spans="2:51" s="141" customFormat="1" x14ac:dyDescent="0.2">
      <c r="B1201" s="142"/>
      <c r="D1201" s="143" t="s">
        <v>346</v>
      </c>
      <c r="E1201" s="144"/>
      <c r="F1201" s="145" t="s">
        <v>3106</v>
      </c>
      <c r="H1201" s="144"/>
      <c r="L1201" s="142"/>
      <c r="M1201" s="146"/>
      <c r="T1201" s="147"/>
      <c r="AT1201" s="144" t="s">
        <v>346</v>
      </c>
      <c r="AU1201" s="144" t="s">
        <v>90</v>
      </c>
      <c r="AV1201" s="141" t="s">
        <v>87</v>
      </c>
      <c r="AW1201" s="141" t="s">
        <v>33</v>
      </c>
      <c r="AX1201" s="141" t="s">
        <v>80</v>
      </c>
      <c r="AY1201" s="144" t="s">
        <v>337</v>
      </c>
    </row>
    <row r="1202" spans="2:51" s="148" customFormat="1" x14ac:dyDescent="0.2">
      <c r="B1202" s="149"/>
      <c r="D1202" s="143" t="s">
        <v>346</v>
      </c>
      <c r="E1202" s="150"/>
      <c r="F1202" s="151" t="s">
        <v>3257</v>
      </c>
      <c r="H1202" s="152">
        <v>10.4</v>
      </c>
      <c r="L1202" s="149"/>
      <c r="M1202" s="153"/>
      <c r="T1202" s="154"/>
      <c r="AT1202" s="150" t="s">
        <v>346</v>
      </c>
      <c r="AU1202" s="150" t="s">
        <v>90</v>
      </c>
      <c r="AV1202" s="148" t="s">
        <v>90</v>
      </c>
      <c r="AW1202" s="148" t="s">
        <v>33</v>
      </c>
      <c r="AX1202" s="148" t="s">
        <v>80</v>
      </c>
      <c r="AY1202" s="150" t="s">
        <v>337</v>
      </c>
    </row>
    <row r="1203" spans="2:51" s="141" customFormat="1" x14ac:dyDescent="0.2">
      <c r="B1203" s="142"/>
      <c r="D1203" s="143" t="s">
        <v>346</v>
      </c>
      <c r="E1203" s="144"/>
      <c r="F1203" s="145" t="s">
        <v>3108</v>
      </c>
      <c r="H1203" s="144"/>
      <c r="L1203" s="142"/>
      <c r="M1203" s="146"/>
      <c r="T1203" s="147"/>
      <c r="AT1203" s="144" t="s">
        <v>346</v>
      </c>
      <c r="AU1203" s="144" t="s">
        <v>90</v>
      </c>
      <c r="AV1203" s="141" t="s">
        <v>87</v>
      </c>
      <c r="AW1203" s="141" t="s">
        <v>33</v>
      </c>
      <c r="AX1203" s="141" t="s">
        <v>80</v>
      </c>
      <c r="AY1203" s="144" t="s">
        <v>337</v>
      </c>
    </row>
    <row r="1204" spans="2:51" s="148" customFormat="1" x14ac:dyDescent="0.2">
      <c r="B1204" s="149"/>
      <c r="D1204" s="143" t="s">
        <v>346</v>
      </c>
      <c r="E1204" s="150"/>
      <c r="F1204" s="151" t="s">
        <v>3258</v>
      </c>
      <c r="H1204" s="152">
        <v>5.4</v>
      </c>
      <c r="L1204" s="149"/>
      <c r="M1204" s="153"/>
      <c r="T1204" s="154"/>
      <c r="AT1204" s="150" t="s">
        <v>346</v>
      </c>
      <c r="AU1204" s="150" t="s">
        <v>90</v>
      </c>
      <c r="AV1204" s="148" t="s">
        <v>90</v>
      </c>
      <c r="AW1204" s="148" t="s">
        <v>33</v>
      </c>
      <c r="AX1204" s="148" t="s">
        <v>80</v>
      </c>
      <c r="AY1204" s="150" t="s">
        <v>337</v>
      </c>
    </row>
    <row r="1205" spans="2:51" s="141" customFormat="1" x14ac:dyDescent="0.2">
      <c r="B1205" s="142"/>
      <c r="D1205" s="143" t="s">
        <v>346</v>
      </c>
      <c r="E1205" s="144"/>
      <c r="F1205" s="145" t="s">
        <v>3894</v>
      </c>
      <c r="H1205" s="144"/>
      <c r="L1205" s="142"/>
      <c r="M1205" s="146"/>
      <c r="T1205" s="147"/>
      <c r="AT1205" s="144" t="s">
        <v>346</v>
      </c>
      <c r="AU1205" s="144" t="s">
        <v>90</v>
      </c>
      <c r="AV1205" s="141" t="s">
        <v>87</v>
      </c>
      <c r="AW1205" s="141" t="s">
        <v>33</v>
      </c>
      <c r="AX1205" s="141" t="s">
        <v>80</v>
      </c>
      <c r="AY1205" s="144" t="s">
        <v>337</v>
      </c>
    </row>
    <row r="1206" spans="2:51" s="148" customFormat="1" x14ac:dyDescent="0.2">
      <c r="B1206" s="149"/>
      <c r="D1206" s="143" t="s">
        <v>346</v>
      </c>
      <c r="E1206" s="150"/>
      <c r="F1206" s="151" t="s">
        <v>3895</v>
      </c>
      <c r="H1206" s="152">
        <v>8.76</v>
      </c>
      <c r="L1206" s="149"/>
      <c r="M1206" s="153"/>
      <c r="T1206" s="154"/>
      <c r="AT1206" s="150" t="s">
        <v>346</v>
      </c>
      <c r="AU1206" s="150" t="s">
        <v>90</v>
      </c>
      <c r="AV1206" s="148" t="s">
        <v>90</v>
      </c>
      <c r="AW1206" s="148" t="s">
        <v>33</v>
      </c>
      <c r="AX1206" s="148" t="s">
        <v>80</v>
      </c>
      <c r="AY1206" s="150" t="s">
        <v>337</v>
      </c>
    </row>
    <row r="1207" spans="2:51" s="141" customFormat="1" x14ac:dyDescent="0.2">
      <c r="B1207" s="142"/>
      <c r="D1207" s="143" t="s">
        <v>346</v>
      </c>
      <c r="E1207" s="144"/>
      <c r="F1207" s="145" t="s">
        <v>3259</v>
      </c>
      <c r="H1207" s="144"/>
      <c r="L1207" s="142"/>
      <c r="M1207" s="146"/>
      <c r="T1207" s="147"/>
      <c r="AT1207" s="144" t="s">
        <v>346</v>
      </c>
      <c r="AU1207" s="144" t="s">
        <v>90</v>
      </c>
      <c r="AV1207" s="141" t="s">
        <v>87</v>
      </c>
      <c r="AW1207" s="141" t="s">
        <v>33</v>
      </c>
      <c r="AX1207" s="141" t="s">
        <v>80</v>
      </c>
      <c r="AY1207" s="144" t="s">
        <v>337</v>
      </c>
    </row>
    <row r="1208" spans="2:51" s="148" customFormat="1" x14ac:dyDescent="0.2">
      <c r="B1208" s="149"/>
      <c r="D1208" s="143" t="s">
        <v>346</v>
      </c>
      <c r="E1208" s="150"/>
      <c r="F1208" s="151" t="s">
        <v>3896</v>
      </c>
      <c r="H1208" s="152">
        <v>9.4499999999999993</v>
      </c>
      <c r="L1208" s="149"/>
      <c r="M1208" s="153"/>
      <c r="T1208" s="154"/>
      <c r="AT1208" s="150" t="s">
        <v>346</v>
      </c>
      <c r="AU1208" s="150" t="s">
        <v>90</v>
      </c>
      <c r="AV1208" s="148" t="s">
        <v>90</v>
      </c>
      <c r="AW1208" s="148" t="s">
        <v>33</v>
      </c>
      <c r="AX1208" s="148" t="s">
        <v>80</v>
      </c>
      <c r="AY1208" s="150" t="s">
        <v>337</v>
      </c>
    </row>
    <row r="1209" spans="2:51" s="141" customFormat="1" x14ac:dyDescent="0.2">
      <c r="B1209" s="142"/>
      <c r="D1209" s="143" t="s">
        <v>346</v>
      </c>
      <c r="E1209" s="144"/>
      <c r="F1209" s="145" t="s">
        <v>3112</v>
      </c>
      <c r="H1209" s="144"/>
      <c r="L1209" s="142"/>
      <c r="M1209" s="146"/>
      <c r="T1209" s="147"/>
      <c r="AT1209" s="144" t="s">
        <v>346</v>
      </c>
      <c r="AU1209" s="144" t="s">
        <v>90</v>
      </c>
      <c r="AV1209" s="141" t="s">
        <v>87</v>
      </c>
      <c r="AW1209" s="141" t="s">
        <v>33</v>
      </c>
      <c r="AX1209" s="141" t="s">
        <v>80</v>
      </c>
      <c r="AY1209" s="144" t="s">
        <v>337</v>
      </c>
    </row>
    <row r="1210" spans="2:51" s="141" customFormat="1" x14ac:dyDescent="0.2">
      <c r="B1210" s="142"/>
      <c r="D1210" s="143" t="s">
        <v>346</v>
      </c>
      <c r="E1210" s="144"/>
      <c r="F1210" s="145" t="s">
        <v>3117</v>
      </c>
      <c r="H1210" s="144"/>
      <c r="L1210" s="142"/>
      <c r="M1210" s="146"/>
      <c r="T1210" s="147"/>
      <c r="AT1210" s="144" t="s">
        <v>346</v>
      </c>
      <c r="AU1210" s="144" t="s">
        <v>90</v>
      </c>
      <c r="AV1210" s="141" t="s">
        <v>87</v>
      </c>
      <c r="AW1210" s="141" t="s">
        <v>33</v>
      </c>
      <c r="AX1210" s="141" t="s">
        <v>80</v>
      </c>
      <c r="AY1210" s="144" t="s">
        <v>337</v>
      </c>
    </row>
    <row r="1211" spans="2:51" s="141" customFormat="1" x14ac:dyDescent="0.2">
      <c r="B1211" s="142"/>
      <c r="D1211" s="143" t="s">
        <v>346</v>
      </c>
      <c r="E1211" s="144"/>
      <c r="F1211" s="145" t="s">
        <v>757</v>
      </c>
      <c r="H1211" s="144"/>
      <c r="L1211" s="142"/>
      <c r="M1211" s="146"/>
      <c r="T1211" s="147"/>
      <c r="AT1211" s="144" t="s">
        <v>346</v>
      </c>
      <c r="AU1211" s="144" t="s">
        <v>90</v>
      </c>
      <c r="AV1211" s="141" t="s">
        <v>87</v>
      </c>
      <c r="AW1211" s="141" t="s">
        <v>33</v>
      </c>
      <c r="AX1211" s="141" t="s">
        <v>80</v>
      </c>
      <c r="AY1211" s="144" t="s">
        <v>337</v>
      </c>
    </row>
    <row r="1212" spans="2:51" s="148" customFormat="1" x14ac:dyDescent="0.2">
      <c r="B1212" s="149"/>
      <c r="D1212" s="143" t="s">
        <v>346</v>
      </c>
      <c r="E1212" s="150"/>
      <c r="F1212" s="151" t="s">
        <v>3665</v>
      </c>
      <c r="H1212" s="152">
        <v>7.1</v>
      </c>
      <c r="L1212" s="149"/>
      <c r="M1212" s="153"/>
      <c r="T1212" s="154"/>
      <c r="AT1212" s="150" t="s">
        <v>346</v>
      </c>
      <c r="AU1212" s="150" t="s">
        <v>90</v>
      </c>
      <c r="AV1212" s="148" t="s">
        <v>90</v>
      </c>
      <c r="AW1212" s="148" t="s">
        <v>33</v>
      </c>
      <c r="AX1212" s="148" t="s">
        <v>80</v>
      </c>
      <c r="AY1212" s="150" t="s">
        <v>337</v>
      </c>
    </row>
    <row r="1213" spans="2:51" s="141" customFormat="1" x14ac:dyDescent="0.2">
      <c r="B1213" s="142"/>
      <c r="D1213" s="143" t="s">
        <v>346</v>
      </c>
      <c r="E1213" s="144"/>
      <c r="F1213" s="145" t="s">
        <v>759</v>
      </c>
      <c r="H1213" s="144"/>
      <c r="L1213" s="142"/>
      <c r="M1213" s="146"/>
      <c r="T1213" s="147"/>
      <c r="AT1213" s="144" t="s">
        <v>346</v>
      </c>
      <c r="AU1213" s="144" t="s">
        <v>90</v>
      </c>
      <c r="AV1213" s="141" t="s">
        <v>87</v>
      </c>
      <c r="AW1213" s="141" t="s">
        <v>33</v>
      </c>
      <c r="AX1213" s="141" t="s">
        <v>80</v>
      </c>
      <c r="AY1213" s="144" t="s">
        <v>337</v>
      </c>
    </row>
    <row r="1214" spans="2:51" s="148" customFormat="1" x14ac:dyDescent="0.2">
      <c r="B1214" s="149"/>
      <c r="D1214" s="143" t="s">
        <v>346</v>
      </c>
      <c r="E1214" s="150"/>
      <c r="F1214" s="151" t="s">
        <v>3666</v>
      </c>
      <c r="H1214" s="152">
        <v>5.3</v>
      </c>
      <c r="L1214" s="149"/>
      <c r="M1214" s="153"/>
      <c r="T1214" s="154"/>
      <c r="AT1214" s="150" t="s">
        <v>346</v>
      </c>
      <c r="AU1214" s="150" t="s">
        <v>90</v>
      </c>
      <c r="AV1214" s="148" t="s">
        <v>90</v>
      </c>
      <c r="AW1214" s="148" t="s">
        <v>33</v>
      </c>
      <c r="AX1214" s="148" t="s">
        <v>80</v>
      </c>
      <c r="AY1214" s="150" t="s">
        <v>337</v>
      </c>
    </row>
    <row r="1215" spans="2:51" s="148" customFormat="1" x14ac:dyDescent="0.2">
      <c r="B1215" s="149"/>
      <c r="D1215" s="143" t="s">
        <v>346</v>
      </c>
      <c r="E1215" s="150"/>
      <c r="F1215" s="151" t="s">
        <v>3667</v>
      </c>
      <c r="H1215" s="152">
        <v>9.5</v>
      </c>
      <c r="L1215" s="149"/>
      <c r="M1215" s="153"/>
      <c r="T1215" s="154"/>
      <c r="AT1215" s="150" t="s">
        <v>346</v>
      </c>
      <c r="AU1215" s="150" t="s">
        <v>90</v>
      </c>
      <c r="AV1215" s="148" t="s">
        <v>90</v>
      </c>
      <c r="AW1215" s="148" t="s">
        <v>33</v>
      </c>
      <c r="AX1215" s="148" t="s">
        <v>80</v>
      </c>
      <c r="AY1215" s="150" t="s">
        <v>337</v>
      </c>
    </row>
    <row r="1216" spans="2:51" s="155" customFormat="1" x14ac:dyDescent="0.2">
      <c r="B1216" s="156"/>
      <c r="D1216" s="143" t="s">
        <v>346</v>
      </c>
      <c r="E1216" s="157"/>
      <c r="F1216" s="158" t="s">
        <v>351</v>
      </c>
      <c r="H1216" s="159">
        <v>130.99</v>
      </c>
      <c r="L1216" s="156"/>
      <c r="M1216" s="160"/>
      <c r="T1216" s="161"/>
      <c r="AT1216" s="157" t="s">
        <v>346</v>
      </c>
      <c r="AU1216" s="157" t="s">
        <v>90</v>
      </c>
      <c r="AV1216" s="155" t="s">
        <v>344</v>
      </c>
      <c r="AW1216" s="155" t="s">
        <v>33</v>
      </c>
      <c r="AX1216" s="155" t="s">
        <v>87</v>
      </c>
      <c r="AY1216" s="157" t="s">
        <v>337</v>
      </c>
    </row>
    <row r="1217" spans="2:65" s="16" customFormat="1" ht="16.5" customHeight="1" x14ac:dyDescent="0.2">
      <c r="B1217" s="17"/>
      <c r="C1217" s="128">
        <v>105</v>
      </c>
      <c r="D1217" s="128" t="s">
        <v>339</v>
      </c>
      <c r="E1217" s="129" t="s">
        <v>3897</v>
      </c>
      <c r="F1217" s="130" t="s">
        <v>3898</v>
      </c>
      <c r="G1217" s="131" t="s">
        <v>425</v>
      </c>
      <c r="H1217" s="132">
        <v>76.388000000000005</v>
      </c>
      <c r="I1217" s="133"/>
      <c r="J1217" s="134">
        <f>ROUND(I1217*H1217,2)</f>
        <v>0</v>
      </c>
      <c r="K1217" s="130" t="s">
        <v>343</v>
      </c>
      <c r="L1217" s="17"/>
      <c r="M1217" s="135"/>
      <c r="N1217" s="136" t="s">
        <v>45</v>
      </c>
      <c r="P1217" s="137">
        <f>O1217*H1217</f>
        <v>0</v>
      </c>
      <c r="Q1217" s="137">
        <v>7.6999999999999996E-4</v>
      </c>
      <c r="R1217" s="137">
        <f>Q1217*H1217</f>
        <v>5.8818759999999998E-2</v>
      </c>
      <c r="S1217" s="137">
        <v>0</v>
      </c>
      <c r="T1217" s="138">
        <f>S1217*H1217</f>
        <v>0</v>
      </c>
      <c r="AR1217" s="139" t="s">
        <v>496</v>
      </c>
      <c r="AT1217" s="139" t="s">
        <v>339</v>
      </c>
      <c r="AU1217" s="139" t="s">
        <v>90</v>
      </c>
      <c r="AY1217" s="2" t="s">
        <v>337</v>
      </c>
      <c r="BE1217" s="140">
        <f>IF(N1217="základní",J1217,0)</f>
        <v>0</v>
      </c>
      <c r="BF1217" s="140">
        <f>IF(N1217="snížená",J1217,0)</f>
        <v>0</v>
      </c>
      <c r="BG1217" s="140">
        <f>IF(N1217="zákl. přenesená",J1217,0)</f>
        <v>0</v>
      </c>
      <c r="BH1217" s="140">
        <f>IF(N1217="sníž. přenesená",J1217,0)</f>
        <v>0</v>
      </c>
      <c r="BI1217" s="140">
        <f>IF(N1217="nulová",J1217,0)</f>
        <v>0</v>
      </c>
      <c r="BJ1217" s="2" t="s">
        <v>87</v>
      </c>
      <c r="BK1217" s="140">
        <f>ROUND(I1217*H1217,2)</f>
        <v>0</v>
      </c>
      <c r="BL1217" s="2" t="s">
        <v>496</v>
      </c>
      <c r="BM1217" s="139" t="s">
        <v>3899</v>
      </c>
    </row>
    <row r="1218" spans="2:65" s="141" customFormat="1" x14ac:dyDescent="0.2">
      <c r="B1218" s="142"/>
      <c r="D1218" s="143" t="s">
        <v>346</v>
      </c>
      <c r="E1218" s="144"/>
      <c r="F1218" s="145" t="s">
        <v>3900</v>
      </c>
      <c r="H1218" s="144"/>
      <c r="L1218" s="142"/>
      <c r="M1218" s="146"/>
      <c r="T1218" s="147"/>
      <c r="AT1218" s="144" t="s">
        <v>346</v>
      </c>
      <c r="AU1218" s="144" t="s">
        <v>90</v>
      </c>
      <c r="AV1218" s="141" t="s">
        <v>87</v>
      </c>
      <c r="AW1218" s="141" t="s">
        <v>33</v>
      </c>
      <c r="AX1218" s="141" t="s">
        <v>80</v>
      </c>
      <c r="AY1218" s="144" t="s">
        <v>337</v>
      </c>
    </row>
    <row r="1219" spans="2:65" s="141" customFormat="1" x14ac:dyDescent="0.2">
      <c r="B1219" s="142"/>
      <c r="D1219" s="143" t="s">
        <v>346</v>
      </c>
      <c r="E1219" s="144"/>
      <c r="F1219" s="145" t="s">
        <v>3869</v>
      </c>
      <c r="H1219" s="144"/>
      <c r="L1219" s="142"/>
      <c r="M1219" s="146"/>
      <c r="T1219" s="147"/>
      <c r="AT1219" s="144" t="s">
        <v>346</v>
      </c>
      <c r="AU1219" s="144" t="s">
        <v>90</v>
      </c>
      <c r="AV1219" s="141" t="s">
        <v>87</v>
      </c>
      <c r="AW1219" s="141" t="s">
        <v>33</v>
      </c>
      <c r="AX1219" s="141" t="s">
        <v>80</v>
      </c>
      <c r="AY1219" s="144" t="s">
        <v>337</v>
      </c>
    </row>
    <row r="1220" spans="2:65" s="148" customFormat="1" x14ac:dyDescent="0.2">
      <c r="B1220" s="149"/>
      <c r="D1220" s="143" t="s">
        <v>346</v>
      </c>
      <c r="E1220" s="150"/>
      <c r="F1220" s="151" t="s">
        <v>3870</v>
      </c>
      <c r="H1220" s="152">
        <v>10.56</v>
      </c>
      <c r="L1220" s="149"/>
      <c r="M1220" s="153"/>
      <c r="T1220" s="154"/>
      <c r="AT1220" s="150" t="s">
        <v>346</v>
      </c>
      <c r="AU1220" s="150" t="s">
        <v>90</v>
      </c>
      <c r="AV1220" s="148" t="s">
        <v>90</v>
      </c>
      <c r="AW1220" s="148" t="s">
        <v>33</v>
      </c>
      <c r="AX1220" s="148" t="s">
        <v>80</v>
      </c>
      <c r="AY1220" s="150" t="s">
        <v>337</v>
      </c>
    </row>
    <row r="1221" spans="2:65" s="141" customFormat="1" x14ac:dyDescent="0.2">
      <c r="B1221" s="142"/>
      <c r="D1221" s="143" t="s">
        <v>346</v>
      </c>
      <c r="E1221" s="144"/>
      <c r="F1221" s="145" t="s">
        <v>3901</v>
      </c>
      <c r="H1221" s="144"/>
      <c r="L1221" s="142"/>
      <c r="M1221" s="146"/>
      <c r="T1221" s="147"/>
      <c r="AT1221" s="144" t="s">
        <v>346</v>
      </c>
      <c r="AU1221" s="144" t="s">
        <v>90</v>
      </c>
      <c r="AV1221" s="141" t="s">
        <v>87</v>
      </c>
      <c r="AW1221" s="141" t="s">
        <v>33</v>
      </c>
      <c r="AX1221" s="141" t="s">
        <v>80</v>
      </c>
      <c r="AY1221" s="144" t="s">
        <v>337</v>
      </c>
    </row>
    <row r="1222" spans="2:65" s="148" customFormat="1" x14ac:dyDescent="0.2">
      <c r="B1222" s="149"/>
      <c r="D1222" s="143" t="s">
        <v>346</v>
      </c>
      <c r="E1222" s="150"/>
      <c r="F1222" s="151" t="s">
        <v>3902</v>
      </c>
      <c r="H1222" s="152">
        <v>3.52</v>
      </c>
      <c r="L1222" s="149"/>
      <c r="M1222" s="153"/>
      <c r="T1222" s="154"/>
      <c r="AT1222" s="150" t="s">
        <v>346</v>
      </c>
      <c r="AU1222" s="150" t="s">
        <v>90</v>
      </c>
      <c r="AV1222" s="148" t="s">
        <v>90</v>
      </c>
      <c r="AW1222" s="148" t="s">
        <v>33</v>
      </c>
      <c r="AX1222" s="148" t="s">
        <v>80</v>
      </c>
      <c r="AY1222" s="150" t="s">
        <v>337</v>
      </c>
    </row>
    <row r="1223" spans="2:65" s="141" customFormat="1" x14ac:dyDescent="0.2">
      <c r="B1223" s="142"/>
      <c r="D1223" s="143" t="s">
        <v>346</v>
      </c>
      <c r="E1223" s="144"/>
      <c r="F1223" s="145" t="s">
        <v>3903</v>
      </c>
      <c r="H1223" s="144"/>
      <c r="L1223" s="142"/>
      <c r="M1223" s="146"/>
      <c r="T1223" s="147"/>
      <c r="AT1223" s="144" t="s">
        <v>346</v>
      </c>
      <c r="AU1223" s="144" t="s">
        <v>90</v>
      </c>
      <c r="AV1223" s="141" t="s">
        <v>87</v>
      </c>
      <c r="AW1223" s="141" t="s">
        <v>33</v>
      </c>
      <c r="AX1223" s="141" t="s">
        <v>80</v>
      </c>
      <c r="AY1223" s="144" t="s">
        <v>337</v>
      </c>
    </row>
    <row r="1224" spans="2:65" s="148" customFormat="1" x14ac:dyDescent="0.2">
      <c r="B1224" s="149"/>
      <c r="D1224" s="143" t="s">
        <v>346</v>
      </c>
      <c r="E1224" s="150"/>
      <c r="F1224" s="151" t="s">
        <v>3904</v>
      </c>
      <c r="H1224" s="152">
        <v>18.565000000000001</v>
      </c>
      <c r="L1224" s="149"/>
      <c r="M1224" s="153"/>
      <c r="T1224" s="154"/>
      <c r="AT1224" s="150" t="s">
        <v>346</v>
      </c>
      <c r="AU1224" s="150" t="s">
        <v>90</v>
      </c>
      <c r="AV1224" s="148" t="s">
        <v>90</v>
      </c>
      <c r="AW1224" s="148" t="s">
        <v>33</v>
      </c>
      <c r="AX1224" s="148" t="s">
        <v>80</v>
      </c>
      <c r="AY1224" s="150" t="s">
        <v>337</v>
      </c>
    </row>
    <row r="1225" spans="2:65" s="141" customFormat="1" x14ac:dyDescent="0.2">
      <c r="B1225" s="142"/>
      <c r="D1225" s="143" t="s">
        <v>346</v>
      </c>
      <c r="E1225" s="144"/>
      <c r="F1225" s="145" t="s">
        <v>3905</v>
      </c>
      <c r="H1225" s="144"/>
      <c r="L1225" s="142"/>
      <c r="M1225" s="146"/>
      <c r="T1225" s="147"/>
      <c r="AT1225" s="144" t="s">
        <v>346</v>
      </c>
      <c r="AU1225" s="144" t="s">
        <v>90</v>
      </c>
      <c r="AV1225" s="141" t="s">
        <v>87</v>
      </c>
      <c r="AW1225" s="141" t="s">
        <v>33</v>
      </c>
      <c r="AX1225" s="141" t="s">
        <v>80</v>
      </c>
      <c r="AY1225" s="144" t="s">
        <v>337</v>
      </c>
    </row>
    <row r="1226" spans="2:65" s="148" customFormat="1" x14ac:dyDescent="0.2">
      <c r="B1226" s="149"/>
      <c r="D1226" s="143" t="s">
        <v>346</v>
      </c>
      <c r="E1226" s="150"/>
      <c r="F1226" s="151" t="s">
        <v>3906</v>
      </c>
      <c r="H1226" s="152">
        <v>38.409999999999997</v>
      </c>
      <c r="L1226" s="149"/>
      <c r="M1226" s="153"/>
      <c r="T1226" s="154"/>
      <c r="AT1226" s="150" t="s">
        <v>346</v>
      </c>
      <c r="AU1226" s="150" t="s">
        <v>90</v>
      </c>
      <c r="AV1226" s="148" t="s">
        <v>90</v>
      </c>
      <c r="AW1226" s="148" t="s">
        <v>33</v>
      </c>
      <c r="AX1226" s="148" t="s">
        <v>80</v>
      </c>
      <c r="AY1226" s="150" t="s">
        <v>337</v>
      </c>
    </row>
    <row r="1227" spans="2:65" s="141" customFormat="1" x14ac:dyDescent="0.2">
      <c r="B1227" s="142"/>
      <c r="D1227" s="143" t="s">
        <v>346</v>
      </c>
      <c r="E1227" s="144"/>
      <c r="F1227" s="145" t="s">
        <v>3875</v>
      </c>
      <c r="H1227" s="144"/>
      <c r="L1227" s="142"/>
      <c r="M1227" s="146"/>
      <c r="T1227" s="147"/>
      <c r="AT1227" s="144" t="s">
        <v>346</v>
      </c>
      <c r="AU1227" s="144" t="s">
        <v>90</v>
      </c>
      <c r="AV1227" s="141" t="s">
        <v>87</v>
      </c>
      <c r="AW1227" s="141" t="s">
        <v>33</v>
      </c>
      <c r="AX1227" s="141" t="s">
        <v>80</v>
      </c>
      <c r="AY1227" s="144" t="s">
        <v>337</v>
      </c>
    </row>
    <row r="1228" spans="2:65" s="148" customFormat="1" x14ac:dyDescent="0.2">
      <c r="B1228" s="149"/>
      <c r="D1228" s="143" t="s">
        <v>346</v>
      </c>
      <c r="E1228" s="150"/>
      <c r="F1228" s="151" t="s">
        <v>3876</v>
      </c>
      <c r="H1228" s="152">
        <v>5.3330000000000002</v>
      </c>
      <c r="L1228" s="149"/>
      <c r="M1228" s="153"/>
      <c r="T1228" s="154"/>
      <c r="AT1228" s="150" t="s">
        <v>346</v>
      </c>
      <c r="AU1228" s="150" t="s">
        <v>90</v>
      </c>
      <c r="AV1228" s="148" t="s">
        <v>90</v>
      </c>
      <c r="AW1228" s="148" t="s">
        <v>33</v>
      </c>
      <c r="AX1228" s="148" t="s">
        <v>80</v>
      </c>
      <c r="AY1228" s="150" t="s">
        <v>337</v>
      </c>
    </row>
    <row r="1229" spans="2:65" s="155" customFormat="1" x14ac:dyDescent="0.2">
      <c r="B1229" s="156"/>
      <c r="D1229" s="143" t="s">
        <v>346</v>
      </c>
      <c r="E1229" s="157"/>
      <c r="F1229" s="158" t="s">
        <v>351</v>
      </c>
      <c r="H1229" s="159">
        <v>76.388000000000005</v>
      </c>
      <c r="L1229" s="156"/>
      <c r="M1229" s="160"/>
      <c r="T1229" s="161"/>
      <c r="AT1229" s="157" t="s">
        <v>346</v>
      </c>
      <c r="AU1229" s="157" t="s">
        <v>90</v>
      </c>
      <c r="AV1229" s="155" t="s">
        <v>344</v>
      </c>
      <c r="AW1229" s="155" t="s">
        <v>33</v>
      </c>
      <c r="AX1229" s="155" t="s">
        <v>87</v>
      </c>
      <c r="AY1229" s="157" t="s">
        <v>337</v>
      </c>
    </row>
    <row r="1230" spans="2:65" s="16" customFormat="1" ht="16.5" customHeight="1" x14ac:dyDescent="0.2">
      <c r="B1230" s="17"/>
      <c r="C1230" s="162">
        <v>106</v>
      </c>
      <c r="D1230" s="162" t="s">
        <v>519</v>
      </c>
      <c r="E1230" s="163" t="s">
        <v>1015</v>
      </c>
      <c r="F1230" s="164" t="s">
        <v>1016</v>
      </c>
      <c r="G1230" s="165" t="s">
        <v>425</v>
      </c>
      <c r="H1230" s="166">
        <v>91.665000000000006</v>
      </c>
      <c r="I1230" s="167"/>
      <c r="J1230" s="168">
        <f>ROUND(I1230*H1230,2)</f>
        <v>0</v>
      </c>
      <c r="K1230" s="164" t="s">
        <v>343</v>
      </c>
      <c r="L1230" s="169"/>
      <c r="M1230" s="170"/>
      <c r="N1230" s="171" t="s">
        <v>45</v>
      </c>
      <c r="P1230" s="137">
        <f>O1230*H1230</f>
        <v>0</v>
      </c>
      <c r="Q1230" s="137">
        <v>2.5400000000000002E-3</v>
      </c>
      <c r="R1230" s="137">
        <f>Q1230*H1230</f>
        <v>0.23282910000000004</v>
      </c>
      <c r="S1230" s="137">
        <v>0</v>
      </c>
      <c r="T1230" s="138">
        <f>S1230*H1230</f>
        <v>0</v>
      </c>
      <c r="AR1230" s="139" t="s">
        <v>621</v>
      </c>
      <c r="AT1230" s="139" t="s">
        <v>519</v>
      </c>
      <c r="AU1230" s="139" t="s">
        <v>90</v>
      </c>
      <c r="AY1230" s="2" t="s">
        <v>337</v>
      </c>
      <c r="BE1230" s="140">
        <f>IF(N1230="základní",J1230,0)</f>
        <v>0</v>
      </c>
      <c r="BF1230" s="140">
        <f>IF(N1230="snížená",J1230,0)</f>
        <v>0</v>
      </c>
      <c r="BG1230" s="140">
        <f>IF(N1230="zákl. přenesená",J1230,0)</f>
        <v>0</v>
      </c>
      <c r="BH1230" s="140">
        <f>IF(N1230="sníž. přenesená",J1230,0)</f>
        <v>0</v>
      </c>
      <c r="BI1230" s="140">
        <f>IF(N1230="nulová",J1230,0)</f>
        <v>0</v>
      </c>
      <c r="BJ1230" s="2" t="s">
        <v>87</v>
      </c>
      <c r="BK1230" s="140">
        <f>ROUND(I1230*H1230,2)</f>
        <v>0</v>
      </c>
      <c r="BL1230" s="2" t="s">
        <v>496</v>
      </c>
      <c r="BM1230" s="139" t="s">
        <v>3907</v>
      </c>
    </row>
    <row r="1231" spans="2:65" s="141" customFormat="1" x14ac:dyDescent="0.2">
      <c r="B1231" s="142"/>
      <c r="D1231" s="143" t="s">
        <v>346</v>
      </c>
      <c r="E1231" s="144"/>
      <c r="F1231" s="145" t="s">
        <v>3908</v>
      </c>
      <c r="H1231" s="144"/>
      <c r="L1231" s="142"/>
      <c r="M1231" s="146"/>
      <c r="T1231" s="147"/>
      <c r="AT1231" s="144" t="s">
        <v>346</v>
      </c>
      <c r="AU1231" s="144" t="s">
        <v>90</v>
      </c>
      <c r="AV1231" s="141" t="s">
        <v>87</v>
      </c>
      <c r="AW1231" s="141" t="s">
        <v>33</v>
      </c>
      <c r="AX1231" s="141" t="s">
        <v>80</v>
      </c>
      <c r="AY1231" s="144" t="s">
        <v>337</v>
      </c>
    </row>
    <row r="1232" spans="2:65" s="141" customFormat="1" x14ac:dyDescent="0.2">
      <c r="B1232" s="142"/>
      <c r="D1232" s="143" t="s">
        <v>346</v>
      </c>
      <c r="E1232" s="144"/>
      <c r="F1232" s="145" t="s">
        <v>3909</v>
      </c>
      <c r="H1232" s="144"/>
      <c r="L1232" s="142"/>
      <c r="M1232" s="146"/>
      <c r="T1232" s="147"/>
      <c r="AT1232" s="144" t="s">
        <v>346</v>
      </c>
      <c r="AU1232" s="144" t="s">
        <v>90</v>
      </c>
      <c r="AV1232" s="141" t="s">
        <v>87</v>
      </c>
      <c r="AW1232" s="141" t="s">
        <v>33</v>
      </c>
      <c r="AX1232" s="141" t="s">
        <v>80</v>
      </c>
      <c r="AY1232" s="144" t="s">
        <v>337</v>
      </c>
    </row>
    <row r="1233" spans="2:65" s="141" customFormat="1" x14ac:dyDescent="0.2">
      <c r="B1233" s="142"/>
      <c r="D1233" s="143" t="s">
        <v>346</v>
      </c>
      <c r="E1233" s="144"/>
      <c r="F1233" s="145" t="s">
        <v>3910</v>
      </c>
      <c r="H1233" s="144"/>
      <c r="L1233" s="142"/>
      <c r="M1233" s="146"/>
      <c r="T1233" s="147"/>
      <c r="AT1233" s="144" t="s">
        <v>346</v>
      </c>
      <c r="AU1233" s="144" t="s">
        <v>90</v>
      </c>
      <c r="AV1233" s="141" t="s">
        <v>87</v>
      </c>
      <c r="AW1233" s="141" t="s">
        <v>33</v>
      </c>
      <c r="AX1233" s="141" t="s">
        <v>80</v>
      </c>
      <c r="AY1233" s="144" t="s">
        <v>337</v>
      </c>
    </row>
    <row r="1234" spans="2:65" s="141" customFormat="1" x14ac:dyDescent="0.2">
      <c r="B1234" s="142"/>
      <c r="D1234" s="143" t="s">
        <v>346</v>
      </c>
      <c r="E1234" s="144"/>
      <c r="F1234" s="145" t="s">
        <v>3911</v>
      </c>
      <c r="H1234" s="144"/>
      <c r="L1234" s="142"/>
      <c r="M1234" s="146"/>
      <c r="T1234" s="147"/>
      <c r="AT1234" s="144" t="s">
        <v>346</v>
      </c>
      <c r="AU1234" s="144" t="s">
        <v>90</v>
      </c>
      <c r="AV1234" s="141" t="s">
        <v>87</v>
      </c>
      <c r="AW1234" s="141" t="s">
        <v>33</v>
      </c>
      <c r="AX1234" s="141" t="s">
        <v>80</v>
      </c>
      <c r="AY1234" s="144" t="s">
        <v>337</v>
      </c>
    </row>
    <row r="1235" spans="2:65" s="141" customFormat="1" x14ac:dyDescent="0.2">
      <c r="B1235" s="142"/>
      <c r="D1235" s="143" t="s">
        <v>346</v>
      </c>
      <c r="E1235" s="144"/>
      <c r="F1235" s="145" t="s">
        <v>3869</v>
      </c>
      <c r="H1235" s="144"/>
      <c r="L1235" s="142"/>
      <c r="M1235" s="146"/>
      <c r="T1235" s="147"/>
      <c r="AT1235" s="144" t="s">
        <v>346</v>
      </c>
      <c r="AU1235" s="144" t="s">
        <v>90</v>
      </c>
      <c r="AV1235" s="141" t="s">
        <v>87</v>
      </c>
      <c r="AW1235" s="141" t="s">
        <v>33</v>
      </c>
      <c r="AX1235" s="141" t="s">
        <v>80</v>
      </c>
      <c r="AY1235" s="144" t="s">
        <v>337</v>
      </c>
    </row>
    <row r="1236" spans="2:65" s="148" customFormat="1" x14ac:dyDescent="0.2">
      <c r="B1236" s="149"/>
      <c r="D1236" s="143" t="s">
        <v>346</v>
      </c>
      <c r="E1236" s="150"/>
      <c r="F1236" s="151" t="s">
        <v>3912</v>
      </c>
      <c r="H1236" s="152">
        <v>12.672000000000001</v>
      </c>
      <c r="L1236" s="149"/>
      <c r="M1236" s="153"/>
      <c r="T1236" s="154"/>
      <c r="AT1236" s="150" t="s">
        <v>346</v>
      </c>
      <c r="AU1236" s="150" t="s">
        <v>90</v>
      </c>
      <c r="AV1236" s="148" t="s">
        <v>90</v>
      </c>
      <c r="AW1236" s="148" t="s">
        <v>33</v>
      </c>
      <c r="AX1236" s="148" t="s">
        <v>80</v>
      </c>
      <c r="AY1236" s="150" t="s">
        <v>337</v>
      </c>
    </row>
    <row r="1237" spans="2:65" s="141" customFormat="1" x14ac:dyDescent="0.2">
      <c r="B1237" s="142"/>
      <c r="D1237" s="143" t="s">
        <v>346</v>
      </c>
      <c r="E1237" s="144"/>
      <c r="F1237" s="145" t="s">
        <v>3901</v>
      </c>
      <c r="H1237" s="144"/>
      <c r="L1237" s="142"/>
      <c r="M1237" s="146"/>
      <c r="T1237" s="147"/>
      <c r="AT1237" s="144" t="s">
        <v>346</v>
      </c>
      <c r="AU1237" s="144" t="s">
        <v>90</v>
      </c>
      <c r="AV1237" s="141" t="s">
        <v>87</v>
      </c>
      <c r="AW1237" s="141" t="s">
        <v>33</v>
      </c>
      <c r="AX1237" s="141" t="s">
        <v>80</v>
      </c>
      <c r="AY1237" s="144" t="s">
        <v>337</v>
      </c>
    </row>
    <row r="1238" spans="2:65" s="148" customFormat="1" x14ac:dyDescent="0.2">
      <c r="B1238" s="149"/>
      <c r="D1238" s="143" t="s">
        <v>346</v>
      </c>
      <c r="E1238" s="150"/>
      <c r="F1238" s="151" t="s">
        <v>3913</v>
      </c>
      <c r="H1238" s="152">
        <v>4.2240000000000002</v>
      </c>
      <c r="L1238" s="149"/>
      <c r="M1238" s="153"/>
      <c r="T1238" s="154"/>
      <c r="AT1238" s="150" t="s">
        <v>346</v>
      </c>
      <c r="AU1238" s="150" t="s">
        <v>90</v>
      </c>
      <c r="AV1238" s="148" t="s">
        <v>90</v>
      </c>
      <c r="AW1238" s="148" t="s">
        <v>33</v>
      </c>
      <c r="AX1238" s="148" t="s">
        <v>80</v>
      </c>
      <c r="AY1238" s="150" t="s">
        <v>337</v>
      </c>
    </row>
    <row r="1239" spans="2:65" s="141" customFormat="1" x14ac:dyDescent="0.2">
      <c r="B1239" s="142"/>
      <c r="D1239" s="143" t="s">
        <v>346</v>
      </c>
      <c r="E1239" s="144"/>
      <c r="F1239" s="145" t="s">
        <v>3903</v>
      </c>
      <c r="H1239" s="144"/>
      <c r="L1239" s="142"/>
      <c r="M1239" s="146"/>
      <c r="T1239" s="147"/>
      <c r="AT1239" s="144" t="s">
        <v>346</v>
      </c>
      <c r="AU1239" s="144" t="s">
        <v>90</v>
      </c>
      <c r="AV1239" s="141" t="s">
        <v>87</v>
      </c>
      <c r="AW1239" s="141" t="s">
        <v>33</v>
      </c>
      <c r="AX1239" s="141" t="s">
        <v>80</v>
      </c>
      <c r="AY1239" s="144" t="s">
        <v>337</v>
      </c>
    </row>
    <row r="1240" spans="2:65" s="148" customFormat="1" x14ac:dyDescent="0.2">
      <c r="B1240" s="149"/>
      <c r="D1240" s="143" t="s">
        <v>346</v>
      </c>
      <c r="E1240" s="150"/>
      <c r="F1240" s="151" t="s">
        <v>3914</v>
      </c>
      <c r="H1240" s="152">
        <v>22.277999999999999</v>
      </c>
      <c r="L1240" s="149"/>
      <c r="M1240" s="153"/>
      <c r="T1240" s="154"/>
      <c r="AT1240" s="150" t="s">
        <v>346</v>
      </c>
      <c r="AU1240" s="150" t="s">
        <v>90</v>
      </c>
      <c r="AV1240" s="148" t="s">
        <v>90</v>
      </c>
      <c r="AW1240" s="148" t="s">
        <v>33</v>
      </c>
      <c r="AX1240" s="148" t="s">
        <v>80</v>
      </c>
      <c r="AY1240" s="150" t="s">
        <v>337</v>
      </c>
    </row>
    <row r="1241" spans="2:65" s="141" customFormat="1" x14ac:dyDescent="0.2">
      <c r="B1241" s="142"/>
      <c r="D1241" s="143" t="s">
        <v>346</v>
      </c>
      <c r="E1241" s="144"/>
      <c r="F1241" s="145" t="s">
        <v>3905</v>
      </c>
      <c r="H1241" s="144"/>
      <c r="L1241" s="142"/>
      <c r="M1241" s="146"/>
      <c r="T1241" s="147"/>
      <c r="AT1241" s="144" t="s">
        <v>346</v>
      </c>
      <c r="AU1241" s="144" t="s">
        <v>90</v>
      </c>
      <c r="AV1241" s="141" t="s">
        <v>87</v>
      </c>
      <c r="AW1241" s="141" t="s">
        <v>33</v>
      </c>
      <c r="AX1241" s="141" t="s">
        <v>80</v>
      </c>
      <c r="AY1241" s="144" t="s">
        <v>337</v>
      </c>
    </row>
    <row r="1242" spans="2:65" s="148" customFormat="1" x14ac:dyDescent="0.2">
      <c r="B1242" s="149"/>
      <c r="D1242" s="143" t="s">
        <v>346</v>
      </c>
      <c r="E1242" s="150"/>
      <c r="F1242" s="151" t="s">
        <v>3915</v>
      </c>
      <c r="H1242" s="152">
        <v>46.091999999999999</v>
      </c>
      <c r="L1242" s="149"/>
      <c r="M1242" s="153"/>
      <c r="T1242" s="154"/>
      <c r="AT1242" s="150" t="s">
        <v>346</v>
      </c>
      <c r="AU1242" s="150" t="s">
        <v>90</v>
      </c>
      <c r="AV1242" s="148" t="s">
        <v>90</v>
      </c>
      <c r="AW1242" s="148" t="s">
        <v>33</v>
      </c>
      <c r="AX1242" s="148" t="s">
        <v>80</v>
      </c>
      <c r="AY1242" s="150" t="s">
        <v>337</v>
      </c>
    </row>
    <row r="1243" spans="2:65" s="141" customFormat="1" x14ac:dyDescent="0.2">
      <c r="B1243" s="142"/>
      <c r="D1243" s="143" t="s">
        <v>346</v>
      </c>
      <c r="E1243" s="144"/>
      <c r="F1243" s="145" t="s">
        <v>3875</v>
      </c>
      <c r="H1243" s="144"/>
      <c r="L1243" s="142"/>
      <c r="M1243" s="146"/>
      <c r="T1243" s="147"/>
      <c r="AT1243" s="144" t="s">
        <v>346</v>
      </c>
      <c r="AU1243" s="144" t="s">
        <v>90</v>
      </c>
      <c r="AV1243" s="141" t="s">
        <v>87</v>
      </c>
      <c r="AW1243" s="141" t="s">
        <v>33</v>
      </c>
      <c r="AX1243" s="141" t="s">
        <v>80</v>
      </c>
      <c r="AY1243" s="144" t="s">
        <v>337</v>
      </c>
    </row>
    <row r="1244" spans="2:65" s="148" customFormat="1" x14ac:dyDescent="0.2">
      <c r="B1244" s="149"/>
      <c r="D1244" s="143" t="s">
        <v>346</v>
      </c>
      <c r="E1244" s="150"/>
      <c r="F1244" s="151" t="s">
        <v>3916</v>
      </c>
      <c r="H1244" s="152">
        <v>6.399</v>
      </c>
      <c r="L1244" s="149"/>
      <c r="M1244" s="153"/>
      <c r="T1244" s="154"/>
      <c r="AT1244" s="150" t="s">
        <v>346</v>
      </c>
      <c r="AU1244" s="150" t="s">
        <v>90</v>
      </c>
      <c r="AV1244" s="148" t="s">
        <v>90</v>
      </c>
      <c r="AW1244" s="148" t="s">
        <v>33</v>
      </c>
      <c r="AX1244" s="148" t="s">
        <v>80</v>
      </c>
      <c r="AY1244" s="150" t="s">
        <v>337</v>
      </c>
    </row>
    <row r="1245" spans="2:65" s="155" customFormat="1" x14ac:dyDescent="0.2">
      <c r="B1245" s="156"/>
      <c r="D1245" s="143" t="s">
        <v>346</v>
      </c>
      <c r="E1245" s="157"/>
      <c r="F1245" s="158" t="s">
        <v>351</v>
      </c>
      <c r="H1245" s="159">
        <v>91.665000000000006</v>
      </c>
      <c r="L1245" s="156"/>
      <c r="M1245" s="160"/>
      <c r="T1245" s="161"/>
      <c r="AT1245" s="157" t="s">
        <v>346</v>
      </c>
      <c r="AU1245" s="157" t="s">
        <v>90</v>
      </c>
      <c r="AV1245" s="155" t="s">
        <v>344</v>
      </c>
      <c r="AW1245" s="155" t="s">
        <v>33</v>
      </c>
      <c r="AX1245" s="155" t="s">
        <v>87</v>
      </c>
      <c r="AY1245" s="157" t="s">
        <v>337</v>
      </c>
    </row>
    <row r="1246" spans="2:65" s="16" customFormat="1" ht="16.5" customHeight="1" x14ac:dyDescent="0.2">
      <c r="B1246" s="17"/>
      <c r="C1246" s="128">
        <v>107</v>
      </c>
      <c r="D1246" s="128" t="s">
        <v>339</v>
      </c>
      <c r="E1246" s="129" t="s">
        <v>3917</v>
      </c>
      <c r="F1246" s="130" t="s">
        <v>3918</v>
      </c>
      <c r="G1246" s="131" t="s">
        <v>425</v>
      </c>
      <c r="H1246" s="132">
        <v>27.241</v>
      </c>
      <c r="I1246" s="133"/>
      <c r="J1246" s="134">
        <f>ROUND(I1246*H1246,2)</f>
        <v>0</v>
      </c>
      <c r="K1246" s="130" t="s">
        <v>343</v>
      </c>
      <c r="L1246" s="17"/>
      <c r="M1246" s="135"/>
      <c r="N1246" s="136" t="s">
        <v>45</v>
      </c>
      <c r="P1246" s="137">
        <f>O1246*H1246</f>
        <v>0</v>
      </c>
      <c r="Q1246" s="137">
        <v>0</v>
      </c>
      <c r="R1246" s="137">
        <f>Q1246*H1246</f>
        <v>0</v>
      </c>
      <c r="S1246" s="137">
        <v>0</v>
      </c>
      <c r="T1246" s="138">
        <f>S1246*H1246</f>
        <v>0</v>
      </c>
      <c r="AR1246" s="139" t="s">
        <v>496</v>
      </c>
      <c r="AT1246" s="139" t="s">
        <v>339</v>
      </c>
      <c r="AU1246" s="139" t="s">
        <v>90</v>
      </c>
      <c r="AY1246" s="2" t="s">
        <v>337</v>
      </c>
      <c r="BE1246" s="140">
        <f>IF(N1246="základní",J1246,0)</f>
        <v>0</v>
      </c>
      <c r="BF1246" s="140">
        <f>IF(N1246="snížená",J1246,0)</f>
        <v>0</v>
      </c>
      <c r="BG1246" s="140">
        <f>IF(N1246="zákl. přenesená",J1246,0)</f>
        <v>0</v>
      </c>
      <c r="BH1246" s="140">
        <f>IF(N1246="sníž. přenesená",J1246,0)</f>
        <v>0</v>
      </c>
      <c r="BI1246" s="140">
        <f>IF(N1246="nulová",J1246,0)</f>
        <v>0</v>
      </c>
      <c r="BJ1246" s="2" t="s">
        <v>87</v>
      </c>
      <c r="BK1246" s="140">
        <f>ROUND(I1246*H1246,2)</f>
        <v>0</v>
      </c>
      <c r="BL1246" s="2" t="s">
        <v>496</v>
      </c>
      <c r="BM1246" s="139" t="s">
        <v>3919</v>
      </c>
    </row>
    <row r="1247" spans="2:65" s="141" customFormat="1" x14ac:dyDescent="0.2">
      <c r="B1247" s="142"/>
      <c r="D1247" s="143" t="s">
        <v>346</v>
      </c>
      <c r="E1247" s="144"/>
      <c r="F1247" s="145" t="s">
        <v>1012</v>
      </c>
      <c r="H1247" s="144"/>
      <c r="L1247" s="142"/>
      <c r="M1247" s="146"/>
      <c r="T1247" s="147"/>
      <c r="AT1247" s="144" t="s">
        <v>346</v>
      </c>
      <c r="AU1247" s="144" t="s">
        <v>90</v>
      </c>
      <c r="AV1247" s="141" t="s">
        <v>87</v>
      </c>
      <c r="AW1247" s="141" t="s">
        <v>33</v>
      </c>
      <c r="AX1247" s="141" t="s">
        <v>80</v>
      </c>
      <c r="AY1247" s="144" t="s">
        <v>337</v>
      </c>
    </row>
    <row r="1248" spans="2:65" s="148" customFormat="1" x14ac:dyDescent="0.2">
      <c r="B1248" s="149"/>
      <c r="D1248" s="143" t="s">
        <v>346</v>
      </c>
      <c r="E1248" s="150"/>
      <c r="F1248" s="151" t="s">
        <v>1013</v>
      </c>
      <c r="H1248" s="152">
        <v>26.303000000000001</v>
      </c>
      <c r="L1248" s="149"/>
      <c r="M1248" s="153"/>
      <c r="T1248" s="154"/>
      <c r="AT1248" s="150" t="s">
        <v>346</v>
      </c>
      <c r="AU1248" s="150" t="s">
        <v>90</v>
      </c>
      <c r="AV1248" s="148" t="s">
        <v>90</v>
      </c>
      <c r="AW1248" s="148" t="s">
        <v>33</v>
      </c>
      <c r="AX1248" s="148" t="s">
        <v>80</v>
      </c>
      <c r="AY1248" s="150" t="s">
        <v>337</v>
      </c>
    </row>
    <row r="1249" spans="2:65" s="148" customFormat="1" x14ac:dyDescent="0.2">
      <c r="B1249" s="149"/>
      <c r="D1249" s="143" t="s">
        <v>346</v>
      </c>
      <c r="E1249" s="150"/>
      <c r="F1249" s="151" t="s">
        <v>1014</v>
      </c>
      <c r="H1249" s="152">
        <v>0.93799999999999994</v>
      </c>
      <c r="L1249" s="149"/>
      <c r="M1249" s="153"/>
      <c r="T1249" s="154"/>
      <c r="AT1249" s="150" t="s">
        <v>346</v>
      </c>
      <c r="AU1249" s="150" t="s">
        <v>90</v>
      </c>
      <c r="AV1249" s="148" t="s">
        <v>90</v>
      </c>
      <c r="AW1249" s="148" t="s">
        <v>33</v>
      </c>
      <c r="AX1249" s="148" t="s">
        <v>80</v>
      </c>
      <c r="AY1249" s="150" t="s">
        <v>337</v>
      </c>
    </row>
    <row r="1250" spans="2:65" s="155" customFormat="1" x14ac:dyDescent="0.2">
      <c r="B1250" s="156"/>
      <c r="D1250" s="143" t="s">
        <v>346</v>
      </c>
      <c r="E1250" s="157"/>
      <c r="F1250" s="158" t="s">
        <v>351</v>
      </c>
      <c r="H1250" s="159">
        <v>27.241</v>
      </c>
      <c r="L1250" s="156"/>
      <c r="M1250" s="160"/>
      <c r="T1250" s="161"/>
      <c r="AT1250" s="157" t="s">
        <v>346</v>
      </c>
      <c r="AU1250" s="157" t="s">
        <v>90</v>
      </c>
      <c r="AV1250" s="155" t="s">
        <v>344</v>
      </c>
      <c r="AW1250" s="155" t="s">
        <v>33</v>
      </c>
      <c r="AX1250" s="155" t="s">
        <v>87</v>
      </c>
      <c r="AY1250" s="157" t="s">
        <v>337</v>
      </c>
    </row>
    <row r="1251" spans="2:65" s="16" customFormat="1" ht="16.5" customHeight="1" x14ac:dyDescent="0.2">
      <c r="B1251" s="17"/>
      <c r="C1251" s="128">
        <v>108</v>
      </c>
      <c r="D1251" s="128" t="s">
        <v>339</v>
      </c>
      <c r="E1251" s="129" t="s">
        <v>3920</v>
      </c>
      <c r="F1251" s="130" t="s">
        <v>3921</v>
      </c>
      <c r="G1251" s="131" t="s">
        <v>425</v>
      </c>
      <c r="H1251" s="132">
        <v>27.241</v>
      </c>
      <c r="I1251" s="133"/>
      <c r="J1251" s="134">
        <f>ROUND(I1251*H1251,2)</f>
        <v>0</v>
      </c>
      <c r="K1251" s="130" t="s">
        <v>343</v>
      </c>
      <c r="L1251" s="17"/>
      <c r="M1251" s="135"/>
      <c r="N1251" s="136" t="s">
        <v>45</v>
      </c>
      <c r="P1251" s="137">
        <f>O1251*H1251</f>
        <v>0</v>
      </c>
      <c r="Q1251" s="137">
        <v>0</v>
      </c>
      <c r="R1251" s="137">
        <f>Q1251*H1251</f>
        <v>0</v>
      </c>
      <c r="S1251" s="137">
        <v>0</v>
      </c>
      <c r="T1251" s="138">
        <f>S1251*H1251</f>
        <v>0</v>
      </c>
      <c r="AR1251" s="139" t="s">
        <v>496</v>
      </c>
      <c r="AT1251" s="139" t="s">
        <v>339</v>
      </c>
      <c r="AU1251" s="139" t="s">
        <v>90</v>
      </c>
      <c r="AY1251" s="2" t="s">
        <v>337</v>
      </c>
      <c r="BE1251" s="140">
        <f>IF(N1251="základní",J1251,0)</f>
        <v>0</v>
      </c>
      <c r="BF1251" s="140">
        <f>IF(N1251="snížená",J1251,0)</f>
        <v>0</v>
      </c>
      <c r="BG1251" s="140">
        <f>IF(N1251="zákl. přenesená",J1251,0)</f>
        <v>0</v>
      </c>
      <c r="BH1251" s="140">
        <f>IF(N1251="sníž. přenesená",J1251,0)</f>
        <v>0</v>
      </c>
      <c r="BI1251" s="140">
        <f>IF(N1251="nulová",J1251,0)</f>
        <v>0</v>
      </c>
      <c r="BJ1251" s="2" t="s">
        <v>87</v>
      </c>
      <c r="BK1251" s="140">
        <f>ROUND(I1251*H1251,2)</f>
        <v>0</v>
      </c>
      <c r="BL1251" s="2" t="s">
        <v>496</v>
      </c>
      <c r="BM1251" s="139" t="s">
        <v>3922</v>
      </c>
    </row>
    <row r="1252" spans="2:65" s="141" customFormat="1" x14ac:dyDescent="0.2">
      <c r="B1252" s="142"/>
      <c r="D1252" s="143" t="s">
        <v>346</v>
      </c>
      <c r="E1252" s="144"/>
      <c r="F1252" s="145" t="s">
        <v>1012</v>
      </c>
      <c r="H1252" s="144"/>
      <c r="L1252" s="142"/>
      <c r="M1252" s="146"/>
      <c r="T1252" s="147"/>
      <c r="AT1252" s="144" t="s">
        <v>346</v>
      </c>
      <c r="AU1252" s="144" t="s">
        <v>90</v>
      </c>
      <c r="AV1252" s="141" t="s">
        <v>87</v>
      </c>
      <c r="AW1252" s="141" t="s">
        <v>33</v>
      </c>
      <c r="AX1252" s="141" t="s">
        <v>80</v>
      </c>
      <c r="AY1252" s="144" t="s">
        <v>337</v>
      </c>
    </row>
    <row r="1253" spans="2:65" s="148" customFormat="1" x14ac:dyDescent="0.2">
      <c r="B1253" s="149"/>
      <c r="D1253" s="143" t="s">
        <v>346</v>
      </c>
      <c r="E1253" s="150"/>
      <c r="F1253" s="151" t="s">
        <v>1013</v>
      </c>
      <c r="H1253" s="152">
        <v>26.303000000000001</v>
      </c>
      <c r="L1253" s="149"/>
      <c r="M1253" s="153"/>
      <c r="T1253" s="154"/>
      <c r="AT1253" s="150" t="s">
        <v>346</v>
      </c>
      <c r="AU1253" s="150" t="s">
        <v>90</v>
      </c>
      <c r="AV1253" s="148" t="s">
        <v>90</v>
      </c>
      <c r="AW1253" s="148" t="s">
        <v>33</v>
      </c>
      <c r="AX1253" s="148" t="s">
        <v>80</v>
      </c>
      <c r="AY1253" s="150" t="s">
        <v>337</v>
      </c>
    </row>
    <row r="1254" spans="2:65" s="148" customFormat="1" x14ac:dyDescent="0.2">
      <c r="B1254" s="149"/>
      <c r="D1254" s="143" t="s">
        <v>346</v>
      </c>
      <c r="E1254" s="150"/>
      <c r="F1254" s="151" t="s">
        <v>1014</v>
      </c>
      <c r="H1254" s="152">
        <v>0.93799999999999994</v>
      </c>
      <c r="L1254" s="149"/>
      <c r="M1254" s="153"/>
      <c r="T1254" s="154"/>
      <c r="AT1254" s="150" t="s">
        <v>346</v>
      </c>
      <c r="AU1254" s="150" t="s">
        <v>90</v>
      </c>
      <c r="AV1254" s="148" t="s">
        <v>90</v>
      </c>
      <c r="AW1254" s="148" t="s">
        <v>33</v>
      </c>
      <c r="AX1254" s="148" t="s">
        <v>80</v>
      </c>
      <c r="AY1254" s="150" t="s">
        <v>337</v>
      </c>
    </row>
    <row r="1255" spans="2:65" s="155" customFormat="1" x14ac:dyDescent="0.2">
      <c r="B1255" s="156"/>
      <c r="D1255" s="143" t="s">
        <v>346</v>
      </c>
      <c r="E1255" s="157"/>
      <c r="F1255" s="158" t="s">
        <v>351</v>
      </c>
      <c r="H1255" s="159">
        <v>27.241</v>
      </c>
      <c r="L1255" s="156"/>
      <c r="M1255" s="160"/>
      <c r="T1255" s="161"/>
      <c r="AT1255" s="157" t="s">
        <v>346</v>
      </c>
      <c r="AU1255" s="157" t="s">
        <v>90</v>
      </c>
      <c r="AV1255" s="155" t="s">
        <v>344</v>
      </c>
      <c r="AW1255" s="155" t="s">
        <v>33</v>
      </c>
      <c r="AX1255" s="155" t="s">
        <v>87</v>
      </c>
      <c r="AY1255" s="157" t="s">
        <v>337</v>
      </c>
    </row>
    <row r="1256" spans="2:65" s="16" customFormat="1" ht="16.5" customHeight="1" x14ac:dyDescent="0.2">
      <c r="B1256" s="17"/>
      <c r="C1256" s="128">
        <v>109</v>
      </c>
      <c r="D1256" s="128" t="s">
        <v>339</v>
      </c>
      <c r="E1256" s="129" t="s">
        <v>3923</v>
      </c>
      <c r="F1256" s="130" t="s">
        <v>3924</v>
      </c>
      <c r="G1256" s="131" t="s">
        <v>425</v>
      </c>
      <c r="H1256" s="132">
        <v>76.388000000000005</v>
      </c>
      <c r="I1256" s="133"/>
      <c r="J1256" s="134">
        <f>ROUND(I1256*H1256,2)</f>
        <v>0</v>
      </c>
      <c r="K1256" s="130" t="s">
        <v>343</v>
      </c>
      <c r="L1256" s="17"/>
      <c r="M1256" s="135"/>
      <c r="N1256" s="136" t="s">
        <v>45</v>
      </c>
      <c r="P1256" s="137">
        <f>O1256*H1256</f>
        <v>0</v>
      </c>
      <c r="Q1256" s="137">
        <v>0</v>
      </c>
      <c r="R1256" s="137">
        <f>Q1256*H1256</f>
        <v>0</v>
      </c>
      <c r="S1256" s="137">
        <v>0</v>
      </c>
      <c r="T1256" s="138">
        <f>S1256*H1256</f>
        <v>0</v>
      </c>
      <c r="AR1256" s="139" t="s">
        <v>496</v>
      </c>
      <c r="AT1256" s="139" t="s">
        <v>339</v>
      </c>
      <c r="AU1256" s="139" t="s">
        <v>90</v>
      </c>
      <c r="AY1256" s="2" t="s">
        <v>337</v>
      </c>
      <c r="BE1256" s="140">
        <f>IF(N1256="základní",J1256,0)</f>
        <v>0</v>
      </c>
      <c r="BF1256" s="140">
        <f>IF(N1256="snížená",J1256,0)</f>
        <v>0</v>
      </c>
      <c r="BG1256" s="140">
        <f>IF(N1256="zákl. přenesená",J1256,0)</f>
        <v>0</v>
      </c>
      <c r="BH1256" s="140">
        <f>IF(N1256="sníž. přenesená",J1256,0)</f>
        <v>0</v>
      </c>
      <c r="BI1256" s="140">
        <f>IF(N1256="nulová",J1256,0)</f>
        <v>0</v>
      </c>
      <c r="BJ1256" s="2" t="s">
        <v>87</v>
      </c>
      <c r="BK1256" s="140">
        <f>ROUND(I1256*H1256,2)</f>
        <v>0</v>
      </c>
      <c r="BL1256" s="2" t="s">
        <v>496</v>
      </c>
      <c r="BM1256" s="139" t="s">
        <v>3925</v>
      </c>
    </row>
    <row r="1257" spans="2:65" s="141" customFormat="1" x14ac:dyDescent="0.2">
      <c r="B1257" s="142"/>
      <c r="D1257" s="143" t="s">
        <v>346</v>
      </c>
      <c r="E1257" s="144"/>
      <c r="F1257" s="145" t="s">
        <v>3900</v>
      </c>
      <c r="H1257" s="144"/>
      <c r="L1257" s="142"/>
      <c r="M1257" s="146"/>
      <c r="T1257" s="147"/>
      <c r="AT1257" s="144" t="s">
        <v>346</v>
      </c>
      <c r="AU1257" s="144" t="s">
        <v>90</v>
      </c>
      <c r="AV1257" s="141" t="s">
        <v>87</v>
      </c>
      <c r="AW1257" s="141" t="s">
        <v>33</v>
      </c>
      <c r="AX1257" s="141" t="s">
        <v>80</v>
      </c>
      <c r="AY1257" s="144" t="s">
        <v>337</v>
      </c>
    </row>
    <row r="1258" spans="2:65" s="141" customFormat="1" x14ac:dyDescent="0.2">
      <c r="B1258" s="142"/>
      <c r="D1258" s="143" t="s">
        <v>346</v>
      </c>
      <c r="E1258" s="144"/>
      <c r="F1258" s="145" t="s">
        <v>3869</v>
      </c>
      <c r="H1258" s="144"/>
      <c r="L1258" s="142"/>
      <c r="M1258" s="146"/>
      <c r="T1258" s="147"/>
      <c r="AT1258" s="144" t="s">
        <v>346</v>
      </c>
      <c r="AU1258" s="144" t="s">
        <v>90</v>
      </c>
      <c r="AV1258" s="141" t="s">
        <v>87</v>
      </c>
      <c r="AW1258" s="141" t="s">
        <v>33</v>
      </c>
      <c r="AX1258" s="141" t="s">
        <v>80</v>
      </c>
      <c r="AY1258" s="144" t="s">
        <v>337</v>
      </c>
    </row>
    <row r="1259" spans="2:65" s="148" customFormat="1" x14ac:dyDescent="0.2">
      <c r="B1259" s="149"/>
      <c r="D1259" s="143" t="s">
        <v>346</v>
      </c>
      <c r="E1259" s="150"/>
      <c r="F1259" s="151" t="s">
        <v>3870</v>
      </c>
      <c r="H1259" s="152">
        <v>10.56</v>
      </c>
      <c r="L1259" s="149"/>
      <c r="M1259" s="153"/>
      <c r="T1259" s="154"/>
      <c r="AT1259" s="150" t="s">
        <v>346</v>
      </c>
      <c r="AU1259" s="150" t="s">
        <v>90</v>
      </c>
      <c r="AV1259" s="148" t="s">
        <v>90</v>
      </c>
      <c r="AW1259" s="148" t="s">
        <v>33</v>
      </c>
      <c r="AX1259" s="148" t="s">
        <v>80</v>
      </c>
      <c r="AY1259" s="150" t="s">
        <v>337</v>
      </c>
    </row>
    <row r="1260" spans="2:65" s="141" customFormat="1" x14ac:dyDescent="0.2">
      <c r="B1260" s="142"/>
      <c r="D1260" s="143" t="s">
        <v>346</v>
      </c>
      <c r="E1260" s="144"/>
      <c r="F1260" s="145" t="s">
        <v>3901</v>
      </c>
      <c r="H1260" s="144"/>
      <c r="L1260" s="142"/>
      <c r="M1260" s="146"/>
      <c r="T1260" s="147"/>
      <c r="AT1260" s="144" t="s">
        <v>346</v>
      </c>
      <c r="AU1260" s="144" t="s">
        <v>90</v>
      </c>
      <c r="AV1260" s="141" t="s">
        <v>87</v>
      </c>
      <c r="AW1260" s="141" t="s">
        <v>33</v>
      </c>
      <c r="AX1260" s="141" t="s">
        <v>80</v>
      </c>
      <c r="AY1260" s="144" t="s">
        <v>337</v>
      </c>
    </row>
    <row r="1261" spans="2:65" s="148" customFormat="1" x14ac:dyDescent="0.2">
      <c r="B1261" s="149"/>
      <c r="D1261" s="143" t="s">
        <v>346</v>
      </c>
      <c r="E1261" s="150"/>
      <c r="F1261" s="151" t="s">
        <v>3902</v>
      </c>
      <c r="H1261" s="152">
        <v>3.52</v>
      </c>
      <c r="L1261" s="149"/>
      <c r="M1261" s="153"/>
      <c r="T1261" s="154"/>
      <c r="AT1261" s="150" t="s">
        <v>346</v>
      </c>
      <c r="AU1261" s="150" t="s">
        <v>90</v>
      </c>
      <c r="AV1261" s="148" t="s">
        <v>90</v>
      </c>
      <c r="AW1261" s="148" t="s">
        <v>33</v>
      </c>
      <c r="AX1261" s="148" t="s">
        <v>80</v>
      </c>
      <c r="AY1261" s="150" t="s">
        <v>337</v>
      </c>
    </row>
    <row r="1262" spans="2:65" s="141" customFormat="1" x14ac:dyDescent="0.2">
      <c r="B1262" s="142"/>
      <c r="D1262" s="143" t="s">
        <v>346</v>
      </c>
      <c r="E1262" s="144"/>
      <c r="F1262" s="145" t="s">
        <v>3903</v>
      </c>
      <c r="H1262" s="144"/>
      <c r="L1262" s="142"/>
      <c r="M1262" s="146"/>
      <c r="T1262" s="147"/>
      <c r="AT1262" s="144" t="s">
        <v>346</v>
      </c>
      <c r="AU1262" s="144" t="s">
        <v>90</v>
      </c>
      <c r="AV1262" s="141" t="s">
        <v>87</v>
      </c>
      <c r="AW1262" s="141" t="s">
        <v>33</v>
      </c>
      <c r="AX1262" s="141" t="s">
        <v>80</v>
      </c>
      <c r="AY1262" s="144" t="s">
        <v>337</v>
      </c>
    </row>
    <row r="1263" spans="2:65" s="148" customFormat="1" x14ac:dyDescent="0.2">
      <c r="B1263" s="149"/>
      <c r="D1263" s="143" t="s">
        <v>346</v>
      </c>
      <c r="E1263" s="150"/>
      <c r="F1263" s="151" t="s">
        <v>3904</v>
      </c>
      <c r="H1263" s="152">
        <v>18.565000000000001</v>
      </c>
      <c r="L1263" s="149"/>
      <c r="M1263" s="153"/>
      <c r="T1263" s="154"/>
      <c r="AT1263" s="150" t="s">
        <v>346</v>
      </c>
      <c r="AU1263" s="150" t="s">
        <v>90</v>
      </c>
      <c r="AV1263" s="148" t="s">
        <v>90</v>
      </c>
      <c r="AW1263" s="148" t="s">
        <v>33</v>
      </c>
      <c r="AX1263" s="148" t="s">
        <v>80</v>
      </c>
      <c r="AY1263" s="150" t="s">
        <v>337</v>
      </c>
    </row>
    <row r="1264" spans="2:65" s="141" customFormat="1" x14ac:dyDescent="0.2">
      <c r="B1264" s="142"/>
      <c r="D1264" s="143" t="s">
        <v>346</v>
      </c>
      <c r="E1264" s="144"/>
      <c r="F1264" s="145" t="s">
        <v>3905</v>
      </c>
      <c r="H1264" s="144"/>
      <c r="L1264" s="142"/>
      <c r="M1264" s="146"/>
      <c r="T1264" s="147"/>
      <c r="AT1264" s="144" t="s">
        <v>346</v>
      </c>
      <c r="AU1264" s="144" t="s">
        <v>90</v>
      </c>
      <c r="AV1264" s="141" t="s">
        <v>87</v>
      </c>
      <c r="AW1264" s="141" t="s">
        <v>33</v>
      </c>
      <c r="AX1264" s="141" t="s">
        <v>80</v>
      </c>
      <c r="AY1264" s="144" t="s">
        <v>337</v>
      </c>
    </row>
    <row r="1265" spans="2:65" s="148" customFormat="1" x14ac:dyDescent="0.2">
      <c r="B1265" s="149"/>
      <c r="D1265" s="143" t="s">
        <v>346</v>
      </c>
      <c r="E1265" s="150"/>
      <c r="F1265" s="151" t="s">
        <v>3906</v>
      </c>
      <c r="H1265" s="152">
        <v>38.409999999999997</v>
      </c>
      <c r="L1265" s="149"/>
      <c r="M1265" s="153"/>
      <c r="T1265" s="154"/>
      <c r="AT1265" s="150" t="s">
        <v>346</v>
      </c>
      <c r="AU1265" s="150" t="s">
        <v>90</v>
      </c>
      <c r="AV1265" s="148" t="s">
        <v>90</v>
      </c>
      <c r="AW1265" s="148" t="s">
        <v>33</v>
      </c>
      <c r="AX1265" s="148" t="s">
        <v>80</v>
      </c>
      <c r="AY1265" s="150" t="s">
        <v>337</v>
      </c>
    </row>
    <row r="1266" spans="2:65" s="141" customFormat="1" x14ac:dyDescent="0.2">
      <c r="B1266" s="142"/>
      <c r="D1266" s="143" t="s">
        <v>346</v>
      </c>
      <c r="E1266" s="144"/>
      <c r="F1266" s="145" t="s">
        <v>3875</v>
      </c>
      <c r="H1266" s="144"/>
      <c r="L1266" s="142"/>
      <c r="M1266" s="146"/>
      <c r="T1266" s="147"/>
      <c r="AT1266" s="144" t="s">
        <v>346</v>
      </c>
      <c r="AU1266" s="144" t="s">
        <v>90</v>
      </c>
      <c r="AV1266" s="141" t="s">
        <v>87</v>
      </c>
      <c r="AW1266" s="141" t="s">
        <v>33</v>
      </c>
      <c r="AX1266" s="141" t="s">
        <v>80</v>
      </c>
      <c r="AY1266" s="144" t="s">
        <v>337</v>
      </c>
    </row>
    <row r="1267" spans="2:65" s="148" customFormat="1" x14ac:dyDescent="0.2">
      <c r="B1267" s="149"/>
      <c r="D1267" s="143" t="s">
        <v>346</v>
      </c>
      <c r="E1267" s="150"/>
      <c r="F1267" s="151" t="s">
        <v>3876</v>
      </c>
      <c r="H1267" s="152">
        <v>5.3330000000000002</v>
      </c>
      <c r="L1267" s="149"/>
      <c r="M1267" s="153"/>
      <c r="T1267" s="154"/>
      <c r="AT1267" s="150" t="s">
        <v>346</v>
      </c>
      <c r="AU1267" s="150" t="s">
        <v>90</v>
      </c>
      <c r="AV1267" s="148" t="s">
        <v>90</v>
      </c>
      <c r="AW1267" s="148" t="s">
        <v>33</v>
      </c>
      <c r="AX1267" s="148" t="s">
        <v>80</v>
      </c>
      <c r="AY1267" s="150" t="s">
        <v>337</v>
      </c>
    </row>
    <row r="1268" spans="2:65" s="155" customFormat="1" x14ac:dyDescent="0.2">
      <c r="B1268" s="156"/>
      <c r="D1268" s="143" t="s">
        <v>346</v>
      </c>
      <c r="E1268" s="157"/>
      <c r="F1268" s="158" t="s">
        <v>351</v>
      </c>
      <c r="H1268" s="159">
        <v>76.388000000000005</v>
      </c>
      <c r="L1268" s="156"/>
      <c r="M1268" s="160"/>
      <c r="T1268" s="161"/>
      <c r="AT1268" s="157" t="s">
        <v>346</v>
      </c>
      <c r="AU1268" s="157" t="s">
        <v>90</v>
      </c>
      <c r="AV1268" s="155" t="s">
        <v>344</v>
      </c>
      <c r="AW1268" s="155" t="s">
        <v>33</v>
      </c>
      <c r="AX1268" s="155" t="s">
        <v>87</v>
      </c>
      <c r="AY1268" s="157" t="s">
        <v>337</v>
      </c>
    </row>
    <row r="1269" spans="2:65" s="16" customFormat="1" ht="16.5" customHeight="1" x14ac:dyDescent="0.2">
      <c r="B1269" s="17"/>
      <c r="C1269" s="128">
        <v>110</v>
      </c>
      <c r="D1269" s="128" t="s">
        <v>339</v>
      </c>
      <c r="E1269" s="129" t="s">
        <v>3926</v>
      </c>
      <c r="F1269" s="130" t="s">
        <v>3927</v>
      </c>
      <c r="G1269" s="131" t="s">
        <v>425</v>
      </c>
      <c r="H1269" s="132">
        <v>76.388000000000005</v>
      </c>
      <c r="I1269" s="133"/>
      <c r="J1269" s="134">
        <f>ROUND(I1269*H1269,2)</f>
        <v>0</v>
      </c>
      <c r="K1269" s="130" t="s">
        <v>343</v>
      </c>
      <c r="L1269" s="17"/>
      <c r="M1269" s="135"/>
      <c r="N1269" s="136" t="s">
        <v>45</v>
      </c>
      <c r="P1269" s="137">
        <f>O1269*H1269</f>
        <v>0</v>
      </c>
      <c r="Q1269" s="137">
        <v>0</v>
      </c>
      <c r="R1269" s="137">
        <f>Q1269*H1269</f>
        <v>0</v>
      </c>
      <c r="S1269" s="137">
        <v>0</v>
      </c>
      <c r="T1269" s="138">
        <f>S1269*H1269</f>
        <v>0</v>
      </c>
      <c r="AR1269" s="139" t="s">
        <v>496</v>
      </c>
      <c r="AT1269" s="139" t="s">
        <v>339</v>
      </c>
      <c r="AU1269" s="139" t="s">
        <v>90</v>
      </c>
      <c r="AY1269" s="2" t="s">
        <v>337</v>
      </c>
      <c r="BE1269" s="140">
        <f>IF(N1269="základní",J1269,0)</f>
        <v>0</v>
      </c>
      <c r="BF1269" s="140">
        <f>IF(N1269="snížená",J1269,0)</f>
        <v>0</v>
      </c>
      <c r="BG1269" s="140">
        <f>IF(N1269="zákl. přenesená",J1269,0)</f>
        <v>0</v>
      </c>
      <c r="BH1269" s="140">
        <f>IF(N1269="sníž. přenesená",J1269,0)</f>
        <v>0</v>
      </c>
      <c r="BI1269" s="140">
        <f>IF(N1269="nulová",J1269,0)</f>
        <v>0</v>
      </c>
      <c r="BJ1269" s="2" t="s">
        <v>87</v>
      </c>
      <c r="BK1269" s="140">
        <f>ROUND(I1269*H1269,2)</f>
        <v>0</v>
      </c>
      <c r="BL1269" s="2" t="s">
        <v>496</v>
      </c>
      <c r="BM1269" s="139" t="s">
        <v>3928</v>
      </c>
    </row>
    <row r="1270" spans="2:65" s="16" customFormat="1" ht="16.5" customHeight="1" x14ac:dyDescent="0.2">
      <c r="B1270" s="17"/>
      <c r="C1270" s="162">
        <v>111</v>
      </c>
      <c r="D1270" s="162" t="s">
        <v>519</v>
      </c>
      <c r="E1270" s="163" t="s">
        <v>3929</v>
      </c>
      <c r="F1270" s="164" t="s">
        <v>3930</v>
      </c>
      <c r="G1270" s="165" t="s">
        <v>425</v>
      </c>
      <c r="H1270" s="166">
        <v>217.62100000000001</v>
      </c>
      <c r="I1270" s="167"/>
      <c r="J1270" s="168">
        <f>ROUND(I1270*H1270,2)</f>
        <v>0</v>
      </c>
      <c r="K1270" s="164" t="s">
        <v>343</v>
      </c>
      <c r="L1270" s="169"/>
      <c r="M1270" s="170"/>
      <c r="N1270" s="171" t="s">
        <v>45</v>
      </c>
      <c r="P1270" s="137">
        <f>O1270*H1270</f>
        <v>0</v>
      </c>
      <c r="Q1270" s="137">
        <v>2.0000000000000001E-4</v>
      </c>
      <c r="R1270" s="137">
        <f>Q1270*H1270</f>
        <v>4.3524200000000006E-2</v>
      </c>
      <c r="S1270" s="137">
        <v>0</v>
      </c>
      <c r="T1270" s="138">
        <f>S1270*H1270</f>
        <v>0</v>
      </c>
      <c r="AR1270" s="139" t="s">
        <v>621</v>
      </c>
      <c r="AT1270" s="139" t="s">
        <v>519</v>
      </c>
      <c r="AU1270" s="139" t="s">
        <v>90</v>
      </c>
      <c r="AY1270" s="2" t="s">
        <v>337</v>
      </c>
      <c r="BE1270" s="140">
        <f>IF(N1270="základní",J1270,0)</f>
        <v>0</v>
      </c>
      <c r="BF1270" s="140">
        <f>IF(N1270="snížená",J1270,0)</f>
        <v>0</v>
      </c>
      <c r="BG1270" s="140">
        <f>IF(N1270="zákl. přenesená",J1270,0)</f>
        <v>0</v>
      </c>
      <c r="BH1270" s="140">
        <f>IF(N1270="sníž. přenesená",J1270,0)</f>
        <v>0</v>
      </c>
      <c r="BI1270" s="140">
        <f>IF(N1270="nulová",J1270,0)</f>
        <v>0</v>
      </c>
      <c r="BJ1270" s="2" t="s">
        <v>87</v>
      </c>
      <c r="BK1270" s="140">
        <f>ROUND(I1270*H1270,2)</f>
        <v>0</v>
      </c>
      <c r="BL1270" s="2" t="s">
        <v>496</v>
      </c>
      <c r="BM1270" s="139" t="s">
        <v>3931</v>
      </c>
    </row>
    <row r="1271" spans="2:65" s="148" customFormat="1" x14ac:dyDescent="0.2">
      <c r="B1271" s="149"/>
      <c r="D1271" s="143" t="s">
        <v>346</v>
      </c>
      <c r="F1271" s="151" t="s">
        <v>3932</v>
      </c>
      <c r="H1271" s="152">
        <v>217.62100000000001</v>
      </c>
      <c r="L1271" s="149"/>
      <c r="M1271" s="153"/>
      <c r="T1271" s="154"/>
      <c r="AT1271" s="150" t="s">
        <v>346</v>
      </c>
      <c r="AU1271" s="150" t="s">
        <v>90</v>
      </c>
      <c r="AV1271" s="148" t="s">
        <v>90</v>
      </c>
      <c r="AW1271" s="148" t="s">
        <v>3</v>
      </c>
      <c r="AX1271" s="148" t="s">
        <v>87</v>
      </c>
      <c r="AY1271" s="150" t="s">
        <v>337</v>
      </c>
    </row>
    <row r="1272" spans="2:65" s="16" customFormat="1" ht="16.5" customHeight="1" x14ac:dyDescent="0.2">
      <c r="B1272" s="17"/>
      <c r="C1272" s="128">
        <v>112</v>
      </c>
      <c r="D1272" s="128" t="s">
        <v>339</v>
      </c>
      <c r="E1272" s="129" t="s">
        <v>3926</v>
      </c>
      <c r="F1272" s="130" t="s">
        <v>3927</v>
      </c>
      <c r="G1272" s="131" t="s">
        <v>425</v>
      </c>
      <c r="H1272" s="132">
        <v>416.35500000000002</v>
      </c>
      <c r="I1272" s="133"/>
      <c r="J1272" s="134">
        <f>ROUND(I1272*H1272,2)</f>
        <v>0</v>
      </c>
      <c r="K1272" s="130" t="s">
        <v>343</v>
      </c>
      <c r="L1272" s="17"/>
      <c r="M1272" s="135"/>
      <c r="N1272" s="136" t="s">
        <v>45</v>
      </c>
      <c r="P1272" s="137">
        <f>O1272*H1272</f>
        <v>0</v>
      </c>
      <c r="Q1272" s="137">
        <v>0</v>
      </c>
      <c r="R1272" s="137">
        <f>Q1272*H1272</f>
        <v>0</v>
      </c>
      <c r="S1272" s="137">
        <v>0</v>
      </c>
      <c r="T1272" s="138">
        <f>S1272*H1272</f>
        <v>0</v>
      </c>
      <c r="AR1272" s="139" t="s">
        <v>496</v>
      </c>
      <c r="AT1272" s="139" t="s">
        <v>339</v>
      </c>
      <c r="AU1272" s="139" t="s">
        <v>90</v>
      </c>
      <c r="AY1272" s="2" t="s">
        <v>337</v>
      </c>
      <c r="BE1272" s="140">
        <f>IF(N1272="základní",J1272,0)</f>
        <v>0</v>
      </c>
      <c r="BF1272" s="140">
        <f>IF(N1272="snížená",J1272,0)</f>
        <v>0</v>
      </c>
      <c r="BG1272" s="140">
        <f>IF(N1272="zákl. přenesená",J1272,0)</f>
        <v>0</v>
      </c>
      <c r="BH1272" s="140">
        <f>IF(N1272="sníž. přenesená",J1272,0)</f>
        <v>0</v>
      </c>
      <c r="BI1272" s="140">
        <f>IF(N1272="nulová",J1272,0)</f>
        <v>0</v>
      </c>
      <c r="BJ1272" s="2" t="s">
        <v>87</v>
      </c>
      <c r="BK1272" s="140">
        <f>ROUND(I1272*H1272,2)</f>
        <v>0</v>
      </c>
      <c r="BL1272" s="2" t="s">
        <v>496</v>
      </c>
      <c r="BM1272" s="139" t="s">
        <v>3933</v>
      </c>
    </row>
    <row r="1273" spans="2:65" s="141" customFormat="1" x14ac:dyDescent="0.2">
      <c r="B1273" s="142"/>
      <c r="D1273" s="143" t="s">
        <v>346</v>
      </c>
      <c r="E1273" s="144"/>
      <c r="F1273" s="145" t="s">
        <v>3857</v>
      </c>
      <c r="H1273" s="144"/>
      <c r="L1273" s="142"/>
      <c r="M1273" s="146"/>
      <c r="T1273" s="147"/>
      <c r="AT1273" s="144" t="s">
        <v>346</v>
      </c>
      <c r="AU1273" s="144" t="s">
        <v>90</v>
      </c>
      <c r="AV1273" s="141" t="s">
        <v>87</v>
      </c>
      <c r="AW1273" s="141" t="s">
        <v>33</v>
      </c>
      <c r="AX1273" s="141" t="s">
        <v>80</v>
      </c>
      <c r="AY1273" s="144" t="s">
        <v>337</v>
      </c>
    </row>
    <row r="1274" spans="2:65" s="148" customFormat="1" x14ac:dyDescent="0.2">
      <c r="B1274" s="149"/>
      <c r="D1274" s="143" t="s">
        <v>346</v>
      </c>
      <c r="E1274" s="150"/>
      <c r="F1274" s="151" t="s">
        <v>3029</v>
      </c>
      <c r="H1274" s="152">
        <v>380.00200000000001</v>
      </c>
      <c r="L1274" s="149"/>
      <c r="M1274" s="153"/>
      <c r="T1274" s="154"/>
      <c r="AT1274" s="150" t="s">
        <v>346</v>
      </c>
      <c r="AU1274" s="150" t="s">
        <v>90</v>
      </c>
      <c r="AV1274" s="148" t="s">
        <v>90</v>
      </c>
      <c r="AW1274" s="148" t="s">
        <v>33</v>
      </c>
      <c r="AX1274" s="148" t="s">
        <v>80</v>
      </c>
      <c r="AY1274" s="150" t="s">
        <v>337</v>
      </c>
    </row>
    <row r="1275" spans="2:65" s="141" customFormat="1" x14ac:dyDescent="0.2">
      <c r="B1275" s="142"/>
      <c r="D1275" s="143" t="s">
        <v>346</v>
      </c>
      <c r="E1275" s="144"/>
      <c r="F1275" s="145" t="s">
        <v>3868</v>
      </c>
      <c r="H1275" s="144"/>
      <c r="L1275" s="142"/>
      <c r="M1275" s="146"/>
      <c r="T1275" s="147"/>
      <c r="AT1275" s="144" t="s">
        <v>346</v>
      </c>
      <c r="AU1275" s="144" t="s">
        <v>90</v>
      </c>
      <c r="AV1275" s="141" t="s">
        <v>87</v>
      </c>
      <c r="AW1275" s="141" t="s">
        <v>33</v>
      </c>
      <c r="AX1275" s="141" t="s">
        <v>80</v>
      </c>
      <c r="AY1275" s="144" t="s">
        <v>337</v>
      </c>
    </row>
    <row r="1276" spans="2:65" s="148" customFormat="1" x14ac:dyDescent="0.2">
      <c r="B1276" s="149"/>
      <c r="D1276" s="143" t="s">
        <v>346</v>
      </c>
      <c r="E1276" s="150"/>
      <c r="F1276" s="151" t="s">
        <v>2993</v>
      </c>
      <c r="H1276" s="152">
        <v>36.353000000000002</v>
      </c>
      <c r="L1276" s="149"/>
      <c r="M1276" s="153"/>
      <c r="T1276" s="154"/>
      <c r="AT1276" s="150" t="s">
        <v>346</v>
      </c>
      <c r="AU1276" s="150" t="s">
        <v>90</v>
      </c>
      <c r="AV1276" s="148" t="s">
        <v>90</v>
      </c>
      <c r="AW1276" s="148" t="s">
        <v>33</v>
      </c>
      <c r="AX1276" s="148" t="s">
        <v>80</v>
      </c>
      <c r="AY1276" s="150" t="s">
        <v>337</v>
      </c>
    </row>
    <row r="1277" spans="2:65" s="155" customFormat="1" x14ac:dyDescent="0.2">
      <c r="B1277" s="156"/>
      <c r="D1277" s="143" t="s">
        <v>346</v>
      </c>
      <c r="E1277" s="157"/>
      <c r="F1277" s="158" t="s">
        <v>351</v>
      </c>
      <c r="H1277" s="159">
        <v>416.35500000000002</v>
      </c>
      <c r="L1277" s="156"/>
      <c r="M1277" s="160"/>
      <c r="T1277" s="161"/>
      <c r="AT1277" s="157" t="s">
        <v>346</v>
      </c>
      <c r="AU1277" s="157" t="s">
        <v>90</v>
      </c>
      <c r="AV1277" s="155" t="s">
        <v>344</v>
      </c>
      <c r="AW1277" s="155" t="s">
        <v>33</v>
      </c>
      <c r="AX1277" s="155" t="s">
        <v>87</v>
      </c>
      <c r="AY1277" s="157" t="s">
        <v>337</v>
      </c>
    </row>
    <row r="1278" spans="2:65" s="16" customFormat="1" ht="16.5" customHeight="1" x14ac:dyDescent="0.2">
      <c r="B1278" s="17"/>
      <c r="C1278" s="162">
        <v>113</v>
      </c>
      <c r="D1278" s="162" t="s">
        <v>519</v>
      </c>
      <c r="E1278" s="163" t="s">
        <v>3241</v>
      </c>
      <c r="F1278" s="164" t="s">
        <v>3242</v>
      </c>
      <c r="G1278" s="165" t="s">
        <v>425</v>
      </c>
      <c r="H1278" s="166">
        <v>437.173</v>
      </c>
      <c r="I1278" s="167"/>
      <c r="J1278" s="168">
        <f>ROUND(I1278*H1278,2)</f>
        <v>0</v>
      </c>
      <c r="K1278" s="164" t="s">
        <v>343</v>
      </c>
      <c r="L1278" s="169"/>
      <c r="M1278" s="170"/>
      <c r="N1278" s="171" t="s">
        <v>45</v>
      </c>
      <c r="P1278" s="137">
        <f>O1278*H1278</f>
        <v>0</v>
      </c>
      <c r="Q1278" s="137">
        <v>2.9999999999999997E-4</v>
      </c>
      <c r="R1278" s="137">
        <f>Q1278*H1278</f>
        <v>0.13115189999999999</v>
      </c>
      <c r="S1278" s="137">
        <v>0</v>
      </c>
      <c r="T1278" s="138">
        <f>S1278*H1278</f>
        <v>0</v>
      </c>
      <c r="AR1278" s="139" t="s">
        <v>621</v>
      </c>
      <c r="AT1278" s="139" t="s">
        <v>519</v>
      </c>
      <c r="AU1278" s="139" t="s">
        <v>90</v>
      </c>
      <c r="AY1278" s="2" t="s">
        <v>337</v>
      </c>
      <c r="BE1278" s="140">
        <f>IF(N1278="základní",J1278,0)</f>
        <v>0</v>
      </c>
      <c r="BF1278" s="140">
        <f>IF(N1278="snížená",J1278,0)</f>
        <v>0</v>
      </c>
      <c r="BG1278" s="140">
        <f>IF(N1278="zákl. přenesená",J1278,0)</f>
        <v>0</v>
      </c>
      <c r="BH1278" s="140">
        <f>IF(N1278="sníž. přenesená",J1278,0)</f>
        <v>0</v>
      </c>
      <c r="BI1278" s="140">
        <f>IF(N1278="nulová",J1278,0)</f>
        <v>0</v>
      </c>
      <c r="BJ1278" s="2" t="s">
        <v>87</v>
      </c>
      <c r="BK1278" s="140">
        <f>ROUND(I1278*H1278,2)</f>
        <v>0</v>
      </c>
      <c r="BL1278" s="2" t="s">
        <v>496</v>
      </c>
      <c r="BM1278" s="139" t="s">
        <v>3934</v>
      </c>
    </row>
    <row r="1279" spans="2:65" s="148" customFormat="1" x14ac:dyDescent="0.2">
      <c r="B1279" s="149"/>
      <c r="D1279" s="143" t="s">
        <v>346</v>
      </c>
      <c r="F1279" s="151" t="s">
        <v>3935</v>
      </c>
      <c r="H1279" s="152">
        <v>437.173</v>
      </c>
      <c r="L1279" s="149"/>
      <c r="M1279" s="153"/>
      <c r="T1279" s="154"/>
      <c r="AT1279" s="150" t="s">
        <v>346</v>
      </c>
      <c r="AU1279" s="150" t="s">
        <v>90</v>
      </c>
      <c r="AV1279" s="148" t="s">
        <v>90</v>
      </c>
      <c r="AW1279" s="148" t="s">
        <v>3</v>
      </c>
      <c r="AX1279" s="148" t="s">
        <v>87</v>
      </c>
      <c r="AY1279" s="150" t="s">
        <v>337</v>
      </c>
    </row>
    <row r="1280" spans="2:65" s="16" customFormat="1" ht="16.5" customHeight="1" x14ac:dyDescent="0.2">
      <c r="B1280" s="17"/>
      <c r="C1280" s="128">
        <v>114</v>
      </c>
      <c r="D1280" s="128" t="s">
        <v>339</v>
      </c>
      <c r="E1280" s="129" t="s">
        <v>3936</v>
      </c>
      <c r="F1280" s="130" t="s">
        <v>3937</v>
      </c>
      <c r="G1280" s="131" t="s">
        <v>449</v>
      </c>
      <c r="H1280" s="132">
        <v>20</v>
      </c>
      <c r="I1280" s="133"/>
      <c r="J1280" s="134">
        <f>ROUND(I1280*H1280,2)</f>
        <v>0</v>
      </c>
      <c r="K1280" s="130"/>
      <c r="L1280" s="17"/>
      <c r="M1280" s="135"/>
      <c r="N1280" s="136" t="s">
        <v>45</v>
      </c>
      <c r="P1280" s="137">
        <f>O1280*H1280</f>
        <v>0</v>
      </c>
      <c r="Q1280" s="137">
        <v>2.9999999999999997E-4</v>
      </c>
      <c r="R1280" s="137">
        <f>Q1280*H1280</f>
        <v>5.9999999999999993E-3</v>
      </c>
      <c r="S1280" s="137">
        <v>0</v>
      </c>
      <c r="T1280" s="138">
        <f>S1280*H1280</f>
        <v>0</v>
      </c>
      <c r="AR1280" s="139" t="s">
        <v>496</v>
      </c>
      <c r="AT1280" s="139" t="s">
        <v>339</v>
      </c>
      <c r="AU1280" s="139" t="s">
        <v>90</v>
      </c>
      <c r="AY1280" s="2" t="s">
        <v>337</v>
      </c>
      <c r="BE1280" s="140">
        <f>IF(N1280="základní",J1280,0)</f>
        <v>0</v>
      </c>
      <c r="BF1280" s="140">
        <f>IF(N1280="snížená",J1280,0)</f>
        <v>0</v>
      </c>
      <c r="BG1280" s="140">
        <f>IF(N1280="zákl. přenesená",J1280,0)</f>
        <v>0</v>
      </c>
      <c r="BH1280" s="140">
        <f>IF(N1280="sníž. přenesená",J1280,0)</f>
        <v>0</v>
      </c>
      <c r="BI1280" s="140">
        <f>IF(N1280="nulová",J1280,0)</f>
        <v>0</v>
      </c>
      <c r="BJ1280" s="2" t="s">
        <v>87</v>
      </c>
      <c r="BK1280" s="140">
        <f>ROUND(I1280*H1280,2)</f>
        <v>0</v>
      </c>
      <c r="BL1280" s="2" t="s">
        <v>496</v>
      </c>
      <c r="BM1280" s="139" t="s">
        <v>3938</v>
      </c>
    </row>
    <row r="1281" spans="2:65" s="16" customFormat="1" ht="16.5" customHeight="1" x14ac:dyDescent="0.2">
      <c r="B1281" s="17"/>
      <c r="C1281" s="128">
        <v>115</v>
      </c>
      <c r="D1281" s="128" t="s">
        <v>339</v>
      </c>
      <c r="E1281" s="129" t="s">
        <v>1032</v>
      </c>
      <c r="F1281" s="130" t="s">
        <v>1033</v>
      </c>
      <c r="G1281" s="131" t="s">
        <v>990</v>
      </c>
      <c r="H1281" s="132">
        <v>7.9020000000000001</v>
      </c>
      <c r="I1281" s="133"/>
      <c r="J1281" s="134">
        <f>ROUND(I1281*H1281,2)</f>
        <v>0</v>
      </c>
      <c r="K1281" s="130" t="s">
        <v>343</v>
      </c>
      <c r="L1281" s="17"/>
      <c r="M1281" s="135"/>
      <c r="N1281" s="136" t="s">
        <v>45</v>
      </c>
      <c r="P1281" s="137">
        <f>O1281*H1281</f>
        <v>0</v>
      </c>
      <c r="Q1281" s="137">
        <v>0</v>
      </c>
      <c r="R1281" s="137">
        <f>Q1281*H1281</f>
        <v>0</v>
      </c>
      <c r="S1281" s="137">
        <v>0</v>
      </c>
      <c r="T1281" s="138">
        <f>S1281*H1281</f>
        <v>0</v>
      </c>
      <c r="AR1281" s="139" t="s">
        <v>496</v>
      </c>
      <c r="AT1281" s="139" t="s">
        <v>339</v>
      </c>
      <c r="AU1281" s="139" t="s">
        <v>90</v>
      </c>
      <c r="AY1281" s="2" t="s">
        <v>337</v>
      </c>
      <c r="BE1281" s="140">
        <f>IF(N1281="základní",J1281,0)</f>
        <v>0</v>
      </c>
      <c r="BF1281" s="140">
        <f>IF(N1281="snížená",J1281,0)</f>
        <v>0</v>
      </c>
      <c r="BG1281" s="140">
        <f>IF(N1281="zákl. přenesená",J1281,0)</f>
        <v>0</v>
      </c>
      <c r="BH1281" s="140">
        <f>IF(N1281="sníž. přenesená",J1281,0)</f>
        <v>0</v>
      </c>
      <c r="BI1281" s="140">
        <f>IF(N1281="nulová",J1281,0)</f>
        <v>0</v>
      </c>
      <c r="BJ1281" s="2" t="s">
        <v>87</v>
      </c>
      <c r="BK1281" s="140">
        <f>ROUND(I1281*H1281,2)</f>
        <v>0</v>
      </c>
      <c r="BL1281" s="2" t="s">
        <v>496</v>
      </c>
      <c r="BM1281" s="139" t="s">
        <v>3939</v>
      </c>
    </row>
    <row r="1282" spans="2:65" s="116" customFormat="1" ht="22.9" customHeight="1" x14ac:dyDescent="0.2">
      <c r="B1282" s="117"/>
      <c r="D1282" s="118" t="s">
        <v>79</v>
      </c>
      <c r="E1282" s="126" t="s">
        <v>1035</v>
      </c>
      <c r="F1282" s="126" t="s">
        <v>1036</v>
      </c>
      <c r="J1282" s="127">
        <f>BK1282</f>
        <v>0</v>
      </c>
      <c r="L1282" s="117"/>
      <c r="M1282" s="121"/>
      <c r="P1282" s="122">
        <f>SUM(P1283:P1346)</f>
        <v>0</v>
      </c>
      <c r="R1282" s="122">
        <f>SUM(R1283:R1346)</f>
        <v>4.7707820000000005</v>
      </c>
      <c r="T1282" s="123">
        <f>SUM(T1283:T1346)</f>
        <v>0</v>
      </c>
      <c r="AR1282" s="118" t="s">
        <v>90</v>
      </c>
      <c r="AT1282" s="124" t="s">
        <v>79</v>
      </c>
      <c r="AU1282" s="124" t="s">
        <v>87</v>
      </c>
      <c r="AY1282" s="118" t="s">
        <v>337</v>
      </c>
      <c r="BK1282" s="125">
        <f>SUM(BK1283:BK1346)</f>
        <v>0</v>
      </c>
    </row>
    <row r="1283" spans="2:65" s="16" customFormat="1" ht="16.5" customHeight="1" x14ac:dyDescent="0.2">
      <c r="B1283" s="17"/>
      <c r="C1283" s="128">
        <v>116</v>
      </c>
      <c r="D1283" s="128" t="s">
        <v>339</v>
      </c>
      <c r="E1283" s="129" t="s">
        <v>3940</v>
      </c>
      <c r="F1283" s="130" t="s">
        <v>3941</v>
      </c>
      <c r="G1283" s="131" t="s">
        <v>425</v>
      </c>
      <c r="H1283" s="132">
        <v>412.166</v>
      </c>
      <c r="I1283" s="133"/>
      <c r="J1283" s="134">
        <f>ROUND(I1283*H1283,2)</f>
        <v>0</v>
      </c>
      <c r="K1283" s="130" t="s">
        <v>343</v>
      </c>
      <c r="L1283" s="17"/>
      <c r="M1283" s="135"/>
      <c r="N1283" s="136" t="s">
        <v>45</v>
      </c>
      <c r="P1283" s="137">
        <f>O1283*H1283</f>
        <v>0</v>
      </c>
      <c r="Q1283" s="137">
        <v>6.0000000000000001E-3</v>
      </c>
      <c r="R1283" s="137">
        <f>Q1283*H1283</f>
        <v>2.4729960000000002</v>
      </c>
      <c r="S1283" s="137">
        <v>0</v>
      </c>
      <c r="T1283" s="138">
        <f>S1283*H1283</f>
        <v>0</v>
      </c>
      <c r="AR1283" s="139" t="s">
        <v>496</v>
      </c>
      <c r="AT1283" s="139" t="s">
        <v>339</v>
      </c>
      <c r="AU1283" s="139" t="s">
        <v>90</v>
      </c>
      <c r="AY1283" s="2" t="s">
        <v>337</v>
      </c>
      <c r="BE1283" s="140">
        <f>IF(N1283="základní",J1283,0)</f>
        <v>0</v>
      </c>
      <c r="BF1283" s="140">
        <f>IF(N1283="snížená",J1283,0)</f>
        <v>0</v>
      </c>
      <c r="BG1283" s="140">
        <f>IF(N1283="zákl. přenesená",J1283,0)</f>
        <v>0</v>
      </c>
      <c r="BH1283" s="140">
        <f>IF(N1283="sníž. přenesená",J1283,0)</f>
        <v>0</v>
      </c>
      <c r="BI1283" s="140">
        <f>IF(N1283="nulová",J1283,0)</f>
        <v>0</v>
      </c>
      <c r="BJ1283" s="2" t="s">
        <v>87</v>
      </c>
      <c r="BK1283" s="140">
        <f>ROUND(I1283*H1283,2)</f>
        <v>0</v>
      </c>
      <c r="BL1283" s="2" t="s">
        <v>496</v>
      </c>
      <c r="BM1283" s="139" t="s">
        <v>3942</v>
      </c>
    </row>
    <row r="1284" spans="2:65" s="141" customFormat="1" x14ac:dyDescent="0.2">
      <c r="B1284" s="142"/>
      <c r="D1284" s="143" t="s">
        <v>346</v>
      </c>
      <c r="E1284" s="144"/>
      <c r="F1284" s="145" t="s">
        <v>3943</v>
      </c>
      <c r="H1284" s="144"/>
      <c r="L1284" s="142"/>
      <c r="M1284" s="146"/>
      <c r="T1284" s="147"/>
      <c r="AT1284" s="144" t="s">
        <v>346</v>
      </c>
      <c r="AU1284" s="144" t="s">
        <v>90</v>
      </c>
      <c r="AV1284" s="141" t="s">
        <v>87</v>
      </c>
      <c r="AW1284" s="141" t="s">
        <v>33</v>
      </c>
      <c r="AX1284" s="141" t="s">
        <v>80</v>
      </c>
      <c r="AY1284" s="144" t="s">
        <v>337</v>
      </c>
    </row>
    <row r="1285" spans="2:65" s="141" customFormat="1" x14ac:dyDescent="0.2">
      <c r="B1285" s="142"/>
      <c r="D1285" s="143" t="s">
        <v>346</v>
      </c>
      <c r="E1285" s="144"/>
      <c r="F1285" s="145" t="s">
        <v>3944</v>
      </c>
      <c r="H1285" s="144"/>
      <c r="L1285" s="142"/>
      <c r="M1285" s="146"/>
      <c r="T1285" s="147"/>
      <c r="AT1285" s="144" t="s">
        <v>346</v>
      </c>
      <c r="AU1285" s="144" t="s">
        <v>90</v>
      </c>
      <c r="AV1285" s="141" t="s">
        <v>87</v>
      </c>
      <c r="AW1285" s="141" t="s">
        <v>33</v>
      </c>
      <c r="AX1285" s="141" t="s">
        <v>80</v>
      </c>
      <c r="AY1285" s="144" t="s">
        <v>337</v>
      </c>
    </row>
    <row r="1286" spans="2:65" s="141" customFormat="1" x14ac:dyDescent="0.2">
      <c r="B1286" s="142"/>
      <c r="D1286" s="143" t="s">
        <v>346</v>
      </c>
      <c r="E1286" s="144"/>
      <c r="F1286" s="145" t="s">
        <v>3945</v>
      </c>
      <c r="H1286" s="144"/>
      <c r="L1286" s="142"/>
      <c r="M1286" s="146"/>
      <c r="T1286" s="147"/>
      <c r="AT1286" s="144" t="s">
        <v>346</v>
      </c>
      <c r="AU1286" s="144" t="s">
        <v>90</v>
      </c>
      <c r="AV1286" s="141" t="s">
        <v>87</v>
      </c>
      <c r="AW1286" s="141" t="s">
        <v>33</v>
      </c>
      <c r="AX1286" s="141" t="s">
        <v>80</v>
      </c>
      <c r="AY1286" s="144" t="s">
        <v>337</v>
      </c>
    </row>
    <row r="1287" spans="2:65" s="141" customFormat="1" x14ac:dyDescent="0.2">
      <c r="B1287" s="142"/>
      <c r="D1287" s="143" t="s">
        <v>346</v>
      </c>
      <c r="E1287" s="144"/>
      <c r="F1287" s="145" t="s">
        <v>3946</v>
      </c>
      <c r="H1287" s="144"/>
      <c r="L1287" s="142"/>
      <c r="M1287" s="146"/>
      <c r="T1287" s="147"/>
      <c r="AT1287" s="144" t="s">
        <v>346</v>
      </c>
      <c r="AU1287" s="144" t="s">
        <v>90</v>
      </c>
      <c r="AV1287" s="141" t="s">
        <v>87</v>
      </c>
      <c r="AW1287" s="141" t="s">
        <v>33</v>
      </c>
      <c r="AX1287" s="141" t="s">
        <v>80</v>
      </c>
      <c r="AY1287" s="144" t="s">
        <v>337</v>
      </c>
    </row>
    <row r="1288" spans="2:65" s="148" customFormat="1" x14ac:dyDescent="0.2">
      <c r="B1288" s="149"/>
      <c r="D1288" s="143" t="s">
        <v>346</v>
      </c>
      <c r="E1288" s="150"/>
      <c r="F1288" s="151" t="s">
        <v>3947</v>
      </c>
      <c r="H1288" s="152">
        <v>8.74</v>
      </c>
      <c r="L1288" s="149"/>
      <c r="M1288" s="153"/>
      <c r="T1288" s="154"/>
      <c r="AT1288" s="150" t="s">
        <v>346</v>
      </c>
      <c r="AU1288" s="150" t="s">
        <v>90</v>
      </c>
      <c r="AV1288" s="148" t="s">
        <v>90</v>
      </c>
      <c r="AW1288" s="148" t="s">
        <v>33</v>
      </c>
      <c r="AX1288" s="148" t="s">
        <v>80</v>
      </c>
      <c r="AY1288" s="150" t="s">
        <v>337</v>
      </c>
    </row>
    <row r="1289" spans="2:65" s="172" customFormat="1" x14ac:dyDescent="0.2">
      <c r="B1289" s="173"/>
      <c r="D1289" s="143" t="s">
        <v>346</v>
      </c>
      <c r="E1289" s="174"/>
      <c r="F1289" s="175" t="s">
        <v>609</v>
      </c>
      <c r="H1289" s="176">
        <v>8.74</v>
      </c>
      <c r="L1289" s="173"/>
      <c r="M1289" s="177"/>
      <c r="T1289" s="178"/>
      <c r="AT1289" s="174" t="s">
        <v>346</v>
      </c>
      <c r="AU1289" s="174" t="s">
        <v>90</v>
      </c>
      <c r="AV1289" s="172" t="s">
        <v>113</v>
      </c>
      <c r="AW1289" s="172" t="s">
        <v>33</v>
      </c>
      <c r="AX1289" s="172" t="s">
        <v>80</v>
      </c>
      <c r="AY1289" s="174" t="s">
        <v>337</v>
      </c>
    </row>
    <row r="1290" spans="2:65" s="141" customFormat="1" x14ac:dyDescent="0.2">
      <c r="B1290" s="142"/>
      <c r="D1290" s="143" t="s">
        <v>346</v>
      </c>
      <c r="E1290" s="144"/>
      <c r="F1290" s="145" t="s">
        <v>3948</v>
      </c>
      <c r="H1290" s="144"/>
      <c r="L1290" s="142"/>
      <c r="M1290" s="146"/>
      <c r="T1290" s="147"/>
      <c r="AT1290" s="144" t="s">
        <v>346</v>
      </c>
      <c r="AU1290" s="144" t="s">
        <v>90</v>
      </c>
      <c r="AV1290" s="141" t="s">
        <v>87</v>
      </c>
      <c r="AW1290" s="141" t="s">
        <v>33</v>
      </c>
      <c r="AX1290" s="141" t="s">
        <v>80</v>
      </c>
      <c r="AY1290" s="144" t="s">
        <v>337</v>
      </c>
    </row>
    <row r="1291" spans="2:65" s="141" customFormat="1" x14ac:dyDescent="0.2">
      <c r="B1291" s="142"/>
      <c r="D1291" s="143" t="s">
        <v>346</v>
      </c>
      <c r="E1291" s="144"/>
      <c r="F1291" s="145" t="s">
        <v>3098</v>
      </c>
      <c r="H1291" s="144"/>
      <c r="L1291" s="142"/>
      <c r="M1291" s="146"/>
      <c r="T1291" s="147"/>
      <c r="AT1291" s="144" t="s">
        <v>346</v>
      </c>
      <c r="AU1291" s="144" t="s">
        <v>90</v>
      </c>
      <c r="AV1291" s="141" t="s">
        <v>87</v>
      </c>
      <c r="AW1291" s="141" t="s">
        <v>33</v>
      </c>
      <c r="AX1291" s="141" t="s">
        <v>80</v>
      </c>
      <c r="AY1291" s="144" t="s">
        <v>337</v>
      </c>
    </row>
    <row r="1292" spans="2:65" s="141" customFormat="1" x14ac:dyDescent="0.2">
      <c r="B1292" s="142"/>
      <c r="D1292" s="143" t="s">
        <v>346</v>
      </c>
      <c r="E1292" s="144"/>
      <c r="F1292" s="145" t="s">
        <v>3892</v>
      </c>
      <c r="H1292" s="144"/>
      <c r="L1292" s="142"/>
      <c r="M1292" s="146"/>
      <c r="T1292" s="147"/>
      <c r="AT1292" s="144" t="s">
        <v>346</v>
      </c>
      <c r="AU1292" s="144" t="s">
        <v>90</v>
      </c>
      <c r="AV1292" s="141" t="s">
        <v>87</v>
      </c>
      <c r="AW1292" s="141" t="s">
        <v>33</v>
      </c>
      <c r="AX1292" s="141" t="s">
        <v>80</v>
      </c>
      <c r="AY1292" s="144" t="s">
        <v>337</v>
      </c>
    </row>
    <row r="1293" spans="2:65" s="141" customFormat="1" x14ac:dyDescent="0.2">
      <c r="B1293" s="142"/>
      <c r="D1293" s="143" t="s">
        <v>346</v>
      </c>
      <c r="E1293" s="144"/>
      <c r="F1293" s="145" t="s">
        <v>3379</v>
      </c>
      <c r="H1293" s="144"/>
      <c r="L1293" s="142"/>
      <c r="M1293" s="146"/>
      <c r="T1293" s="147"/>
      <c r="AT1293" s="144" t="s">
        <v>346</v>
      </c>
      <c r="AU1293" s="144" t="s">
        <v>90</v>
      </c>
      <c r="AV1293" s="141" t="s">
        <v>87</v>
      </c>
      <c r="AW1293" s="141" t="s">
        <v>33</v>
      </c>
      <c r="AX1293" s="141" t="s">
        <v>80</v>
      </c>
      <c r="AY1293" s="144" t="s">
        <v>337</v>
      </c>
    </row>
    <row r="1294" spans="2:65" s="148" customFormat="1" x14ac:dyDescent="0.2">
      <c r="B1294" s="149"/>
      <c r="D1294" s="143" t="s">
        <v>346</v>
      </c>
      <c r="E1294" s="150"/>
      <c r="F1294" s="151" t="s">
        <v>3949</v>
      </c>
      <c r="H1294" s="152">
        <v>17.03</v>
      </c>
      <c r="L1294" s="149"/>
      <c r="M1294" s="153"/>
      <c r="T1294" s="154"/>
      <c r="AT1294" s="150" t="s">
        <v>346</v>
      </c>
      <c r="AU1294" s="150" t="s">
        <v>90</v>
      </c>
      <c r="AV1294" s="148" t="s">
        <v>90</v>
      </c>
      <c r="AW1294" s="148" t="s">
        <v>33</v>
      </c>
      <c r="AX1294" s="148" t="s">
        <v>80</v>
      </c>
      <c r="AY1294" s="150" t="s">
        <v>337</v>
      </c>
    </row>
    <row r="1295" spans="2:65" s="141" customFormat="1" x14ac:dyDescent="0.2">
      <c r="B1295" s="142"/>
      <c r="D1295" s="143" t="s">
        <v>346</v>
      </c>
      <c r="E1295" s="144"/>
      <c r="F1295" s="145" t="s">
        <v>3381</v>
      </c>
      <c r="H1295" s="144"/>
      <c r="L1295" s="142"/>
      <c r="M1295" s="146"/>
      <c r="T1295" s="147"/>
      <c r="AT1295" s="144" t="s">
        <v>346</v>
      </c>
      <c r="AU1295" s="144" t="s">
        <v>90</v>
      </c>
      <c r="AV1295" s="141" t="s">
        <v>87</v>
      </c>
      <c r="AW1295" s="141" t="s">
        <v>33</v>
      </c>
      <c r="AX1295" s="141" t="s">
        <v>80</v>
      </c>
      <c r="AY1295" s="144" t="s">
        <v>337</v>
      </c>
    </row>
    <row r="1296" spans="2:65" s="148" customFormat="1" x14ac:dyDescent="0.2">
      <c r="B1296" s="149"/>
      <c r="D1296" s="143" t="s">
        <v>346</v>
      </c>
      <c r="E1296" s="150"/>
      <c r="F1296" s="151" t="s">
        <v>3950</v>
      </c>
      <c r="H1296" s="152">
        <v>119.158</v>
      </c>
      <c r="L1296" s="149"/>
      <c r="M1296" s="153"/>
      <c r="T1296" s="154"/>
      <c r="AT1296" s="150" t="s">
        <v>346</v>
      </c>
      <c r="AU1296" s="150" t="s">
        <v>90</v>
      </c>
      <c r="AV1296" s="148" t="s">
        <v>90</v>
      </c>
      <c r="AW1296" s="148" t="s">
        <v>33</v>
      </c>
      <c r="AX1296" s="148" t="s">
        <v>80</v>
      </c>
      <c r="AY1296" s="150" t="s">
        <v>337</v>
      </c>
    </row>
    <row r="1297" spans="2:51" s="141" customFormat="1" x14ac:dyDescent="0.2">
      <c r="B1297" s="142"/>
      <c r="D1297" s="143" t="s">
        <v>346</v>
      </c>
      <c r="E1297" s="144"/>
      <c r="F1297" s="145" t="s">
        <v>3383</v>
      </c>
      <c r="H1297" s="144"/>
      <c r="L1297" s="142"/>
      <c r="M1297" s="146"/>
      <c r="T1297" s="147"/>
      <c r="AT1297" s="144" t="s">
        <v>346</v>
      </c>
      <c r="AU1297" s="144" t="s">
        <v>90</v>
      </c>
      <c r="AV1297" s="141" t="s">
        <v>87</v>
      </c>
      <c r="AW1297" s="141" t="s">
        <v>33</v>
      </c>
      <c r="AX1297" s="141" t="s">
        <v>80</v>
      </c>
      <c r="AY1297" s="144" t="s">
        <v>337</v>
      </c>
    </row>
    <row r="1298" spans="2:51" s="148" customFormat="1" x14ac:dyDescent="0.2">
      <c r="B1298" s="149"/>
      <c r="D1298" s="143" t="s">
        <v>346</v>
      </c>
      <c r="E1298" s="150"/>
      <c r="F1298" s="151" t="s">
        <v>3951</v>
      </c>
      <c r="H1298" s="152">
        <v>30.16</v>
      </c>
      <c r="L1298" s="149"/>
      <c r="M1298" s="153"/>
      <c r="T1298" s="154"/>
      <c r="AT1298" s="150" t="s">
        <v>346</v>
      </c>
      <c r="AU1298" s="150" t="s">
        <v>90</v>
      </c>
      <c r="AV1298" s="148" t="s">
        <v>90</v>
      </c>
      <c r="AW1298" s="148" t="s">
        <v>33</v>
      </c>
      <c r="AX1298" s="148" t="s">
        <v>80</v>
      </c>
      <c r="AY1298" s="150" t="s">
        <v>337</v>
      </c>
    </row>
    <row r="1299" spans="2:51" s="141" customFormat="1" x14ac:dyDescent="0.2">
      <c r="B1299" s="142"/>
      <c r="D1299" s="143" t="s">
        <v>346</v>
      </c>
      <c r="E1299" s="144"/>
      <c r="F1299" s="145" t="s">
        <v>3101</v>
      </c>
      <c r="H1299" s="144"/>
      <c r="L1299" s="142"/>
      <c r="M1299" s="146"/>
      <c r="T1299" s="147"/>
      <c r="AT1299" s="144" t="s">
        <v>346</v>
      </c>
      <c r="AU1299" s="144" t="s">
        <v>90</v>
      </c>
      <c r="AV1299" s="141" t="s">
        <v>87</v>
      </c>
      <c r="AW1299" s="141" t="s">
        <v>33</v>
      </c>
      <c r="AX1299" s="141" t="s">
        <v>80</v>
      </c>
      <c r="AY1299" s="144" t="s">
        <v>337</v>
      </c>
    </row>
    <row r="1300" spans="2:51" s="141" customFormat="1" x14ac:dyDescent="0.2">
      <c r="B1300" s="142"/>
      <c r="D1300" s="143" t="s">
        <v>346</v>
      </c>
      <c r="E1300" s="144"/>
      <c r="F1300" s="145" t="s">
        <v>3102</v>
      </c>
      <c r="H1300" s="144"/>
      <c r="L1300" s="142"/>
      <c r="M1300" s="146"/>
      <c r="T1300" s="147"/>
      <c r="AT1300" s="144" t="s">
        <v>346</v>
      </c>
      <c r="AU1300" s="144" t="s">
        <v>90</v>
      </c>
      <c r="AV1300" s="141" t="s">
        <v>87</v>
      </c>
      <c r="AW1300" s="141" t="s">
        <v>33</v>
      </c>
      <c r="AX1300" s="141" t="s">
        <v>80</v>
      </c>
      <c r="AY1300" s="144" t="s">
        <v>337</v>
      </c>
    </row>
    <row r="1301" spans="2:51" s="148" customFormat="1" x14ac:dyDescent="0.2">
      <c r="B1301" s="149"/>
      <c r="D1301" s="143" t="s">
        <v>346</v>
      </c>
      <c r="E1301" s="150"/>
      <c r="F1301" s="151" t="s">
        <v>3952</v>
      </c>
      <c r="H1301" s="152">
        <v>15.6</v>
      </c>
      <c r="L1301" s="149"/>
      <c r="M1301" s="153"/>
      <c r="T1301" s="154"/>
      <c r="AT1301" s="150" t="s">
        <v>346</v>
      </c>
      <c r="AU1301" s="150" t="s">
        <v>90</v>
      </c>
      <c r="AV1301" s="148" t="s">
        <v>90</v>
      </c>
      <c r="AW1301" s="148" t="s">
        <v>33</v>
      </c>
      <c r="AX1301" s="148" t="s">
        <v>80</v>
      </c>
      <c r="AY1301" s="150" t="s">
        <v>337</v>
      </c>
    </row>
    <row r="1302" spans="2:51" s="141" customFormat="1" x14ac:dyDescent="0.2">
      <c r="B1302" s="142"/>
      <c r="D1302" s="143" t="s">
        <v>346</v>
      </c>
      <c r="E1302" s="144"/>
      <c r="F1302" s="145" t="s">
        <v>3104</v>
      </c>
      <c r="H1302" s="144"/>
      <c r="L1302" s="142"/>
      <c r="M1302" s="146"/>
      <c r="T1302" s="147"/>
      <c r="AT1302" s="144" t="s">
        <v>346</v>
      </c>
      <c r="AU1302" s="144" t="s">
        <v>90</v>
      </c>
      <c r="AV1302" s="141" t="s">
        <v>87</v>
      </c>
      <c r="AW1302" s="141" t="s">
        <v>33</v>
      </c>
      <c r="AX1302" s="141" t="s">
        <v>80</v>
      </c>
      <c r="AY1302" s="144" t="s">
        <v>337</v>
      </c>
    </row>
    <row r="1303" spans="2:51" s="148" customFormat="1" x14ac:dyDescent="0.2">
      <c r="B1303" s="149"/>
      <c r="D1303" s="143" t="s">
        <v>346</v>
      </c>
      <c r="E1303" s="150"/>
      <c r="F1303" s="151" t="s">
        <v>3953</v>
      </c>
      <c r="H1303" s="152">
        <v>1.56</v>
      </c>
      <c r="L1303" s="149"/>
      <c r="M1303" s="153"/>
      <c r="T1303" s="154"/>
      <c r="AT1303" s="150" t="s">
        <v>346</v>
      </c>
      <c r="AU1303" s="150" t="s">
        <v>90</v>
      </c>
      <c r="AV1303" s="148" t="s">
        <v>90</v>
      </c>
      <c r="AW1303" s="148" t="s">
        <v>33</v>
      </c>
      <c r="AX1303" s="148" t="s">
        <v>80</v>
      </c>
      <c r="AY1303" s="150" t="s">
        <v>337</v>
      </c>
    </row>
    <row r="1304" spans="2:51" s="141" customFormat="1" x14ac:dyDescent="0.2">
      <c r="B1304" s="142"/>
      <c r="D1304" s="143" t="s">
        <v>346</v>
      </c>
      <c r="E1304" s="144"/>
      <c r="F1304" s="145" t="s">
        <v>3106</v>
      </c>
      <c r="H1304" s="144"/>
      <c r="L1304" s="142"/>
      <c r="M1304" s="146"/>
      <c r="T1304" s="147"/>
      <c r="AT1304" s="144" t="s">
        <v>346</v>
      </c>
      <c r="AU1304" s="144" t="s">
        <v>90</v>
      </c>
      <c r="AV1304" s="141" t="s">
        <v>87</v>
      </c>
      <c r="AW1304" s="141" t="s">
        <v>33</v>
      </c>
      <c r="AX1304" s="141" t="s">
        <v>80</v>
      </c>
      <c r="AY1304" s="144" t="s">
        <v>337</v>
      </c>
    </row>
    <row r="1305" spans="2:51" s="148" customFormat="1" x14ac:dyDescent="0.2">
      <c r="B1305" s="149"/>
      <c r="D1305" s="143" t="s">
        <v>346</v>
      </c>
      <c r="E1305" s="150"/>
      <c r="F1305" s="151" t="s">
        <v>3954</v>
      </c>
      <c r="H1305" s="152">
        <v>27.04</v>
      </c>
      <c r="L1305" s="149"/>
      <c r="M1305" s="153"/>
      <c r="T1305" s="154"/>
      <c r="AT1305" s="150" t="s">
        <v>346</v>
      </c>
      <c r="AU1305" s="150" t="s">
        <v>90</v>
      </c>
      <c r="AV1305" s="148" t="s">
        <v>90</v>
      </c>
      <c r="AW1305" s="148" t="s">
        <v>33</v>
      </c>
      <c r="AX1305" s="148" t="s">
        <v>80</v>
      </c>
      <c r="AY1305" s="150" t="s">
        <v>337</v>
      </c>
    </row>
    <row r="1306" spans="2:51" s="141" customFormat="1" x14ac:dyDescent="0.2">
      <c r="B1306" s="142"/>
      <c r="D1306" s="143" t="s">
        <v>346</v>
      </c>
      <c r="E1306" s="144"/>
      <c r="F1306" s="145" t="s">
        <v>3108</v>
      </c>
      <c r="H1306" s="144"/>
      <c r="L1306" s="142"/>
      <c r="M1306" s="146"/>
      <c r="T1306" s="147"/>
      <c r="AT1306" s="144" t="s">
        <v>346</v>
      </c>
      <c r="AU1306" s="144" t="s">
        <v>90</v>
      </c>
      <c r="AV1306" s="141" t="s">
        <v>87</v>
      </c>
      <c r="AW1306" s="141" t="s">
        <v>33</v>
      </c>
      <c r="AX1306" s="141" t="s">
        <v>80</v>
      </c>
      <c r="AY1306" s="144" t="s">
        <v>337</v>
      </c>
    </row>
    <row r="1307" spans="2:51" s="148" customFormat="1" x14ac:dyDescent="0.2">
      <c r="B1307" s="149"/>
      <c r="D1307" s="143" t="s">
        <v>346</v>
      </c>
      <c r="E1307" s="150"/>
      <c r="F1307" s="151" t="s">
        <v>3955</v>
      </c>
      <c r="H1307" s="152">
        <v>14.04</v>
      </c>
      <c r="L1307" s="149"/>
      <c r="M1307" s="153"/>
      <c r="T1307" s="154"/>
      <c r="AT1307" s="150" t="s">
        <v>346</v>
      </c>
      <c r="AU1307" s="150" t="s">
        <v>90</v>
      </c>
      <c r="AV1307" s="148" t="s">
        <v>90</v>
      </c>
      <c r="AW1307" s="148" t="s">
        <v>33</v>
      </c>
      <c r="AX1307" s="148" t="s">
        <v>80</v>
      </c>
      <c r="AY1307" s="150" t="s">
        <v>337</v>
      </c>
    </row>
    <row r="1308" spans="2:51" s="141" customFormat="1" x14ac:dyDescent="0.2">
      <c r="B1308" s="142"/>
      <c r="D1308" s="143" t="s">
        <v>346</v>
      </c>
      <c r="E1308" s="144"/>
      <c r="F1308" s="145" t="s">
        <v>3894</v>
      </c>
      <c r="H1308" s="144"/>
      <c r="L1308" s="142"/>
      <c r="M1308" s="146"/>
      <c r="T1308" s="147"/>
      <c r="AT1308" s="144" t="s">
        <v>346</v>
      </c>
      <c r="AU1308" s="144" t="s">
        <v>90</v>
      </c>
      <c r="AV1308" s="141" t="s">
        <v>87</v>
      </c>
      <c r="AW1308" s="141" t="s">
        <v>33</v>
      </c>
      <c r="AX1308" s="141" t="s">
        <v>80</v>
      </c>
      <c r="AY1308" s="144" t="s">
        <v>337</v>
      </c>
    </row>
    <row r="1309" spans="2:51" s="148" customFormat="1" x14ac:dyDescent="0.2">
      <c r="B1309" s="149"/>
      <c r="D1309" s="143" t="s">
        <v>346</v>
      </c>
      <c r="E1309" s="150"/>
      <c r="F1309" s="151" t="s">
        <v>3956</v>
      </c>
      <c r="H1309" s="152">
        <v>14.891999999999999</v>
      </c>
      <c r="L1309" s="149"/>
      <c r="M1309" s="153"/>
      <c r="T1309" s="154"/>
      <c r="AT1309" s="150" t="s">
        <v>346</v>
      </c>
      <c r="AU1309" s="150" t="s">
        <v>90</v>
      </c>
      <c r="AV1309" s="148" t="s">
        <v>90</v>
      </c>
      <c r="AW1309" s="148" t="s">
        <v>33</v>
      </c>
      <c r="AX1309" s="148" t="s">
        <v>80</v>
      </c>
      <c r="AY1309" s="150" t="s">
        <v>337</v>
      </c>
    </row>
    <row r="1310" spans="2:51" s="148" customFormat="1" x14ac:dyDescent="0.2">
      <c r="B1310" s="149"/>
      <c r="D1310" s="143" t="s">
        <v>346</v>
      </c>
      <c r="E1310" s="150"/>
      <c r="F1310" s="151" t="s">
        <v>3957</v>
      </c>
      <c r="H1310" s="152">
        <v>2.5960000000000001</v>
      </c>
      <c r="L1310" s="149"/>
      <c r="M1310" s="153"/>
      <c r="T1310" s="154"/>
      <c r="AT1310" s="150" t="s">
        <v>346</v>
      </c>
      <c r="AU1310" s="150" t="s">
        <v>90</v>
      </c>
      <c r="AV1310" s="148" t="s">
        <v>90</v>
      </c>
      <c r="AW1310" s="148" t="s">
        <v>33</v>
      </c>
      <c r="AX1310" s="148" t="s">
        <v>80</v>
      </c>
      <c r="AY1310" s="150" t="s">
        <v>337</v>
      </c>
    </row>
    <row r="1311" spans="2:51" s="141" customFormat="1" x14ac:dyDescent="0.2">
      <c r="B1311" s="142"/>
      <c r="D1311" s="143" t="s">
        <v>346</v>
      </c>
      <c r="E1311" s="144"/>
      <c r="F1311" s="145" t="s">
        <v>3259</v>
      </c>
      <c r="H1311" s="144"/>
      <c r="L1311" s="142"/>
      <c r="M1311" s="146"/>
      <c r="T1311" s="147"/>
      <c r="AT1311" s="144" t="s">
        <v>346</v>
      </c>
      <c r="AU1311" s="144" t="s">
        <v>90</v>
      </c>
      <c r="AV1311" s="141" t="s">
        <v>87</v>
      </c>
      <c r="AW1311" s="141" t="s">
        <v>33</v>
      </c>
      <c r="AX1311" s="141" t="s">
        <v>80</v>
      </c>
      <c r="AY1311" s="144" t="s">
        <v>337</v>
      </c>
    </row>
    <row r="1312" spans="2:51" s="148" customFormat="1" x14ac:dyDescent="0.2">
      <c r="B1312" s="149"/>
      <c r="D1312" s="143" t="s">
        <v>346</v>
      </c>
      <c r="E1312" s="150"/>
      <c r="F1312" s="151" t="s">
        <v>3958</v>
      </c>
      <c r="H1312" s="152">
        <v>48.62</v>
      </c>
      <c r="L1312" s="149"/>
      <c r="M1312" s="153"/>
      <c r="T1312" s="154"/>
      <c r="AT1312" s="150" t="s">
        <v>346</v>
      </c>
      <c r="AU1312" s="150" t="s">
        <v>90</v>
      </c>
      <c r="AV1312" s="148" t="s">
        <v>90</v>
      </c>
      <c r="AW1312" s="148" t="s">
        <v>33</v>
      </c>
      <c r="AX1312" s="148" t="s">
        <v>80</v>
      </c>
      <c r="AY1312" s="150" t="s">
        <v>337</v>
      </c>
    </row>
    <row r="1313" spans="2:51" s="141" customFormat="1" x14ac:dyDescent="0.2">
      <c r="B1313" s="142"/>
      <c r="D1313" s="143" t="s">
        <v>346</v>
      </c>
      <c r="E1313" s="144"/>
      <c r="F1313" s="145" t="s">
        <v>3051</v>
      </c>
      <c r="H1313" s="144"/>
      <c r="L1313" s="142"/>
      <c r="M1313" s="146"/>
      <c r="T1313" s="147"/>
      <c r="AT1313" s="144" t="s">
        <v>346</v>
      </c>
      <c r="AU1313" s="144" t="s">
        <v>90</v>
      </c>
      <c r="AV1313" s="141" t="s">
        <v>87</v>
      </c>
      <c r="AW1313" s="141" t="s">
        <v>33</v>
      </c>
      <c r="AX1313" s="141" t="s">
        <v>80</v>
      </c>
      <c r="AY1313" s="144" t="s">
        <v>337</v>
      </c>
    </row>
    <row r="1314" spans="2:51" s="141" customFormat="1" x14ac:dyDescent="0.2">
      <c r="B1314" s="142"/>
      <c r="D1314" s="143" t="s">
        <v>346</v>
      </c>
      <c r="E1314" s="144"/>
      <c r="F1314" s="145" t="s">
        <v>3113</v>
      </c>
      <c r="H1314" s="144"/>
      <c r="L1314" s="142"/>
      <c r="M1314" s="146"/>
      <c r="T1314" s="147"/>
      <c r="AT1314" s="144" t="s">
        <v>346</v>
      </c>
      <c r="AU1314" s="144" t="s">
        <v>90</v>
      </c>
      <c r="AV1314" s="141" t="s">
        <v>87</v>
      </c>
      <c r="AW1314" s="141" t="s">
        <v>33</v>
      </c>
      <c r="AX1314" s="141" t="s">
        <v>80</v>
      </c>
      <c r="AY1314" s="144" t="s">
        <v>337</v>
      </c>
    </row>
    <row r="1315" spans="2:51" s="141" customFormat="1" x14ac:dyDescent="0.2">
      <c r="B1315" s="142"/>
      <c r="D1315" s="143" t="s">
        <v>346</v>
      </c>
      <c r="E1315" s="144"/>
      <c r="F1315" s="145" t="s">
        <v>3052</v>
      </c>
      <c r="H1315" s="144"/>
      <c r="L1315" s="142"/>
      <c r="M1315" s="146"/>
      <c r="T1315" s="147"/>
      <c r="AT1315" s="144" t="s">
        <v>346</v>
      </c>
      <c r="AU1315" s="144" t="s">
        <v>90</v>
      </c>
      <c r="AV1315" s="141" t="s">
        <v>87</v>
      </c>
      <c r="AW1315" s="141" t="s">
        <v>33</v>
      </c>
      <c r="AX1315" s="141" t="s">
        <v>80</v>
      </c>
      <c r="AY1315" s="144" t="s">
        <v>337</v>
      </c>
    </row>
    <row r="1316" spans="2:51" s="148" customFormat="1" x14ac:dyDescent="0.2">
      <c r="B1316" s="149"/>
      <c r="D1316" s="143" t="s">
        <v>346</v>
      </c>
      <c r="E1316" s="150"/>
      <c r="F1316" s="151" t="s">
        <v>80</v>
      </c>
      <c r="H1316" s="152">
        <v>0</v>
      </c>
      <c r="L1316" s="149"/>
      <c r="M1316" s="153"/>
      <c r="T1316" s="154"/>
      <c r="AT1316" s="150" t="s">
        <v>346</v>
      </c>
      <c r="AU1316" s="150" t="s">
        <v>90</v>
      </c>
      <c r="AV1316" s="148" t="s">
        <v>90</v>
      </c>
      <c r="AW1316" s="148" t="s">
        <v>33</v>
      </c>
      <c r="AX1316" s="148" t="s">
        <v>80</v>
      </c>
      <c r="AY1316" s="150" t="s">
        <v>337</v>
      </c>
    </row>
    <row r="1317" spans="2:51" s="141" customFormat="1" x14ac:dyDescent="0.2">
      <c r="B1317" s="142"/>
      <c r="D1317" s="143" t="s">
        <v>346</v>
      </c>
      <c r="E1317" s="144"/>
      <c r="F1317" s="145" t="s">
        <v>3053</v>
      </c>
      <c r="H1317" s="144"/>
      <c r="L1317" s="142"/>
      <c r="M1317" s="146"/>
      <c r="T1317" s="147"/>
      <c r="AT1317" s="144" t="s">
        <v>346</v>
      </c>
      <c r="AU1317" s="144" t="s">
        <v>90</v>
      </c>
      <c r="AV1317" s="141" t="s">
        <v>87</v>
      </c>
      <c r="AW1317" s="141" t="s">
        <v>33</v>
      </c>
      <c r="AX1317" s="141" t="s">
        <v>80</v>
      </c>
      <c r="AY1317" s="144" t="s">
        <v>337</v>
      </c>
    </row>
    <row r="1318" spans="2:51" s="148" customFormat="1" x14ac:dyDescent="0.2">
      <c r="B1318" s="149"/>
      <c r="D1318" s="143" t="s">
        <v>346</v>
      </c>
      <c r="E1318" s="150"/>
      <c r="F1318" s="151" t="s">
        <v>3959</v>
      </c>
      <c r="H1318" s="152">
        <v>49.59</v>
      </c>
      <c r="L1318" s="149"/>
      <c r="M1318" s="153"/>
      <c r="T1318" s="154"/>
      <c r="AT1318" s="150" t="s">
        <v>346</v>
      </c>
      <c r="AU1318" s="150" t="s">
        <v>90</v>
      </c>
      <c r="AV1318" s="148" t="s">
        <v>90</v>
      </c>
      <c r="AW1318" s="148" t="s">
        <v>33</v>
      </c>
      <c r="AX1318" s="148" t="s">
        <v>80</v>
      </c>
      <c r="AY1318" s="150" t="s">
        <v>337</v>
      </c>
    </row>
    <row r="1319" spans="2:51" s="141" customFormat="1" x14ac:dyDescent="0.2">
      <c r="B1319" s="142"/>
      <c r="D1319" s="143" t="s">
        <v>346</v>
      </c>
      <c r="E1319" s="144"/>
      <c r="F1319" s="145" t="s">
        <v>3115</v>
      </c>
      <c r="H1319" s="144"/>
      <c r="L1319" s="142"/>
      <c r="M1319" s="146"/>
      <c r="T1319" s="147"/>
      <c r="AT1319" s="144" t="s">
        <v>346</v>
      </c>
      <c r="AU1319" s="144" t="s">
        <v>90</v>
      </c>
      <c r="AV1319" s="141" t="s">
        <v>87</v>
      </c>
      <c r="AW1319" s="141" t="s">
        <v>33</v>
      </c>
      <c r="AX1319" s="141" t="s">
        <v>80</v>
      </c>
      <c r="AY1319" s="144" t="s">
        <v>337</v>
      </c>
    </row>
    <row r="1320" spans="2:51" s="148" customFormat="1" x14ac:dyDescent="0.2">
      <c r="B1320" s="149"/>
      <c r="D1320" s="143" t="s">
        <v>346</v>
      </c>
      <c r="E1320" s="150"/>
      <c r="F1320" s="151" t="s">
        <v>3960</v>
      </c>
      <c r="H1320" s="152">
        <v>28.765999999999998</v>
      </c>
      <c r="L1320" s="149"/>
      <c r="M1320" s="153"/>
      <c r="T1320" s="154"/>
      <c r="AT1320" s="150" t="s">
        <v>346</v>
      </c>
      <c r="AU1320" s="150" t="s">
        <v>90</v>
      </c>
      <c r="AV1320" s="148" t="s">
        <v>90</v>
      </c>
      <c r="AW1320" s="148" t="s">
        <v>33</v>
      </c>
      <c r="AX1320" s="148" t="s">
        <v>80</v>
      </c>
      <c r="AY1320" s="150" t="s">
        <v>337</v>
      </c>
    </row>
    <row r="1321" spans="2:51" s="141" customFormat="1" x14ac:dyDescent="0.2">
      <c r="B1321" s="142"/>
      <c r="D1321" s="143" t="s">
        <v>346</v>
      </c>
      <c r="E1321" s="144"/>
      <c r="F1321" s="145" t="s">
        <v>3117</v>
      </c>
      <c r="H1321" s="144"/>
      <c r="L1321" s="142"/>
      <c r="M1321" s="146"/>
      <c r="T1321" s="147"/>
      <c r="AT1321" s="144" t="s">
        <v>346</v>
      </c>
      <c r="AU1321" s="144" t="s">
        <v>90</v>
      </c>
      <c r="AV1321" s="141" t="s">
        <v>87</v>
      </c>
      <c r="AW1321" s="141" t="s">
        <v>33</v>
      </c>
      <c r="AX1321" s="141" t="s">
        <v>80</v>
      </c>
      <c r="AY1321" s="144" t="s">
        <v>337</v>
      </c>
    </row>
    <row r="1322" spans="2:51" s="141" customFormat="1" x14ac:dyDescent="0.2">
      <c r="B1322" s="142"/>
      <c r="D1322" s="143" t="s">
        <v>346</v>
      </c>
      <c r="E1322" s="144"/>
      <c r="F1322" s="145" t="s">
        <v>757</v>
      </c>
      <c r="H1322" s="144"/>
      <c r="L1322" s="142"/>
      <c r="M1322" s="146"/>
      <c r="T1322" s="147"/>
      <c r="AT1322" s="144" t="s">
        <v>346</v>
      </c>
      <c r="AU1322" s="144" t="s">
        <v>90</v>
      </c>
      <c r="AV1322" s="141" t="s">
        <v>87</v>
      </c>
      <c r="AW1322" s="141" t="s">
        <v>33</v>
      </c>
      <c r="AX1322" s="141" t="s">
        <v>80</v>
      </c>
      <c r="AY1322" s="144" t="s">
        <v>337</v>
      </c>
    </row>
    <row r="1323" spans="2:51" s="148" customFormat="1" x14ac:dyDescent="0.2">
      <c r="B1323" s="149"/>
      <c r="D1323" s="143" t="s">
        <v>346</v>
      </c>
      <c r="E1323" s="150"/>
      <c r="F1323" s="151" t="s">
        <v>3118</v>
      </c>
      <c r="H1323" s="152">
        <v>3.55</v>
      </c>
      <c r="L1323" s="149"/>
      <c r="M1323" s="153"/>
      <c r="T1323" s="154"/>
      <c r="AT1323" s="150" t="s">
        <v>346</v>
      </c>
      <c r="AU1323" s="150" t="s">
        <v>90</v>
      </c>
      <c r="AV1323" s="148" t="s">
        <v>90</v>
      </c>
      <c r="AW1323" s="148" t="s">
        <v>33</v>
      </c>
      <c r="AX1323" s="148" t="s">
        <v>80</v>
      </c>
      <c r="AY1323" s="150" t="s">
        <v>337</v>
      </c>
    </row>
    <row r="1324" spans="2:51" s="141" customFormat="1" x14ac:dyDescent="0.2">
      <c r="B1324" s="142"/>
      <c r="D1324" s="143" t="s">
        <v>346</v>
      </c>
      <c r="E1324" s="144"/>
      <c r="F1324" s="145" t="s">
        <v>759</v>
      </c>
      <c r="H1324" s="144"/>
      <c r="L1324" s="142"/>
      <c r="M1324" s="146"/>
      <c r="T1324" s="147"/>
      <c r="AT1324" s="144" t="s">
        <v>346</v>
      </c>
      <c r="AU1324" s="144" t="s">
        <v>90</v>
      </c>
      <c r="AV1324" s="141" t="s">
        <v>87</v>
      </c>
      <c r="AW1324" s="141" t="s">
        <v>33</v>
      </c>
      <c r="AX1324" s="141" t="s">
        <v>80</v>
      </c>
      <c r="AY1324" s="144" t="s">
        <v>337</v>
      </c>
    </row>
    <row r="1325" spans="2:51" s="148" customFormat="1" x14ac:dyDescent="0.2">
      <c r="B1325" s="149"/>
      <c r="D1325" s="143" t="s">
        <v>346</v>
      </c>
      <c r="E1325" s="150"/>
      <c r="F1325" s="151" t="s">
        <v>3119</v>
      </c>
      <c r="H1325" s="152">
        <v>2.65</v>
      </c>
      <c r="L1325" s="149"/>
      <c r="M1325" s="153"/>
      <c r="T1325" s="154"/>
      <c r="AT1325" s="150" t="s">
        <v>346</v>
      </c>
      <c r="AU1325" s="150" t="s">
        <v>90</v>
      </c>
      <c r="AV1325" s="148" t="s">
        <v>90</v>
      </c>
      <c r="AW1325" s="148" t="s">
        <v>33</v>
      </c>
      <c r="AX1325" s="148" t="s">
        <v>80</v>
      </c>
      <c r="AY1325" s="150" t="s">
        <v>337</v>
      </c>
    </row>
    <row r="1326" spans="2:51" s="148" customFormat="1" x14ac:dyDescent="0.2">
      <c r="B1326" s="149"/>
      <c r="D1326" s="143" t="s">
        <v>346</v>
      </c>
      <c r="E1326" s="150"/>
      <c r="F1326" s="151" t="s">
        <v>3120</v>
      </c>
      <c r="H1326" s="152">
        <v>4.75</v>
      </c>
      <c r="L1326" s="149"/>
      <c r="M1326" s="153"/>
      <c r="T1326" s="154"/>
      <c r="AT1326" s="150" t="s">
        <v>346</v>
      </c>
      <c r="AU1326" s="150" t="s">
        <v>90</v>
      </c>
      <c r="AV1326" s="148" t="s">
        <v>90</v>
      </c>
      <c r="AW1326" s="148" t="s">
        <v>33</v>
      </c>
      <c r="AX1326" s="148" t="s">
        <v>80</v>
      </c>
      <c r="AY1326" s="150" t="s">
        <v>337</v>
      </c>
    </row>
    <row r="1327" spans="2:51" s="172" customFormat="1" x14ac:dyDescent="0.2">
      <c r="B1327" s="173"/>
      <c r="D1327" s="143" t="s">
        <v>346</v>
      </c>
      <c r="E1327" s="174" t="s">
        <v>3029</v>
      </c>
      <c r="F1327" s="175" t="s">
        <v>609</v>
      </c>
      <c r="H1327" s="176">
        <v>380.00200000000001</v>
      </c>
      <c r="L1327" s="173"/>
      <c r="M1327" s="177"/>
      <c r="T1327" s="178"/>
      <c r="AT1327" s="174" t="s">
        <v>346</v>
      </c>
      <c r="AU1327" s="174" t="s">
        <v>90</v>
      </c>
      <c r="AV1327" s="172" t="s">
        <v>113</v>
      </c>
      <c r="AW1327" s="172" t="s">
        <v>33</v>
      </c>
      <c r="AX1327" s="172" t="s">
        <v>80</v>
      </c>
      <c r="AY1327" s="174" t="s">
        <v>337</v>
      </c>
    </row>
    <row r="1328" spans="2:51" s="141" customFormat="1" ht="22.5" x14ac:dyDescent="0.2">
      <c r="B1328" s="142"/>
      <c r="D1328" s="143" t="s">
        <v>346</v>
      </c>
      <c r="E1328" s="144"/>
      <c r="F1328" s="145" t="s">
        <v>3961</v>
      </c>
      <c r="H1328" s="144"/>
      <c r="L1328" s="142"/>
      <c r="M1328" s="146"/>
      <c r="T1328" s="147"/>
      <c r="AT1328" s="144" t="s">
        <v>346</v>
      </c>
      <c r="AU1328" s="144" t="s">
        <v>90</v>
      </c>
      <c r="AV1328" s="141" t="s">
        <v>87</v>
      </c>
      <c r="AW1328" s="141" t="s">
        <v>33</v>
      </c>
      <c r="AX1328" s="141" t="s">
        <v>80</v>
      </c>
      <c r="AY1328" s="144" t="s">
        <v>337</v>
      </c>
    </row>
    <row r="1329" spans="2:65" s="141" customFormat="1" x14ac:dyDescent="0.2">
      <c r="B1329" s="142"/>
      <c r="D1329" s="143" t="s">
        <v>346</v>
      </c>
      <c r="E1329" s="144"/>
      <c r="F1329" s="145" t="s">
        <v>3962</v>
      </c>
      <c r="H1329" s="144"/>
      <c r="L1329" s="142"/>
      <c r="M1329" s="146"/>
      <c r="T1329" s="147"/>
      <c r="AT1329" s="144" t="s">
        <v>346</v>
      </c>
      <c r="AU1329" s="144" t="s">
        <v>90</v>
      </c>
      <c r="AV1329" s="141" t="s">
        <v>87</v>
      </c>
      <c r="AW1329" s="141" t="s">
        <v>33</v>
      </c>
      <c r="AX1329" s="141" t="s">
        <v>80</v>
      </c>
      <c r="AY1329" s="144" t="s">
        <v>337</v>
      </c>
    </row>
    <row r="1330" spans="2:65" s="148" customFormat="1" x14ac:dyDescent="0.2">
      <c r="B1330" s="149"/>
      <c r="D1330" s="143" t="s">
        <v>346</v>
      </c>
      <c r="E1330" s="150"/>
      <c r="F1330" s="151" t="s">
        <v>3963</v>
      </c>
      <c r="H1330" s="152">
        <v>39.119999999999997</v>
      </c>
      <c r="L1330" s="149"/>
      <c r="M1330" s="153"/>
      <c r="T1330" s="154"/>
      <c r="AT1330" s="150" t="s">
        <v>346</v>
      </c>
      <c r="AU1330" s="150" t="s">
        <v>90</v>
      </c>
      <c r="AV1330" s="148" t="s">
        <v>90</v>
      </c>
      <c r="AW1330" s="148" t="s">
        <v>33</v>
      </c>
      <c r="AX1330" s="148" t="s">
        <v>80</v>
      </c>
      <c r="AY1330" s="150" t="s">
        <v>337</v>
      </c>
    </row>
    <row r="1331" spans="2:65" s="148" customFormat="1" x14ac:dyDescent="0.2">
      <c r="B1331" s="149"/>
      <c r="D1331" s="143" t="s">
        <v>346</v>
      </c>
      <c r="E1331" s="150"/>
      <c r="F1331" s="151" t="s">
        <v>2475</v>
      </c>
      <c r="H1331" s="152">
        <v>-15.696</v>
      </c>
      <c r="L1331" s="149"/>
      <c r="M1331" s="153"/>
      <c r="T1331" s="154"/>
      <c r="AT1331" s="150" t="s">
        <v>346</v>
      </c>
      <c r="AU1331" s="150" t="s">
        <v>90</v>
      </c>
      <c r="AV1331" s="148" t="s">
        <v>90</v>
      </c>
      <c r="AW1331" s="148" t="s">
        <v>33</v>
      </c>
      <c r="AX1331" s="148" t="s">
        <v>80</v>
      </c>
      <c r="AY1331" s="150" t="s">
        <v>337</v>
      </c>
    </row>
    <row r="1332" spans="2:65" s="155" customFormat="1" x14ac:dyDescent="0.2">
      <c r="B1332" s="156"/>
      <c r="D1332" s="143" t="s">
        <v>346</v>
      </c>
      <c r="E1332" s="157"/>
      <c r="F1332" s="158" t="s">
        <v>351</v>
      </c>
      <c r="H1332" s="159">
        <v>412.166</v>
      </c>
      <c r="L1332" s="156"/>
      <c r="M1332" s="160"/>
      <c r="T1332" s="161"/>
      <c r="AT1332" s="157" t="s">
        <v>346</v>
      </c>
      <c r="AU1332" s="157" t="s">
        <v>90</v>
      </c>
      <c r="AV1332" s="155" t="s">
        <v>344</v>
      </c>
      <c r="AW1332" s="155" t="s">
        <v>33</v>
      </c>
      <c r="AX1332" s="155" t="s">
        <v>87</v>
      </c>
      <c r="AY1332" s="157" t="s">
        <v>337</v>
      </c>
    </row>
    <row r="1333" spans="2:65" s="16" customFormat="1" ht="16.5" customHeight="1" x14ac:dyDescent="0.2">
      <c r="B1333" s="17"/>
      <c r="C1333" s="162">
        <v>117</v>
      </c>
      <c r="D1333" s="162" t="s">
        <v>519</v>
      </c>
      <c r="E1333" s="163" t="s">
        <v>3964</v>
      </c>
      <c r="F1333" s="164" t="s">
        <v>3965</v>
      </c>
      <c r="G1333" s="165" t="s">
        <v>425</v>
      </c>
      <c r="H1333" s="166">
        <v>23.423999999999999</v>
      </c>
      <c r="I1333" s="167"/>
      <c r="J1333" s="168">
        <f>ROUND(I1333*H1333,2)</f>
        <v>0</v>
      </c>
      <c r="K1333" s="164" t="s">
        <v>343</v>
      </c>
      <c r="L1333" s="169"/>
      <c r="M1333" s="170"/>
      <c r="N1333" s="171" t="s">
        <v>45</v>
      </c>
      <c r="P1333" s="137">
        <f>O1333*H1333</f>
        <v>0</v>
      </c>
      <c r="Q1333" s="137">
        <v>8.9999999999999998E-4</v>
      </c>
      <c r="R1333" s="137">
        <f>Q1333*H1333</f>
        <v>2.1081599999999999E-2</v>
      </c>
      <c r="S1333" s="137">
        <v>0</v>
      </c>
      <c r="T1333" s="138">
        <f>S1333*H1333</f>
        <v>0</v>
      </c>
      <c r="AR1333" s="139" t="s">
        <v>621</v>
      </c>
      <c r="AT1333" s="139" t="s">
        <v>519</v>
      </c>
      <c r="AU1333" s="139" t="s">
        <v>90</v>
      </c>
      <c r="AY1333" s="2" t="s">
        <v>337</v>
      </c>
      <c r="BE1333" s="140">
        <f>IF(N1333="základní",J1333,0)</f>
        <v>0</v>
      </c>
      <c r="BF1333" s="140">
        <f>IF(N1333="snížená",J1333,0)</f>
        <v>0</v>
      </c>
      <c r="BG1333" s="140">
        <f>IF(N1333="zákl. přenesená",J1333,0)</f>
        <v>0</v>
      </c>
      <c r="BH1333" s="140">
        <f>IF(N1333="sníž. přenesená",J1333,0)</f>
        <v>0</v>
      </c>
      <c r="BI1333" s="140">
        <f>IF(N1333="nulová",J1333,0)</f>
        <v>0</v>
      </c>
      <c r="BJ1333" s="2" t="s">
        <v>87</v>
      </c>
      <c r="BK1333" s="140">
        <f>ROUND(I1333*H1333,2)</f>
        <v>0</v>
      </c>
      <c r="BL1333" s="2" t="s">
        <v>496</v>
      </c>
      <c r="BM1333" s="139" t="s">
        <v>3966</v>
      </c>
    </row>
    <row r="1334" spans="2:65" s="141" customFormat="1" ht="22.5" x14ac:dyDescent="0.2">
      <c r="B1334" s="142"/>
      <c r="D1334" s="143" t="s">
        <v>346</v>
      </c>
      <c r="E1334" s="144"/>
      <c r="F1334" s="145" t="s">
        <v>3961</v>
      </c>
      <c r="H1334" s="144"/>
      <c r="L1334" s="142"/>
      <c r="M1334" s="146"/>
      <c r="T1334" s="147"/>
      <c r="AT1334" s="144" t="s">
        <v>346</v>
      </c>
      <c r="AU1334" s="144" t="s">
        <v>90</v>
      </c>
      <c r="AV1334" s="141" t="s">
        <v>87</v>
      </c>
      <c r="AW1334" s="141" t="s">
        <v>33</v>
      </c>
      <c r="AX1334" s="141" t="s">
        <v>80</v>
      </c>
      <c r="AY1334" s="144" t="s">
        <v>337</v>
      </c>
    </row>
    <row r="1335" spans="2:65" s="141" customFormat="1" x14ac:dyDescent="0.2">
      <c r="B1335" s="142"/>
      <c r="D1335" s="143" t="s">
        <v>346</v>
      </c>
      <c r="E1335" s="144"/>
      <c r="F1335" s="145" t="s">
        <v>3962</v>
      </c>
      <c r="H1335" s="144"/>
      <c r="L1335" s="142"/>
      <c r="M1335" s="146"/>
      <c r="T1335" s="147"/>
      <c r="AT1335" s="144" t="s">
        <v>346</v>
      </c>
      <c r="AU1335" s="144" t="s">
        <v>90</v>
      </c>
      <c r="AV1335" s="141" t="s">
        <v>87</v>
      </c>
      <c r="AW1335" s="141" t="s">
        <v>33</v>
      </c>
      <c r="AX1335" s="141" t="s">
        <v>80</v>
      </c>
      <c r="AY1335" s="144" t="s">
        <v>337</v>
      </c>
    </row>
    <row r="1336" spans="2:65" s="148" customFormat="1" x14ac:dyDescent="0.2">
      <c r="B1336" s="149"/>
      <c r="D1336" s="143" t="s">
        <v>346</v>
      </c>
      <c r="E1336" s="150"/>
      <c r="F1336" s="151" t="s">
        <v>3963</v>
      </c>
      <c r="H1336" s="152">
        <v>39.119999999999997</v>
      </c>
      <c r="L1336" s="149"/>
      <c r="M1336" s="153"/>
      <c r="T1336" s="154"/>
      <c r="AT1336" s="150" t="s">
        <v>346</v>
      </c>
      <c r="AU1336" s="150" t="s">
        <v>90</v>
      </c>
      <c r="AV1336" s="148" t="s">
        <v>90</v>
      </c>
      <c r="AW1336" s="148" t="s">
        <v>33</v>
      </c>
      <c r="AX1336" s="148" t="s">
        <v>80</v>
      </c>
      <c r="AY1336" s="150" t="s">
        <v>337</v>
      </c>
    </row>
    <row r="1337" spans="2:65" s="148" customFormat="1" x14ac:dyDescent="0.2">
      <c r="B1337" s="149"/>
      <c r="D1337" s="143" t="s">
        <v>346</v>
      </c>
      <c r="E1337" s="150"/>
      <c r="F1337" s="151" t="s">
        <v>2475</v>
      </c>
      <c r="H1337" s="152">
        <v>-15.696</v>
      </c>
      <c r="L1337" s="149"/>
      <c r="M1337" s="153"/>
      <c r="T1337" s="154"/>
      <c r="AT1337" s="150" t="s">
        <v>346</v>
      </c>
      <c r="AU1337" s="150" t="s">
        <v>90</v>
      </c>
      <c r="AV1337" s="148" t="s">
        <v>90</v>
      </c>
      <c r="AW1337" s="148" t="s">
        <v>33</v>
      </c>
      <c r="AX1337" s="148" t="s">
        <v>80</v>
      </c>
      <c r="AY1337" s="150" t="s">
        <v>337</v>
      </c>
    </row>
    <row r="1338" spans="2:65" s="155" customFormat="1" x14ac:dyDescent="0.2">
      <c r="B1338" s="156"/>
      <c r="D1338" s="143" t="s">
        <v>346</v>
      </c>
      <c r="E1338" s="157"/>
      <c r="F1338" s="158" t="s">
        <v>351</v>
      </c>
      <c r="H1338" s="159">
        <v>23.423999999999999</v>
      </c>
      <c r="L1338" s="156"/>
      <c r="M1338" s="160"/>
      <c r="T1338" s="161"/>
      <c r="AT1338" s="157" t="s">
        <v>346</v>
      </c>
      <c r="AU1338" s="157" t="s">
        <v>90</v>
      </c>
      <c r="AV1338" s="155" t="s">
        <v>344</v>
      </c>
      <c r="AW1338" s="155" t="s">
        <v>33</v>
      </c>
      <c r="AX1338" s="155" t="s">
        <v>87</v>
      </c>
      <c r="AY1338" s="157" t="s">
        <v>337</v>
      </c>
    </row>
    <row r="1339" spans="2:65" s="16" customFormat="1" ht="16.5" customHeight="1" x14ac:dyDescent="0.2">
      <c r="B1339" s="17"/>
      <c r="C1339" s="162">
        <v>118</v>
      </c>
      <c r="D1339" s="162" t="s">
        <v>519</v>
      </c>
      <c r="E1339" s="163" t="s">
        <v>3411</v>
      </c>
      <c r="F1339" s="164" t="s">
        <v>3412</v>
      </c>
      <c r="G1339" s="165" t="s">
        <v>425</v>
      </c>
      <c r="H1339" s="166">
        <v>399.00200000000001</v>
      </c>
      <c r="I1339" s="167"/>
      <c r="J1339" s="168">
        <f>ROUND(I1339*H1339,2)</f>
        <v>0</v>
      </c>
      <c r="K1339" s="164" t="s">
        <v>343</v>
      </c>
      <c r="L1339" s="169"/>
      <c r="M1339" s="170"/>
      <c r="N1339" s="171" t="s">
        <v>45</v>
      </c>
      <c r="P1339" s="137">
        <f>O1339*H1339</f>
        <v>0</v>
      </c>
      <c r="Q1339" s="137">
        <v>5.1999999999999998E-3</v>
      </c>
      <c r="R1339" s="137">
        <f>Q1339*H1339</f>
        <v>2.0748104000000001</v>
      </c>
      <c r="S1339" s="137">
        <v>0</v>
      </c>
      <c r="T1339" s="138">
        <f>S1339*H1339</f>
        <v>0</v>
      </c>
      <c r="AR1339" s="139" t="s">
        <v>621</v>
      </c>
      <c r="AT1339" s="139" t="s">
        <v>519</v>
      </c>
      <c r="AU1339" s="139" t="s">
        <v>90</v>
      </c>
      <c r="AY1339" s="2" t="s">
        <v>337</v>
      </c>
      <c r="BE1339" s="140">
        <f>IF(N1339="základní",J1339,0)</f>
        <v>0</v>
      </c>
      <c r="BF1339" s="140">
        <f>IF(N1339="snížená",J1339,0)</f>
        <v>0</v>
      </c>
      <c r="BG1339" s="140">
        <f>IF(N1339="zákl. přenesená",J1339,0)</f>
        <v>0</v>
      </c>
      <c r="BH1339" s="140">
        <f>IF(N1339="sníž. přenesená",J1339,0)</f>
        <v>0</v>
      </c>
      <c r="BI1339" s="140">
        <f>IF(N1339="nulová",J1339,0)</f>
        <v>0</v>
      </c>
      <c r="BJ1339" s="2" t="s">
        <v>87</v>
      </c>
      <c r="BK1339" s="140">
        <f>ROUND(I1339*H1339,2)</f>
        <v>0</v>
      </c>
      <c r="BL1339" s="2" t="s">
        <v>496</v>
      </c>
      <c r="BM1339" s="139" t="s">
        <v>3967</v>
      </c>
    </row>
    <row r="1340" spans="2:65" s="148" customFormat="1" x14ac:dyDescent="0.2">
      <c r="B1340" s="149"/>
      <c r="D1340" s="143" t="s">
        <v>346</v>
      </c>
      <c r="E1340" s="150"/>
      <c r="F1340" s="151" t="s">
        <v>3029</v>
      </c>
      <c r="H1340" s="152">
        <v>380.00200000000001</v>
      </c>
      <c r="L1340" s="149"/>
      <c r="M1340" s="153"/>
      <c r="T1340" s="154"/>
      <c r="AT1340" s="150" t="s">
        <v>346</v>
      </c>
      <c r="AU1340" s="150" t="s">
        <v>90</v>
      </c>
      <c r="AV1340" s="148" t="s">
        <v>90</v>
      </c>
      <c r="AW1340" s="148" t="s">
        <v>33</v>
      </c>
      <c r="AX1340" s="148" t="s">
        <v>87</v>
      </c>
      <c r="AY1340" s="150" t="s">
        <v>337</v>
      </c>
    </row>
    <row r="1341" spans="2:65" s="148" customFormat="1" x14ac:dyDescent="0.2">
      <c r="B1341" s="149"/>
      <c r="D1341" s="143" t="s">
        <v>346</v>
      </c>
      <c r="F1341" s="151" t="s">
        <v>3968</v>
      </c>
      <c r="H1341" s="152">
        <v>399.00200000000001</v>
      </c>
      <c r="L1341" s="149"/>
      <c r="M1341" s="153"/>
      <c r="T1341" s="154"/>
      <c r="AT1341" s="150" t="s">
        <v>346</v>
      </c>
      <c r="AU1341" s="150" t="s">
        <v>90</v>
      </c>
      <c r="AV1341" s="148" t="s">
        <v>90</v>
      </c>
      <c r="AW1341" s="148" t="s">
        <v>3</v>
      </c>
      <c r="AX1341" s="148" t="s">
        <v>87</v>
      </c>
      <c r="AY1341" s="150" t="s">
        <v>337</v>
      </c>
    </row>
    <row r="1342" spans="2:65" s="16" customFormat="1" ht="16.5" customHeight="1" x14ac:dyDescent="0.2">
      <c r="B1342" s="17"/>
      <c r="C1342" s="162">
        <v>119</v>
      </c>
      <c r="D1342" s="162" t="s">
        <v>519</v>
      </c>
      <c r="E1342" s="163" t="s">
        <v>3969</v>
      </c>
      <c r="F1342" s="164" t="s">
        <v>3970</v>
      </c>
      <c r="G1342" s="165" t="s">
        <v>425</v>
      </c>
      <c r="H1342" s="166">
        <v>9.1769999999999996</v>
      </c>
      <c r="I1342" s="167"/>
      <c r="J1342" s="168">
        <f>ROUND(I1342*H1342,2)</f>
        <v>0</v>
      </c>
      <c r="K1342" s="164" t="s">
        <v>343</v>
      </c>
      <c r="L1342" s="169"/>
      <c r="M1342" s="170"/>
      <c r="N1342" s="171" t="s">
        <v>45</v>
      </c>
      <c r="P1342" s="137">
        <f>O1342*H1342</f>
        <v>0</v>
      </c>
      <c r="Q1342" s="137">
        <v>2.1999999999999999E-2</v>
      </c>
      <c r="R1342" s="137">
        <f>Q1342*H1342</f>
        <v>0.20189399999999999</v>
      </c>
      <c r="S1342" s="137">
        <v>0</v>
      </c>
      <c r="T1342" s="138">
        <f>S1342*H1342</f>
        <v>0</v>
      </c>
      <c r="AR1342" s="139" t="s">
        <v>621</v>
      </c>
      <c r="AT1342" s="139" t="s">
        <v>519</v>
      </c>
      <c r="AU1342" s="139" t="s">
        <v>90</v>
      </c>
      <c r="AY1342" s="2" t="s">
        <v>337</v>
      </c>
      <c r="BE1342" s="140">
        <f>IF(N1342="základní",J1342,0)</f>
        <v>0</v>
      </c>
      <c r="BF1342" s="140">
        <f>IF(N1342="snížená",J1342,0)</f>
        <v>0</v>
      </c>
      <c r="BG1342" s="140">
        <f>IF(N1342="zákl. přenesená",J1342,0)</f>
        <v>0</v>
      </c>
      <c r="BH1342" s="140">
        <f>IF(N1342="sníž. přenesená",J1342,0)</f>
        <v>0</v>
      </c>
      <c r="BI1342" s="140">
        <f>IF(N1342="nulová",J1342,0)</f>
        <v>0</v>
      </c>
      <c r="BJ1342" s="2" t="s">
        <v>87</v>
      </c>
      <c r="BK1342" s="140">
        <f>ROUND(I1342*H1342,2)</f>
        <v>0</v>
      </c>
      <c r="BL1342" s="2" t="s">
        <v>496</v>
      </c>
      <c r="BM1342" s="139" t="s">
        <v>3971</v>
      </c>
    </row>
    <row r="1343" spans="2:65" s="141" customFormat="1" x14ac:dyDescent="0.2">
      <c r="B1343" s="142"/>
      <c r="D1343" s="143" t="s">
        <v>346</v>
      </c>
      <c r="E1343" s="144"/>
      <c r="F1343" s="145" t="s">
        <v>3946</v>
      </c>
      <c r="H1343" s="144"/>
      <c r="L1343" s="142"/>
      <c r="M1343" s="146"/>
      <c r="T1343" s="147"/>
      <c r="AT1343" s="144" t="s">
        <v>346</v>
      </c>
      <c r="AU1343" s="144" t="s">
        <v>90</v>
      </c>
      <c r="AV1343" s="141" t="s">
        <v>87</v>
      </c>
      <c r="AW1343" s="141" t="s">
        <v>33</v>
      </c>
      <c r="AX1343" s="141" t="s">
        <v>80</v>
      </c>
      <c r="AY1343" s="144" t="s">
        <v>337</v>
      </c>
    </row>
    <row r="1344" spans="2:65" s="148" customFormat="1" x14ac:dyDescent="0.2">
      <c r="B1344" s="149"/>
      <c r="D1344" s="143" t="s">
        <v>346</v>
      </c>
      <c r="E1344" s="150"/>
      <c r="F1344" s="151" t="s">
        <v>3947</v>
      </c>
      <c r="H1344" s="152">
        <v>8.74</v>
      </c>
      <c r="L1344" s="149"/>
      <c r="M1344" s="153"/>
      <c r="T1344" s="154"/>
      <c r="AT1344" s="150" t="s">
        <v>346</v>
      </c>
      <c r="AU1344" s="150" t="s">
        <v>90</v>
      </c>
      <c r="AV1344" s="148" t="s">
        <v>90</v>
      </c>
      <c r="AW1344" s="148" t="s">
        <v>33</v>
      </c>
      <c r="AX1344" s="148" t="s">
        <v>87</v>
      </c>
      <c r="AY1344" s="150" t="s">
        <v>337</v>
      </c>
    </row>
    <row r="1345" spans="2:65" s="148" customFormat="1" x14ac:dyDescent="0.2">
      <c r="B1345" s="149"/>
      <c r="D1345" s="143" t="s">
        <v>346</v>
      </c>
      <c r="F1345" s="151" t="s">
        <v>3972</v>
      </c>
      <c r="H1345" s="152">
        <v>9.1769999999999996</v>
      </c>
      <c r="L1345" s="149"/>
      <c r="M1345" s="153"/>
      <c r="T1345" s="154"/>
      <c r="AT1345" s="150" t="s">
        <v>346</v>
      </c>
      <c r="AU1345" s="150" t="s">
        <v>90</v>
      </c>
      <c r="AV1345" s="148" t="s">
        <v>90</v>
      </c>
      <c r="AW1345" s="148" t="s">
        <v>3</v>
      </c>
      <c r="AX1345" s="148" t="s">
        <v>87</v>
      </c>
      <c r="AY1345" s="150" t="s">
        <v>337</v>
      </c>
    </row>
    <row r="1346" spans="2:65" s="16" customFormat="1" ht="16.5" customHeight="1" x14ac:dyDescent="0.2">
      <c r="B1346" s="17"/>
      <c r="C1346" s="128">
        <v>120</v>
      </c>
      <c r="D1346" s="128" t="s">
        <v>339</v>
      </c>
      <c r="E1346" s="129" t="s">
        <v>1094</v>
      </c>
      <c r="F1346" s="130" t="s">
        <v>1095</v>
      </c>
      <c r="G1346" s="131" t="s">
        <v>990</v>
      </c>
      <c r="H1346" s="132">
        <v>4.7709999999999999</v>
      </c>
      <c r="I1346" s="133"/>
      <c r="J1346" s="134">
        <f>ROUND(I1346*H1346,2)</f>
        <v>0</v>
      </c>
      <c r="K1346" s="130" t="s">
        <v>343</v>
      </c>
      <c r="L1346" s="17"/>
      <c r="M1346" s="135"/>
      <c r="N1346" s="136" t="s">
        <v>45</v>
      </c>
      <c r="P1346" s="137">
        <f>O1346*H1346</f>
        <v>0</v>
      </c>
      <c r="Q1346" s="137">
        <v>0</v>
      </c>
      <c r="R1346" s="137">
        <f>Q1346*H1346</f>
        <v>0</v>
      </c>
      <c r="S1346" s="137">
        <v>0</v>
      </c>
      <c r="T1346" s="138">
        <f>S1346*H1346</f>
        <v>0</v>
      </c>
      <c r="AR1346" s="139" t="s">
        <v>496</v>
      </c>
      <c r="AT1346" s="139" t="s">
        <v>339</v>
      </c>
      <c r="AU1346" s="139" t="s">
        <v>90</v>
      </c>
      <c r="AY1346" s="2" t="s">
        <v>337</v>
      </c>
      <c r="BE1346" s="140">
        <f>IF(N1346="základní",J1346,0)</f>
        <v>0</v>
      </c>
      <c r="BF1346" s="140">
        <f>IF(N1346="snížená",J1346,0)</f>
        <v>0</v>
      </c>
      <c r="BG1346" s="140">
        <f>IF(N1346="zákl. přenesená",J1346,0)</f>
        <v>0</v>
      </c>
      <c r="BH1346" s="140">
        <f>IF(N1346="sníž. přenesená",J1346,0)</f>
        <v>0</v>
      </c>
      <c r="BI1346" s="140">
        <f>IF(N1346="nulová",J1346,0)</f>
        <v>0</v>
      </c>
      <c r="BJ1346" s="2" t="s">
        <v>87</v>
      </c>
      <c r="BK1346" s="140">
        <f>ROUND(I1346*H1346,2)</f>
        <v>0</v>
      </c>
      <c r="BL1346" s="2" t="s">
        <v>496</v>
      </c>
      <c r="BM1346" s="139" t="s">
        <v>3973</v>
      </c>
    </row>
    <row r="1347" spans="2:65" s="116" customFormat="1" ht="22.9" customHeight="1" x14ac:dyDescent="0.2">
      <c r="B1347" s="117"/>
      <c r="D1347" s="118" t="s">
        <v>79</v>
      </c>
      <c r="E1347" s="126" t="s">
        <v>2282</v>
      </c>
      <c r="F1347" s="126" t="s">
        <v>2283</v>
      </c>
      <c r="J1347" s="127">
        <f>BK1347</f>
        <v>0</v>
      </c>
      <c r="L1347" s="117"/>
      <c r="M1347" s="121"/>
      <c r="P1347" s="122">
        <f>SUM(P1348:P1399)</f>
        <v>0</v>
      </c>
      <c r="R1347" s="122">
        <f>SUM(R1348:R1399)</f>
        <v>0.33979720000000002</v>
      </c>
      <c r="T1347" s="123">
        <f>SUM(T1348:T1399)</f>
        <v>0</v>
      </c>
      <c r="AR1347" s="118" t="s">
        <v>90</v>
      </c>
      <c r="AT1347" s="124" t="s">
        <v>79</v>
      </c>
      <c r="AU1347" s="124" t="s">
        <v>87</v>
      </c>
      <c r="AY1347" s="118" t="s">
        <v>337</v>
      </c>
      <c r="BK1347" s="125">
        <f>SUM(BK1348:BK1399)</f>
        <v>0</v>
      </c>
    </row>
    <row r="1348" spans="2:65" s="16" customFormat="1" ht="16.5" customHeight="1" x14ac:dyDescent="0.2">
      <c r="B1348" s="17"/>
      <c r="C1348" s="128">
        <v>121</v>
      </c>
      <c r="D1348" s="128" t="s">
        <v>339</v>
      </c>
      <c r="E1348" s="129" t="s">
        <v>3974</v>
      </c>
      <c r="F1348" s="130" t="s">
        <v>3975</v>
      </c>
      <c r="G1348" s="131" t="s">
        <v>425</v>
      </c>
      <c r="H1348" s="132">
        <v>507.16</v>
      </c>
      <c r="I1348" s="133"/>
      <c r="J1348" s="134">
        <f>ROUND(I1348*H1348,2)</f>
        <v>0</v>
      </c>
      <c r="K1348" s="130" t="s">
        <v>343</v>
      </c>
      <c r="L1348" s="17"/>
      <c r="M1348" s="135"/>
      <c r="N1348" s="136" t="s">
        <v>45</v>
      </c>
      <c r="P1348" s="137">
        <f>O1348*H1348</f>
        <v>0</v>
      </c>
      <c r="Q1348" s="137">
        <v>0</v>
      </c>
      <c r="R1348" s="137">
        <f>Q1348*H1348</f>
        <v>0</v>
      </c>
      <c r="S1348" s="137">
        <v>0</v>
      </c>
      <c r="T1348" s="138">
        <f>S1348*H1348</f>
        <v>0</v>
      </c>
      <c r="AR1348" s="139" t="s">
        <v>496</v>
      </c>
      <c r="AT1348" s="139" t="s">
        <v>339</v>
      </c>
      <c r="AU1348" s="139" t="s">
        <v>90</v>
      </c>
      <c r="AY1348" s="2" t="s">
        <v>337</v>
      </c>
      <c r="BE1348" s="140">
        <f>IF(N1348="základní",J1348,0)</f>
        <v>0</v>
      </c>
      <c r="BF1348" s="140">
        <f>IF(N1348="snížená",J1348,0)</f>
        <v>0</v>
      </c>
      <c r="BG1348" s="140">
        <f>IF(N1348="zákl. přenesená",J1348,0)</f>
        <v>0</v>
      </c>
      <c r="BH1348" s="140">
        <f>IF(N1348="sníž. přenesená",J1348,0)</f>
        <v>0</v>
      </c>
      <c r="BI1348" s="140">
        <f>IF(N1348="nulová",J1348,0)</f>
        <v>0</v>
      </c>
      <c r="BJ1348" s="2" t="s">
        <v>87</v>
      </c>
      <c r="BK1348" s="140">
        <f>ROUND(I1348*H1348,2)</f>
        <v>0</v>
      </c>
      <c r="BL1348" s="2" t="s">
        <v>496</v>
      </c>
      <c r="BM1348" s="139" t="s">
        <v>3976</v>
      </c>
    </row>
    <row r="1349" spans="2:65" s="16" customFormat="1" ht="16.5" customHeight="1" x14ac:dyDescent="0.2">
      <c r="B1349" s="17"/>
      <c r="C1349" s="128">
        <v>122</v>
      </c>
      <c r="D1349" s="128" t="s">
        <v>339</v>
      </c>
      <c r="E1349" s="129" t="s">
        <v>3977</v>
      </c>
      <c r="F1349" s="130" t="s">
        <v>3978</v>
      </c>
      <c r="G1349" s="131" t="s">
        <v>425</v>
      </c>
      <c r="H1349" s="132">
        <v>507.16</v>
      </c>
      <c r="I1349" s="133"/>
      <c r="J1349" s="134">
        <f>ROUND(I1349*H1349,2)</f>
        <v>0</v>
      </c>
      <c r="K1349" s="130" t="s">
        <v>343</v>
      </c>
      <c r="L1349" s="17"/>
      <c r="M1349" s="135"/>
      <c r="N1349" s="136" t="s">
        <v>45</v>
      </c>
      <c r="P1349" s="137">
        <f>O1349*H1349</f>
        <v>0</v>
      </c>
      <c r="Q1349" s="137">
        <v>1.3999999999999999E-4</v>
      </c>
      <c r="R1349" s="137">
        <f>Q1349*H1349</f>
        <v>7.1002399999999993E-2</v>
      </c>
      <c r="S1349" s="137">
        <v>0</v>
      </c>
      <c r="T1349" s="138">
        <f>S1349*H1349</f>
        <v>0</v>
      </c>
      <c r="AR1349" s="139" t="s">
        <v>496</v>
      </c>
      <c r="AT1349" s="139" t="s">
        <v>339</v>
      </c>
      <c r="AU1349" s="139" t="s">
        <v>90</v>
      </c>
      <c r="AY1349" s="2" t="s">
        <v>337</v>
      </c>
      <c r="BE1349" s="140">
        <f>IF(N1349="základní",J1349,0)</f>
        <v>0</v>
      </c>
      <c r="BF1349" s="140">
        <f>IF(N1349="snížená",J1349,0)</f>
        <v>0</v>
      </c>
      <c r="BG1349" s="140">
        <f>IF(N1349="zákl. přenesená",J1349,0)</f>
        <v>0</v>
      </c>
      <c r="BH1349" s="140">
        <f>IF(N1349="sníž. přenesená",J1349,0)</f>
        <v>0</v>
      </c>
      <c r="BI1349" s="140">
        <f>IF(N1349="nulová",J1349,0)</f>
        <v>0</v>
      </c>
      <c r="BJ1349" s="2" t="s">
        <v>87</v>
      </c>
      <c r="BK1349" s="140">
        <f>ROUND(I1349*H1349,2)</f>
        <v>0</v>
      </c>
      <c r="BL1349" s="2" t="s">
        <v>496</v>
      </c>
      <c r="BM1349" s="139" t="s">
        <v>3979</v>
      </c>
    </row>
    <row r="1350" spans="2:65" s="16" customFormat="1" ht="16.5" customHeight="1" x14ac:dyDescent="0.2">
      <c r="B1350" s="17"/>
      <c r="C1350" s="128">
        <v>123</v>
      </c>
      <c r="D1350" s="128" t="s">
        <v>339</v>
      </c>
      <c r="E1350" s="129" t="s">
        <v>3980</v>
      </c>
      <c r="F1350" s="130" t="s">
        <v>3981</v>
      </c>
      <c r="G1350" s="131" t="s">
        <v>425</v>
      </c>
      <c r="H1350" s="132">
        <v>507.16</v>
      </c>
      <c r="I1350" s="133"/>
      <c r="J1350" s="134">
        <f>ROUND(I1350*H1350,2)</f>
        <v>0</v>
      </c>
      <c r="K1350" s="130" t="s">
        <v>343</v>
      </c>
      <c r="L1350" s="17"/>
      <c r="M1350" s="135"/>
      <c r="N1350" s="136" t="s">
        <v>45</v>
      </c>
      <c r="P1350" s="137">
        <f>O1350*H1350</f>
        <v>0</v>
      </c>
      <c r="Q1350" s="137">
        <v>5.2999999999999998E-4</v>
      </c>
      <c r="R1350" s="137">
        <f>Q1350*H1350</f>
        <v>0.2687948</v>
      </c>
      <c r="S1350" s="137">
        <v>0</v>
      </c>
      <c r="T1350" s="138">
        <f>S1350*H1350</f>
        <v>0</v>
      </c>
      <c r="AR1350" s="139" t="s">
        <v>496</v>
      </c>
      <c r="AT1350" s="139" t="s">
        <v>339</v>
      </c>
      <c r="AU1350" s="139" t="s">
        <v>90</v>
      </c>
      <c r="AY1350" s="2" t="s">
        <v>337</v>
      </c>
      <c r="BE1350" s="140">
        <f>IF(N1350="základní",J1350,0)</f>
        <v>0</v>
      </c>
      <c r="BF1350" s="140">
        <f>IF(N1350="snížená",J1350,0)</f>
        <v>0</v>
      </c>
      <c r="BG1350" s="140">
        <f>IF(N1350="zákl. přenesená",J1350,0)</f>
        <v>0</v>
      </c>
      <c r="BH1350" s="140">
        <f>IF(N1350="sníž. přenesená",J1350,0)</f>
        <v>0</v>
      </c>
      <c r="BI1350" s="140">
        <f>IF(N1350="nulová",J1350,0)</f>
        <v>0</v>
      </c>
      <c r="BJ1350" s="2" t="s">
        <v>87</v>
      </c>
      <c r="BK1350" s="140">
        <f>ROUND(I1350*H1350,2)</f>
        <v>0</v>
      </c>
      <c r="BL1350" s="2" t="s">
        <v>496</v>
      </c>
      <c r="BM1350" s="139" t="s">
        <v>3982</v>
      </c>
    </row>
    <row r="1351" spans="2:65" s="141" customFormat="1" x14ac:dyDescent="0.2">
      <c r="B1351" s="142"/>
      <c r="D1351" s="143" t="s">
        <v>346</v>
      </c>
      <c r="E1351" s="144"/>
      <c r="F1351" s="145" t="s">
        <v>3983</v>
      </c>
      <c r="H1351" s="144"/>
      <c r="L1351" s="142"/>
      <c r="M1351" s="146"/>
      <c r="T1351" s="147"/>
      <c r="AT1351" s="144" t="s">
        <v>346</v>
      </c>
      <c r="AU1351" s="144" t="s">
        <v>90</v>
      </c>
      <c r="AV1351" s="141" t="s">
        <v>87</v>
      </c>
      <c r="AW1351" s="141" t="s">
        <v>33</v>
      </c>
      <c r="AX1351" s="141" t="s">
        <v>80</v>
      </c>
      <c r="AY1351" s="144" t="s">
        <v>337</v>
      </c>
    </row>
    <row r="1352" spans="2:65" s="141" customFormat="1" x14ac:dyDescent="0.2">
      <c r="B1352" s="142"/>
      <c r="D1352" s="143" t="s">
        <v>346</v>
      </c>
      <c r="E1352" s="144"/>
      <c r="F1352" s="145" t="s">
        <v>3253</v>
      </c>
      <c r="H1352" s="144"/>
      <c r="L1352" s="142"/>
      <c r="M1352" s="146"/>
      <c r="T1352" s="147"/>
      <c r="AT1352" s="144" t="s">
        <v>346</v>
      </c>
      <c r="AU1352" s="144" t="s">
        <v>90</v>
      </c>
      <c r="AV1352" s="141" t="s">
        <v>87</v>
      </c>
      <c r="AW1352" s="141" t="s">
        <v>33</v>
      </c>
      <c r="AX1352" s="141" t="s">
        <v>80</v>
      </c>
      <c r="AY1352" s="144" t="s">
        <v>337</v>
      </c>
    </row>
    <row r="1353" spans="2:65" s="141" customFormat="1" x14ac:dyDescent="0.2">
      <c r="B1353" s="142"/>
      <c r="D1353" s="143" t="s">
        <v>346</v>
      </c>
      <c r="E1353" s="144"/>
      <c r="F1353" s="145" t="s">
        <v>3379</v>
      </c>
      <c r="H1353" s="144"/>
      <c r="L1353" s="142"/>
      <c r="M1353" s="146"/>
      <c r="T1353" s="147"/>
      <c r="AT1353" s="144" t="s">
        <v>346</v>
      </c>
      <c r="AU1353" s="144" t="s">
        <v>90</v>
      </c>
      <c r="AV1353" s="141" t="s">
        <v>87</v>
      </c>
      <c r="AW1353" s="141" t="s">
        <v>33</v>
      </c>
      <c r="AX1353" s="141" t="s">
        <v>80</v>
      </c>
      <c r="AY1353" s="144" t="s">
        <v>337</v>
      </c>
    </row>
    <row r="1354" spans="2:65" s="148" customFormat="1" x14ac:dyDescent="0.2">
      <c r="B1354" s="149"/>
      <c r="D1354" s="143" t="s">
        <v>346</v>
      </c>
      <c r="E1354" s="150"/>
      <c r="F1354" s="151" t="s">
        <v>3984</v>
      </c>
      <c r="H1354" s="152">
        <v>16.375</v>
      </c>
      <c r="L1354" s="149"/>
      <c r="M1354" s="153"/>
      <c r="T1354" s="154"/>
      <c r="AT1354" s="150" t="s">
        <v>346</v>
      </c>
      <c r="AU1354" s="150" t="s">
        <v>90</v>
      </c>
      <c r="AV1354" s="148" t="s">
        <v>90</v>
      </c>
      <c r="AW1354" s="148" t="s">
        <v>33</v>
      </c>
      <c r="AX1354" s="148" t="s">
        <v>80</v>
      </c>
      <c r="AY1354" s="150" t="s">
        <v>337</v>
      </c>
    </row>
    <row r="1355" spans="2:65" s="141" customFormat="1" x14ac:dyDescent="0.2">
      <c r="B1355" s="142"/>
      <c r="D1355" s="143" t="s">
        <v>346</v>
      </c>
      <c r="E1355" s="144"/>
      <c r="F1355" s="145" t="s">
        <v>3381</v>
      </c>
      <c r="H1355" s="144"/>
      <c r="L1355" s="142"/>
      <c r="M1355" s="146"/>
      <c r="T1355" s="147"/>
      <c r="AT1355" s="144" t="s">
        <v>346</v>
      </c>
      <c r="AU1355" s="144" t="s">
        <v>90</v>
      </c>
      <c r="AV1355" s="141" t="s">
        <v>87</v>
      </c>
      <c r="AW1355" s="141" t="s">
        <v>33</v>
      </c>
      <c r="AX1355" s="141" t="s">
        <v>80</v>
      </c>
      <c r="AY1355" s="144" t="s">
        <v>337</v>
      </c>
    </row>
    <row r="1356" spans="2:65" s="148" customFormat="1" x14ac:dyDescent="0.2">
      <c r="B1356" s="149"/>
      <c r="D1356" s="143" t="s">
        <v>346</v>
      </c>
      <c r="E1356" s="150"/>
      <c r="F1356" s="151" t="s">
        <v>3985</v>
      </c>
      <c r="H1356" s="152">
        <v>125.825</v>
      </c>
      <c r="L1356" s="149"/>
      <c r="M1356" s="153"/>
      <c r="T1356" s="154"/>
      <c r="AT1356" s="150" t="s">
        <v>346</v>
      </c>
      <c r="AU1356" s="150" t="s">
        <v>90</v>
      </c>
      <c r="AV1356" s="148" t="s">
        <v>90</v>
      </c>
      <c r="AW1356" s="148" t="s">
        <v>33</v>
      </c>
      <c r="AX1356" s="148" t="s">
        <v>80</v>
      </c>
      <c r="AY1356" s="150" t="s">
        <v>337</v>
      </c>
    </row>
    <row r="1357" spans="2:65" s="141" customFormat="1" x14ac:dyDescent="0.2">
      <c r="B1357" s="142"/>
      <c r="D1357" s="143" t="s">
        <v>346</v>
      </c>
      <c r="E1357" s="144"/>
      <c r="F1357" s="145" t="s">
        <v>3383</v>
      </c>
      <c r="H1357" s="144"/>
      <c r="L1357" s="142"/>
      <c r="M1357" s="146"/>
      <c r="T1357" s="147"/>
      <c r="AT1357" s="144" t="s">
        <v>346</v>
      </c>
      <c r="AU1357" s="144" t="s">
        <v>90</v>
      </c>
      <c r="AV1357" s="141" t="s">
        <v>87</v>
      </c>
      <c r="AW1357" s="141" t="s">
        <v>33</v>
      </c>
      <c r="AX1357" s="141" t="s">
        <v>80</v>
      </c>
      <c r="AY1357" s="144" t="s">
        <v>337</v>
      </c>
    </row>
    <row r="1358" spans="2:65" s="148" customFormat="1" x14ac:dyDescent="0.2">
      <c r="B1358" s="149"/>
      <c r="D1358" s="143" t="s">
        <v>346</v>
      </c>
      <c r="E1358" s="150"/>
      <c r="F1358" s="151" t="s">
        <v>3986</v>
      </c>
      <c r="H1358" s="152">
        <v>29</v>
      </c>
      <c r="L1358" s="149"/>
      <c r="M1358" s="153"/>
      <c r="T1358" s="154"/>
      <c r="AT1358" s="150" t="s">
        <v>346</v>
      </c>
      <c r="AU1358" s="150" t="s">
        <v>90</v>
      </c>
      <c r="AV1358" s="148" t="s">
        <v>90</v>
      </c>
      <c r="AW1358" s="148" t="s">
        <v>33</v>
      </c>
      <c r="AX1358" s="148" t="s">
        <v>80</v>
      </c>
      <c r="AY1358" s="150" t="s">
        <v>337</v>
      </c>
    </row>
    <row r="1359" spans="2:65" s="141" customFormat="1" x14ac:dyDescent="0.2">
      <c r="B1359" s="142"/>
      <c r="D1359" s="143" t="s">
        <v>346</v>
      </c>
      <c r="E1359" s="144"/>
      <c r="F1359" s="145" t="s">
        <v>3101</v>
      </c>
      <c r="H1359" s="144"/>
      <c r="L1359" s="142"/>
      <c r="M1359" s="146"/>
      <c r="T1359" s="147"/>
      <c r="AT1359" s="144" t="s">
        <v>346</v>
      </c>
      <c r="AU1359" s="144" t="s">
        <v>90</v>
      </c>
      <c r="AV1359" s="141" t="s">
        <v>87</v>
      </c>
      <c r="AW1359" s="141" t="s">
        <v>33</v>
      </c>
      <c r="AX1359" s="141" t="s">
        <v>80</v>
      </c>
      <c r="AY1359" s="144" t="s">
        <v>337</v>
      </c>
    </row>
    <row r="1360" spans="2:65" s="141" customFormat="1" x14ac:dyDescent="0.2">
      <c r="B1360" s="142"/>
      <c r="D1360" s="143" t="s">
        <v>346</v>
      </c>
      <c r="E1360" s="144"/>
      <c r="F1360" s="145" t="s">
        <v>3102</v>
      </c>
      <c r="H1360" s="144"/>
      <c r="L1360" s="142"/>
      <c r="M1360" s="146"/>
      <c r="T1360" s="147"/>
      <c r="AT1360" s="144" t="s">
        <v>346</v>
      </c>
      <c r="AU1360" s="144" t="s">
        <v>90</v>
      </c>
      <c r="AV1360" s="141" t="s">
        <v>87</v>
      </c>
      <c r="AW1360" s="141" t="s">
        <v>33</v>
      </c>
      <c r="AX1360" s="141" t="s">
        <v>80</v>
      </c>
      <c r="AY1360" s="144" t="s">
        <v>337</v>
      </c>
    </row>
    <row r="1361" spans="2:51" s="148" customFormat="1" x14ac:dyDescent="0.2">
      <c r="B1361" s="149"/>
      <c r="D1361" s="143" t="s">
        <v>346</v>
      </c>
      <c r="E1361" s="150"/>
      <c r="F1361" s="151" t="s">
        <v>3987</v>
      </c>
      <c r="H1361" s="152">
        <v>15</v>
      </c>
      <c r="L1361" s="149"/>
      <c r="M1361" s="153"/>
      <c r="T1361" s="154"/>
      <c r="AT1361" s="150" t="s">
        <v>346</v>
      </c>
      <c r="AU1361" s="150" t="s">
        <v>90</v>
      </c>
      <c r="AV1361" s="148" t="s">
        <v>90</v>
      </c>
      <c r="AW1361" s="148" t="s">
        <v>33</v>
      </c>
      <c r="AX1361" s="148" t="s">
        <v>80</v>
      </c>
      <c r="AY1361" s="150" t="s">
        <v>337</v>
      </c>
    </row>
    <row r="1362" spans="2:51" s="141" customFormat="1" x14ac:dyDescent="0.2">
      <c r="B1362" s="142"/>
      <c r="D1362" s="143" t="s">
        <v>346</v>
      </c>
      <c r="E1362" s="144"/>
      <c r="F1362" s="145" t="s">
        <v>3104</v>
      </c>
      <c r="H1362" s="144"/>
      <c r="L1362" s="142"/>
      <c r="M1362" s="146"/>
      <c r="T1362" s="147"/>
      <c r="AT1362" s="144" t="s">
        <v>346</v>
      </c>
      <c r="AU1362" s="144" t="s">
        <v>90</v>
      </c>
      <c r="AV1362" s="141" t="s">
        <v>87</v>
      </c>
      <c r="AW1362" s="141" t="s">
        <v>33</v>
      </c>
      <c r="AX1362" s="141" t="s">
        <v>80</v>
      </c>
      <c r="AY1362" s="144" t="s">
        <v>337</v>
      </c>
    </row>
    <row r="1363" spans="2:51" s="148" customFormat="1" x14ac:dyDescent="0.2">
      <c r="B1363" s="149"/>
      <c r="D1363" s="143" t="s">
        <v>346</v>
      </c>
      <c r="E1363" s="150"/>
      <c r="F1363" s="151" t="s">
        <v>3988</v>
      </c>
      <c r="H1363" s="152">
        <v>1.5</v>
      </c>
      <c r="L1363" s="149"/>
      <c r="M1363" s="153"/>
      <c r="T1363" s="154"/>
      <c r="AT1363" s="150" t="s">
        <v>346</v>
      </c>
      <c r="AU1363" s="150" t="s">
        <v>90</v>
      </c>
      <c r="AV1363" s="148" t="s">
        <v>90</v>
      </c>
      <c r="AW1363" s="148" t="s">
        <v>33</v>
      </c>
      <c r="AX1363" s="148" t="s">
        <v>80</v>
      </c>
      <c r="AY1363" s="150" t="s">
        <v>337</v>
      </c>
    </row>
    <row r="1364" spans="2:51" s="141" customFormat="1" x14ac:dyDescent="0.2">
      <c r="B1364" s="142"/>
      <c r="D1364" s="143" t="s">
        <v>346</v>
      </c>
      <c r="E1364" s="144"/>
      <c r="F1364" s="145" t="s">
        <v>3106</v>
      </c>
      <c r="H1364" s="144"/>
      <c r="L1364" s="142"/>
      <c r="M1364" s="146"/>
      <c r="T1364" s="147"/>
      <c r="AT1364" s="144" t="s">
        <v>346</v>
      </c>
      <c r="AU1364" s="144" t="s">
        <v>90</v>
      </c>
      <c r="AV1364" s="141" t="s">
        <v>87</v>
      </c>
      <c r="AW1364" s="141" t="s">
        <v>33</v>
      </c>
      <c r="AX1364" s="141" t="s">
        <v>80</v>
      </c>
      <c r="AY1364" s="144" t="s">
        <v>337</v>
      </c>
    </row>
    <row r="1365" spans="2:51" s="148" customFormat="1" x14ac:dyDescent="0.2">
      <c r="B1365" s="149"/>
      <c r="D1365" s="143" t="s">
        <v>346</v>
      </c>
      <c r="E1365" s="150"/>
      <c r="F1365" s="151" t="s">
        <v>3989</v>
      </c>
      <c r="H1365" s="152">
        <v>26</v>
      </c>
      <c r="L1365" s="149"/>
      <c r="M1365" s="153"/>
      <c r="T1365" s="154"/>
      <c r="AT1365" s="150" t="s">
        <v>346</v>
      </c>
      <c r="AU1365" s="150" t="s">
        <v>90</v>
      </c>
      <c r="AV1365" s="148" t="s">
        <v>90</v>
      </c>
      <c r="AW1365" s="148" t="s">
        <v>33</v>
      </c>
      <c r="AX1365" s="148" t="s">
        <v>80</v>
      </c>
      <c r="AY1365" s="150" t="s">
        <v>337</v>
      </c>
    </row>
    <row r="1366" spans="2:51" s="141" customFormat="1" x14ac:dyDescent="0.2">
      <c r="B1366" s="142"/>
      <c r="D1366" s="143" t="s">
        <v>346</v>
      </c>
      <c r="E1366" s="144"/>
      <c r="F1366" s="145" t="s">
        <v>3108</v>
      </c>
      <c r="H1366" s="144"/>
      <c r="L1366" s="142"/>
      <c r="M1366" s="146"/>
      <c r="T1366" s="147"/>
      <c r="AT1366" s="144" t="s">
        <v>346</v>
      </c>
      <c r="AU1366" s="144" t="s">
        <v>90</v>
      </c>
      <c r="AV1366" s="141" t="s">
        <v>87</v>
      </c>
      <c r="AW1366" s="141" t="s">
        <v>33</v>
      </c>
      <c r="AX1366" s="141" t="s">
        <v>80</v>
      </c>
      <c r="AY1366" s="144" t="s">
        <v>337</v>
      </c>
    </row>
    <row r="1367" spans="2:51" s="148" customFormat="1" x14ac:dyDescent="0.2">
      <c r="B1367" s="149"/>
      <c r="D1367" s="143" t="s">
        <v>346</v>
      </c>
      <c r="E1367" s="150"/>
      <c r="F1367" s="151" t="s">
        <v>3990</v>
      </c>
      <c r="H1367" s="152">
        <v>13.5</v>
      </c>
      <c r="L1367" s="149"/>
      <c r="M1367" s="153"/>
      <c r="T1367" s="154"/>
      <c r="AT1367" s="150" t="s">
        <v>346</v>
      </c>
      <c r="AU1367" s="150" t="s">
        <v>90</v>
      </c>
      <c r="AV1367" s="148" t="s">
        <v>90</v>
      </c>
      <c r="AW1367" s="148" t="s">
        <v>33</v>
      </c>
      <c r="AX1367" s="148" t="s">
        <v>80</v>
      </c>
      <c r="AY1367" s="150" t="s">
        <v>337</v>
      </c>
    </row>
    <row r="1368" spans="2:51" s="141" customFormat="1" x14ac:dyDescent="0.2">
      <c r="B1368" s="142"/>
      <c r="D1368" s="143" t="s">
        <v>346</v>
      </c>
      <c r="E1368" s="144"/>
      <c r="F1368" s="145" t="s">
        <v>3259</v>
      </c>
      <c r="H1368" s="144"/>
      <c r="L1368" s="142"/>
      <c r="M1368" s="146"/>
      <c r="T1368" s="147"/>
      <c r="AT1368" s="144" t="s">
        <v>346</v>
      </c>
      <c r="AU1368" s="144" t="s">
        <v>90</v>
      </c>
      <c r="AV1368" s="141" t="s">
        <v>87</v>
      </c>
      <c r="AW1368" s="141" t="s">
        <v>33</v>
      </c>
      <c r="AX1368" s="141" t="s">
        <v>80</v>
      </c>
      <c r="AY1368" s="144" t="s">
        <v>337</v>
      </c>
    </row>
    <row r="1369" spans="2:51" s="141" customFormat="1" x14ac:dyDescent="0.2">
      <c r="B1369" s="142"/>
      <c r="D1369" s="143" t="s">
        <v>346</v>
      </c>
      <c r="E1369" s="144"/>
      <c r="F1369" s="145" t="s">
        <v>3389</v>
      </c>
      <c r="H1369" s="144"/>
      <c r="L1369" s="142"/>
      <c r="M1369" s="146"/>
      <c r="T1369" s="147"/>
      <c r="AT1369" s="144" t="s">
        <v>346</v>
      </c>
      <c r="AU1369" s="144" t="s">
        <v>90</v>
      </c>
      <c r="AV1369" s="141" t="s">
        <v>87</v>
      </c>
      <c r="AW1369" s="141" t="s">
        <v>33</v>
      </c>
      <c r="AX1369" s="141" t="s">
        <v>80</v>
      </c>
      <c r="AY1369" s="144" t="s">
        <v>337</v>
      </c>
    </row>
    <row r="1370" spans="2:51" s="148" customFormat="1" x14ac:dyDescent="0.2">
      <c r="B1370" s="149"/>
      <c r="D1370" s="143" t="s">
        <v>346</v>
      </c>
      <c r="E1370" s="150"/>
      <c r="F1370" s="151" t="s">
        <v>3991</v>
      </c>
      <c r="H1370" s="152">
        <v>23.625</v>
      </c>
      <c r="L1370" s="149"/>
      <c r="M1370" s="153"/>
      <c r="T1370" s="154"/>
      <c r="AT1370" s="150" t="s">
        <v>346</v>
      </c>
      <c r="AU1370" s="150" t="s">
        <v>90</v>
      </c>
      <c r="AV1370" s="148" t="s">
        <v>90</v>
      </c>
      <c r="AW1370" s="148" t="s">
        <v>33</v>
      </c>
      <c r="AX1370" s="148" t="s">
        <v>80</v>
      </c>
      <c r="AY1370" s="150" t="s">
        <v>337</v>
      </c>
    </row>
    <row r="1371" spans="2:51" s="141" customFormat="1" x14ac:dyDescent="0.2">
      <c r="B1371" s="142"/>
      <c r="D1371" s="143" t="s">
        <v>346</v>
      </c>
      <c r="E1371" s="144"/>
      <c r="F1371" s="145" t="s">
        <v>3392</v>
      </c>
      <c r="H1371" s="144"/>
      <c r="L1371" s="142"/>
      <c r="M1371" s="146"/>
      <c r="T1371" s="147"/>
      <c r="AT1371" s="144" t="s">
        <v>346</v>
      </c>
      <c r="AU1371" s="144" t="s">
        <v>90</v>
      </c>
      <c r="AV1371" s="141" t="s">
        <v>87</v>
      </c>
      <c r="AW1371" s="141" t="s">
        <v>33</v>
      </c>
      <c r="AX1371" s="141" t="s">
        <v>80</v>
      </c>
      <c r="AY1371" s="144" t="s">
        <v>337</v>
      </c>
    </row>
    <row r="1372" spans="2:51" s="148" customFormat="1" x14ac:dyDescent="0.2">
      <c r="B1372" s="149"/>
      <c r="D1372" s="143" t="s">
        <v>346</v>
      </c>
      <c r="E1372" s="150"/>
      <c r="F1372" s="151" t="s">
        <v>3992</v>
      </c>
      <c r="H1372" s="152">
        <v>33.299999999999997</v>
      </c>
      <c r="L1372" s="149"/>
      <c r="M1372" s="153"/>
      <c r="T1372" s="154"/>
      <c r="AT1372" s="150" t="s">
        <v>346</v>
      </c>
      <c r="AU1372" s="150" t="s">
        <v>90</v>
      </c>
      <c r="AV1372" s="148" t="s">
        <v>90</v>
      </c>
      <c r="AW1372" s="148" t="s">
        <v>33</v>
      </c>
      <c r="AX1372" s="148" t="s">
        <v>80</v>
      </c>
      <c r="AY1372" s="150" t="s">
        <v>337</v>
      </c>
    </row>
    <row r="1373" spans="2:51" s="141" customFormat="1" x14ac:dyDescent="0.2">
      <c r="B1373" s="142"/>
      <c r="D1373" s="143" t="s">
        <v>346</v>
      </c>
      <c r="E1373" s="144"/>
      <c r="F1373" s="145" t="s">
        <v>3336</v>
      </c>
      <c r="H1373" s="144"/>
      <c r="L1373" s="142"/>
      <c r="M1373" s="146"/>
      <c r="T1373" s="147"/>
      <c r="AT1373" s="144" t="s">
        <v>346</v>
      </c>
      <c r="AU1373" s="144" t="s">
        <v>90</v>
      </c>
      <c r="AV1373" s="141" t="s">
        <v>87</v>
      </c>
      <c r="AW1373" s="141" t="s">
        <v>33</v>
      </c>
      <c r="AX1373" s="141" t="s">
        <v>80</v>
      </c>
      <c r="AY1373" s="144" t="s">
        <v>337</v>
      </c>
    </row>
    <row r="1374" spans="2:51" s="141" customFormat="1" x14ac:dyDescent="0.2">
      <c r="B1374" s="142"/>
      <c r="D1374" s="143" t="s">
        <v>346</v>
      </c>
      <c r="E1374" s="144"/>
      <c r="F1374" s="145" t="s">
        <v>3394</v>
      </c>
      <c r="H1374" s="144"/>
      <c r="L1374" s="142"/>
      <c r="M1374" s="146"/>
      <c r="T1374" s="147"/>
      <c r="AT1374" s="144" t="s">
        <v>346</v>
      </c>
      <c r="AU1374" s="144" t="s">
        <v>90</v>
      </c>
      <c r="AV1374" s="141" t="s">
        <v>87</v>
      </c>
      <c r="AW1374" s="141" t="s">
        <v>33</v>
      </c>
      <c r="AX1374" s="141" t="s">
        <v>80</v>
      </c>
      <c r="AY1374" s="144" t="s">
        <v>337</v>
      </c>
    </row>
    <row r="1375" spans="2:51" s="148" customFormat="1" x14ac:dyDescent="0.2">
      <c r="B1375" s="149"/>
      <c r="D1375" s="143" t="s">
        <v>346</v>
      </c>
      <c r="E1375" s="150"/>
      <c r="F1375" s="151" t="s">
        <v>3993</v>
      </c>
      <c r="H1375" s="152">
        <v>112.375</v>
      </c>
      <c r="L1375" s="149"/>
      <c r="M1375" s="153"/>
      <c r="T1375" s="154"/>
      <c r="AT1375" s="150" t="s">
        <v>346</v>
      </c>
      <c r="AU1375" s="150" t="s">
        <v>90</v>
      </c>
      <c r="AV1375" s="148" t="s">
        <v>90</v>
      </c>
      <c r="AW1375" s="148" t="s">
        <v>33</v>
      </c>
      <c r="AX1375" s="148" t="s">
        <v>80</v>
      </c>
      <c r="AY1375" s="150" t="s">
        <v>337</v>
      </c>
    </row>
    <row r="1376" spans="2:51" s="141" customFormat="1" x14ac:dyDescent="0.2">
      <c r="B1376" s="142"/>
      <c r="D1376" s="143" t="s">
        <v>346</v>
      </c>
      <c r="E1376" s="144"/>
      <c r="F1376" s="145" t="s">
        <v>3396</v>
      </c>
      <c r="H1376" s="144"/>
      <c r="L1376" s="142"/>
      <c r="M1376" s="146"/>
      <c r="T1376" s="147"/>
      <c r="AT1376" s="144" t="s">
        <v>346</v>
      </c>
      <c r="AU1376" s="144" t="s">
        <v>90</v>
      </c>
      <c r="AV1376" s="141" t="s">
        <v>87</v>
      </c>
      <c r="AW1376" s="141" t="s">
        <v>33</v>
      </c>
      <c r="AX1376" s="141" t="s">
        <v>80</v>
      </c>
      <c r="AY1376" s="144" t="s">
        <v>337</v>
      </c>
    </row>
    <row r="1377" spans="2:51" s="148" customFormat="1" x14ac:dyDescent="0.2">
      <c r="B1377" s="149"/>
      <c r="D1377" s="143" t="s">
        <v>346</v>
      </c>
      <c r="E1377" s="150"/>
      <c r="F1377" s="151" t="s">
        <v>3994</v>
      </c>
      <c r="H1377" s="152">
        <v>2</v>
      </c>
      <c r="L1377" s="149"/>
      <c r="M1377" s="153"/>
      <c r="T1377" s="154"/>
      <c r="AT1377" s="150" t="s">
        <v>346</v>
      </c>
      <c r="AU1377" s="150" t="s">
        <v>90</v>
      </c>
      <c r="AV1377" s="148" t="s">
        <v>90</v>
      </c>
      <c r="AW1377" s="148" t="s">
        <v>33</v>
      </c>
      <c r="AX1377" s="148" t="s">
        <v>80</v>
      </c>
      <c r="AY1377" s="150" t="s">
        <v>337</v>
      </c>
    </row>
    <row r="1378" spans="2:51" s="141" customFormat="1" x14ac:dyDescent="0.2">
      <c r="B1378" s="142"/>
      <c r="D1378" s="143" t="s">
        <v>346</v>
      </c>
      <c r="E1378" s="144"/>
      <c r="F1378" s="145" t="s">
        <v>3398</v>
      </c>
      <c r="H1378" s="144"/>
      <c r="L1378" s="142"/>
      <c r="M1378" s="146"/>
      <c r="T1378" s="147"/>
      <c r="AT1378" s="144" t="s">
        <v>346</v>
      </c>
      <c r="AU1378" s="144" t="s">
        <v>90</v>
      </c>
      <c r="AV1378" s="141" t="s">
        <v>87</v>
      </c>
      <c r="AW1378" s="141" t="s">
        <v>33</v>
      </c>
      <c r="AX1378" s="141" t="s">
        <v>80</v>
      </c>
      <c r="AY1378" s="144" t="s">
        <v>337</v>
      </c>
    </row>
    <row r="1379" spans="2:51" s="148" customFormat="1" x14ac:dyDescent="0.2">
      <c r="B1379" s="149"/>
      <c r="D1379" s="143" t="s">
        <v>346</v>
      </c>
      <c r="E1379" s="150"/>
      <c r="F1379" s="151" t="s">
        <v>3995</v>
      </c>
      <c r="H1379" s="152">
        <v>44.375</v>
      </c>
      <c r="L1379" s="149"/>
      <c r="M1379" s="153"/>
      <c r="T1379" s="154"/>
      <c r="AT1379" s="150" t="s">
        <v>346</v>
      </c>
      <c r="AU1379" s="150" t="s">
        <v>90</v>
      </c>
      <c r="AV1379" s="148" t="s">
        <v>90</v>
      </c>
      <c r="AW1379" s="148" t="s">
        <v>33</v>
      </c>
      <c r="AX1379" s="148" t="s">
        <v>80</v>
      </c>
      <c r="AY1379" s="150" t="s">
        <v>337</v>
      </c>
    </row>
    <row r="1380" spans="2:51" s="141" customFormat="1" x14ac:dyDescent="0.2">
      <c r="B1380" s="142"/>
      <c r="D1380" s="143" t="s">
        <v>346</v>
      </c>
      <c r="E1380" s="144"/>
      <c r="F1380" s="145" t="s">
        <v>3400</v>
      </c>
      <c r="H1380" s="144"/>
      <c r="L1380" s="142"/>
      <c r="M1380" s="146"/>
      <c r="T1380" s="147"/>
      <c r="AT1380" s="144" t="s">
        <v>346</v>
      </c>
      <c r="AU1380" s="144" t="s">
        <v>90</v>
      </c>
      <c r="AV1380" s="141" t="s">
        <v>87</v>
      </c>
      <c r="AW1380" s="141" t="s">
        <v>33</v>
      </c>
      <c r="AX1380" s="141" t="s">
        <v>80</v>
      </c>
      <c r="AY1380" s="144" t="s">
        <v>337</v>
      </c>
    </row>
    <row r="1381" spans="2:51" s="148" customFormat="1" x14ac:dyDescent="0.2">
      <c r="B1381" s="149"/>
      <c r="D1381" s="143" t="s">
        <v>346</v>
      </c>
      <c r="E1381" s="150"/>
      <c r="F1381" s="151" t="s">
        <v>3996</v>
      </c>
      <c r="H1381" s="152">
        <v>-15.5</v>
      </c>
      <c r="L1381" s="149"/>
      <c r="M1381" s="153"/>
      <c r="T1381" s="154"/>
      <c r="AT1381" s="150" t="s">
        <v>346</v>
      </c>
      <c r="AU1381" s="150" t="s">
        <v>90</v>
      </c>
      <c r="AV1381" s="148" t="s">
        <v>90</v>
      </c>
      <c r="AW1381" s="148" t="s">
        <v>33</v>
      </c>
      <c r="AX1381" s="148" t="s">
        <v>80</v>
      </c>
      <c r="AY1381" s="150" t="s">
        <v>337</v>
      </c>
    </row>
    <row r="1382" spans="2:51" s="148" customFormat="1" x14ac:dyDescent="0.2">
      <c r="B1382" s="149"/>
      <c r="D1382" s="143" t="s">
        <v>346</v>
      </c>
      <c r="E1382" s="150"/>
      <c r="F1382" s="151" t="s">
        <v>3997</v>
      </c>
      <c r="H1382" s="152">
        <v>-12.625</v>
      </c>
      <c r="L1382" s="149"/>
      <c r="M1382" s="153"/>
      <c r="T1382" s="154"/>
      <c r="AT1382" s="150" t="s">
        <v>346</v>
      </c>
      <c r="AU1382" s="150" t="s">
        <v>90</v>
      </c>
      <c r="AV1382" s="148" t="s">
        <v>90</v>
      </c>
      <c r="AW1382" s="148" t="s">
        <v>33</v>
      </c>
      <c r="AX1382" s="148" t="s">
        <v>80</v>
      </c>
      <c r="AY1382" s="150" t="s">
        <v>337</v>
      </c>
    </row>
    <row r="1383" spans="2:51" s="141" customFormat="1" x14ac:dyDescent="0.2">
      <c r="B1383" s="142"/>
      <c r="D1383" s="143" t="s">
        <v>346</v>
      </c>
      <c r="E1383" s="144"/>
      <c r="F1383" s="145" t="s">
        <v>3403</v>
      </c>
      <c r="H1383" s="144"/>
      <c r="L1383" s="142"/>
      <c r="M1383" s="146"/>
      <c r="T1383" s="147"/>
      <c r="AT1383" s="144" t="s">
        <v>346</v>
      </c>
      <c r="AU1383" s="144" t="s">
        <v>90</v>
      </c>
      <c r="AV1383" s="141" t="s">
        <v>87</v>
      </c>
      <c r="AW1383" s="141" t="s">
        <v>33</v>
      </c>
      <c r="AX1383" s="141" t="s">
        <v>80</v>
      </c>
      <c r="AY1383" s="144" t="s">
        <v>337</v>
      </c>
    </row>
    <row r="1384" spans="2:51" s="148" customFormat="1" x14ac:dyDescent="0.2">
      <c r="B1384" s="149"/>
      <c r="D1384" s="143" t="s">
        <v>346</v>
      </c>
      <c r="E1384" s="150"/>
      <c r="F1384" s="151" t="s">
        <v>3998</v>
      </c>
      <c r="H1384" s="152">
        <v>14.275</v>
      </c>
      <c r="L1384" s="149"/>
      <c r="M1384" s="153"/>
      <c r="T1384" s="154"/>
      <c r="AT1384" s="150" t="s">
        <v>346</v>
      </c>
      <c r="AU1384" s="150" t="s">
        <v>90</v>
      </c>
      <c r="AV1384" s="148" t="s">
        <v>90</v>
      </c>
      <c r="AW1384" s="148" t="s">
        <v>33</v>
      </c>
      <c r="AX1384" s="148" t="s">
        <v>80</v>
      </c>
      <c r="AY1384" s="150" t="s">
        <v>337</v>
      </c>
    </row>
    <row r="1385" spans="2:51" s="141" customFormat="1" x14ac:dyDescent="0.2">
      <c r="B1385" s="142"/>
      <c r="D1385" s="143" t="s">
        <v>346</v>
      </c>
      <c r="E1385" s="144"/>
      <c r="F1385" s="145" t="s">
        <v>3396</v>
      </c>
      <c r="H1385" s="144"/>
      <c r="L1385" s="142"/>
      <c r="M1385" s="146"/>
      <c r="T1385" s="147"/>
      <c r="AT1385" s="144" t="s">
        <v>346</v>
      </c>
      <c r="AU1385" s="144" t="s">
        <v>90</v>
      </c>
      <c r="AV1385" s="141" t="s">
        <v>87</v>
      </c>
      <c r="AW1385" s="141" t="s">
        <v>33</v>
      </c>
      <c r="AX1385" s="141" t="s">
        <v>80</v>
      </c>
      <c r="AY1385" s="144" t="s">
        <v>337</v>
      </c>
    </row>
    <row r="1386" spans="2:51" s="148" customFormat="1" x14ac:dyDescent="0.2">
      <c r="B1386" s="149"/>
      <c r="D1386" s="143" t="s">
        <v>346</v>
      </c>
      <c r="E1386" s="150"/>
      <c r="F1386" s="151" t="s">
        <v>3999</v>
      </c>
      <c r="H1386" s="152">
        <v>0.52500000000000002</v>
      </c>
      <c r="L1386" s="149"/>
      <c r="M1386" s="153"/>
      <c r="T1386" s="154"/>
      <c r="AT1386" s="150" t="s">
        <v>346</v>
      </c>
      <c r="AU1386" s="150" t="s">
        <v>90</v>
      </c>
      <c r="AV1386" s="148" t="s">
        <v>90</v>
      </c>
      <c r="AW1386" s="148" t="s">
        <v>33</v>
      </c>
      <c r="AX1386" s="148" t="s">
        <v>80</v>
      </c>
      <c r="AY1386" s="150" t="s">
        <v>337</v>
      </c>
    </row>
    <row r="1387" spans="2:51" s="141" customFormat="1" x14ac:dyDescent="0.2">
      <c r="B1387" s="142"/>
      <c r="D1387" s="143" t="s">
        <v>346</v>
      </c>
      <c r="E1387" s="144"/>
      <c r="F1387" s="145" t="s">
        <v>3406</v>
      </c>
      <c r="H1387" s="144"/>
      <c r="L1387" s="142"/>
      <c r="M1387" s="146"/>
      <c r="T1387" s="147"/>
      <c r="AT1387" s="144" t="s">
        <v>346</v>
      </c>
      <c r="AU1387" s="144" t="s">
        <v>90</v>
      </c>
      <c r="AV1387" s="141" t="s">
        <v>87</v>
      </c>
      <c r="AW1387" s="141" t="s">
        <v>33</v>
      </c>
      <c r="AX1387" s="141" t="s">
        <v>80</v>
      </c>
      <c r="AY1387" s="144" t="s">
        <v>337</v>
      </c>
    </row>
    <row r="1388" spans="2:51" s="141" customFormat="1" x14ac:dyDescent="0.2">
      <c r="B1388" s="142"/>
      <c r="D1388" s="143" t="s">
        <v>346</v>
      </c>
      <c r="E1388" s="144"/>
      <c r="F1388" s="145" t="s">
        <v>3407</v>
      </c>
      <c r="H1388" s="144"/>
      <c r="L1388" s="142"/>
      <c r="M1388" s="146"/>
      <c r="T1388" s="147"/>
      <c r="AT1388" s="144" t="s">
        <v>346</v>
      </c>
      <c r="AU1388" s="144" t="s">
        <v>90</v>
      </c>
      <c r="AV1388" s="141" t="s">
        <v>87</v>
      </c>
      <c r="AW1388" s="141" t="s">
        <v>33</v>
      </c>
      <c r="AX1388" s="141" t="s">
        <v>80</v>
      </c>
      <c r="AY1388" s="144" t="s">
        <v>337</v>
      </c>
    </row>
    <row r="1389" spans="2:51" s="148" customFormat="1" x14ac:dyDescent="0.2">
      <c r="B1389" s="149"/>
      <c r="D1389" s="143" t="s">
        <v>346</v>
      </c>
      <c r="E1389" s="150"/>
      <c r="F1389" s="151" t="s">
        <v>4000</v>
      </c>
      <c r="H1389" s="152">
        <v>15.25</v>
      </c>
      <c r="L1389" s="149"/>
      <c r="M1389" s="153"/>
      <c r="T1389" s="154"/>
      <c r="AT1389" s="150" t="s">
        <v>346</v>
      </c>
      <c r="AU1389" s="150" t="s">
        <v>90</v>
      </c>
      <c r="AV1389" s="148" t="s">
        <v>90</v>
      </c>
      <c r="AW1389" s="148" t="s">
        <v>33</v>
      </c>
      <c r="AX1389" s="148" t="s">
        <v>80</v>
      </c>
      <c r="AY1389" s="150" t="s">
        <v>337</v>
      </c>
    </row>
    <row r="1390" spans="2:51" s="141" customFormat="1" x14ac:dyDescent="0.2">
      <c r="B1390" s="142"/>
      <c r="D1390" s="143" t="s">
        <v>346</v>
      </c>
      <c r="E1390" s="144"/>
      <c r="F1390" s="145" t="s">
        <v>4001</v>
      </c>
      <c r="H1390" s="144"/>
      <c r="L1390" s="142"/>
      <c r="M1390" s="146"/>
      <c r="T1390" s="147"/>
      <c r="AT1390" s="144" t="s">
        <v>346</v>
      </c>
      <c r="AU1390" s="144" t="s">
        <v>90</v>
      </c>
      <c r="AV1390" s="141" t="s">
        <v>87</v>
      </c>
      <c r="AW1390" s="141" t="s">
        <v>33</v>
      </c>
      <c r="AX1390" s="141" t="s">
        <v>80</v>
      </c>
      <c r="AY1390" s="144" t="s">
        <v>337</v>
      </c>
    </row>
    <row r="1391" spans="2:51" s="148" customFormat="1" x14ac:dyDescent="0.2">
      <c r="B1391" s="149"/>
      <c r="D1391" s="143" t="s">
        <v>346</v>
      </c>
      <c r="E1391" s="150"/>
      <c r="F1391" s="151" t="s">
        <v>4002</v>
      </c>
      <c r="H1391" s="152">
        <v>8.75</v>
      </c>
      <c r="L1391" s="149"/>
      <c r="M1391" s="153"/>
      <c r="T1391" s="154"/>
      <c r="AT1391" s="150" t="s">
        <v>346</v>
      </c>
      <c r="AU1391" s="150" t="s">
        <v>90</v>
      </c>
      <c r="AV1391" s="148" t="s">
        <v>90</v>
      </c>
      <c r="AW1391" s="148" t="s">
        <v>33</v>
      </c>
      <c r="AX1391" s="148" t="s">
        <v>80</v>
      </c>
      <c r="AY1391" s="150" t="s">
        <v>337</v>
      </c>
    </row>
    <row r="1392" spans="2:51" s="141" customFormat="1" x14ac:dyDescent="0.2">
      <c r="B1392" s="142"/>
      <c r="D1392" s="143" t="s">
        <v>346</v>
      </c>
      <c r="E1392" s="144"/>
      <c r="F1392" s="145" t="s">
        <v>3117</v>
      </c>
      <c r="H1392" s="144"/>
      <c r="L1392" s="142"/>
      <c r="M1392" s="146"/>
      <c r="T1392" s="147"/>
      <c r="AT1392" s="144" t="s">
        <v>346</v>
      </c>
      <c r="AU1392" s="144" t="s">
        <v>90</v>
      </c>
      <c r="AV1392" s="141" t="s">
        <v>87</v>
      </c>
      <c r="AW1392" s="141" t="s">
        <v>33</v>
      </c>
      <c r="AX1392" s="141" t="s">
        <v>80</v>
      </c>
      <c r="AY1392" s="144" t="s">
        <v>337</v>
      </c>
    </row>
    <row r="1393" spans="2:51" s="148" customFormat="1" x14ac:dyDescent="0.2">
      <c r="B1393" s="149"/>
      <c r="D1393" s="143" t="s">
        <v>346</v>
      </c>
      <c r="E1393" s="150"/>
      <c r="F1393" s="151" t="s">
        <v>3118</v>
      </c>
      <c r="H1393" s="152">
        <v>3.55</v>
      </c>
      <c r="L1393" s="149"/>
      <c r="M1393" s="153"/>
      <c r="T1393" s="154"/>
      <c r="AT1393" s="150" t="s">
        <v>346</v>
      </c>
      <c r="AU1393" s="150" t="s">
        <v>90</v>
      </c>
      <c r="AV1393" s="148" t="s">
        <v>90</v>
      </c>
      <c r="AW1393" s="148" t="s">
        <v>33</v>
      </c>
      <c r="AX1393" s="148" t="s">
        <v>80</v>
      </c>
      <c r="AY1393" s="150" t="s">
        <v>337</v>
      </c>
    </row>
    <row r="1394" spans="2:51" s="141" customFormat="1" x14ac:dyDescent="0.2">
      <c r="B1394" s="142"/>
      <c r="D1394" s="143" t="s">
        <v>346</v>
      </c>
      <c r="E1394" s="144"/>
      <c r="F1394" s="145" t="s">
        <v>759</v>
      </c>
      <c r="H1394" s="144"/>
      <c r="L1394" s="142"/>
      <c r="M1394" s="146"/>
      <c r="T1394" s="147"/>
      <c r="AT1394" s="144" t="s">
        <v>346</v>
      </c>
      <c r="AU1394" s="144" t="s">
        <v>90</v>
      </c>
      <c r="AV1394" s="141" t="s">
        <v>87</v>
      </c>
      <c r="AW1394" s="141" t="s">
        <v>33</v>
      </c>
      <c r="AX1394" s="141" t="s">
        <v>80</v>
      </c>
      <c r="AY1394" s="144" t="s">
        <v>337</v>
      </c>
    </row>
    <row r="1395" spans="2:51" s="148" customFormat="1" x14ac:dyDescent="0.2">
      <c r="B1395" s="149"/>
      <c r="D1395" s="143" t="s">
        <v>346</v>
      </c>
      <c r="E1395" s="150"/>
      <c r="F1395" s="151" t="s">
        <v>4003</v>
      </c>
      <c r="H1395" s="152">
        <v>6.36</v>
      </c>
      <c r="L1395" s="149"/>
      <c r="M1395" s="153"/>
      <c r="T1395" s="154"/>
      <c r="AT1395" s="150" t="s">
        <v>346</v>
      </c>
      <c r="AU1395" s="150" t="s">
        <v>90</v>
      </c>
      <c r="AV1395" s="148" t="s">
        <v>90</v>
      </c>
      <c r="AW1395" s="148" t="s">
        <v>33</v>
      </c>
      <c r="AX1395" s="148" t="s">
        <v>80</v>
      </c>
      <c r="AY1395" s="150" t="s">
        <v>337</v>
      </c>
    </row>
    <row r="1396" spans="2:51" s="148" customFormat="1" x14ac:dyDescent="0.2">
      <c r="B1396" s="149"/>
      <c r="D1396" s="143" t="s">
        <v>346</v>
      </c>
      <c r="E1396" s="150"/>
      <c r="F1396" s="151" t="s">
        <v>4004</v>
      </c>
      <c r="H1396" s="152">
        <v>18.05</v>
      </c>
      <c r="L1396" s="149"/>
      <c r="M1396" s="153"/>
      <c r="T1396" s="154"/>
      <c r="AT1396" s="150" t="s">
        <v>346</v>
      </c>
      <c r="AU1396" s="150" t="s">
        <v>90</v>
      </c>
      <c r="AV1396" s="148" t="s">
        <v>90</v>
      </c>
      <c r="AW1396" s="148" t="s">
        <v>33</v>
      </c>
      <c r="AX1396" s="148" t="s">
        <v>80</v>
      </c>
      <c r="AY1396" s="150" t="s">
        <v>337</v>
      </c>
    </row>
    <row r="1397" spans="2:51" s="141" customFormat="1" x14ac:dyDescent="0.2">
      <c r="B1397" s="142"/>
      <c r="D1397" s="143" t="s">
        <v>346</v>
      </c>
      <c r="E1397" s="144"/>
      <c r="F1397" s="145" t="s">
        <v>4005</v>
      </c>
      <c r="H1397" s="144"/>
      <c r="L1397" s="142"/>
      <c r="M1397" s="146"/>
      <c r="T1397" s="147"/>
      <c r="AT1397" s="144" t="s">
        <v>346</v>
      </c>
      <c r="AU1397" s="144" t="s">
        <v>90</v>
      </c>
      <c r="AV1397" s="141" t="s">
        <v>87</v>
      </c>
      <c r="AW1397" s="141" t="s">
        <v>33</v>
      </c>
      <c r="AX1397" s="141" t="s">
        <v>80</v>
      </c>
      <c r="AY1397" s="144" t="s">
        <v>337</v>
      </c>
    </row>
    <row r="1398" spans="2:51" s="148" customFormat="1" x14ac:dyDescent="0.2">
      <c r="B1398" s="149"/>
      <c r="D1398" s="143" t="s">
        <v>346</v>
      </c>
      <c r="E1398" s="150"/>
      <c r="F1398" s="151" t="s">
        <v>4006</v>
      </c>
      <c r="H1398" s="152">
        <v>25.65</v>
      </c>
      <c r="L1398" s="149"/>
      <c r="M1398" s="153"/>
      <c r="T1398" s="154"/>
      <c r="AT1398" s="150" t="s">
        <v>346</v>
      </c>
      <c r="AU1398" s="150" t="s">
        <v>90</v>
      </c>
      <c r="AV1398" s="148" t="s">
        <v>90</v>
      </c>
      <c r="AW1398" s="148" t="s">
        <v>33</v>
      </c>
      <c r="AX1398" s="148" t="s">
        <v>80</v>
      </c>
      <c r="AY1398" s="150" t="s">
        <v>337</v>
      </c>
    </row>
    <row r="1399" spans="2:51" s="155" customFormat="1" x14ac:dyDescent="0.2">
      <c r="B1399" s="156"/>
      <c r="D1399" s="143" t="s">
        <v>346</v>
      </c>
      <c r="E1399" s="157"/>
      <c r="F1399" s="158" t="s">
        <v>351</v>
      </c>
      <c r="H1399" s="159">
        <v>507.16</v>
      </c>
      <c r="L1399" s="156"/>
      <c r="M1399" s="181"/>
      <c r="N1399" s="182"/>
      <c r="O1399" s="182"/>
      <c r="P1399" s="182"/>
      <c r="Q1399" s="182"/>
      <c r="R1399" s="182"/>
      <c r="S1399" s="182"/>
      <c r="T1399" s="183"/>
      <c r="AT1399" s="157" t="s">
        <v>346</v>
      </c>
      <c r="AU1399" s="157" t="s">
        <v>90</v>
      </c>
      <c r="AV1399" s="155" t="s">
        <v>344</v>
      </c>
      <c r="AW1399" s="155" t="s">
        <v>33</v>
      </c>
      <c r="AX1399" s="155" t="s">
        <v>87</v>
      </c>
      <c r="AY1399" s="157" t="s">
        <v>337</v>
      </c>
    </row>
    <row r="1400" spans="2:51" s="16" customFormat="1" ht="6.95" customHeight="1" x14ac:dyDescent="0.2">
      <c r="B1400" s="30"/>
      <c r="C1400" s="19"/>
      <c r="D1400" s="19"/>
      <c r="E1400" s="19"/>
      <c r="F1400" s="19"/>
      <c r="G1400" s="19"/>
      <c r="H1400" s="19"/>
      <c r="I1400" s="19"/>
      <c r="J1400" s="19"/>
      <c r="K1400" s="19"/>
      <c r="L1400" s="17"/>
    </row>
  </sheetData>
  <sheetProtection algorithmName="SHA-512" hashValue="Tjy6GHnP+i8XqncuQSDCFVIUVhVM85tzkUj/bsMv1FEcCzVt3wpl1g6CdunG6V+QBkIMmjIRNeEvurx+a+VMLg==" saltValue="ibl0YI+bOs7ASwnhCWwqgw==" spinCount="100000" sheet="1" objects="1" scenarios="1" formatCells="0" formatColumns="0" formatRows="0" autoFilter="0"/>
  <autoFilter ref="C137:K1399" xr:uid="{00000000-0009-0000-0000-000003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B2:BM592"/>
  <sheetViews>
    <sheetView showGridLines="0" workbookViewId="0">
      <selection activeCell="F101" sqref="F101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66406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5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104</v>
      </c>
      <c r="AZ2" s="2" t="s">
        <v>4007</v>
      </c>
      <c r="BA2" s="2"/>
      <c r="BB2" s="2"/>
      <c r="BC2" s="2" t="s">
        <v>4008</v>
      </c>
      <c r="BD2" s="2" t="s">
        <v>90</v>
      </c>
    </row>
    <row r="3" spans="2:5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  <c r="AZ3" s="2" t="s">
        <v>4009</v>
      </c>
      <c r="BA3" s="2"/>
      <c r="BB3" s="2"/>
      <c r="BC3" s="2" t="s">
        <v>4010</v>
      </c>
      <c r="BD3" s="2" t="s">
        <v>90</v>
      </c>
    </row>
    <row r="4" spans="2:5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  <c r="AZ4" s="2" t="s">
        <v>4011</v>
      </c>
      <c r="BA4" s="2"/>
      <c r="BB4" s="2"/>
      <c r="BC4" s="2" t="s">
        <v>4012</v>
      </c>
      <c r="BD4" s="2" t="s">
        <v>90</v>
      </c>
    </row>
    <row r="5" spans="2:56" ht="6.95" hidden="1" customHeight="1" x14ac:dyDescent="0.2">
      <c r="B5" s="5"/>
      <c r="L5" s="5"/>
      <c r="AZ5" s="2" t="s">
        <v>4013</v>
      </c>
      <c r="BA5" s="2"/>
      <c r="BB5" s="2"/>
      <c r="BC5" s="2" t="s">
        <v>4014</v>
      </c>
      <c r="BD5" s="2" t="s">
        <v>90</v>
      </c>
    </row>
    <row r="6" spans="2:56" ht="12" hidden="1" customHeight="1" x14ac:dyDescent="0.2">
      <c r="B6" s="5"/>
      <c r="D6" s="12" t="s">
        <v>15</v>
      </c>
      <c r="L6" s="5"/>
      <c r="AZ6" s="2" t="s">
        <v>4015</v>
      </c>
      <c r="BA6" s="2"/>
      <c r="BB6" s="2"/>
      <c r="BC6" s="2" t="s">
        <v>4016</v>
      </c>
      <c r="BD6" s="2" t="s">
        <v>90</v>
      </c>
    </row>
    <row r="7" spans="2:5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  <c r="AZ7" s="2" t="s">
        <v>261</v>
      </c>
      <c r="BA7" s="2"/>
      <c r="BB7" s="2"/>
      <c r="BC7" s="2" t="s">
        <v>262</v>
      </c>
      <c r="BD7" s="2" t="s">
        <v>113</v>
      </c>
    </row>
    <row r="8" spans="2:56" ht="12" hidden="1" customHeight="1" x14ac:dyDescent="0.2">
      <c r="B8" s="5"/>
      <c r="D8" s="12" t="s">
        <v>190</v>
      </c>
      <c r="L8" s="5"/>
      <c r="AZ8" s="2" t="s">
        <v>4017</v>
      </c>
      <c r="BA8" s="2"/>
      <c r="BB8" s="2"/>
      <c r="BC8" s="2" t="s">
        <v>4018</v>
      </c>
      <c r="BD8" s="2" t="s">
        <v>90</v>
      </c>
    </row>
    <row r="9" spans="2:5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  <c r="AZ9" s="2" t="s">
        <v>4019</v>
      </c>
      <c r="BA9" s="2"/>
      <c r="BB9" s="2"/>
      <c r="BC9" s="2" t="s">
        <v>4020</v>
      </c>
      <c r="BD9" s="2" t="s">
        <v>90</v>
      </c>
    </row>
    <row r="10" spans="2:56" s="16" customFormat="1" ht="12" hidden="1" customHeight="1" x14ac:dyDescent="0.2">
      <c r="B10" s="17"/>
      <c r="D10" s="12" t="s">
        <v>196</v>
      </c>
      <c r="L10" s="17"/>
      <c r="AZ10" s="2" t="s">
        <v>4021</v>
      </c>
      <c r="BA10" s="2"/>
      <c r="BB10" s="2"/>
      <c r="BC10" s="2" t="s">
        <v>4022</v>
      </c>
      <c r="BD10" s="2" t="s">
        <v>90</v>
      </c>
    </row>
    <row r="11" spans="2:56" s="16" customFormat="1" ht="16.5" hidden="1" customHeight="1" x14ac:dyDescent="0.2">
      <c r="B11" s="17"/>
      <c r="E11" s="309" t="s">
        <v>4023</v>
      </c>
      <c r="F11" s="309"/>
      <c r="G11" s="309"/>
      <c r="H11" s="309"/>
      <c r="L11" s="17"/>
      <c r="AZ11" s="2" t="s">
        <v>4024</v>
      </c>
      <c r="BA11" s="2"/>
      <c r="BB11" s="2"/>
      <c r="BC11" s="2" t="s">
        <v>4025</v>
      </c>
      <c r="BD11" s="2" t="s">
        <v>90</v>
      </c>
    </row>
    <row r="12" spans="2:56" s="16" customFormat="1" hidden="1" x14ac:dyDescent="0.2">
      <c r="B12" s="17"/>
      <c r="L12" s="17"/>
      <c r="AZ12" s="2" t="s">
        <v>4026</v>
      </c>
      <c r="BA12" s="2"/>
      <c r="BB12" s="2"/>
      <c r="BC12" s="2" t="s">
        <v>4027</v>
      </c>
      <c r="BD12" s="2" t="s">
        <v>90</v>
      </c>
    </row>
    <row r="13" spans="2:5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  <c r="AZ13" s="2" t="s">
        <v>4028</v>
      </c>
      <c r="BA13" s="2"/>
      <c r="BB13" s="2"/>
      <c r="BC13" s="2" t="s">
        <v>4029</v>
      </c>
      <c r="BD13" s="2" t="s">
        <v>90</v>
      </c>
    </row>
    <row r="14" spans="2:56" s="16" customFormat="1" ht="12" hidden="1" customHeight="1" x14ac:dyDescent="0.2">
      <c r="B14" s="17"/>
      <c r="D14" s="12" t="s">
        <v>19</v>
      </c>
      <c r="F14" s="10" t="s">
        <v>20</v>
      </c>
      <c r="I14" s="12" t="s">
        <v>21</v>
      </c>
      <c r="J14" s="38" t="str">
        <f>IF(Rekapitulace_stavby!AN8&lt;&gt;"",Rekapitulace_stavby!AN8,"")</f>
        <v/>
      </c>
      <c r="L14" s="17"/>
      <c r="AZ14" s="2" t="s">
        <v>4030</v>
      </c>
      <c r="BA14" s="2"/>
      <c r="BB14" s="2"/>
      <c r="BC14" s="2" t="s">
        <v>4031</v>
      </c>
      <c r="BD14" s="2" t="s">
        <v>90</v>
      </c>
    </row>
    <row r="15" spans="2:56" s="16" customFormat="1" ht="10.9" hidden="1" customHeight="1" x14ac:dyDescent="0.2">
      <c r="B15" s="17"/>
      <c r="L15" s="17"/>
      <c r="AZ15" s="2" t="s">
        <v>4032</v>
      </c>
      <c r="BA15" s="2"/>
      <c r="BB15" s="2"/>
      <c r="BC15" s="2" t="s">
        <v>4033</v>
      </c>
      <c r="BD15" s="2" t="s">
        <v>90</v>
      </c>
    </row>
    <row r="16" spans="2:56" s="16" customFormat="1" ht="12" hidden="1" customHeight="1" x14ac:dyDescent="0.2">
      <c r="B16" s="17"/>
      <c r="D16" s="12" t="s">
        <v>22</v>
      </c>
      <c r="I16" s="12" t="s">
        <v>23</v>
      </c>
      <c r="J16" s="10" t="s">
        <v>24</v>
      </c>
      <c r="L16" s="17"/>
      <c r="AZ16" s="2" t="s">
        <v>4034</v>
      </c>
      <c r="BA16" s="2"/>
      <c r="BB16" s="2"/>
      <c r="BC16" s="2" t="s">
        <v>4035</v>
      </c>
      <c r="BD16" s="2" t="s">
        <v>90</v>
      </c>
    </row>
    <row r="17" spans="2:56" s="16" customFormat="1" ht="18" hidden="1" customHeight="1" x14ac:dyDescent="0.2">
      <c r="B17" s="17"/>
      <c r="E17" s="10" t="s">
        <v>25</v>
      </c>
      <c r="I17" s="12" t="s">
        <v>26</v>
      </c>
      <c r="J17" s="10" t="s">
        <v>27</v>
      </c>
      <c r="L17" s="17"/>
      <c r="AZ17" s="2" t="s">
        <v>4036</v>
      </c>
      <c r="BA17" s="2"/>
      <c r="BB17" s="2"/>
      <c r="BC17" s="2" t="s">
        <v>4037</v>
      </c>
      <c r="BD17" s="2" t="s">
        <v>90</v>
      </c>
    </row>
    <row r="18" spans="2:56" s="16" customFormat="1" ht="6.95" hidden="1" customHeight="1" x14ac:dyDescent="0.2">
      <c r="B18" s="17"/>
      <c r="L18" s="17"/>
      <c r="AZ18" s="2" t="s">
        <v>4038</v>
      </c>
      <c r="BA18" s="2"/>
      <c r="BB18" s="2"/>
      <c r="BC18" s="2" t="s">
        <v>4039</v>
      </c>
      <c r="BD18" s="2" t="s">
        <v>90</v>
      </c>
    </row>
    <row r="19" spans="2:56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  <c r="AZ19" s="2" t="s">
        <v>4040</v>
      </c>
      <c r="BA19" s="2"/>
      <c r="BB19" s="2"/>
      <c r="BC19" s="2" t="s">
        <v>4041</v>
      </c>
      <c r="BD19" s="2" t="s">
        <v>90</v>
      </c>
    </row>
    <row r="20" spans="2:56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  <c r="AZ20" s="2" t="s">
        <v>4042</v>
      </c>
      <c r="BA20" s="2"/>
      <c r="BB20" s="2"/>
      <c r="BC20" s="2" t="s">
        <v>4043</v>
      </c>
      <c r="BD20" s="2" t="s">
        <v>90</v>
      </c>
    </row>
    <row r="21" spans="2:56" s="16" customFormat="1" ht="6.95" hidden="1" customHeight="1" x14ac:dyDescent="0.2">
      <c r="B21" s="17"/>
      <c r="L21" s="17"/>
    </row>
    <row r="22" spans="2:56" s="16" customFormat="1" ht="12" hidden="1" customHeight="1" x14ac:dyDescent="0.2">
      <c r="B22" s="17"/>
      <c r="D22" s="12" t="s">
        <v>29</v>
      </c>
      <c r="I22" s="12" t="s">
        <v>23</v>
      </c>
      <c r="J22" s="10" t="s">
        <v>30</v>
      </c>
      <c r="L22" s="17"/>
    </row>
    <row r="23" spans="2:56" s="16" customFormat="1" ht="18" hidden="1" customHeight="1" x14ac:dyDescent="0.2">
      <c r="B23" s="17"/>
      <c r="E23" s="10" t="s">
        <v>31</v>
      </c>
      <c r="I23" s="12" t="s">
        <v>26</v>
      </c>
      <c r="J23" s="10" t="s">
        <v>32</v>
      </c>
      <c r="L23" s="17"/>
    </row>
    <row r="24" spans="2:56" s="16" customFormat="1" ht="6.95" hidden="1" customHeight="1" x14ac:dyDescent="0.2">
      <c r="B24" s="17"/>
      <c r="L24" s="17"/>
    </row>
    <row r="25" spans="2:56" s="16" customFormat="1" ht="12" hidden="1" customHeight="1" x14ac:dyDescent="0.2">
      <c r="B25" s="17"/>
      <c r="D25" s="12" t="s">
        <v>34</v>
      </c>
      <c r="I25" s="12" t="s">
        <v>23</v>
      </c>
      <c r="J25" s="10" t="s">
        <v>35</v>
      </c>
      <c r="L25" s="17"/>
    </row>
    <row r="26" spans="2:56" s="16" customFormat="1" ht="18" hidden="1" customHeight="1" x14ac:dyDescent="0.2">
      <c r="B26" s="17"/>
      <c r="E26" s="10" t="s">
        <v>36</v>
      </c>
      <c r="I26" s="12" t="s">
        <v>26</v>
      </c>
      <c r="J26" s="10" t="s">
        <v>37</v>
      </c>
      <c r="L26" s="17"/>
    </row>
    <row r="27" spans="2:56" s="16" customFormat="1" ht="6.95" hidden="1" customHeight="1" x14ac:dyDescent="0.2">
      <c r="B27" s="17"/>
      <c r="L27" s="17"/>
    </row>
    <row r="28" spans="2:56" s="16" customFormat="1" ht="12" hidden="1" customHeight="1" x14ac:dyDescent="0.2">
      <c r="B28" s="17"/>
      <c r="D28" s="12" t="s">
        <v>38</v>
      </c>
      <c r="L28" s="17"/>
    </row>
    <row r="29" spans="2:56" s="81" customFormat="1" ht="47.25" hidden="1" customHeight="1" x14ac:dyDescent="0.2">
      <c r="B29" s="82"/>
      <c r="E29" s="304" t="s">
        <v>236</v>
      </c>
      <c r="F29" s="304"/>
      <c r="G29" s="304"/>
      <c r="H29" s="304"/>
      <c r="L29" s="82"/>
    </row>
    <row r="30" spans="2:56" s="16" customFormat="1" ht="6.95" hidden="1" customHeight="1" x14ac:dyDescent="0.2">
      <c r="B30" s="17"/>
      <c r="L30" s="17"/>
    </row>
    <row r="31" spans="2:56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56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ROUND((SUM(BE138:BE591)),  2)</f>
        <v>0</v>
      </c>
      <c r="I35" s="86">
        <v>0.21</v>
      </c>
      <c r="J35" s="73">
        <f>ROUND(((SUM(BE138:BE591))*I35),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ROUND((SUM(BF138:BF591)),  2)</f>
        <v>0</v>
      </c>
      <c r="I36" s="86">
        <v>0.12</v>
      </c>
      <c r="J36" s="73">
        <f>ROUND(((SUM(BF138:BF591))*I36),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ROUND((SUM(BG138:BG591)),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ROUND((SUM(BH138:BH591)),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ROUND((SUM(BI138:BI591)),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STŘ - Střechy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>Alej Svobody 703 Plzeň 1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304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307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70" customFormat="1" ht="19.899999999999999" customHeight="1" x14ac:dyDescent="0.2">
      <c r="B101" s="103"/>
      <c r="D101" s="104" t="s">
        <v>308</v>
      </c>
      <c r="E101" s="105"/>
      <c r="F101" s="105"/>
      <c r="G101" s="105"/>
      <c r="H101" s="105"/>
      <c r="I101" s="105"/>
      <c r="J101" s="106">
        <f>J144</f>
        <v>0</v>
      </c>
      <c r="L101" s="103"/>
    </row>
    <row r="102" spans="2:47" s="70" customFormat="1" ht="19.899999999999999" customHeight="1" x14ac:dyDescent="0.2">
      <c r="B102" s="103"/>
      <c r="D102" s="104" t="s">
        <v>309</v>
      </c>
      <c r="E102" s="105"/>
      <c r="F102" s="105"/>
      <c r="G102" s="105"/>
      <c r="H102" s="105"/>
      <c r="I102" s="105"/>
      <c r="J102" s="106">
        <f>J160</f>
        <v>0</v>
      </c>
      <c r="L102" s="103"/>
    </row>
    <row r="103" spans="2:47" s="98" customFormat="1" ht="24.95" customHeight="1" x14ac:dyDescent="0.2">
      <c r="B103" s="99"/>
      <c r="D103" s="100" t="s">
        <v>310</v>
      </c>
      <c r="E103" s="101"/>
      <c r="F103" s="101"/>
      <c r="G103" s="101"/>
      <c r="H103" s="101"/>
      <c r="I103" s="101"/>
      <c r="J103" s="102">
        <f>J162</f>
        <v>0</v>
      </c>
      <c r="L103" s="99"/>
    </row>
    <row r="104" spans="2:47" s="70" customFormat="1" ht="19.899999999999999" customHeight="1" x14ac:dyDescent="0.2">
      <c r="B104" s="103"/>
      <c r="D104" s="104" t="s">
        <v>4044</v>
      </c>
      <c r="E104" s="105"/>
      <c r="F104" s="105"/>
      <c r="G104" s="105"/>
      <c r="H104" s="105"/>
      <c r="I104" s="105"/>
      <c r="J104" s="106">
        <f>J163</f>
        <v>0</v>
      </c>
      <c r="L104" s="103"/>
    </row>
    <row r="105" spans="2:47" s="70" customFormat="1" ht="19.899999999999999" customHeight="1" x14ac:dyDescent="0.2">
      <c r="B105" s="103"/>
      <c r="D105" s="104" t="s">
        <v>312</v>
      </c>
      <c r="E105" s="105"/>
      <c r="F105" s="105"/>
      <c r="G105" s="105"/>
      <c r="H105" s="105"/>
      <c r="I105" s="105"/>
      <c r="J105" s="106">
        <f>J340</f>
        <v>0</v>
      </c>
      <c r="L105" s="103"/>
    </row>
    <row r="106" spans="2:47" s="70" customFormat="1" ht="19.899999999999999" customHeight="1" x14ac:dyDescent="0.2">
      <c r="B106" s="103"/>
      <c r="D106" s="104" t="s">
        <v>4045</v>
      </c>
      <c r="E106" s="105"/>
      <c r="F106" s="105"/>
      <c r="G106" s="105"/>
      <c r="H106" s="105"/>
      <c r="I106" s="105"/>
      <c r="J106" s="106">
        <f>J449</f>
        <v>0</v>
      </c>
      <c r="L106" s="103"/>
    </row>
    <row r="107" spans="2:47" s="70" customFormat="1" ht="19.899999999999999" customHeight="1" x14ac:dyDescent="0.2">
      <c r="B107" s="103"/>
      <c r="D107" s="104" t="s">
        <v>4046</v>
      </c>
      <c r="E107" s="105"/>
      <c r="F107" s="105"/>
      <c r="G107" s="105"/>
      <c r="H107" s="105"/>
      <c r="I107" s="105"/>
      <c r="J107" s="106">
        <f>J481</f>
        <v>0</v>
      </c>
      <c r="L107" s="103"/>
    </row>
    <row r="108" spans="2:47" s="70" customFormat="1" ht="19.899999999999999" customHeight="1" x14ac:dyDescent="0.2">
      <c r="B108" s="103"/>
      <c r="D108" s="104" t="s">
        <v>315</v>
      </c>
      <c r="E108" s="105"/>
      <c r="F108" s="105"/>
      <c r="G108" s="105"/>
      <c r="H108" s="105"/>
      <c r="I108" s="105"/>
      <c r="J108" s="106">
        <f>J492</f>
        <v>0</v>
      </c>
      <c r="L108" s="103"/>
    </row>
    <row r="109" spans="2:47" s="16" customFormat="1" ht="21.75" customHeight="1" x14ac:dyDescent="0.2">
      <c r="B109" s="17"/>
      <c r="L109" s="17"/>
    </row>
    <row r="110" spans="2:47" s="16" customFormat="1" ht="6.95" customHeight="1" x14ac:dyDescent="0.2">
      <c r="B110" s="30"/>
      <c r="C110" s="19"/>
      <c r="D110" s="19"/>
      <c r="E110" s="19"/>
      <c r="F110" s="19"/>
      <c r="G110" s="19"/>
      <c r="H110" s="19"/>
      <c r="I110" s="19"/>
      <c r="J110" s="19"/>
      <c r="K110" s="19"/>
      <c r="L110" s="17"/>
    </row>
    <row r="114" spans="2:12" ht="4.1500000000000004" customHeight="1" x14ac:dyDescent="0.2"/>
    <row r="115" spans="2:12" ht="4.1500000000000004" customHeight="1" x14ac:dyDescent="0.2"/>
    <row r="116" spans="2:12" ht="4.1500000000000004" customHeight="1" x14ac:dyDescent="0.2"/>
    <row r="117" spans="2:12" ht="4.1500000000000004" customHeight="1" x14ac:dyDescent="0.2"/>
    <row r="118" spans="2:12" ht="4.1500000000000004" customHeight="1" x14ac:dyDescent="0.2"/>
    <row r="119" spans="2:12" ht="4.1500000000000004" customHeight="1" x14ac:dyDescent="0.2"/>
    <row r="120" spans="2:12" ht="4.1500000000000004" customHeight="1" x14ac:dyDescent="0.2"/>
    <row r="121" spans="2:12" ht="4.1500000000000004" customHeight="1" x14ac:dyDescent="0.2"/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STŘ - Střechy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tr">
        <f>F14</f>
        <v>Alej Svobody 703 Plzeň 1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15.2" customHeight="1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P139+P162</f>
        <v>0</v>
      </c>
      <c r="Q138" s="39"/>
      <c r="R138" s="113">
        <f>R139+R162</f>
        <v>74.870609389999998</v>
      </c>
      <c r="S138" s="39"/>
      <c r="T138" s="114">
        <f>T139+T162</f>
        <v>0</v>
      </c>
      <c r="AT138" s="2" t="s">
        <v>79</v>
      </c>
      <c r="AU138" s="2" t="s">
        <v>303</v>
      </c>
      <c r="BK138" s="115">
        <f>BK139+BK162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P140+P144+P160</f>
        <v>0</v>
      </c>
      <c r="R139" s="122">
        <f>R140+R144+R160</f>
        <v>2.2956401</v>
      </c>
      <c r="T139" s="123">
        <f>T140+T144+T160</f>
        <v>0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BK140+BK144+BK160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430</v>
      </c>
      <c r="F140" s="126" t="s">
        <v>565</v>
      </c>
      <c r="J140" s="127">
        <f>BK140</f>
        <v>0</v>
      </c>
      <c r="L140" s="117"/>
      <c r="M140" s="121"/>
      <c r="P140" s="122">
        <f>SUM(P141:P143)</f>
        <v>0</v>
      </c>
      <c r="R140" s="122">
        <f>SUM(R141:R143)</f>
        <v>2.2809599999999999</v>
      </c>
      <c r="T140" s="123">
        <f>SUM(T141:T143)</f>
        <v>0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SUM(BK141:BK143)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808</v>
      </c>
      <c r="F141" s="130" t="s">
        <v>4047</v>
      </c>
      <c r="G141" s="131" t="s">
        <v>425</v>
      </c>
      <c r="H141" s="132">
        <v>25.92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8.7999999999999995E-2</v>
      </c>
      <c r="R141" s="137">
        <f>Q141*H141</f>
        <v>2.2809599999999999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4048</v>
      </c>
    </row>
    <row r="142" spans="2:65" s="141" customFormat="1" x14ac:dyDescent="0.2">
      <c r="B142" s="142"/>
      <c r="D142" s="143" t="s">
        <v>346</v>
      </c>
      <c r="E142" s="144"/>
      <c r="F142" s="145" t="s">
        <v>4049</v>
      </c>
      <c r="H142" s="144"/>
      <c r="L142" s="142"/>
      <c r="M142" s="146"/>
      <c r="T142" s="147"/>
      <c r="AT142" s="144" t="s">
        <v>346</v>
      </c>
      <c r="AU142" s="144" t="s">
        <v>90</v>
      </c>
      <c r="AV142" s="141" t="s">
        <v>87</v>
      </c>
      <c r="AW142" s="141" t="s">
        <v>33</v>
      </c>
      <c r="AX142" s="141" t="s">
        <v>80</v>
      </c>
      <c r="AY142" s="144" t="s">
        <v>337</v>
      </c>
    </row>
    <row r="143" spans="2:65" s="148" customFormat="1" x14ac:dyDescent="0.2">
      <c r="B143" s="149"/>
      <c r="D143" s="143" t="s">
        <v>346</v>
      </c>
      <c r="E143" s="150"/>
      <c r="F143" s="151" t="s">
        <v>4034</v>
      </c>
      <c r="H143" s="152">
        <v>25.92</v>
      </c>
      <c r="L143" s="149"/>
      <c r="M143" s="153"/>
      <c r="T143" s="154"/>
      <c r="AT143" s="150" t="s">
        <v>346</v>
      </c>
      <c r="AU143" s="150" t="s">
        <v>90</v>
      </c>
      <c r="AV143" s="148" t="s">
        <v>90</v>
      </c>
      <c r="AW143" s="148" t="s">
        <v>33</v>
      </c>
      <c r="AX143" s="148" t="s">
        <v>87</v>
      </c>
      <c r="AY143" s="150" t="s">
        <v>337</v>
      </c>
    </row>
    <row r="144" spans="2:65" s="116" customFormat="1" ht="22.9" customHeight="1" x14ac:dyDescent="0.2">
      <c r="B144" s="117"/>
      <c r="D144" s="118" t="s">
        <v>79</v>
      </c>
      <c r="E144" s="126" t="s">
        <v>452</v>
      </c>
      <c r="F144" s="126" t="s">
        <v>869</v>
      </c>
      <c r="J144" s="127">
        <f>BK144</f>
        <v>0</v>
      </c>
      <c r="L144" s="117"/>
      <c r="M144" s="121"/>
      <c r="P144" s="122">
        <f>SUM(P145:P159)</f>
        <v>0</v>
      </c>
      <c r="R144" s="122">
        <f>SUM(R145:R159)</f>
        <v>1.4680100000000001E-2</v>
      </c>
      <c r="T144" s="123">
        <f>SUM(T145:T159)</f>
        <v>0</v>
      </c>
      <c r="AR144" s="118" t="s">
        <v>87</v>
      </c>
      <c r="AT144" s="124" t="s">
        <v>79</v>
      </c>
      <c r="AU144" s="124" t="s">
        <v>87</v>
      </c>
      <c r="AY144" s="118" t="s">
        <v>337</v>
      </c>
      <c r="BK144" s="125">
        <f>SUM(BK145:BK159)</f>
        <v>0</v>
      </c>
    </row>
    <row r="145" spans="2:65" s="16" customFormat="1" ht="16.5" customHeight="1" x14ac:dyDescent="0.2">
      <c r="B145" s="17"/>
      <c r="C145" s="128">
        <v>2</v>
      </c>
      <c r="D145" s="128" t="s">
        <v>339</v>
      </c>
      <c r="E145" s="129" t="s">
        <v>871</v>
      </c>
      <c r="F145" s="130" t="s">
        <v>872</v>
      </c>
      <c r="G145" s="131" t="s">
        <v>425</v>
      </c>
      <c r="H145" s="132">
        <v>285.74</v>
      </c>
      <c r="I145" s="133"/>
      <c r="J145" s="134">
        <f>ROUND(I145*H145,2)</f>
        <v>0</v>
      </c>
      <c r="K145" s="130" t="s">
        <v>343</v>
      </c>
      <c r="L145" s="17"/>
      <c r="M145" s="135"/>
      <c r="N145" s="136" t="s">
        <v>45</v>
      </c>
      <c r="P145" s="137">
        <f>O145*H145</f>
        <v>0</v>
      </c>
      <c r="Q145" s="137">
        <v>4.0000000000000003E-5</v>
      </c>
      <c r="R145" s="137">
        <f>Q145*H145</f>
        <v>1.1429600000000002E-2</v>
      </c>
      <c r="S145" s="137">
        <v>0</v>
      </c>
      <c r="T145" s="138">
        <f>S145*H145</f>
        <v>0</v>
      </c>
      <c r="AR145" s="139" t="s">
        <v>344</v>
      </c>
      <c r="AT145" s="139" t="s">
        <v>339</v>
      </c>
      <c r="AU145" s="139" t="s">
        <v>90</v>
      </c>
      <c r="AY145" s="2" t="s">
        <v>337</v>
      </c>
      <c r="BE145" s="140">
        <f>IF(N145="základní",J145,0)</f>
        <v>0</v>
      </c>
      <c r="BF145" s="140">
        <f>IF(N145="snížená",J145,0)</f>
        <v>0</v>
      </c>
      <c r="BG145" s="140">
        <f>IF(N145="zákl. přenesená",J145,0)</f>
        <v>0</v>
      </c>
      <c r="BH145" s="140">
        <f>IF(N145="sníž. přenesená",J145,0)</f>
        <v>0</v>
      </c>
      <c r="BI145" s="140">
        <f>IF(N145="nulová",J145,0)</f>
        <v>0</v>
      </c>
      <c r="BJ145" s="2" t="s">
        <v>87</v>
      </c>
      <c r="BK145" s="140">
        <f>ROUND(I145*H145,2)</f>
        <v>0</v>
      </c>
      <c r="BL145" s="2" t="s">
        <v>344</v>
      </c>
      <c r="BM145" s="139" t="s">
        <v>4050</v>
      </c>
    </row>
    <row r="146" spans="2:65" s="141" customFormat="1" x14ac:dyDescent="0.2">
      <c r="B146" s="142"/>
      <c r="D146" s="143" t="s">
        <v>346</v>
      </c>
      <c r="E146" s="144"/>
      <c r="F146" s="145" t="s">
        <v>4051</v>
      </c>
      <c r="H146" s="144"/>
      <c r="L146" s="142"/>
      <c r="M146" s="146"/>
      <c r="T146" s="147"/>
      <c r="AT146" s="144" t="s">
        <v>346</v>
      </c>
      <c r="AU146" s="144" t="s">
        <v>90</v>
      </c>
      <c r="AV146" s="141" t="s">
        <v>87</v>
      </c>
      <c r="AW146" s="141" t="s">
        <v>33</v>
      </c>
      <c r="AX146" s="141" t="s">
        <v>80</v>
      </c>
      <c r="AY146" s="144" t="s">
        <v>337</v>
      </c>
    </row>
    <row r="147" spans="2:65" s="148" customFormat="1" x14ac:dyDescent="0.2">
      <c r="B147" s="149"/>
      <c r="D147" s="143" t="s">
        <v>346</v>
      </c>
      <c r="E147" s="150"/>
      <c r="F147" s="151" t="s">
        <v>4052</v>
      </c>
      <c r="H147" s="152">
        <v>79.97</v>
      </c>
      <c r="L147" s="149"/>
      <c r="M147" s="153"/>
      <c r="T147" s="154"/>
      <c r="AT147" s="150" t="s">
        <v>346</v>
      </c>
      <c r="AU147" s="150" t="s">
        <v>90</v>
      </c>
      <c r="AV147" s="148" t="s">
        <v>90</v>
      </c>
      <c r="AW147" s="148" t="s">
        <v>33</v>
      </c>
      <c r="AX147" s="148" t="s">
        <v>80</v>
      </c>
      <c r="AY147" s="150" t="s">
        <v>337</v>
      </c>
    </row>
    <row r="148" spans="2:65" s="148" customFormat="1" x14ac:dyDescent="0.2">
      <c r="B148" s="149"/>
      <c r="D148" s="143" t="s">
        <v>346</v>
      </c>
      <c r="E148" s="150"/>
      <c r="F148" s="151" t="s">
        <v>4053</v>
      </c>
      <c r="H148" s="152">
        <v>19.739999999999998</v>
      </c>
      <c r="L148" s="149"/>
      <c r="M148" s="153"/>
      <c r="T148" s="154"/>
      <c r="AT148" s="150" t="s">
        <v>346</v>
      </c>
      <c r="AU148" s="150" t="s">
        <v>90</v>
      </c>
      <c r="AV148" s="148" t="s">
        <v>90</v>
      </c>
      <c r="AW148" s="148" t="s">
        <v>33</v>
      </c>
      <c r="AX148" s="148" t="s">
        <v>80</v>
      </c>
      <c r="AY148" s="150" t="s">
        <v>337</v>
      </c>
    </row>
    <row r="149" spans="2:65" s="148" customFormat="1" x14ac:dyDescent="0.2">
      <c r="B149" s="149"/>
      <c r="D149" s="143" t="s">
        <v>346</v>
      </c>
      <c r="E149" s="150"/>
      <c r="F149" s="151" t="s">
        <v>4054</v>
      </c>
      <c r="H149" s="152">
        <v>170.99</v>
      </c>
      <c r="L149" s="149"/>
      <c r="M149" s="153"/>
      <c r="T149" s="154"/>
      <c r="AT149" s="150" t="s">
        <v>346</v>
      </c>
      <c r="AU149" s="150" t="s">
        <v>90</v>
      </c>
      <c r="AV149" s="148" t="s">
        <v>90</v>
      </c>
      <c r="AW149" s="148" t="s">
        <v>33</v>
      </c>
      <c r="AX149" s="148" t="s">
        <v>80</v>
      </c>
      <c r="AY149" s="150" t="s">
        <v>337</v>
      </c>
    </row>
    <row r="150" spans="2:65" s="148" customFormat="1" x14ac:dyDescent="0.2">
      <c r="B150" s="149"/>
      <c r="D150" s="143" t="s">
        <v>346</v>
      </c>
      <c r="E150" s="150"/>
      <c r="F150" s="151" t="s">
        <v>4055</v>
      </c>
      <c r="H150" s="152">
        <v>6.4</v>
      </c>
      <c r="L150" s="149"/>
      <c r="M150" s="153"/>
      <c r="T150" s="154"/>
      <c r="AT150" s="150" t="s">
        <v>346</v>
      </c>
      <c r="AU150" s="150" t="s">
        <v>90</v>
      </c>
      <c r="AV150" s="148" t="s">
        <v>90</v>
      </c>
      <c r="AW150" s="148" t="s">
        <v>33</v>
      </c>
      <c r="AX150" s="148" t="s">
        <v>80</v>
      </c>
      <c r="AY150" s="150" t="s">
        <v>337</v>
      </c>
    </row>
    <row r="151" spans="2:65" s="148" customFormat="1" x14ac:dyDescent="0.2">
      <c r="B151" s="149"/>
      <c r="D151" s="143" t="s">
        <v>346</v>
      </c>
      <c r="E151" s="150"/>
      <c r="F151" s="151" t="s">
        <v>4056</v>
      </c>
      <c r="H151" s="152">
        <v>8.64</v>
      </c>
      <c r="L151" s="149"/>
      <c r="M151" s="153"/>
      <c r="T151" s="154"/>
      <c r="AT151" s="150" t="s">
        <v>346</v>
      </c>
      <c r="AU151" s="150" t="s">
        <v>90</v>
      </c>
      <c r="AV151" s="148" t="s">
        <v>90</v>
      </c>
      <c r="AW151" s="148" t="s">
        <v>33</v>
      </c>
      <c r="AX151" s="148" t="s">
        <v>80</v>
      </c>
      <c r="AY151" s="150" t="s">
        <v>337</v>
      </c>
    </row>
    <row r="152" spans="2:65" s="155" customFormat="1" x14ac:dyDescent="0.2">
      <c r="B152" s="156"/>
      <c r="D152" s="143" t="s">
        <v>346</v>
      </c>
      <c r="E152" s="157"/>
      <c r="F152" s="158" t="s">
        <v>351</v>
      </c>
      <c r="H152" s="159">
        <v>285.74</v>
      </c>
      <c r="L152" s="156"/>
      <c r="M152" s="160"/>
      <c r="T152" s="161"/>
      <c r="AT152" s="157" t="s">
        <v>346</v>
      </c>
      <c r="AU152" s="157" t="s">
        <v>90</v>
      </c>
      <c r="AV152" s="155" t="s">
        <v>344</v>
      </c>
      <c r="AW152" s="155" t="s">
        <v>33</v>
      </c>
      <c r="AX152" s="155" t="s">
        <v>87</v>
      </c>
      <c r="AY152" s="157" t="s">
        <v>337</v>
      </c>
    </row>
    <row r="153" spans="2:65" s="16" customFormat="1" ht="16.5" customHeight="1" x14ac:dyDescent="0.2">
      <c r="B153" s="17"/>
      <c r="C153" s="128">
        <v>3</v>
      </c>
      <c r="D153" s="128" t="s">
        <v>339</v>
      </c>
      <c r="E153" s="129" t="s">
        <v>951</v>
      </c>
      <c r="F153" s="130" t="s">
        <v>952</v>
      </c>
      <c r="G153" s="131" t="s">
        <v>425</v>
      </c>
      <c r="H153" s="132">
        <v>325.05</v>
      </c>
      <c r="I153" s="133"/>
      <c r="J153" s="134">
        <f>ROUND(I153*H153,2)</f>
        <v>0</v>
      </c>
      <c r="K153" s="130" t="s">
        <v>343</v>
      </c>
      <c r="L153" s="17"/>
      <c r="M153" s="135"/>
      <c r="N153" s="136" t="s">
        <v>45</v>
      </c>
      <c r="P153" s="137">
        <f>O153*H153</f>
        <v>0</v>
      </c>
      <c r="Q153" s="137">
        <v>0</v>
      </c>
      <c r="R153" s="137">
        <f>Q153*H153</f>
        <v>0</v>
      </c>
      <c r="S153" s="137">
        <v>0</v>
      </c>
      <c r="T153" s="138">
        <f>S153*H153</f>
        <v>0</v>
      </c>
      <c r="AR153" s="139" t="s">
        <v>344</v>
      </c>
      <c r="AT153" s="139" t="s">
        <v>339</v>
      </c>
      <c r="AU153" s="139" t="s">
        <v>90</v>
      </c>
      <c r="AY153" s="2" t="s">
        <v>337</v>
      </c>
      <c r="BE153" s="140">
        <f>IF(N153="základní",J153,0)</f>
        <v>0</v>
      </c>
      <c r="BF153" s="140">
        <f>IF(N153="snížená",J153,0)</f>
        <v>0</v>
      </c>
      <c r="BG153" s="140">
        <f>IF(N153="zákl. přenesená",J153,0)</f>
        <v>0</v>
      </c>
      <c r="BH153" s="140">
        <f>IF(N153="sníž. přenesená",J153,0)</f>
        <v>0</v>
      </c>
      <c r="BI153" s="140">
        <f>IF(N153="nulová",J153,0)</f>
        <v>0</v>
      </c>
      <c r="BJ153" s="2" t="s">
        <v>87</v>
      </c>
      <c r="BK153" s="140">
        <f>ROUND(I153*H153,2)</f>
        <v>0</v>
      </c>
      <c r="BL153" s="2" t="s">
        <v>344</v>
      </c>
      <c r="BM153" s="139" t="s">
        <v>4057</v>
      </c>
    </row>
    <row r="154" spans="2:65" s="141" customFormat="1" x14ac:dyDescent="0.2">
      <c r="B154" s="142"/>
      <c r="D154" s="143" t="s">
        <v>346</v>
      </c>
      <c r="E154" s="144"/>
      <c r="F154" s="145" t="s">
        <v>4058</v>
      </c>
      <c r="H154" s="144"/>
      <c r="L154" s="142"/>
      <c r="M154" s="146"/>
      <c r="T154" s="147"/>
      <c r="AT154" s="144" t="s">
        <v>346</v>
      </c>
      <c r="AU154" s="144" t="s">
        <v>90</v>
      </c>
      <c r="AV154" s="141" t="s">
        <v>87</v>
      </c>
      <c r="AW154" s="141" t="s">
        <v>33</v>
      </c>
      <c r="AX154" s="141" t="s">
        <v>80</v>
      </c>
      <c r="AY154" s="144" t="s">
        <v>337</v>
      </c>
    </row>
    <row r="155" spans="2:65" s="148" customFormat="1" x14ac:dyDescent="0.2">
      <c r="B155" s="149"/>
      <c r="D155" s="143" t="s">
        <v>346</v>
      </c>
      <c r="E155" s="150"/>
      <c r="F155" s="151" t="s">
        <v>4017</v>
      </c>
      <c r="H155" s="152">
        <v>239.91</v>
      </c>
      <c r="L155" s="149"/>
      <c r="M155" s="153"/>
      <c r="T155" s="154"/>
      <c r="AT155" s="150" t="s">
        <v>346</v>
      </c>
      <c r="AU155" s="150" t="s">
        <v>90</v>
      </c>
      <c r="AV155" s="148" t="s">
        <v>90</v>
      </c>
      <c r="AW155" s="148" t="s">
        <v>33</v>
      </c>
      <c r="AX155" s="148" t="s">
        <v>80</v>
      </c>
      <c r="AY155" s="150" t="s">
        <v>337</v>
      </c>
    </row>
    <row r="156" spans="2:65" s="148" customFormat="1" x14ac:dyDescent="0.2">
      <c r="B156" s="149"/>
      <c r="D156" s="143" t="s">
        <v>346</v>
      </c>
      <c r="E156" s="150"/>
      <c r="F156" s="151" t="s">
        <v>4021</v>
      </c>
      <c r="H156" s="152">
        <v>59.22</v>
      </c>
      <c r="L156" s="149"/>
      <c r="M156" s="153"/>
      <c r="T156" s="154"/>
      <c r="AT156" s="150" t="s">
        <v>346</v>
      </c>
      <c r="AU156" s="150" t="s">
        <v>90</v>
      </c>
      <c r="AV156" s="148" t="s">
        <v>90</v>
      </c>
      <c r="AW156" s="148" t="s">
        <v>33</v>
      </c>
      <c r="AX156" s="148" t="s">
        <v>80</v>
      </c>
      <c r="AY156" s="150" t="s">
        <v>337</v>
      </c>
    </row>
    <row r="157" spans="2:65" s="148" customFormat="1" x14ac:dyDescent="0.2">
      <c r="B157" s="149"/>
      <c r="D157" s="143" t="s">
        <v>346</v>
      </c>
      <c r="E157" s="150"/>
      <c r="F157" s="151" t="s">
        <v>4034</v>
      </c>
      <c r="H157" s="152">
        <v>25.92</v>
      </c>
      <c r="L157" s="149"/>
      <c r="M157" s="153"/>
      <c r="T157" s="154"/>
      <c r="AT157" s="150" t="s">
        <v>346</v>
      </c>
      <c r="AU157" s="150" t="s">
        <v>90</v>
      </c>
      <c r="AV157" s="148" t="s">
        <v>90</v>
      </c>
      <c r="AW157" s="148" t="s">
        <v>33</v>
      </c>
      <c r="AX157" s="148" t="s">
        <v>80</v>
      </c>
      <c r="AY157" s="150" t="s">
        <v>337</v>
      </c>
    </row>
    <row r="158" spans="2:65" s="155" customFormat="1" x14ac:dyDescent="0.2">
      <c r="B158" s="156"/>
      <c r="D158" s="143" t="s">
        <v>346</v>
      </c>
      <c r="E158" s="157"/>
      <c r="F158" s="158" t="s">
        <v>351</v>
      </c>
      <c r="H158" s="159">
        <v>325.05</v>
      </c>
      <c r="L158" s="156"/>
      <c r="M158" s="160"/>
      <c r="T158" s="161"/>
      <c r="AT158" s="157" t="s">
        <v>346</v>
      </c>
      <c r="AU158" s="157" t="s">
        <v>90</v>
      </c>
      <c r="AV158" s="155" t="s">
        <v>344</v>
      </c>
      <c r="AW158" s="155" t="s">
        <v>33</v>
      </c>
      <c r="AX158" s="155" t="s">
        <v>87</v>
      </c>
      <c r="AY158" s="157" t="s">
        <v>337</v>
      </c>
    </row>
    <row r="159" spans="2:65" s="16" customFormat="1" ht="16.5" customHeight="1" x14ac:dyDescent="0.2">
      <c r="B159" s="17"/>
      <c r="C159" s="128">
        <v>4</v>
      </c>
      <c r="D159" s="128" t="s">
        <v>339</v>
      </c>
      <c r="E159" s="129" t="s">
        <v>955</v>
      </c>
      <c r="F159" s="130" t="s">
        <v>956</v>
      </c>
      <c r="G159" s="131" t="s">
        <v>425</v>
      </c>
      <c r="H159" s="132">
        <v>325.05</v>
      </c>
      <c r="I159" s="133"/>
      <c r="J159" s="134">
        <f>ROUND(I159*H159,2)</f>
        <v>0</v>
      </c>
      <c r="K159" s="130" t="s">
        <v>343</v>
      </c>
      <c r="L159" s="17"/>
      <c r="M159" s="135"/>
      <c r="N159" s="136" t="s">
        <v>45</v>
      </c>
      <c r="P159" s="137">
        <f>O159*H159</f>
        <v>0</v>
      </c>
      <c r="Q159" s="137">
        <v>1.0000000000000001E-5</v>
      </c>
      <c r="R159" s="137">
        <f>Q159*H159</f>
        <v>3.2505000000000004E-3</v>
      </c>
      <c r="S159" s="137">
        <v>0</v>
      </c>
      <c r="T159" s="138">
        <f>S159*H159</f>
        <v>0</v>
      </c>
      <c r="AR159" s="139" t="s">
        <v>344</v>
      </c>
      <c r="AT159" s="139" t="s">
        <v>339</v>
      </c>
      <c r="AU159" s="139" t="s">
        <v>90</v>
      </c>
      <c r="AY159" s="2" t="s">
        <v>337</v>
      </c>
      <c r="BE159" s="140">
        <f>IF(N159="základní",J159,0)</f>
        <v>0</v>
      </c>
      <c r="BF159" s="140">
        <f>IF(N159="snížená",J159,0)</f>
        <v>0</v>
      </c>
      <c r="BG159" s="140">
        <f>IF(N159="zákl. přenesená",J159,0)</f>
        <v>0</v>
      </c>
      <c r="BH159" s="140">
        <f>IF(N159="sníž. přenesená",J159,0)</f>
        <v>0</v>
      </c>
      <c r="BI159" s="140">
        <f>IF(N159="nulová",J159,0)</f>
        <v>0</v>
      </c>
      <c r="BJ159" s="2" t="s">
        <v>87</v>
      </c>
      <c r="BK159" s="140">
        <f>ROUND(I159*H159,2)</f>
        <v>0</v>
      </c>
      <c r="BL159" s="2" t="s">
        <v>344</v>
      </c>
      <c r="BM159" s="139" t="s">
        <v>4059</v>
      </c>
    </row>
    <row r="160" spans="2:65" s="116" customFormat="1" ht="22.9" customHeight="1" x14ac:dyDescent="0.2">
      <c r="B160" s="117"/>
      <c r="D160" s="118" t="s">
        <v>79</v>
      </c>
      <c r="E160" s="126" t="s">
        <v>986</v>
      </c>
      <c r="F160" s="126" t="s">
        <v>987</v>
      </c>
      <c r="J160" s="127">
        <f>BK160</f>
        <v>0</v>
      </c>
      <c r="L160" s="117"/>
      <c r="M160" s="121"/>
      <c r="P160" s="122">
        <f>P161</f>
        <v>0</v>
      </c>
      <c r="R160" s="122">
        <f>R161</f>
        <v>0</v>
      </c>
      <c r="T160" s="123">
        <f>T161</f>
        <v>0</v>
      </c>
      <c r="AR160" s="118" t="s">
        <v>87</v>
      </c>
      <c r="AT160" s="124" t="s">
        <v>79</v>
      </c>
      <c r="AU160" s="124" t="s">
        <v>87</v>
      </c>
      <c r="AY160" s="118" t="s">
        <v>337</v>
      </c>
      <c r="BK160" s="125">
        <f>BK161</f>
        <v>0</v>
      </c>
    </row>
    <row r="161" spans="2:65" s="16" customFormat="1" ht="16.5" customHeight="1" x14ac:dyDescent="0.2">
      <c r="B161" s="17"/>
      <c r="C161" s="128">
        <v>5</v>
      </c>
      <c r="D161" s="128" t="s">
        <v>339</v>
      </c>
      <c r="E161" s="129" t="s">
        <v>988</v>
      </c>
      <c r="F161" s="130" t="s">
        <v>989</v>
      </c>
      <c r="G161" s="131" t="s">
        <v>990</v>
      </c>
      <c r="H161" s="132">
        <v>2.2959999999999998</v>
      </c>
      <c r="I161" s="133"/>
      <c r="J161" s="134">
        <f>ROUND(I161*H161,2)</f>
        <v>0</v>
      </c>
      <c r="K161" s="130" t="s">
        <v>343</v>
      </c>
      <c r="L161" s="17"/>
      <c r="M161" s="135"/>
      <c r="N161" s="136" t="s">
        <v>45</v>
      </c>
      <c r="P161" s="137">
        <f>O161*H161</f>
        <v>0</v>
      </c>
      <c r="Q161" s="137">
        <v>0</v>
      </c>
      <c r="R161" s="137">
        <f>Q161*H161</f>
        <v>0</v>
      </c>
      <c r="S161" s="137">
        <v>0</v>
      </c>
      <c r="T161" s="138">
        <f>S161*H161</f>
        <v>0</v>
      </c>
      <c r="AR161" s="139" t="s">
        <v>344</v>
      </c>
      <c r="AT161" s="139" t="s">
        <v>339</v>
      </c>
      <c r="AU161" s="139" t="s">
        <v>90</v>
      </c>
      <c r="AY161" s="2" t="s">
        <v>337</v>
      </c>
      <c r="BE161" s="140">
        <f>IF(N161="základní",J161,0)</f>
        <v>0</v>
      </c>
      <c r="BF161" s="140">
        <f>IF(N161="snížená",J161,0)</f>
        <v>0</v>
      </c>
      <c r="BG161" s="140">
        <f>IF(N161="zákl. přenesená",J161,0)</f>
        <v>0</v>
      </c>
      <c r="BH161" s="140">
        <f>IF(N161="sníž. přenesená",J161,0)</f>
        <v>0</v>
      </c>
      <c r="BI161" s="140">
        <f>IF(N161="nulová",J161,0)</f>
        <v>0</v>
      </c>
      <c r="BJ161" s="2" t="s">
        <v>87</v>
      </c>
      <c r="BK161" s="140">
        <f>ROUND(I161*H161,2)</f>
        <v>0</v>
      </c>
      <c r="BL161" s="2" t="s">
        <v>344</v>
      </c>
      <c r="BM161" s="139" t="s">
        <v>4060</v>
      </c>
    </row>
    <row r="162" spans="2:65" s="116" customFormat="1" ht="25.9" customHeight="1" x14ac:dyDescent="0.2">
      <c r="B162" s="117"/>
      <c r="D162" s="118" t="s">
        <v>79</v>
      </c>
      <c r="E162" s="119" t="s">
        <v>992</v>
      </c>
      <c r="F162" s="119" t="s">
        <v>993</v>
      </c>
      <c r="J162" s="120">
        <f>BK162</f>
        <v>0</v>
      </c>
      <c r="L162" s="117"/>
      <c r="M162" s="121"/>
      <c r="P162" s="122">
        <f>P163+P340+P449+P481+P492</f>
        <v>0</v>
      </c>
      <c r="R162" s="122">
        <f>R163+R340+R449+R481+R492</f>
        <v>72.574969289999999</v>
      </c>
      <c r="T162" s="123">
        <f>T163+T340+T449+T481+T492</f>
        <v>0</v>
      </c>
      <c r="AR162" s="118" t="s">
        <v>90</v>
      </c>
      <c r="AT162" s="124" t="s">
        <v>79</v>
      </c>
      <c r="AU162" s="124" t="s">
        <v>80</v>
      </c>
      <c r="AY162" s="118" t="s">
        <v>337</v>
      </c>
      <c r="BK162" s="125">
        <f>BK163+BK340+BK449+BK481+BK492</f>
        <v>0</v>
      </c>
    </row>
    <row r="163" spans="2:65" s="116" customFormat="1" ht="22.9" customHeight="1" x14ac:dyDescent="0.2">
      <c r="B163" s="117"/>
      <c r="D163" s="118" t="s">
        <v>79</v>
      </c>
      <c r="E163" s="126" t="s">
        <v>4061</v>
      </c>
      <c r="F163" s="126" t="s">
        <v>4062</v>
      </c>
      <c r="J163" s="127">
        <f>BK163</f>
        <v>0</v>
      </c>
      <c r="L163" s="117"/>
      <c r="M163" s="121"/>
      <c r="P163" s="122">
        <f>SUM(P164:P339)</f>
        <v>0</v>
      </c>
      <c r="R163" s="122">
        <f>SUM(R164:R339)</f>
        <v>24.363537940000001</v>
      </c>
      <c r="T163" s="123">
        <f>SUM(T164:T339)</f>
        <v>0</v>
      </c>
      <c r="AR163" s="118" t="s">
        <v>90</v>
      </c>
      <c r="AT163" s="124" t="s">
        <v>79</v>
      </c>
      <c r="AU163" s="124" t="s">
        <v>87</v>
      </c>
      <c r="AY163" s="118" t="s">
        <v>337</v>
      </c>
      <c r="BK163" s="125">
        <f>SUM(BK164:BK339)</f>
        <v>0</v>
      </c>
    </row>
    <row r="164" spans="2:65" s="16" customFormat="1" ht="16.5" customHeight="1" x14ac:dyDescent="0.2">
      <c r="B164" s="17"/>
      <c r="C164" s="128">
        <v>6</v>
      </c>
      <c r="D164" s="128" t="s">
        <v>339</v>
      </c>
      <c r="E164" s="129" t="s">
        <v>4063</v>
      </c>
      <c r="F164" s="130" t="s">
        <v>4064</v>
      </c>
      <c r="G164" s="131" t="s">
        <v>425</v>
      </c>
      <c r="H164" s="132">
        <v>857.22</v>
      </c>
      <c r="I164" s="133"/>
      <c r="J164" s="134">
        <f>ROUND(I164*H164,2)</f>
        <v>0</v>
      </c>
      <c r="K164" s="130" t="s">
        <v>343</v>
      </c>
      <c r="L164" s="17"/>
      <c r="M164" s="135"/>
      <c r="N164" s="136" t="s">
        <v>45</v>
      </c>
      <c r="P164" s="137">
        <f>O164*H164</f>
        <v>0</v>
      </c>
      <c r="Q164" s="137">
        <v>0</v>
      </c>
      <c r="R164" s="137">
        <f>Q164*H164</f>
        <v>0</v>
      </c>
      <c r="S164" s="137">
        <v>0</v>
      </c>
      <c r="T164" s="138">
        <f>S164*H164</f>
        <v>0</v>
      </c>
      <c r="AR164" s="139" t="s">
        <v>496</v>
      </c>
      <c r="AT164" s="139" t="s">
        <v>339</v>
      </c>
      <c r="AU164" s="139" t="s">
        <v>90</v>
      </c>
      <c r="AY164" s="2" t="s">
        <v>337</v>
      </c>
      <c r="BE164" s="140">
        <f>IF(N164="základní",J164,0)</f>
        <v>0</v>
      </c>
      <c r="BF164" s="140">
        <f>IF(N164="snížená",J164,0)</f>
        <v>0</v>
      </c>
      <c r="BG164" s="140">
        <f>IF(N164="zákl. přenesená",J164,0)</f>
        <v>0</v>
      </c>
      <c r="BH164" s="140">
        <f>IF(N164="sníž. přenesená",J164,0)</f>
        <v>0</v>
      </c>
      <c r="BI164" s="140">
        <f>IF(N164="nulová",J164,0)</f>
        <v>0</v>
      </c>
      <c r="BJ164" s="2" t="s">
        <v>87</v>
      </c>
      <c r="BK164" s="140">
        <f>ROUND(I164*H164,2)</f>
        <v>0</v>
      </c>
      <c r="BL164" s="2" t="s">
        <v>496</v>
      </c>
      <c r="BM164" s="139" t="s">
        <v>4065</v>
      </c>
    </row>
    <row r="165" spans="2:65" s="148" customFormat="1" x14ac:dyDescent="0.2">
      <c r="B165" s="149"/>
      <c r="D165" s="143" t="s">
        <v>346</v>
      </c>
      <c r="E165" s="150"/>
      <c r="F165" s="151" t="s">
        <v>4017</v>
      </c>
      <c r="H165" s="152">
        <v>239.91</v>
      </c>
      <c r="L165" s="149"/>
      <c r="M165" s="153"/>
      <c r="T165" s="154"/>
      <c r="AT165" s="150" t="s">
        <v>346</v>
      </c>
      <c r="AU165" s="150" t="s">
        <v>90</v>
      </c>
      <c r="AV165" s="148" t="s">
        <v>90</v>
      </c>
      <c r="AW165" s="148" t="s">
        <v>33</v>
      </c>
      <c r="AX165" s="148" t="s">
        <v>80</v>
      </c>
      <c r="AY165" s="150" t="s">
        <v>337</v>
      </c>
    </row>
    <row r="166" spans="2:65" s="148" customFormat="1" x14ac:dyDescent="0.2">
      <c r="B166" s="149"/>
      <c r="D166" s="143" t="s">
        <v>346</v>
      </c>
      <c r="E166" s="150"/>
      <c r="F166" s="151" t="s">
        <v>4021</v>
      </c>
      <c r="H166" s="152">
        <v>59.22</v>
      </c>
      <c r="L166" s="149"/>
      <c r="M166" s="153"/>
      <c r="T166" s="154"/>
      <c r="AT166" s="150" t="s">
        <v>346</v>
      </c>
      <c r="AU166" s="150" t="s">
        <v>90</v>
      </c>
      <c r="AV166" s="148" t="s">
        <v>90</v>
      </c>
      <c r="AW166" s="148" t="s">
        <v>33</v>
      </c>
      <c r="AX166" s="148" t="s">
        <v>80</v>
      </c>
      <c r="AY166" s="150" t="s">
        <v>337</v>
      </c>
    </row>
    <row r="167" spans="2:65" s="148" customFormat="1" x14ac:dyDescent="0.2">
      <c r="B167" s="149"/>
      <c r="D167" s="143" t="s">
        <v>346</v>
      </c>
      <c r="E167" s="150"/>
      <c r="F167" s="151" t="s">
        <v>4026</v>
      </c>
      <c r="H167" s="152">
        <v>512.97</v>
      </c>
      <c r="L167" s="149"/>
      <c r="M167" s="153"/>
      <c r="T167" s="154"/>
      <c r="AT167" s="150" t="s">
        <v>346</v>
      </c>
      <c r="AU167" s="150" t="s">
        <v>90</v>
      </c>
      <c r="AV167" s="148" t="s">
        <v>90</v>
      </c>
      <c r="AW167" s="148" t="s">
        <v>33</v>
      </c>
      <c r="AX167" s="148" t="s">
        <v>80</v>
      </c>
      <c r="AY167" s="150" t="s">
        <v>337</v>
      </c>
    </row>
    <row r="168" spans="2:65" s="148" customFormat="1" x14ac:dyDescent="0.2">
      <c r="B168" s="149"/>
      <c r="D168" s="143" t="s">
        <v>346</v>
      </c>
      <c r="E168" s="150"/>
      <c r="F168" s="151" t="s">
        <v>4030</v>
      </c>
      <c r="H168" s="152">
        <v>19.2</v>
      </c>
      <c r="L168" s="149"/>
      <c r="M168" s="153"/>
      <c r="T168" s="154"/>
      <c r="AT168" s="150" t="s">
        <v>346</v>
      </c>
      <c r="AU168" s="150" t="s">
        <v>90</v>
      </c>
      <c r="AV168" s="148" t="s">
        <v>90</v>
      </c>
      <c r="AW168" s="148" t="s">
        <v>33</v>
      </c>
      <c r="AX168" s="148" t="s">
        <v>80</v>
      </c>
      <c r="AY168" s="150" t="s">
        <v>337</v>
      </c>
    </row>
    <row r="169" spans="2:65" s="148" customFormat="1" x14ac:dyDescent="0.2">
      <c r="B169" s="149"/>
      <c r="D169" s="143" t="s">
        <v>346</v>
      </c>
      <c r="E169" s="150"/>
      <c r="F169" s="151" t="s">
        <v>4034</v>
      </c>
      <c r="H169" s="152">
        <v>25.92</v>
      </c>
      <c r="L169" s="149"/>
      <c r="M169" s="153"/>
      <c r="T169" s="154"/>
      <c r="AT169" s="150" t="s">
        <v>346</v>
      </c>
      <c r="AU169" s="150" t="s">
        <v>90</v>
      </c>
      <c r="AV169" s="148" t="s">
        <v>90</v>
      </c>
      <c r="AW169" s="148" t="s">
        <v>33</v>
      </c>
      <c r="AX169" s="148" t="s">
        <v>80</v>
      </c>
      <c r="AY169" s="150" t="s">
        <v>337</v>
      </c>
    </row>
    <row r="170" spans="2:65" s="155" customFormat="1" x14ac:dyDescent="0.2">
      <c r="B170" s="156"/>
      <c r="D170" s="143" t="s">
        <v>346</v>
      </c>
      <c r="E170" s="157"/>
      <c r="F170" s="158" t="s">
        <v>351</v>
      </c>
      <c r="H170" s="159">
        <v>857.22</v>
      </c>
      <c r="L170" s="156"/>
      <c r="M170" s="160"/>
      <c r="T170" s="161"/>
      <c r="AT170" s="157" t="s">
        <v>346</v>
      </c>
      <c r="AU170" s="157" t="s">
        <v>90</v>
      </c>
      <c r="AV170" s="155" t="s">
        <v>344</v>
      </c>
      <c r="AW170" s="155" t="s">
        <v>33</v>
      </c>
      <c r="AX170" s="155" t="s">
        <v>87</v>
      </c>
      <c r="AY170" s="157" t="s">
        <v>337</v>
      </c>
    </row>
    <row r="171" spans="2:65" s="16" customFormat="1" ht="24.2" customHeight="1" x14ac:dyDescent="0.2">
      <c r="B171" s="17"/>
      <c r="C171" s="128">
        <v>7</v>
      </c>
      <c r="D171" s="128" t="s">
        <v>339</v>
      </c>
      <c r="E171" s="129" t="s">
        <v>4066</v>
      </c>
      <c r="F171" s="130" t="s">
        <v>4067</v>
      </c>
      <c r="G171" s="131" t="s">
        <v>425</v>
      </c>
      <c r="H171" s="132">
        <v>532.16999999999996</v>
      </c>
      <c r="I171" s="133"/>
      <c r="J171" s="134">
        <f>ROUND(I171*H171,2)</f>
        <v>0</v>
      </c>
      <c r="K171" s="130" t="s">
        <v>343</v>
      </c>
      <c r="L171" s="17"/>
      <c r="M171" s="135"/>
      <c r="N171" s="136" t="s">
        <v>45</v>
      </c>
      <c r="P171" s="137">
        <f>O171*H171</f>
        <v>0</v>
      </c>
      <c r="Q171" s="137">
        <v>5.6999999999999998E-4</v>
      </c>
      <c r="R171" s="137">
        <f>Q171*H171</f>
        <v>0.30333689999999996</v>
      </c>
      <c r="S171" s="137">
        <v>0</v>
      </c>
      <c r="T171" s="138">
        <f>S171*H171</f>
        <v>0</v>
      </c>
      <c r="AR171" s="139" t="s">
        <v>496</v>
      </c>
      <c r="AT171" s="139" t="s">
        <v>339</v>
      </c>
      <c r="AU171" s="139" t="s">
        <v>90</v>
      </c>
      <c r="AY171" s="2" t="s">
        <v>337</v>
      </c>
      <c r="BE171" s="140">
        <f>IF(N171="základní",J171,0)</f>
        <v>0</v>
      </c>
      <c r="BF171" s="140">
        <f>IF(N171="snížená",J171,0)</f>
        <v>0</v>
      </c>
      <c r="BG171" s="140">
        <f>IF(N171="zákl. přenesená",J171,0)</f>
        <v>0</v>
      </c>
      <c r="BH171" s="140">
        <f>IF(N171="sníž. přenesená",J171,0)</f>
        <v>0</v>
      </c>
      <c r="BI171" s="140">
        <f>IF(N171="nulová",J171,0)</f>
        <v>0</v>
      </c>
      <c r="BJ171" s="2" t="s">
        <v>87</v>
      </c>
      <c r="BK171" s="140">
        <f>ROUND(I171*H171,2)</f>
        <v>0</v>
      </c>
      <c r="BL171" s="2" t="s">
        <v>496</v>
      </c>
      <c r="BM171" s="139" t="s">
        <v>4068</v>
      </c>
    </row>
    <row r="172" spans="2:65" s="141" customFormat="1" x14ac:dyDescent="0.2">
      <c r="B172" s="142"/>
      <c r="D172" s="143" t="s">
        <v>346</v>
      </c>
      <c r="E172" s="144"/>
      <c r="F172" s="145" t="s">
        <v>4069</v>
      </c>
      <c r="H172" s="144"/>
      <c r="L172" s="142"/>
      <c r="M172" s="146"/>
      <c r="T172" s="147"/>
      <c r="AT172" s="144" t="s">
        <v>346</v>
      </c>
      <c r="AU172" s="144" t="s">
        <v>90</v>
      </c>
      <c r="AV172" s="141" t="s">
        <v>87</v>
      </c>
      <c r="AW172" s="141" t="s">
        <v>33</v>
      </c>
      <c r="AX172" s="141" t="s">
        <v>80</v>
      </c>
      <c r="AY172" s="144" t="s">
        <v>337</v>
      </c>
    </row>
    <row r="173" spans="2:65" s="148" customFormat="1" x14ac:dyDescent="0.2">
      <c r="B173" s="149"/>
      <c r="D173" s="143" t="s">
        <v>346</v>
      </c>
      <c r="E173" s="150"/>
      <c r="F173" s="151" t="s">
        <v>4026</v>
      </c>
      <c r="H173" s="152">
        <v>512.97</v>
      </c>
      <c r="L173" s="149"/>
      <c r="M173" s="153"/>
      <c r="T173" s="154"/>
      <c r="AT173" s="150" t="s">
        <v>346</v>
      </c>
      <c r="AU173" s="150" t="s">
        <v>90</v>
      </c>
      <c r="AV173" s="148" t="s">
        <v>90</v>
      </c>
      <c r="AW173" s="148" t="s">
        <v>33</v>
      </c>
      <c r="AX173" s="148" t="s">
        <v>80</v>
      </c>
      <c r="AY173" s="150" t="s">
        <v>337</v>
      </c>
    </row>
    <row r="174" spans="2:65" s="141" customFormat="1" x14ac:dyDescent="0.2">
      <c r="B174" s="142"/>
      <c r="D174" s="143" t="s">
        <v>346</v>
      </c>
      <c r="E174" s="144"/>
      <c r="F174" s="145" t="s">
        <v>4070</v>
      </c>
      <c r="H174" s="144"/>
      <c r="L174" s="142"/>
      <c r="M174" s="146"/>
      <c r="T174" s="147"/>
      <c r="AT174" s="144" t="s">
        <v>346</v>
      </c>
      <c r="AU174" s="144" t="s">
        <v>90</v>
      </c>
      <c r="AV174" s="141" t="s">
        <v>87</v>
      </c>
      <c r="AW174" s="141" t="s">
        <v>33</v>
      </c>
      <c r="AX174" s="141" t="s">
        <v>80</v>
      </c>
      <c r="AY174" s="144" t="s">
        <v>337</v>
      </c>
    </row>
    <row r="175" spans="2:65" s="148" customFormat="1" x14ac:dyDescent="0.2">
      <c r="B175" s="149"/>
      <c r="D175" s="143" t="s">
        <v>346</v>
      </c>
      <c r="E175" s="150"/>
      <c r="F175" s="151" t="s">
        <v>4030</v>
      </c>
      <c r="H175" s="152">
        <v>19.2</v>
      </c>
      <c r="L175" s="149"/>
      <c r="M175" s="153"/>
      <c r="T175" s="154"/>
      <c r="AT175" s="150" t="s">
        <v>346</v>
      </c>
      <c r="AU175" s="150" t="s">
        <v>90</v>
      </c>
      <c r="AV175" s="148" t="s">
        <v>90</v>
      </c>
      <c r="AW175" s="148" t="s">
        <v>33</v>
      </c>
      <c r="AX175" s="148" t="s">
        <v>80</v>
      </c>
      <c r="AY175" s="150" t="s">
        <v>337</v>
      </c>
    </row>
    <row r="176" spans="2:65" s="155" customFormat="1" x14ac:dyDescent="0.2">
      <c r="B176" s="156"/>
      <c r="D176" s="143" t="s">
        <v>346</v>
      </c>
      <c r="E176" s="157"/>
      <c r="F176" s="158" t="s">
        <v>351</v>
      </c>
      <c r="H176" s="159">
        <v>532.16999999999996</v>
      </c>
      <c r="L176" s="156"/>
      <c r="M176" s="160"/>
      <c r="T176" s="161"/>
      <c r="AT176" s="157" t="s">
        <v>346</v>
      </c>
      <c r="AU176" s="157" t="s">
        <v>90</v>
      </c>
      <c r="AV176" s="155" t="s">
        <v>344</v>
      </c>
      <c r="AW176" s="155" t="s">
        <v>33</v>
      </c>
      <c r="AX176" s="155" t="s">
        <v>87</v>
      </c>
      <c r="AY176" s="157" t="s">
        <v>337</v>
      </c>
    </row>
    <row r="177" spans="2:65" s="16" customFormat="1" ht="24.2" customHeight="1" x14ac:dyDescent="0.2">
      <c r="B177" s="17"/>
      <c r="C177" s="128">
        <v>8</v>
      </c>
      <c r="D177" s="128" t="s">
        <v>339</v>
      </c>
      <c r="E177" s="129" t="s">
        <v>4071</v>
      </c>
      <c r="F177" s="130" t="s">
        <v>4072</v>
      </c>
      <c r="G177" s="131" t="s">
        <v>425</v>
      </c>
      <c r="H177" s="132">
        <v>325.05</v>
      </c>
      <c r="I177" s="133"/>
      <c r="J177" s="134">
        <f>ROUND(I177*H177,2)</f>
        <v>0</v>
      </c>
      <c r="K177" s="130" t="s">
        <v>343</v>
      </c>
      <c r="L177" s="17"/>
      <c r="M177" s="135"/>
      <c r="N177" s="136" t="s">
        <v>45</v>
      </c>
      <c r="P177" s="137">
        <f>O177*H177</f>
        <v>0</v>
      </c>
      <c r="Q177" s="137">
        <v>5.1000000000000004E-4</v>
      </c>
      <c r="R177" s="137">
        <f>Q177*H177</f>
        <v>0.16577550000000002</v>
      </c>
      <c r="S177" s="137">
        <v>0</v>
      </c>
      <c r="T177" s="138">
        <f>S177*H177</f>
        <v>0</v>
      </c>
      <c r="AR177" s="139" t="s">
        <v>496</v>
      </c>
      <c r="AT177" s="139" t="s">
        <v>339</v>
      </c>
      <c r="AU177" s="139" t="s">
        <v>90</v>
      </c>
      <c r="AY177" s="2" t="s">
        <v>337</v>
      </c>
      <c r="BE177" s="140">
        <f>IF(N177="základní",J177,0)</f>
        <v>0</v>
      </c>
      <c r="BF177" s="140">
        <f>IF(N177="snížená",J177,0)</f>
        <v>0</v>
      </c>
      <c r="BG177" s="140">
        <f>IF(N177="zákl. přenesená",J177,0)</f>
        <v>0</v>
      </c>
      <c r="BH177" s="140">
        <f>IF(N177="sníž. přenesená",J177,0)</f>
        <v>0</v>
      </c>
      <c r="BI177" s="140">
        <f>IF(N177="nulová",J177,0)</f>
        <v>0</v>
      </c>
      <c r="BJ177" s="2" t="s">
        <v>87</v>
      </c>
      <c r="BK177" s="140">
        <f>ROUND(I177*H177,2)</f>
        <v>0</v>
      </c>
      <c r="BL177" s="2" t="s">
        <v>496</v>
      </c>
      <c r="BM177" s="139" t="s">
        <v>4073</v>
      </c>
    </row>
    <row r="178" spans="2:65" s="141" customFormat="1" x14ac:dyDescent="0.2">
      <c r="B178" s="142"/>
      <c r="D178" s="143" t="s">
        <v>346</v>
      </c>
      <c r="E178" s="144"/>
      <c r="F178" s="145" t="s">
        <v>4069</v>
      </c>
      <c r="H178" s="144"/>
      <c r="L178" s="142"/>
      <c r="M178" s="146"/>
      <c r="T178" s="147"/>
      <c r="AT178" s="144" t="s">
        <v>346</v>
      </c>
      <c r="AU178" s="144" t="s">
        <v>90</v>
      </c>
      <c r="AV178" s="141" t="s">
        <v>87</v>
      </c>
      <c r="AW178" s="141" t="s">
        <v>33</v>
      </c>
      <c r="AX178" s="141" t="s">
        <v>80</v>
      </c>
      <c r="AY178" s="144" t="s">
        <v>337</v>
      </c>
    </row>
    <row r="179" spans="2:65" s="148" customFormat="1" x14ac:dyDescent="0.2">
      <c r="B179" s="149"/>
      <c r="D179" s="143" t="s">
        <v>346</v>
      </c>
      <c r="E179" s="150"/>
      <c r="F179" s="151" t="s">
        <v>4017</v>
      </c>
      <c r="H179" s="152">
        <v>239.91</v>
      </c>
      <c r="L179" s="149"/>
      <c r="M179" s="153"/>
      <c r="T179" s="154"/>
      <c r="AT179" s="150" t="s">
        <v>346</v>
      </c>
      <c r="AU179" s="150" t="s">
        <v>90</v>
      </c>
      <c r="AV179" s="148" t="s">
        <v>90</v>
      </c>
      <c r="AW179" s="148" t="s">
        <v>33</v>
      </c>
      <c r="AX179" s="148" t="s">
        <v>80</v>
      </c>
      <c r="AY179" s="150" t="s">
        <v>337</v>
      </c>
    </row>
    <row r="180" spans="2:65" s="148" customFormat="1" x14ac:dyDescent="0.2">
      <c r="B180" s="149"/>
      <c r="D180" s="143" t="s">
        <v>346</v>
      </c>
      <c r="E180" s="150"/>
      <c r="F180" s="151" t="s">
        <v>4021</v>
      </c>
      <c r="H180" s="152">
        <v>59.22</v>
      </c>
      <c r="L180" s="149"/>
      <c r="M180" s="153"/>
      <c r="T180" s="154"/>
      <c r="AT180" s="150" t="s">
        <v>346</v>
      </c>
      <c r="AU180" s="150" t="s">
        <v>90</v>
      </c>
      <c r="AV180" s="148" t="s">
        <v>90</v>
      </c>
      <c r="AW180" s="148" t="s">
        <v>33</v>
      </c>
      <c r="AX180" s="148" t="s">
        <v>80</v>
      </c>
      <c r="AY180" s="150" t="s">
        <v>337</v>
      </c>
    </row>
    <row r="181" spans="2:65" s="148" customFormat="1" x14ac:dyDescent="0.2">
      <c r="B181" s="149"/>
      <c r="D181" s="143" t="s">
        <v>346</v>
      </c>
      <c r="E181" s="150"/>
      <c r="F181" s="151" t="s">
        <v>4034</v>
      </c>
      <c r="H181" s="152">
        <v>25.92</v>
      </c>
      <c r="L181" s="149"/>
      <c r="M181" s="153"/>
      <c r="T181" s="154"/>
      <c r="AT181" s="150" t="s">
        <v>346</v>
      </c>
      <c r="AU181" s="150" t="s">
        <v>90</v>
      </c>
      <c r="AV181" s="148" t="s">
        <v>90</v>
      </c>
      <c r="AW181" s="148" t="s">
        <v>33</v>
      </c>
      <c r="AX181" s="148" t="s">
        <v>80</v>
      </c>
      <c r="AY181" s="150" t="s">
        <v>337</v>
      </c>
    </row>
    <row r="182" spans="2:65" s="155" customFormat="1" x14ac:dyDescent="0.2">
      <c r="B182" s="156"/>
      <c r="D182" s="143" t="s">
        <v>346</v>
      </c>
      <c r="E182" s="157"/>
      <c r="F182" s="158" t="s">
        <v>351</v>
      </c>
      <c r="H182" s="159">
        <v>325.05</v>
      </c>
      <c r="L182" s="156"/>
      <c r="M182" s="160"/>
      <c r="T182" s="161"/>
      <c r="AT182" s="157" t="s">
        <v>346</v>
      </c>
      <c r="AU182" s="157" t="s">
        <v>90</v>
      </c>
      <c r="AV182" s="155" t="s">
        <v>344</v>
      </c>
      <c r="AW182" s="155" t="s">
        <v>33</v>
      </c>
      <c r="AX182" s="155" t="s">
        <v>87</v>
      </c>
      <c r="AY182" s="157" t="s">
        <v>337</v>
      </c>
    </row>
    <row r="183" spans="2:65" s="16" customFormat="1" ht="16.5" customHeight="1" x14ac:dyDescent="0.2">
      <c r="B183" s="17"/>
      <c r="C183" s="128">
        <v>9</v>
      </c>
      <c r="D183" s="128" t="s">
        <v>339</v>
      </c>
      <c r="E183" s="129" t="s">
        <v>4074</v>
      </c>
      <c r="F183" s="130" t="s">
        <v>4075</v>
      </c>
      <c r="G183" s="131" t="s">
        <v>425</v>
      </c>
      <c r="H183" s="132">
        <v>1695.24</v>
      </c>
      <c r="I183" s="133"/>
      <c r="J183" s="134">
        <f>ROUND(I183*H183,2)</f>
        <v>0</v>
      </c>
      <c r="K183" s="130" t="s">
        <v>343</v>
      </c>
      <c r="L183" s="17"/>
      <c r="M183" s="135"/>
      <c r="N183" s="136" t="s">
        <v>45</v>
      </c>
      <c r="P183" s="137">
        <f>O183*H183</f>
        <v>0</v>
      </c>
      <c r="Q183" s="137">
        <v>8.8000000000000003E-4</v>
      </c>
      <c r="R183" s="137">
        <f>Q183*H183</f>
        <v>1.4918112000000001</v>
      </c>
      <c r="S183" s="137">
        <v>0</v>
      </c>
      <c r="T183" s="138">
        <f>S183*H183</f>
        <v>0</v>
      </c>
      <c r="AR183" s="139" t="s">
        <v>496</v>
      </c>
      <c r="AT183" s="139" t="s">
        <v>339</v>
      </c>
      <c r="AU183" s="139" t="s">
        <v>90</v>
      </c>
      <c r="AY183" s="2" t="s">
        <v>337</v>
      </c>
      <c r="BE183" s="140">
        <f>IF(N183="základní",J183,0)</f>
        <v>0</v>
      </c>
      <c r="BF183" s="140">
        <f>IF(N183="snížená",J183,0)</f>
        <v>0</v>
      </c>
      <c r="BG183" s="140">
        <f>IF(N183="zákl. přenesená",J183,0)</f>
        <v>0</v>
      </c>
      <c r="BH183" s="140">
        <f>IF(N183="sníž. přenesená",J183,0)</f>
        <v>0</v>
      </c>
      <c r="BI183" s="140">
        <f>IF(N183="nulová",J183,0)</f>
        <v>0</v>
      </c>
      <c r="BJ183" s="2" t="s">
        <v>87</v>
      </c>
      <c r="BK183" s="140">
        <f>ROUND(I183*H183,2)</f>
        <v>0</v>
      </c>
      <c r="BL183" s="2" t="s">
        <v>496</v>
      </c>
      <c r="BM183" s="139" t="s">
        <v>4076</v>
      </c>
    </row>
    <row r="184" spans="2:65" s="141" customFormat="1" x14ac:dyDescent="0.2">
      <c r="B184" s="142"/>
      <c r="D184" s="143" t="s">
        <v>346</v>
      </c>
      <c r="E184" s="144"/>
      <c r="F184" s="145" t="s">
        <v>4077</v>
      </c>
      <c r="H184" s="144"/>
      <c r="L184" s="142"/>
      <c r="M184" s="146"/>
      <c r="T184" s="147"/>
      <c r="AT184" s="144" t="s">
        <v>346</v>
      </c>
      <c r="AU184" s="144" t="s">
        <v>90</v>
      </c>
      <c r="AV184" s="141" t="s">
        <v>87</v>
      </c>
      <c r="AW184" s="141" t="s">
        <v>33</v>
      </c>
      <c r="AX184" s="141" t="s">
        <v>80</v>
      </c>
      <c r="AY184" s="144" t="s">
        <v>337</v>
      </c>
    </row>
    <row r="185" spans="2:65" s="141" customFormat="1" x14ac:dyDescent="0.2">
      <c r="B185" s="142"/>
      <c r="D185" s="143" t="s">
        <v>346</v>
      </c>
      <c r="E185" s="144"/>
      <c r="F185" s="145" t="s">
        <v>4078</v>
      </c>
      <c r="H185" s="144"/>
      <c r="L185" s="142"/>
      <c r="M185" s="146"/>
      <c r="T185" s="147"/>
      <c r="AT185" s="144" t="s">
        <v>346</v>
      </c>
      <c r="AU185" s="144" t="s">
        <v>90</v>
      </c>
      <c r="AV185" s="141" t="s">
        <v>87</v>
      </c>
      <c r="AW185" s="141" t="s">
        <v>33</v>
      </c>
      <c r="AX185" s="141" t="s">
        <v>80</v>
      </c>
      <c r="AY185" s="144" t="s">
        <v>337</v>
      </c>
    </row>
    <row r="186" spans="2:65" s="141" customFormat="1" x14ac:dyDescent="0.2">
      <c r="B186" s="142"/>
      <c r="D186" s="143" t="s">
        <v>346</v>
      </c>
      <c r="E186" s="144"/>
      <c r="F186" s="145" t="s">
        <v>4079</v>
      </c>
      <c r="H186" s="144"/>
      <c r="L186" s="142"/>
      <c r="M186" s="146"/>
      <c r="T186" s="147"/>
      <c r="AT186" s="144" t="s">
        <v>346</v>
      </c>
      <c r="AU186" s="144" t="s">
        <v>90</v>
      </c>
      <c r="AV186" s="141" t="s">
        <v>87</v>
      </c>
      <c r="AW186" s="141" t="s">
        <v>33</v>
      </c>
      <c r="AX186" s="141" t="s">
        <v>80</v>
      </c>
      <c r="AY186" s="144" t="s">
        <v>337</v>
      </c>
    </row>
    <row r="187" spans="2:65" s="141" customFormat="1" x14ac:dyDescent="0.2">
      <c r="B187" s="142"/>
      <c r="D187" s="143" t="s">
        <v>346</v>
      </c>
      <c r="E187" s="144"/>
      <c r="F187" s="145" t="s">
        <v>4080</v>
      </c>
      <c r="H187" s="144"/>
      <c r="L187" s="142"/>
      <c r="M187" s="146"/>
      <c r="T187" s="147"/>
      <c r="AT187" s="144" t="s">
        <v>346</v>
      </c>
      <c r="AU187" s="144" t="s">
        <v>90</v>
      </c>
      <c r="AV187" s="141" t="s">
        <v>87</v>
      </c>
      <c r="AW187" s="141" t="s">
        <v>33</v>
      </c>
      <c r="AX187" s="141" t="s">
        <v>80</v>
      </c>
      <c r="AY187" s="144" t="s">
        <v>337</v>
      </c>
    </row>
    <row r="188" spans="2:65" s="148" customFormat="1" x14ac:dyDescent="0.2">
      <c r="B188" s="149"/>
      <c r="D188" s="143" t="s">
        <v>346</v>
      </c>
      <c r="E188" s="150"/>
      <c r="F188" s="151" t="s">
        <v>4081</v>
      </c>
      <c r="H188" s="152">
        <v>131.75</v>
      </c>
      <c r="L188" s="149"/>
      <c r="M188" s="153"/>
      <c r="T188" s="154"/>
      <c r="AT188" s="150" t="s">
        <v>346</v>
      </c>
      <c r="AU188" s="150" t="s">
        <v>90</v>
      </c>
      <c r="AV188" s="148" t="s">
        <v>90</v>
      </c>
      <c r="AW188" s="148" t="s">
        <v>33</v>
      </c>
      <c r="AX188" s="148" t="s">
        <v>80</v>
      </c>
      <c r="AY188" s="150" t="s">
        <v>337</v>
      </c>
    </row>
    <row r="189" spans="2:65" s="148" customFormat="1" x14ac:dyDescent="0.2">
      <c r="B189" s="149"/>
      <c r="D189" s="143" t="s">
        <v>346</v>
      </c>
      <c r="E189" s="150"/>
      <c r="F189" s="151" t="s">
        <v>4082</v>
      </c>
      <c r="H189" s="152">
        <v>30.55</v>
      </c>
      <c r="L189" s="149"/>
      <c r="M189" s="153"/>
      <c r="T189" s="154"/>
      <c r="AT189" s="150" t="s">
        <v>346</v>
      </c>
      <c r="AU189" s="150" t="s">
        <v>90</v>
      </c>
      <c r="AV189" s="148" t="s">
        <v>90</v>
      </c>
      <c r="AW189" s="148" t="s">
        <v>33</v>
      </c>
      <c r="AX189" s="148" t="s">
        <v>80</v>
      </c>
      <c r="AY189" s="150" t="s">
        <v>337</v>
      </c>
    </row>
    <row r="190" spans="2:65" s="141" customFormat="1" x14ac:dyDescent="0.2">
      <c r="B190" s="142"/>
      <c r="D190" s="143" t="s">
        <v>346</v>
      </c>
      <c r="E190" s="144"/>
      <c r="F190" s="145" t="s">
        <v>4083</v>
      </c>
      <c r="H190" s="144"/>
      <c r="L190" s="142"/>
      <c r="M190" s="146"/>
      <c r="T190" s="147"/>
      <c r="AT190" s="144" t="s">
        <v>346</v>
      </c>
      <c r="AU190" s="144" t="s">
        <v>90</v>
      </c>
      <c r="AV190" s="141" t="s">
        <v>87</v>
      </c>
      <c r="AW190" s="141" t="s">
        <v>33</v>
      </c>
      <c r="AX190" s="141" t="s">
        <v>80</v>
      </c>
      <c r="AY190" s="144" t="s">
        <v>337</v>
      </c>
    </row>
    <row r="191" spans="2:65" s="148" customFormat="1" x14ac:dyDescent="0.2">
      <c r="B191" s="149"/>
      <c r="D191" s="143" t="s">
        <v>346</v>
      </c>
      <c r="E191" s="150"/>
      <c r="F191" s="151" t="s">
        <v>4084</v>
      </c>
      <c r="H191" s="152">
        <v>-15.77</v>
      </c>
      <c r="L191" s="149"/>
      <c r="M191" s="153"/>
      <c r="T191" s="154"/>
      <c r="AT191" s="150" t="s">
        <v>346</v>
      </c>
      <c r="AU191" s="150" t="s">
        <v>90</v>
      </c>
      <c r="AV191" s="148" t="s">
        <v>90</v>
      </c>
      <c r="AW191" s="148" t="s">
        <v>33</v>
      </c>
      <c r="AX191" s="148" t="s">
        <v>80</v>
      </c>
      <c r="AY191" s="150" t="s">
        <v>337</v>
      </c>
    </row>
    <row r="192" spans="2:65" s="141" customFormat="1" x14ac:dyDescent="0.2">
      <c r="B192" s="142"/>
      <c r="D192" s="143" t="s">
        <v>346</v>
      </c>
      <c r="E192" s="144"/>
      <c r="F192" s="145" t="s">
        <v>4085</v>
      </c>
      <c r="H192" s="144"/>
      <c r="L192" s="142"/>
      <c r="M192" s="146"/>
      <c r="T192" s="147"/>
      <c r="AT192" s="144" t="s">
        <v>346</v>
      </c>
      <c r="AU192" s="144" t="s">
        <v>90</v>
      </c>
      <c r="AV192" s="141" t="s">
        <v>87</v>
      </c>
      <c r="AW192" s="141" t="s">
        <v>33</v>
      </c>
      <c r="AX192" s="141" t="s">
        <v>80</v>
      </c>
      <c r="AY192" s="144" t="s">
        <v>337</v>
      </c>
    </row>
    <row r="193" spans="2:51" s="148" customFormat="1" x14ac:dyDescent="0.2">
      <c r="B193" s="149"/>
      <c r="D193" s="143" t="s">
        <v>346</v>
      </c>
      <c r="E193" s="150"/>
      <c r="F193" s="151" t="s">
        <v>4086</v>
      </c>
      <c r="H193" s="152">
        <v>93.38</v>
      </c>
      <c r="L193" s="149"/>
      <c r="M193" s="153"/>
      <c r="T193" s="154"/>
      <c r="AT193" s="150" t="s">
        <v>346</v>
      </c>
      <c r="AU193" s="150" t="s">
        <v>90</v>
      </c>
      <c r="AV193" s="148" t="s">
        <v>90</v>
      </c>
      <c r="AW193" s="148" t="s">
        <v>33</v>
      </c>
      <c r="AX193" s="148" t="s">
        <v>80</v>
      </c>
      <c r="AY193" s="150" t="s">
        <v>337</v>
      </c>
    </row>
    <row r="194" spans="2:51" s="172" customFormat="1" x14ac:dyDescent="0.2">
      <c r="B194" s="173"/>
      <c r="D194" s="143" t="s">
        <v>346</v>
      </c>
      <c r="E194" s="174" t="s">
        <v>4017</v>
      </c>
      <c r="F194" s="175" t="s">
        <v>609</v>
      </c>
      <c r="H194" s="176">
        <v>239.91</v>
      </c>
      <c r="L194" s="173"/>
      <c r="M194" s="177"/>
      <c r="T194" s="178"/>
      <c r="AT194" s="174" t="s">
        <v>346</v>
      </c>
      <c r="AU194" s="174" t="s">
        <v>90</v>
      </c>
      <c r="AV194" s="172" t="s">
        <v>113</v>
      </c>
      <c r="AW194" s="172" t="s">
        <v>33</v>
      </c>
      <c r="AX194" s="172" t="s">
        <v>80</v>
      </c>
      <c r="AY194" s="174" t="s">
        <v>337</v>
      </c>
    </row>
    <row r="195" spans="2:51" s="141" customFormat="1" x14ac:dyDescent="0.2">
      <c r="B195" s="142"/>
      <c r="D195" s="143" t="s">
        <v>346</v>
      </c>
      <c r="E195" s="144"/>
      <c r="F195" s="145" t="s">
        <v>4087</v>
      </c>
      <c r="H195" s="144"/>
      <c r="L195" s="142"/>
      <c r="M195" s="146"/>
      <c r="T195" s="147"/>
      <c r="AT195" s="144" t="s">
        <v>346</v>
      </c>
      <c r="AU195" s="144" t="s">
        <v>90</v>
      </c>
      <c r="AV195" s="141" t="s">
        <v>87</v>
      </c>
      <c r="AW195" s="141" t="s">
        <v>33</v>
      </c>
      <c r="AX195" s="141" t="s">
        <v>80</v>
      </c>
      <c r="AY195" s="144" t="s">
        <v>337</v>
      </c>
    </row>
    <row r="196" spans="2:51" s="148" customFormat="1" x14ac:dyDescent="0.2">
      <c r="B196" s="149"/>
      <c r="D196" s="143" t="s">
        <v>346</v>
      </c>
      <c r="E196" s="150"/>
      <c r="F196" s="151" t="s">
        <v>4088</v>
      </c>
      <c r="H196" s="152">
        <v>59.22</v>
      </c>
      <c r="L196" s="149"/>
      <c r="M196" s="153"/>
      <c r="T196" s="154"/>
      <c r="AT196" s="150" t="s">
        <v>346</v>
      </c>
      <c r="AU196" s="150" t="s">
        <v>90</v>
      </c>
      <c r="AV196" s="148" t="s">
        <v>90</v>
      </c>
      <c r="AW196" s="148" t="s">
        <v>33</v>
      </c>
      <c r="AX196" s="148" t="s">
        <v>80</v>
      </c>
      <c r="AY196" s="150" t="s">
        <v>337</v>
      </c>
    </row>
    <row r="197" spans="2:51" s="172" customFormat="1" x14ac:dyDescent="0.2">
      <c r="B197" s="173"/>
      <c r="D197" s="143" t="s">
        <v>346</v>
      </c>
      <c r="E197" s="174" t="s">
        <v>4021</v>
      </c>
      <c r="F197" s="175" t="s">
        <v>609</v>
      </c>
      <c r="H197" s="176">
        <v>59.22</v>
      </c>
      <c r="L197" s="173"/>
      <c r="M197" s="177"/>
      <c r="T197" s="178"/>
      <c r="AT197" s="174" t="s">
        <v>346</v>
      </c>
      <c r="AU197" s="174" t="s">
        <v>90</v>
      </c>
      <c r="AV197" s="172" t="s">
        <v>113</v>
      </c>
      <c r="AW197" s="172" t="s">
        <v>33</v>
      </c>
      <c r="AX197" s="172" t="s">
        <v>80</v>
      </c>
      <c r="AY197" s="174" t="s">
        <v>337</v>
      </c>
    </row>
    <row r="198" spans="2:51" s="141" customFormat="1" x14ac:dyDescent="0.2">
      <c r="B198" s="142"/>
      <c r="D198" s="143" t="s">
        <v>346</v>
      </c>
      <c r="E198" s="144"/>
      <c r="F198" s="145" t="s">
        <v>4089</v>
      </c>
      <c r="H198" s="144"/>
      <c r="L198" s="142"/>
      <c r="M198" s="146"/>
      <c r="T198" s="147"/>
      <c r="AT198" s="144" t="s">
        <v>346</v>
      </c>
      <c r="AU198" s="144" t="s">
        <v>90</v>
      </c>
      <c r="AV198" s="141" t="s">
        <v>87</v>
      </c>
      <c r="AW198" s="141" t="s">
        <v>33</v>
      </c>
      <c r="AX198" s="141" t="s">
        <v>80</v>
      </c>
      <c r="AY198" s="144" t="s">
        <v>337</v>
      </c>
    </row>
    <row r="199" spans="2:51" s="148" customFormat="1" x14ac:dyDescent="0.2">
      <c r="B199" s="149"/>
      <c r="D199" s="143" t="s">
        <v>346</v>
      </c>
      <c r="E199" s="150"/>
      <c r="F199" s="151" t="s">
        <v>4090</v>
      </c>
      <c r="H199" s="152">
        <v>480.96</v>
      </c>
      <c r="L199" s="149"/>
      <c r="M199" s="153"/>
      <c r="T199" s="154"/>
      <c r="AT199" s="150" t="s">
        <v>346</v>
      </c>
      <c r="AU199" s="150" t="s">
        <v>90</v>
      </c>
      <c r="AV199" s="148" t="s">
        <v>90</v>
      </c>
      <c r="AW199" s="148" t="s">
        <v>33</v>
      </c>
      <c r="AX199" s="148" t="s">
        <v>80</v>
      </c>
      <c r="AY199" s="150" t="s">
        <v>337</v>
      </c>
    </row>
    <row r="200" spans="2:51" s="141" customFormat="1" x14ac:dyDescent="0.2">
      <c r="B200" s="142"/>
      <c r="D200" s="143" t="s">
        <v>346</v>
      </c>
      <c r="E200" s="144"/>
      <c r="F200" s="145" t="s">
        <v>4091</v>
      </c>
      <c r="H200" s="144"/>
      <c r="L200" s="142"/>
      <c r="M200" s="146"/>
      <c r="T200" s="147"/>
      <c r="AT200" s="144" t="s">
        <v>346</v>
      </c>
      <c r="AU200" s="144" t="s">
        <v>90</v>
      </c>
      <c r="AV200" s="141" t="s">
        <v>87</v>
      </c>
      <c r="AW200" s="141" t="s">
        <v>33</v>
      </c>
      <c r="AX200" s="141" t="s">
        <v>80</v>
      </c>
      <c r="AY200" s="144" t="s">
        <v>337</v>
      </c>
    </row>
    <row r="201" spans="2:51" s="148" customFormat="1" x14ac:dyDescent="0.2">
      <c r="B201" s="149"/>
      <c r="D201" s="143" t="s">
        <v>346</v>
      </c>
      <c r="E201" s="150"/>
      <c r="F201" s="151" t="s">
        <v>4092</v>
      </c>
      <c r="H201" s="152">
        <v>26.75</v>
      </c>
      <c r="L201" s="149"/>
      <c r="M201" s="153"/>
      <c r="T201" s="154"/>
      <c r="AT201" s="150" t="s">
        <v>346</v>
      </c>
      <c r="AU201" s="150" t="s">
        <v>90</v>
      </c>
      <c r="AV201" s="148" t="s">
        <v>90</v>
      </c>
      <c r="AW201" s="148" t="s">
        <v>33</v>
      </c>
      <c r="AX201" s="148" t="s">
        <v>80</v>
      </c>
      <c r="AY201" s="150" t="s">
        <v>337</v>
      </c>
    </row>
    <row r="202" spans="2:51" s="148" customFormat="1" x14ac:dyDescent="0.2">
      <c r="B202" s="149"/>
      <c r="D202" s="143" t="s">
        <v>346</v>
      </c>
      <c r="E202" s="150"/>
      <c r="F202" s="151" t="s">
        <v>4093</v>
      </c>
      <c r="H202" s="152">
        <v>0.78</v>
      </c>
      <c r="L202" s="149"/>
      <c r="M202" s="153"/>
      <c r="T202" s="154"/>
      <c r="AT202" s="150" t="s">
        <v>346</v>
      </c>
      <c r="AU202" s="150" t="s">
        <v>90</v>
      </c>
      <c r="AV202" s="148" t="s">
        <v>90</v>
      </c>
      <c r="AW202" s="148" t="s">
        <v>33</v>
      </c>
      <c r="AX202" s="148" t="s">
        <v>80</v>
      </c>
      <c r="AY202" s="150" t="s">
        <v>337</v>
      </c>
    </row>
    <row r="203" spans="2:51" s="141" customFormat="1" x14ac:dyDescent="0.2">
      <c r="B203" s="142"/>
      <c r="D203" s="143" t="s">
        <v>346</v>
      </c>
      <c r="E203" s="144"/>
      <c r="F203" s="145" t="s">
        <v>4094</v>
      </c>
      <c r="H203" s="144"/>
      <c r="L203" s="142"/>
      <c r="M203" s="146"/>
      <c r="T203" s="147"/>
      <c r="AT203" s="144" t="s">
        <v>346</v>
      </c>
      <c r="AU203" s="144" t="s">
        <v>90</v>
      </c>
      <c r="AV203" s="141" t="s">
        <v>87</v>
      </c>
      <c r="AW203" s="141" t="s">
        <v>33</v>
      </c>
      <c r="AX203" s="141" t="s">
        <v>80</v>
      </c>
      <c r="AY203" s="144" t="s">
        <v>337</v>
      </c>
    </row>
    <row r="204" spans="2:51" s="148" customFormat="1" x14ac:dyDescent="0.2">
      <c r="B204" s="149"/>
      <c r="D204" s="143" t="s">
        <v>346</v>
      </c>
      <c r="E204" s="150"/>
      <c r="F204" s="151" t="s">
        <v>4095</v>
      </c>
      <c r="H204" s="152">
        <v>4.4800000000000004</v>
      </c>
      <c r="L204" s="149"/>
      <c r="M204" s="153"/>
      <c r="T204" s="154"/>
      <c r="AT204" s="150" t="s">
        <v>346</v>
      </c>
      <c r="AU204" s="150" t="s">
        <v>90</v>
      </c>
      <c r="AV204" s="148" t="s">
        <v>90</v>
      </c>
      <c r="AW204" s="148" t="s">
        <v>33</v>
      </c>
      <c r="AX204" s="148" t="s">
        <v>80</v>
      </c>
      <c r="AY204" s="150" t="s">
        <v>337</v>
      </c>
    </row>
    <row r="205" spans="2:51" s="172" customFormat="1" x14ac:dyDescent="0.2">
      <c r="B205" s="173"/>
      <c r="D205" s="143" t="s">
        <v>346</v>
      </c>
      <c r="E205" s="174" t="s">
        <v>4026</v>
      </c>
      <c r="F205" s="175" t="s">
        <v>609</v>
      </c>
      <c r="H205" s="176">
        <v>512.97</v>
      </c>
      <c r="L205" s="173"/>
      <c r="M205" s="177"/>
      <c r="T205" s="178"/>
      <c r="AT205" s="174" t="s">
        <v>346</v>
      </c>
      <c r="AU205" s="174" t="s">
        <v>90</v>
      </c>
      <c r="AV205" s="172" t="s">
        <v>113</v>
      </c>
      <c r="AW205" s="172" t="s">
        <v>33</v>
      </c>
      <c r="AX205" s="172" t="s">
        <v>80</v>
      </c>
      <c r="AY205" s="174" t="s">
        <v>337</v>
      </c>
    </row>
    <row r="206" spans="2:51" s="141" customFormat="1" x14ac:dyDescent="0.2">
      <c r="B206" s="142"/>
      <c r="D206" s="143" t="s">
        <v>346</v>
      </c>
      <c r="E206" s="144"/>
      <c r="F206" s="145" t="s">
        <v>4096</v>
      </c>
      <c r="H206" s="144"/>
      <c r="L206" s="142"/>
      <c r="M206" s="146"/>
      <c r="T206" s="147"/>
      <c r="AT206" s="144" t="s">
        <v>346</v>
      </c>
      <c r="AU206" s="144" t="s">
        <v>90</v>
      </c>
      <c r="AV206" s="141" t="s">
        <v>87</v>
      </c>
      <c r="AW206" s="141" t="s">
        <v>33</v>
      </c>
      <c r="AX206" s="141" t="s">
        <v>80</v>
      </c>
      <c r="AY206" s="144" t="s">
        <v>337</v>
      </c>
    </row>
    <row r="207" spans="2:51" s="148" customFormat="1" x14ac:dyDescent="0.2">
      <c r="B207" s="149"/>
      <c r="D207" s="143" t="s">
        <v>346</v>
      </c>
      <c r="E207" s="150"/>
      <c r="F207" s="151" t="s">
        <v>4097</v>
      </c>
      <c r="H207" s="152">
        <v>19.2</v>
      </c>
      <c r="L207" s="149"/>
      <c r="M207" s="153"/>
      <c r="T207" s="154"/>
      <c r="AT207" s="150" t="s">
        <v>346</v>
      </c>
      <c r="AU207" s="150" t="s">
        <v>90</v>
      </c>
      <c r="AV207" s="148" t="s">
        <v>90</v>
      </c>
      <c r="AW207" s="148" t="s">
        <v>33</v>
      </c>
      <c r="AX207" s="148" t="s">
        <v>80</v>
      </c>
      <c r="AY207" s="150" t="s">
        <v>337</v>
      </c>
    </row>
    <row r="208" spans="2:51" s="172" customFormat="1" x14ac:dyDescent="0.2">
      <c r="B208" s="173"/>
      <c r="D208" s="143" t="s">
        <v>346</v>
      </c>
      <c r="E208" s="174" t="s">
        <v>4030</v>
      </c>
      <c r="F208" s="175" t="s">
        <v>609</v>
      </c>
      <c r="H208" s="176">
        <v>19.2</v>
      </c>
      <c r="L208" s="173"/>
      <c r="M208" s="177"/>
      <c r="T208" s="178"/>
      <c r="AT208" s="174" t="s">
        <v>346</v>
      </c>
      <c r="AU208" s="174" t="s">
        <v>90</v>
      </c>
      <c r="AV208" s="172" t="s">
        <v>113</v>
      </c>
      <c r="AW208" s="172" t="s">
        <v>33</v>
      </c>
      <c r="AX208" s="172" t="s">
        <v>80</v>
      </c>
      <c r="AY208" s="174" t="s">
        <v>337</v>
      </c>
    </row>
    <row r="209" spans="2:65" s="141" customFormat="1" x14ac:dyDescent="0.2">
      <c r="B209" s="142"/>
      <c r="D209" s="143" t="s">
        <v>346</v>
      </c>
      <c r="E209" s="144"/>
      <c r="F209" s="145" t="s">
        <v>4098</v>
      </c>
      <c r="H209" s="144"/>
      <c r="L209" s="142"/>
      <c r="M209" s="146"/>
      <c r="T209" s="147"/>
      <c r="AT209" s="144" t="s">
        <v>346</v>
      </c>
      <c r="AU209" s="144" t="s">
        <v>90</v>
      </c>
      <c r="AV209" s="141" t="s">
        <v>87</v>
      </c>
      <c r="AW209" s="141" t="s">
        <v>33</v>
      </c>
      <c r="AX209" s="141" t="s">
        <v>80</v>
      </c>
      <c r="AY209" s="144" t="s">
        <v>337</v>
      </c>
    </row>
    <row r="210" spans="2:65" s="148" customFormat="1" x14ac:dyDescent="0.2">
      <c r="B210" s="149"/>
      <c r="D210" s="143" t="s">
        <v>346</v>
      </c>
      <c r="E210" s="150"/>
      <c r="F210" s="151" t="s">
        <v>4099</v>
      </c>
      <c r="H210" s="152">
        <v>25.92</v>
      </c>
      <c r="L210" s="149"/>
      <c r="M210" s="153"/>
      <c r="T210" s="154"/>
      <c r="AT210" s="150" t="s">
        <v>346</v>
      </c>
      <c r="AU210" s="150" t="s">
        <v>90</v>
      </c>
      <c r="AV210" s="148" t="s">
        <v>90</v>
      </c>
      <c r="AW210" s="148" t="s">
        <v>33</v>
      </c>
      <c r="AX210" s="148" t="s">
        <v>80</v>
      </c>
      <c r="AY210" s="150" t="s">
        <v>337</v>
      </c>
    </row>
    <row r="211" spans="2:65" s="172" customFormat="1" x14ac:dyDescent="0.2">
      <c r="B211" s="173"/>
      <c r="D211" s="143" t="s">
        <v>346</v>
      </c>
      <c r="E211" s="174" t="s">
        <v>4034</v>
      </c>
      <c r="F211" s="175" t="s">
        <v>609</v>
      </c>
      <c r="H211" s="176">
        <v>25.92</v>
      </c>
      <c r="L211" s="173"/>
      <c r="M211" s="177"/>
      <c r="T211" s="178"/>
      <c r="AT211" s="174" t="s">
        <v>346</v>
      </c>
      <c r="AU211" s="174" t="s">
        <v>90</v>
      </c>
      <c r="AV211" s="172" t="s">
        <v>113</v>
      </c>
      <c r="AW211" s="172" t="s">
        <v>33</v>
      </c>
      <c r="AX211" s="172" t="s">
        <v>80</v>
      </c>
      <c r="AY211" s="174" t="s">
        <v>337</v>
      </c>
    </row>
    <row r="212" spans="2:65" s="141" customFormat="1" x14ac:dyDescent="0.2">
      <c r="B212" s="142"/>
      <c r="D212" s="143" t="s">
        <v>346</v>
      </c>
      <c r="E212" s="144"/>
      <c r="F212" s="145" t="s">
        <v>4100</v>
      </c>
      <c r="H212" s="144"/>
      <c r="L212" s="142"/>
      <c r="M212" s="146"/>
      <c r="T212" s="147"/>
      <c r="AT212" s="144" t="s">
        <v>346</v>
      </c>
      <c r="AU212" s="144" t="s">
        <v>90</v>
      </c>
      <c r="AV212" s="141" t="s">
        <v>87</v>
      </c>
      <c r="AW212" s="141" t="s">
        <v>33</v>
      </c>
      <c r="AX212" s="141" t="s">
        <v>80</v>
      </c>
      <c r="AY212" s="144" t="s">
        <v>337</v>
      </c>
    </row>
    <row r="213" spans="2:65" s="148" customFormat="1" x14ac:dyDescent="0.2">
      <c r="B213" s="149"/>
      <c r="D213" s="143" t="s">
        <v>346</v>
      </c>
      <c r="E213" s="150"/>
      <c r="F213" s="151" t="s">
        <v>4017</v>
      </c>
      <c r="H213" s="152">
        <v>239.91</v>
      </c>
      <c r="L213" s="149"/>
      <c r="M213" s="153"/>
      <c r="T213" s="154"/>
      <c r="AT213" s="150" t="s">
        <v>346</v>
      </c>
      <c r="AU213" s="150" t="s">
        <v>90</v>
      </c>
      <c r="AV213" s="148" t="s">
        <v>90</v>
      </c>
      <c r="AW213" s="148" t="s">
        <v>33</v>
      </c>
      <c r="AX213" s="148" t="s">
        <v>80</v>
      </c>
      <c r="AY213" s="150" t="s">
        <v>337</v>
      </c>
    </row>
    <row r="214" spans="2:65" s="148" customFormat="1" x14ac:dyDescent="0.2">
      <c r="B214" s="149"/>
      <c r="D214" s="143" t="s">
        <v>346</v>
      </c>
      <c r="E214" s="150"/>
      <c r="F214" s="151" t="s">
        <v>4021</v>
      </c>
      <c r="H214" s="152">
        <v>59.22</v>
      </c>
      <c r="L214" s="149"/>
      <c r="M214" s="153"/>
      <c r="T214" s="154"/>
      <c r="AT214" s="150" t="s">
        <v>346</v>
      </c>
      <c r="AU214" s="150" t="s">
        <v>90</v>
      </c>
      <c r="AV214" s="148" t="s">
        <v>90</v>
      </c>
      <c r="AW214" s="148" t="s">
        <v>33</v>
      </c>
      <c r="AX214" s="148" t="s">
        <v>80</v>
      </c>
      <c r="AY214" s="150" t="s">
        <v>337</v>
      </c>
    </row>
    <row r="215" spans="2:65" s="148" customFormat="1" x14ac:dyDescent="0.2">
      <c r="B215" s="149"/>
      <c r="D215" s="143" t="s">
        <v>346</v>
      </c>
      <c r="E215" s="150"/>
      <c r="F215" s="151" t="s">
        <v>4026</v>
      </c>
      <c r="H215" s="152">
        <v>512.97</v>
      </c>
      <c r="L215" s="149"/>
      <c r="M215" s="153"/>
      <c r="T215" s="154"/>
      <c r="AT215" s="150" t="s">
        <v>346</v>
      </c>
      <c r="AU215" s="150" t="s">
        <v>90</v>
      </c>
      <c r="AV215" s="148" t="s">
        <v>90</v>
      </c>
      <c r="AW215" s="148" t="s">
        <v>33</v>
      </c>
      <c r="AX215" s="148" t="s">
        <v>80</v>
      </c>
      <c r="AY215" s="150" t="s">
        <v>337</v>
      </c>
    </row>
    <row r="216" spans="2:65" s="148" customFormat="1" x14ac:dyDescent="0.2">
      <c r="B216" s="149"/>
      <c r="D216" s="143" t="s">
        <v>346</v>
      </c>
      <c r="E216" s="150"/>
      <c r="F216" s="151" t="s">
        <v>4034</v>
      </c>
      <c r="H216" s="152">
        <v>25.92</v>
      </c>
      <c r="L216" s="149"/>
      <c r="M216" s="153"/>
      <c r="T216" s="154"/>
      <c r="AT216" s="150" t="s">
        <v>346</v>
      </c>
      <c r="AU216" s="150" t="s">
        <v>90</v>
      </c>
      <c r="AV216" s="148" t="s">
        <v>90</v>
      </c>
      <c r="AW216" s="148" t="s">
        <v>33</v>
      </c>
      <c r="AX216" s="148" t="s">
        <v>80</v>
      </c>
      <c r="AY216" s="150" t="s">
        <v>337</v>
      </c>
    </row>
    <row r="217" spans="2:65" s="155" customFormat="1" x14ac:dyDescent="0.2">
      <c r="B217" s="156"/>
      <c r="D217" s="143" t="s">
        <v>346</v>
      </c>
      <c r="E217" s="157"/>
      <c r="F217" s="158" t="s">
        <v>351</v>
      </c>
      <c r="H217" s="159">
        <v>1695.24</v>
      </c>
      <c r="L217" s="156"/>
      <c r="M217" s="160"/>
      <c r="T217" s="161"/>
      <c r="AT217" s="157" t="s">
        <v>346</v>
      </c>
      <c r="AU217" s="157" t="s">
        <v>90</v>
      </c>
      <c r="AV217" s="155" t="s">
        <v>344</v>
      </c>
      <c r="AW217" s="155" t="s">
        <v>33</v>
      </c>
      <c r="AX217" s="155" t="s">
        <v>87</v>
      </c>
      <c r="AY217" s="157" t="s">
        <v>337</v>
      </c>
    </row>
    <row r="218" spans="2:65" s="16" customFormat="1" ht="16.5" customHeight="1" x14ac:dyDescent="0.2">
      <c r="B218" s="17"/>
      <c r="C218" s="128">
        <v>10</v>
      </c>
      <c r="D218" s="128" t="s">
        <v>339</v>
      </c>
      <c r="E218" s="129" t="s">
        <v>4101</v>
      </c>
      <c r="F218" s="130" t="s">
        <v>4102</v>
      </c>
      <c r="G218" s="131" t="s">
        <v>449</v>
      </c>
      <c r="H218" s="132">
        <v>77</v>
      </c>
      <c r="I218" s="133"/>
      <c r="J218" s="134">
        <f>ROUND(I218*H218,2)</f>
        <v>0</v>
      </c>
      <c r="K218" s="130"/>
      <c r="L218" s="17"/>
      <c r="M218" s="135"/>
      <c r="N218" s="136" t="s">
        <v>45</v>
      </c>
      <c r="P218" s="137">
        <f>O218*H218</f>
        <v>0</v>
      </c>
      <c r="Q218" s="137">
        <v>1.08E-3</v>
      </c>
      <c r="R218" s="137">
        <f>Q218*H218</f>
        <v>8.3159999999999998E-2</v>
      </c>
      <c r="S218" s="137">
        <v>0</v>
      </c>
      <c r="T218" s="138">
        <f>S218*H218</f>
        <v>0</v>
      </c>
      <c r="AR218" s="139" t="s">
        <v>496</v>
      </c>
      <c r="AT218" s="139" t="s">
        <v>339</v>
      </c>
      <c r="AU218" s="139" t="s">
        <v>90</v>
      </c>
      <c r="AY218" s="2" t="s">
        <v>337</v>
      </c>
      <c r="BE218" s="140">
        <f>IF(N218="základní",J218,0)</f>
        <v>0</v>
      </c>
      <c r="BF218" s="140">
        <f>IF(N218="snížená",J218,0)</f>
        <v>0</v>
      </c>
      <c r="BG218" s="140">
        <f>IF(N218="zákl. přenesená",J218,0)</f>
        <v>0</v>
      </c>
      <c r="BH218" s="140">
        <f>IF(N218="sníž. přenesená",J218,0)</f>
        <v>0</v>
      </c>
      <c r="BI218" s="140">
        <f>IF(N218="nulová",J218,0)</f>
        <v>0</v>
      </c>
      <c r="BJ218" s="2" t="s">
        <v>87</v>
      </c>
      <c r="BK218" s="140">
        <f>ROUND(I218*H218,2)</f>
        <v>0</v>
      </c>
      <c r="BL218" s="2" t="s">
        <v>496</v>
      </c>
      <c r="BM218" s="139" t="s">
        <v>4103</v>
      </c>
    </row>
    <row r="219" spans="2:65" s="141" customFormat="1" x14ac:dyDescent="0.2">
      <c r="B219" s="142"/>
      <c r="D219" s="143" t="s">
        <v>346</v>
      </c>
      <c r="E219" s="144"/>
      <c r="F219" s="145" t="s">
        <v>4104</v>
      </c>
      <c r="H219" s="144"/>
      <c r="L219" s="142"/>
      <c r="M219" s="146"/>
      <c r="T219" s="147"/>
      <c r="AT219" s="144" t="s">
        <v>346</v>
      </c>
      <c r="AU219" s="144" t="s">
        <v>90</v>
      </c>
      <c r="AV219" s="141" t="s">
        <v>87</v>
      </c>
      <c r="AW219" s="141" t="s">
        <v>33</v>
      </c>
      <c r="AX219" s="141" t="s">
        <v>80</v>
      </c>
      <c r="AY219" s="144" t="s">
        <v>337</v>
      </c>
    </row>
    <row r="220" spans="2:65" s="141" customFormat="1" x14ac:dyDescent="0.2">
      <c r="B220" s="142"/>
      <c r="D220" s="143" t="s">
        <v>346</v>
      </c>
      <c r="E220" s="144"/>
      <c r="F220" s="145" t="s">
        <v>4105</v>
      </c>
      <c r="H220" s="144"/>
      <c r="L220" s="142"/>
      <c r="M220" s="146"/>
      <c r="T220" s="147"/>
      <c r="AT220" s="144" t="s">
        <v>346</v>
      </c>
      <c r="AU220" s="144" t="s">
        <v>90</v>
      </c>
      <c r="AV220" s="141" t="s">
        <v>87</v>
      </c>
      <c r="AW220" s="141" t="s">
        <v>33</v>
      </c>
      <c r="AX220" s="141" t="s">
        <v>80</v>
      </c>
      <c r="AY220" s="144" t="s">
        <v>337</v>
      </c>
    </row>
    <row r="221" spans="2:65" s="148" customFormat="1" x14ac:dyDescent="0.2">
      <c r="B221" s="149"/>
      <c r="D221" s="143" t="s">
        <v>346</v>
      </c>
      <c r="E221" s="150"/>
      <c r="F221" s="151" t="s">
        <v>496</v>
      </c>
      <c r="H221" s="152">
        <v>16</v>
      </c>
      <c r="L221" s="149"/>
      <c r="M221" s="153"/>
      <c r="T221" s="154"/>
      <c r="AT221" s="150" t="s">
        <v>346</v>
      </c>
      <c r="AU221" s="150" t="s">
        <v>90</v>
      </c>
      <c r="AV221" s="148" t="s">
        <v>90</v>
      </c>
      <c r="AW221" s="148" t="s">
        <v>33</v>
      </c>
      <c r="AX221" s="148" t="s">
        <v>80</v>
      </c>
      <c r="AY221" s="150" t="s">
        <v>337</v>
      </c>
    </row>
    <row r="222" spans="2:65" s="141" customFormat="1" x14ac:dyDescent="0.2">
      <c r="B222" s="142"/>
      <c r="D222" s="143" t="s">
        <v>346</v>
      </c>
      <c r="E222" s="144"/>
      <c r="F222" s="145" t="s">
        <v>4106</v>
      </c>
      <c r="H222" s="144"/>
      <c r="L222" s="142"/>
      <c r="M222" s="146"/>
      <c r="T222" s="147"/>
      <c r="AT222" s="144" t="s">
        <v>346</v>
      </c>
      <c r="AU222" s="144" t="s">
        <v>90</v>
      </c>
      <c r="AV222" s="141" t="s">
        <v>87</v>
      </c>
      <c r="AW222" s="141" t="s">
        <v>33</v>
      </c>
      <c r="AX222" s="141" t="s">
        <v>80</v>
      </c>
      <c r="AY222" s="144" t="s">
        <v>337</v>
      </c>
    </row>
    <row r="223" spans="2:65" s="148" customFormat="1" x14ac:dyDescent="0.2">
      <c r="B223" s="149"/>
      <c r="D223" s="143" t="s">
        <v>346</v>
      </c>
      <c r="E223" s="150"/>
      <c r="F223" s="151" t="s">
        <v>87</v>
      </c>
      <c r="H223" s="152">
        <v>1</v>
      </c>
      <c r="L223" s="149"/>
      <c r="M223" s="153"/>
      <c r="T223" s="154"/>
      <c r="AT223" s="150" t="s">
        <v>346</v>
      </c>
      <c r="AU223" s="150" t="s">
        <v>90</v>
      </c>
      <c r="AV223" s="148" t="s">
        <v>90</v>
      </c>
      <c r="AW223" s="148" t="s">
        <v>33</v>
      </c>
      <c r="AX223" s="148" t="s">
        <v>80</v>
      </c>
      <c r="AY223" s="150" t="s">
        <v>337</v>
      </c>
    </row>
    <row r="224" spans="2:65" s="141" customFormat="1" x14ac:dyDescent="0.2">
      <c r="B224" s="142"/>
      <c r="D224" s="143" t="s">
        <v>346</v>
      </c>
      <c r="E224" s="144"/>
      <c r="F224" s="145" t="s">
        <v>4107</v>
      </c>
      <c r="H224" s="144"/>
      <c r="L224" s="142"/>
      <c r="M224" s="146"/>
      <c r="T224" s="147"/>
      <c r="AT224" s="144" t="s">
        <v>346</v>
      </c>
      <c r="AU224" s="144" t="s">
        <v>90</v>
      </c>
      <c r="AV224" s="141" t="s">
        <v>87</v>
      </c>
      <c r="AW224" s="141" t="s">
        <v>33</v>
      </c>
      <c r="AX224" s="141" t="s">
        <v>80</v>
      </c>
      <c r="AY224" s="144" t="s">
        <v>337</v>
      </c>
    </row>
    <row r="225" spans="2:65" s="148" customFormat="1" x14ac:dyDescent="0.2">
      <c r="B225" s="149"/>
      <c r="D225" s="143" t="s">
        <v>346</v>
      </c>
      <c r="E225" s="150"/>
      <c r="F225" s="151" t="s">
        <v>818</v>
      </c>
      <c r="H225" s="152">
        <v>60</v>
      </c>
      <c r="L225" s="149"/>
      <c r="M225" s="153"/>
      <c r="T225" s="154"/>
      <c r="AT225" s="150" t="s">
        <v>346</v>
      </c>
      <c r="AU225" s="150" t="s">
        <v>90</v>
      </c>
      <c r="AV225" s="148" t="s">
        <v>90</v>
      </c>
      <c r="AW225" s="148" t="s">
        <v>33</v>
      </c>
      <c r="AX225" s="148" t="s">
        <v>80</v>
      </c>
      <c r="AY225" s="150" t="s">
        <v>337</v>
      </c>
    </row>
    <row r="226" spans="2:65" s="155" customFormat="1" x14ac:dyDescent="0.2">
      <c r="B226" s="156"/>
      <c r="D226" s="143" t="s">
        <v>346</v>
      </c>
      <c r="E226" s="157"/>
      <c r="F226" s="158" t="s">
        <v>351</v>
      </c>
      <c r="H226" s="159">
        <v>77</v>
      </c>
      <c r="L226" s="156"/>
      <c r="M226" s="160"/>
      <c r="T226" s="161"/>
      <c r="AT226" s="157" t="s">
        <v>346</v>
      </c>
      <c r="AU226" s="157" t="s">
        <v>90</v>
      </c>
      <c r="AV226" s="155" t="s">
        <v>344</v>
      </c>
      <c r="AW226" s="155" t="s">
        <v>33</v>
      </c>
      <c r="AX226" s="155" t="s">
        <v>87</v>
      </c>
      <c r="AY226" s="157" t="s">
        <v>337</v>
      </c>
    </row>
    <row r="227" spans="2:65" s="16" customFormat="1" ht="21.75" customHeight="1" x14ac:dyDescent="0.2">
      <c r="B227" s="17"/>
      <c r="C227" s="128">
        <v>11</v>
      </c>
      <c r="D227" s="128" t="s">
        <v>339</v>
      </c>
      <c r="E227" s="129" t="s">
        <v>4108</v>
      </c>
      <c r="F227" s="130" t="s">
        <v>4109</v>
      </c>
      <c r="G227" s="131" t="s">
        <v>449</v>
      </c>
      <c r="H227" s="132">
        <v>4</v>
      </c>
      <c r="I227" s="133"/>
      <c r="J227" s="134">
        <f>ROUND(I227*H227,2)</f>
        <v>0</v>
      </c>
      <c r="K227" s="130"/>
      <c r="L227" s="17"/>
      <c r="M227" s="135"/>
      <c r="N227" s="136" t="s">
        <v>45</v>
      </c>
      <c r="P227" s="137">
        <f>O227*H227</f>
        <v>0</v>
      </c>
      <c r="Q227" s="137">
        <v>3.2599999999999999E-3</v>
      </c>
      <c r="R227" s="137">
        <f>Q227*H227</f>
        <v>1.304E-2</v>
      </c>
      <c r="S227" s="137">
        <v>0</v>
      </c>
      <c r="T227" s="138">
        <f>S227*H227</f>
        <v>0</v>
      </c>
      <c r="AR227" s="139" t="s">
        <v>496</v>
      </c>
      <c r="AT227" s="139" t="s">
        <v>339</v>
      </c>
      <c r="AU227" s="139" t="s">
        <v>90</v>
      </c>
      <c r="AY227" s="2" t="s">
        <v>337</v>
      </c>
      <c r="BE227" s="140">
        <f>IF(N227="základní",J227,0)</f>
        <v>0</v>
      </c>
      <c r="BF227" s="140">
        <f>IF(N227="snížená",J227,0)</f>
        <v>0</v>
      </c>
      <c r="BG227" s="140">
        <f>IF(N227="zákl. přenesená",J227,0)</f>
        <v>0</v>
      </c>
      <c r="BH227" s="140">
        <f>IF(N227="sníž. přenesená",J227,0)</f>
        <v>0</v>
      </c>
      <c r="BI227" s="140">
        <f>IF(N227="nulová",J227,0)</f>
        <v>0</v>
      </c>
      <c r="BJ227" s="2" t="s">
        <v>87</v>
      </c>
      <c r="BK227" s="140">
        <f>ROUND(I227*H227,2)</f>
        <v>0</v>
      </c>
      <c r="BL227" s="2" t="s">
        <v>496</v>
      </c>
      <c r="BM227" s="139" t="s">
        <v>4110</v>
      </c>
    </row>
    <row r="228" spans="2:65" s="141" customFormat="1" x14ac:dyDescent="0.2">
      <c r="B228" s="142"/>
      <c r="D228" s="143" t="s">
        <v>346</v>
      </c>
      <c r="E228" s="144"/>
      <c r="F228" s="145" t="s">
        <v>4104</v>
      </c>
      <c r="H228" s="144"/>
      <c r="L228" s="142"/>
      <c r="M228" s="146"/>
      <c r="T228" s="147"/>
      <c r="AT228" s="144" t="s">
        <v>346</v>
      </c>
      <c r="AU228" s="144" t="s">
        <v>90</v>
      </c>
      <c r="AV228" s="141" t="s">
        <v>87</v>
      </c>
      <c r="AW228" s="141" t="s">
        <v>33</v>
      </c>
      <c r="AX228" s="141" t="s">
        <v>80</v>
      </c>
      <c r="AY228" s="144" t="s">
        <v>337</v>
      </c>
    </row>
    <row r="229" spans="2:65" s="148" customFormat="1" x14ac:dyDescent="0.2">
      <c r="B229" s="149"/>
      <c r="D229" s="143" t="s">
        <v>346</v>
      </c>
      <c r="E229" s="150"/>
      <c r="F229" s="151" t="s">
        <v>344</v>
      </c>
      <c r="H229" s="152">
        <v>4</v>
      </c>
      <c r="L229" s="149"/>
      <c r="M229" s="153"/>
      <c r="T229" s="154"/>
      <c r="AT229" s="150" t="s">
        <v>346</v>
      </c>
      <c r="AU229" s="150" t="s">
        <v>90</v>
      </c>
      <c r="AV229" s="148" t="s">
        <v>90</v>
      </c>
      <c r="AW229" s="148" t="s">
        <v>33</v>
      </c>
      <c r="AX229" s="148" t="s">
        <v>87</v>
      </c>
      <c r="AY229" s="150" t="s">
        <v>337</v>
      </c>
    </row>
    <row r="230" spans="2:65" s="16" customFormat="1" ht="16.5" customHeight="1" x14ac:dyDescent="0.2">
      <c r="B230" s="17"/>
      <c r="C230" s="128">
        <v>12</v>
      </c>
      <c r="D230" s="128" t="s">
        <v>339</v>
      </c>
      <c r="E230" s="129" t="s">
        <v>4111</v>
      </c>
      <c r="F230" s="130" t="s">
        <v>4112</v>
      </c>
      <c r="G230" s="131" t="s">
        <v>724</v>
      </c>
      <c r="H230" s="132">
        <v>700</v>
      </c>
      <c r="I230" s="133"/>
      <c r="J230" s="134">
        <f>ROUND(I230*H230,2)</f>
        <v>0</v>
      </c>
      <c r="K230" s="130"/>
      <c r="L230" s="17"/>
      <c r="M230" s="135"/>
      <c r="N230" s="136" t="s">
        <v>45</v>
      </c>
      <c r="P230" s="137">
        <f>O230*H230</f>
        <v>0</v>
      </c>
      <c r="Q230" s="137">
        <v>5.9999999999999995E-4</v>
      </c>
      <c r="R230" s="137">
        <f>Q230*H230</f>
        <v>0.42</v>
      </c>
      <c r="S230" s="137">
        <v>0</v>
      </c>
      <c r="T230" s="138">
        <f>S230*H230</f>
        <v>0</v>
      </c>
      <c r="AR230" s="139" t="s">
        <v>496</v>
      </c>
      <c r="AT230" s="139" t="s">
        <v>339</v>
      </c>
      <c r="AU230" s="139" t="s">
        <v>90</v>
      </c>
      <c r="AY230" s="2" t="s">
        <v>337</v>
      </c>
      <c r="BE230" s="140">
        <f>IF(N230="základní",J230,0)</f>
        <v>0</v>
      </c>
      <c r="BF230" s="140">
        <f>IF(N230="snížená",J230,0)</f>
        <v>0</v>
      </c>
      <c r="BG230" s="140">
        <f>IF(N230="zákl. přenesená",J230,0)</f>
        <v>0</v>
      </c>
      <c r="BH230" s="140">
        <f>IF(N230="sníž. přenesená",J230,0)</f>
        <v>0</v>
      </c>
      <c r="BI230" s="140">
        <f>IF(N230="nulová",J230,0)</f>
        <v>0</v>
      </c>
      <c r="BJ230" s="2" t="s">
        <v>87</v>
      </c>
      <c r="BK230" s="140">
        <f>ROUND(I230*H230,2)</f>
        <v>0</v>
      </c>
      <c r="BL230" s="2" t="s">
        <v>496</v>
      </c>
      <c r="BM230" s="139" t="s">
        <v>4113</v>
      </c>
    </row>
    <row r="231" spans="2:65" s="148" customFormat="1" ht="22.5" x14ac:dyDescent="0.2">
      <c r="B231" s="149"/>
      <c r="D231" s="143" t="s">
        <v>346</v>
      </c>
      <c r="E231" s="150"/>
      <c r="F231" s="151" t="s">
        <v>4114</v>
      </c>
      <c r="H231" s="152">
        <v>700</v>
      </c>
      <c r="L231" s="149"/>
      <c r="M231" s="153"/>
      <c r="T231" s="154"/>
      <c r="AT231" s="150" t="s">
        <v>346</v>
      </c>
      <c r="AU231" s="150" t="s">
        <v>90</v>
      </c>
      <c r="AV231" s="148" t="s">
        <v>90</v>
      </c>
      <c r="AW231" s="148" t="s">
        <v>33</v>
      </c>
      <c r="AX231" s="148" t="s">
        <v>87</v>
      </c>
      <c r="AY231" s="150" t="s">
        <v>337</v>
      </c>
    </row>
    <row r="232" spans="2:65" s="16" customFormat="1" ht="16.5" customHeight="1" x14ac:dyDescent="0.2">
      <c r="B232" s="17"/>
      <c r="C232" s="128">
        <v>13</v>
      </c>
      <c r="D232" s="128" t="s">
        <v>339</v>
      </c>
      <c r="E232" s="129" t="s">
        <v>4115</v>
      </c>
      <c r="F232" s="130" t="s">
        <v>4116</v>
      </c>
      <c r="G232" s="131" t="s">
        <v>425</v>
      </c>
      <c r="H232" s="132">
        <v>326.26100000000002</v>
      </c>
      <c r="I232" s="133"/>
      <c r="J232" s="134">
        <f>ROUND(I232*H232,2)</f>
        <v>0</v>
      </c>
      <c r="K232" s="130" t="s">
        <v>343</v>
      </c>
      <c r="L232" s="17"/>
      <c r="M232" s="135"/>
      <c r="N232" s="136" t="s">
        <v>45</v>
      </c>
      <c r="P232" s="137">
        <f>O232*H232</f>
        <v>0</v>
      </c>
      <c r="Q232" s="137">
        <v>0</v>
      </c>
      <c r="R232" s="137">
        <f>Q232*H232</f>
        <v>0</v>
      </c>
      <c r="S232" s="137">
        <v>0</v>
      </c>
      <c r="T232" s="138">
        <f>S232*H232</f>
        <v>0</v>
      </c>
      <c r="AR232" s="139" t="s">
        <v>496</v>
      </c>
      <c r="AT232" s="139" t="s">
        <v>339</v>
      </c>
      <c r="AU232" s="139" t="s">
        <v>90</v>
      </c>
      <c r="AY232" s="2" t="s">
        <v>337</v>
      </c>
      <c r="BE232" s="140">
        <f>IF(N232="základní",J232,0)</f>
        <v>0</v>
      </c>
      <c r="BF232" s="140">
        <f>IF(N232="snížená",J232,0)</f>
        <v>0</v>
      </c>
      <c r="BG232" s="140">
        <f>IF(N232="zákl. přenesená",J232,0)</f>
        <v>0</v>
      </c>
      <c r="BH232" s="140">
        <f>IF(N232="sníž. přenesená",J232,0)</f>
        <v>0</v>
      </c>
      <c r="BI232" s="140">
        <f>IF(N232="nulová",J232,0)</f>
        <v>0</v>
      </c>
      <c r="BJ232" s="2" t="s">
        <v>87</v>
      </c>
      <c r="BK232" s="140">
        <f>ROUND(I232*H232,2)</f>
        <v>0</v>
      </c>
      <c r="BL232" s="2" t="s">
        <v>496</v>
      </c>
      <c r="BM232" s="139" t="s">
        <v>4117</v>
      </c>
    </row>
    <row r="233" spans="2:65" s="148" customFormat="1" x14ac:dyDescent="0.2">
      <c r="B233" s="149"/>
      <c r="D233" s="143" t="s">
        <v>346</v>
      </c>
      <c r="E233" s="150"/>
      <c r="F233" s="151" t="s">
        <v>4019</v>
      </c>
      <c r="H233" s="152">
        <v>120.461</v>
      </c>
      <c r="L233" s="149"/>
      <c r="M233" s="153"/>
      <c r="T233" s="154"/>
      <c r="AT233" s="150" t="s">
        <v>346</v>
      </c>
      <c r="AU233" s="150" t="s">
        <v>90</v>
      </c>
      <c r="AV233" s="148" t="s">
        <v>90</v>
      </c>
      <c r="AW233" s="148" t="s">
        <v>33</v>
      </c>
      <c r="AX233" s="148" t="s">
        <v>80</v>
      </c>
      <c r="AY233" s="150" t="s">
        <v>337</v>
      </c>
    </row>
    <row r="234" spans="2:65" s="148" customFormat="1" x14ac:dyDescent="0.2">
      <c r="B234" s="149"/>
      <c r="D234" s="143" t="s">
        <v>346</v>
      </c>
      <c r="E234" s="150"/>
      <c r="F234" s="151" t="s">
        <v>4024</v>
      </c>
      <c r="H234" s="152">
        <v>34.6</v>
      </c>
      <c r="L234" s="149"/>
      <c r="M234" s="153"/>
      <c r="T234" s="154"/>
      <c r="AT234" s="150" t="s">
        <v>346</v>
      </c>
      <c r="AU234" s="150" t="s">
        <v>90</v>
      </c>
      <c r="AV234" s="148" t="s">
        <v>90</v>
      </c>
      <c r="AW234" s="148" t="s">
        <v>33</v>
      </c>
      <c r="AX234" s="148" t="s">
        <v>80</v>
      </c>
      <c r="AY234" s="150" t="s">
        <v>337</v>
      </c>
    </row>
    <row r="235" spans="2:65" s="148" customFormat="1" x14ac:dyDescent="0.2">
      <c r="B235" s="149"/>
      <c r="D235" s="143" t="s">
        <v>346</v>
      </c>
      <c r="E235" s="150"/>
      <c r="F235" s="151" t="s">
        <v>4028</v>
      </c>
      <c r="H235" s="152">
        <v>161.56</v>
      </c>
      <c r="L235" s="149"/>
      <c r="M235" s="153"/>
      <c r="T235" s="154"/>
      <c r="AT235" s="150" t="s">
        <v>346</v>
      </c>
      <c r="AU235" s="150" t="s">
        <v>90</v>
      </c>
      <c r="AV235" s="148" t="s">
        <v>90</v>
      </c>
      <c r="AW235" s="148" t="s">
        <v>33</v>
      </c>
      <c r="AX235" s="148" t="s">
        <v>80</v>
      </c>
      <c r="AY235" s="150" t="s">
        <v>337</v>
      </c>
    </row>
    <row r="236" spans="2:65" s="148" customFormat="1" x14ac:dyDescent="0.2">
      <c r="B236" s="149"/>
      <c r="D236" s="143" t="s">
        <v>346</v>
      </c>
      <c r="E236" s="150"/>
      <c r="F236" s="151" t="s">
        <v>4032</v>
      </c>
      <c r="H236" s="152">
        <v>1.6</v>
      </c>
      <c r="L236" s="149"/>
      <c r="M236" s="153"/>
      <c r="T236" s="154"/>
      <c r="AT236" s="150" t="s">
        <v>346</v>
      </c>
      <c r="AU236" s="150" t="s">
        <v>90</v>
      </c>
      <c r="AV236" s="148" t="s">
        <v>90</v>
      </c>
      <c r="AW236" s="148" t="s">
        <v>33</v>
      </c>
      <c r="AX236" s="148" t="s">
        <v>80</v>
      </c>
      <c r="AY236" s="150" t="s">
        <v>337</v>
      </c>
    </row>
    <row r="237" spans="2:65" s="148" customFormat="1" x14ac:dyDescent="0.2">
      <c r="B237" s="149"/>
      <c r="D237" s="143" t="s">
        <v>346</v>
      </c>
      <c r="E237" s="150"/>
      <c r="F237" s="151" t="s">
        <v>4036</v>
      </c>
      <c r="H237" s="152">
        <v>8.0399999999999991</v>
      </c>
      <c r="L237" s="149"/>
      <c r="M237" s="153"/>
      <c r="T237" s="154"/>
      <c r="AT237" s="150" t="s">
        <v>346</v>
      </c>
      <c r="AU237" s="150" t="s">
        <v>90</v>
      </c>
      <c r="AV237" s="148" t="s">
        <v>90</v>
      </c>
      <c r="AW237" s="148" t="s">
        <v>33</v>
      </c>
      <c r="AX237" s="148" t="s">
        <v>80</v>
      </c>
      <c r="AY237" s="150" t="s">
        <v>337</v>
      </c>
    </row>
    <row r="238" spans="2:65" s="155" customFormat="1" x14ac:dyDescent="0.2">
      <c r="B238" s="156"/>
      <c r="D238" s="143" t="s">
        <v>346</v>
      </c>
      <c r="E238" s="157"/>
      <c r="F238" s="158" t="s">
        <v>351</v>
      </c>
      <c r="H238" s="159">
        <v>326.26100000000002</v>
      </c>
      <c r="L238" s="156"/>
      <c r="M238" s="160"/>
      <c r="T238" s="161"/>
      <c r="AT238" s="157" t="s">
        <v>346</v>
      </c>
      <c r="AU238" s="157" t="s">
        <v>90</v>
      </c>
      <c r="AV238" s="155" t="s">
        <v>344</v>
      </c>
      <c r="AW238" s="155" t="s">
        <v>33</v>
      </c>
      <c r="AX238" s="155" t="s">
        <v>87</v>
      </c>
      <c r="AY238" s="157" t="s">
        <v>337</v>
      </c>
    </row>
    <row r="239" spans="2:65" s="16" customFormat="1" ht="16.5" customHeight="1" x14ac:dyDescent="0.2">
      <c r="B239" s="17"/>
      <c r="C239" s="162">
        <v>14</v>
      </c>
      <c r="D239" s="162" t="s">
        <v>519</v>
      </c>
      <c r="E239" s="163" t="s">
        <v>3860</v>
      </c>
      <c r="F239" s="164" t="s">
        <v>3861</v>
      </c>
      <c r="G239" s="165" t="s">
        <v>990</v>
      </c>
      <c r="H239" s="166">
        <v>0.41399999999999998</v>
      </c>
      <c r="I239" s="167"/>
      <c r="J239" s="168">
        <f>ROUND(I239*H239,2)</f>
        <v>0</v>
      </c>
      <c r="K239" s="164" t="s">
        <v>343</v>
      </c>
      <c r="L239" s="169"/>
      <c r="M239" s="170"/>
      <c r="N239" s="171" t="s">
        <v>45</v>
      </c>
      <c r="P239" s="137">
        <f>O239*H239</f>
        <v>0</v>
      </c>
      <c r="Q239" s="137">
        <v>1</v>
      </c>
      <c r="R239" s="137">
        <f>Q239*H239</f>
        <v>0.41399999999999998</v>
      </c>
      <c r="S239" s="137">
        <v>0</v>
      </c>
      <c r="T239" s="138">
        <f>S239*H239</f>
        <v>0</v>
      </c>
      <c r="AR239" s="139" t="s">
        <v>621</v>
      </c>
      <c r="AT239" s="139" t="s">
        <v>519</v>
      </c>
      <c r="AU239" s="139" t="s">
        <v>90</v>
      </c>
      <c r="AY239" s="2" t="s">
        <v>337</v>
      </c>
      <c r="BE239" s="140">
        <f>IF(N239="základní",J239,0)</f>
        <v>0</v>
      </c>
      <c r="BF239" s="140">
        <f>IF(N239="snížená",J239,0)</f>
        <v>0</v>
      </c>
      <c r="BG239" s="140">
        <f>IF(N239="zákl. přenesená",J239,0)</f>
        <v>0</v>
      </c>
      <c r="BH239" s="140">
        <f>IF(N239="sníž. přenesená",J239,0)</f>
        <v>0</v>
      </c>
      <c r="BI239" s="140">
        <f>IF(N239="nulová",J239,0)</f>
        <v>0</v>
      </c>
      <c r="BJ239" s="2" t="s">
        <v>87</v>
      </c>
      <c r="BK239" s="140">
        <f>ROUND(I239*H239,2)</f>
        <v>0</v>
      </c>
      <c r="BL239" s="2" t="s">
        <v>496</v>
      </c>
      <c r="BM239" s="139" t="s">
        <v>4118</v>
      </c>
    </row>
    <row r="240" spans="2:65" s="148" customFormat="1" x14ac:dyDescent="0.2">
      <c r="B240" s="149"/>
      <c r="D240" s="143" t="s">
        <v>346</v>
      </c>
      <c r="F240" s="151" t="s">
        <v>4119</v>
      </c>
      <c r="H240" s="152">
        <v>0.41399999999999998</v>
      </c>
      <c r="L240" s="149"/>
      <c r="M240" s="153"/>
      <c r="T240" s="154"/>
      <c r="AT240" s="150" t="s">
        <v>346</v>
      </c>
      <c r="AU240" s="150" t="s">
        <v>90</v>
      </c>
      <c r="AV240" s="148" t="s">
        <v>90</v>
      </c>
      <c r="AW240" s="148" t="s">
        <v>3</v>
      </c>
      <c r="AX240" s="148" t="s">
        <v>87</v>
      </c>
      <c r="AY240" s="150" t="s">
        <v>337</v>
      </c>
    </row>
    <row r="241" spans="2:65" s="16" customFormat="1" ht="16.5" customHeight="1" x14ac:dyDescent="0.2">
      <c r="B241" s="17"/>
      <c r="C241" s="128">
        <v>15</v>
      </c>
      <c r="D241" s="128" t="s">
        <v>339</v>
      </c>
      <c r="E241" s="129" t="s">
        <v>4120</v>
      </c>
      <c r="F241" s="130" t="s">
        <v>4121</v>
      </c>
      <c r="G241" s="131" t="s">
        <v>425</v>
      </c>
      <c r="H241" s="132">
        <v>977.18299999999999</v>
      </c>
      <c r="I241" s="133"/>
      <c r="J241" s="134">
        <f>ROUND(I241*H241,2)</f>
        <v>0</v>
      </c>
      <c r="K241" s="130" t="s">
        <v>343</v>
      </c>
      <c r="L241" s="17"/>
      <c r="M241" s="135"/>
      <c r="N241" s="136" t="s">
        <v>45</v>
      </c>
      <c r="P241" s="137">
        <f>O241*H241</f>
        <v>0</v>
      </c>
      <c r="Q241" s="137">
        <v>9.3999999999999997E-4</v>
      </c>
      <c r="R241" s="137">
        <f>Q241*H241</f>
        <v>0.91855201999999991</v>
      </c>
      <c r="S241" s="137">
        <v>0</v>
      </c>
      <c r="T241" s="138">
        <f>S241*H241</f>
        <v>0</v>
      </c>
      <c r="AR241" s="139" t="s">
        <v>496</v>
      </c>
      <c r="AT241" s="139" t="s">
        <v>339</v>
      </c>
      <c r="AU241" s="139" t="s">
        <v>90</v>
      </c>
      <c r="AY241" s="2" t="s">
        <v>337</v>
      </c>
      <c r="BE241" s="140">
        <f>IF(N241="základní",J241,0)</f>
        <v>0</v>
      </c>
      <c r="BF241" s="140">
        <f>IF(N241="snížená",J241,0)</f>
        <v>0</v>
      </c>
      <c r="BG241" s="140">
        <f>IF(N241="zákl. přenesená",J241,0)</f>
        <v>0</v>
      </c>
      <c r="BH241" s="140">
        <f>IF(N241="sníž. přenesená",J241,0)</f>
        <v>0</v>
      </c>
      <c r="BI241" s="140">
        <f>IF(N241="nulová",J241,0)</f>
        <v>0</v>
      </c>
      <c r="BJ241" s="2" t="s">
        <v>87</v>
      </c>
      <c r="BK241" s="140">
        <f>ROUND(I241*H241,2)</f>
        <v>0</v>
      </c>
      <c r="BL241" s="2" t="s">
        <v>496</v>
      </c>
      <c r="BM241" s="139" t="s">
        <v>4122</v>
      </c>
    </row>
    <row r="242" spans="2:65" s="141" customFormat="1" x14ac:dyDescent="0.2">
      <c r="B242" s="142"/>
      <c r="D242" s="143" t="s">
        <v>346</v>
      </c>
      <c r="E242" s="144"/>
      <c r="F242" s="145" t="s">
        <v>4077</v>
      </c>
      <c r="H242" s="144"/>
      <c r="L242" s="142"/>
      <c r="M242" s="146"/>
      <c r="T242" s="147"/>
      <c r="AT242" s="144" t="s">
        <v>346</v>
      </c>
      <c r="AU242" s="144" t="s">
        <v>90</v>
      </c>
      <c r="AV242" s="141" t="s">
        <v>87</v>
      </c>
      <c r="AW242" s="141" t="s">
        <v>33</v>
      </c>
      <c r="AX242" s="141" t="s">
        <v>80</v>
      </c>
      <c r="AY242" s="144" t="s">
        <v>337</v>
      </c>
    </row>
    <row r="243" spans="2:65" s="141" customFormat="1" x14ac:dyDescent="0.2">
      <c r="B243" s="142"/>
      <c r="D243" s="143" t="s">
        <v>346</v>
      </c>
      <c r="E243" s="144"/>
      <c r="F243" s="145" t="s">
        <v>4079</v>
      </c>
      <c r="H243" s="144"/>
      <c r="L243" s="142"/>
      <c r="M243" s="146"/>
      <c r="T243" s="147"/>
      <c r="AT243" s="144" t="s">
        <v>346</v>
      </c>
      <c r="AU243" s="144" t="s">
        <v>90</v>
      </c>
      <c r="AV243" s="141" t="s">
        <v>87</v>
      </c>
      <c r="AW243" s="141" t="s">
        <v>33</v>
      </c>
      <c r="AX243" s="141" t="s">
        <v>80</v>
      </c>
      <c r="AY243" s="144" t="s">
        <v>337</v>
      </c>
    </row>
    <row r="244" spans="2:65" s="141" customFormat="1" x14ac:dyDescent="0.2">
      <c r="B244" s="142"/>
      <c r="D244" s="143" t="s">
        <v>346</v>
      </c>
      <c r="E244" s="144"/>
      <c r="F244" s="145" t="s">
        <v>4123</v>
      </c>
      <c r="H244" s="144"/>
      <c r="L244" s="142"/>
      <c r="M244" s="146"/>
      <c r="T244" s="147"/>
      <c r="AT244" s="144" t="s">
        <v>346</v>
      </c>
      <c r="AU244" s="144" t="s">
        <v>90</v>
      </c>
      <c r="AV244" s="141" t="s">
        <v>87</v>
      </c>
      <c r="AW244" s="141" t="s">
        <v>33</v>
      </c>
      <c r="AX244" s="141" t="s">
        <v>80</v>
      </c>
      <c r="AY244" s="144" t="s">
        <v>337</v>
      </c>
    </row>
    <row r="245" spans="2:65" s="141" customFormat="1" x14ac:dyDescent="0.2">
      <c r="B245" s="142"/>
      <c r="D245" s="143" t="s">
        <v>346</v>
      </c>
      <c r="E245" s="144"/>
      <c r="F245" s="145" t="s">
        <v>4124</v>
      </c>
      <c r="H245" s="144"/>
      <c r="L245" s="142"/>
      <c r="M245" s="146"/>
      <c r="T245" s="147"/>
      <c r="AT245" s="144" t="s">
        <v>346</v>
      </c>
      <c r="AU245" s="144" t="s">
        <v>90</v>
      </c>
      <c r="AV245" s="141" t="s">
        <v>87</v>
      </c>
      <c r="AW245" s="141" t="s">
        <v>33</v>
      </c>
      <c r="AX245" s="141" t="s">
        <v>80</v>
      </c>
      <c r="AY245" s="144" t="s">
        <v>337</v>
      </c>
    </row>
    <row r="246" spans="2:65" s="148" customFormat="1" x14ac:dyDescent="0.2">
      <c r="B246" s="149"/>
      <c r="D246" s="143" t="s">
        <v>346</v>
      </c>
      <c r="E246" s="150"/>
      <c r="F246" s="151" t="s">
        <v>4125</v>
      </c>
      <c r="H246" s="152">
        <v>55.25</v>
      </c>
      <c r="L246" s="149"/>
      <c r="M246" s="153"/>
      <c r="T246" s="154"/>
      <c r="AT246" s="150" t="s">
        <v>346</v>
      </c>
      <c r="AU246" s="150" t="s">
        <v>90</v>
      </c>
      <c r="AV246" s="148" t="s">
        <v>90</v>
      </c>
      <c r="AW246" s="148" t="s">
        <v>33</v>
      </c>
      <c r="AX246" s="148" t="s">
        <v>80</v>
      </c>
      <c r="AY246" s="150" t="s">
        <v>337</v>
      </c>
    </row>
    <row r="247" spans="2:65" s="141" customFormat="1" x14ac:dyDescent="0.2">
      <c r="B247" s="142"/>
      <c r="D247" s="143" t="s">
        <v>346</v>
      </c>
      <c r="E247" s="144"/>
      <c r="F247" s="145" t="s">
        <v>4126</v>
      </c>
      <c r="H247" s="144"/>
      <c r="L247" s="142"/>
      <c r="M247" s="146"/>
      <c r="T247" s="147"/>
      <c r="AT247" s="144" t="s">
        <v>346</v>
      </c>
      <c r="AU247" s="144" t="s">
        <v>90</v>
      </c>
      <c r="AV247" s="141" t="s">
        <v>87</v>
      </c>
      <c r="AW247" s="141" t="s">
        <v>33</v>
      </c>
      <c r="AX247" s="141" t="s">
        <v>80</v>
      </c>
      <c r="AY247" s="144" t="s">
        <v>337</v>
      </c>
    </row>
    <row r="248" spans="2:65" s="148" customFormat="1" x14ac:dyDescent="0.2">
      <c r="B248" s="149"/>
      <c r="D248" s="143" t="s">
        <v>346</v>
      </c>
      <c r="E248" s="150"/>
      <c r="F248" s="151" t="s">
        <v>4127</v>
      </c>
      <c r="H248" s="152">
        <v>7.95</v>
      </c>
      <c r="L248" s="149"/>
      <c r="M248" s="153"/>
      <c r="T248" s="154"/>
      <c r="AT248" s="150" t="s">
        <v>346</v>
      </c>
      <c r="AU248" s="150" t="s">
        <v>90</v>
      </c>
      <c r="AV248" s="148" t="s">
        <v>90</v>
      </c>
      <c r="AW248" s="148" t="s">
        <v>33</v>
      </c>
      <c r="AX248" s="148" t="s">
        <v>80</v>
      </c>
      <c r="AY248" s="150" t="s">
        <v>337</v>
      </c>
    </row>
    <row r="249" spans="2:65" s="141" customFormat="1" x14ac:dyDescent="0.2">
      <c r="B249" s="142"/>
      <c r="D249" s="143" t="s">
        <v>346</v>
      </c>
      <c r="E249" s="144"/>
      <c r="F249" s="145" t="s">
        <v>4085</v>
      </c>
      <c r="H249" s="144"/>
      <c r="L249" s="142"/>
      <c r="M249" s="146"/>
      <c r="T249" s="147"/>
      <c r="AT249" s="144" t="s">
        <v>346</v>
      </c>
      <c r="AU249" s="144" t="s">
        <v>90</v>
      </c>
      <c r="AV249" s="141" t="s">
        <v>87</v>
      </c>
      <c r="AW249" s="141" t="s">
        <v>33</v>
      </c>
      <c r="AX249" s="141" t="s">
        <v>80</v>
      </c>
      <c r="AY249" s="144" t="s">
        <v>337</v>
      </c>
    </row>
    <row r="250" spans="2:65" s="141" customFormat="1" x14ac:dyDescent="0.2">
      <c r="B250" s="142"/>
      <c r="D250" s="143" t="s">
        <v>346</v>
      </c>
      <c r="E250" s="144"/>
      <c r="F250" s="145" t="s">
        <v>4128</v>
      </c>
      <c r="H250" s="144"/>
      <c r="L250" s="142"/>
      <c r="M250" s="146"/>
      <c r="T250" s="147"/>
      <c r="AT250" s="144" t="s">
        <v>346</v>
      </c>
      <c r="AU250" s="144" t="s">
        <v>90</v>
      </c>
      <c r="AV250" s="141" t="s">
        <v>87</v>
      </c>
      <c r="AW250" s="141" t="s">
        <v>33</v>
      </c>
      <c r="AX250" s="141" t="s">
        <v>80</v>
      </c>
      <c r="AY250" s="144" t="s">
        <v>337</v>
      </c>
    </row>
    <row r="251" spans="2:65" s="148" customFormat="1" x14ac:dyDescent="0.2">
      <c r="B251" s="149"/>
      <c r="D251" s="143" t="s">
        <v>346</v>
      </c>
      <c r="E251" s="150"/>
      <c r="F251" s="151" t="s">
        <v>4129</v>
      </c>
      <c r="H251" s="152">
        <v>49.070999999999998</v>
      </c>
      <c r="L251" s="149"/>
      <c r="M251" s="153"/>
      <c r="T251" s="154"/>
      <c r="AT251" s="150" t="s">
        <v>346</v>
      </c>
      <c r="AU251" s="150" t="s">
        <v>90</v>
      </c>
      <c r="AV251" s="148" t="s">
        <v>90</v>
      </c>
      <c r="AW251" s="148" t="s">
        <v>33</v>
      </c>
      <c r="AX251" s="148" t="s">
        <v>80</v>
      </c>
      <c r="AY251" s="150" t="s">
        <v>337</v>
      </c>
    </row>
    <row r="252" spans="2:65" s="141" customFormat="1" x14ac:dyDescent="0.2">
      <c r="B252" s="142"/>
      <c r="D252" s="143" t="s">
        <v>346</v>
      </c>
      <c r="E252" s="144"/>
      <c r="F252" s="145" t="s">
        <v>4130</v>
      </c>
      <c r="H252" s="144"/>
      <c r="L252" s="142"/>
      <c r="M252" s="146"/>
      <c r="T252" s="147"/>
      <c r="AT252" s="144" t="s">
        <v>346</v>
      </c>
      <c r="AU252" s="144" t="s">
        <v>90</v>
      </c>
      <c r="AV252" s="141" t="s">
        <v>87</v>
      </c>
      <c r="AW252" s="141" t="s">
        <v>33</v>
      </c>
      <c r="AX252" s="141" t="s">
        <v>80</v>
      </c>
      <c r="AY252" s="144" t="s">
        <v>337</v>
      </c>
    </row>
    <row r="253" spans="2:65" s="148" customFormat="1" x14ac:dyDescent="0.2">
      <c r="B253" s="149"/>
      <c r="D253" s="143" t="s">
        <v>346</v>
      </c>
      <c r="E253" s="150"/>
      <c r="F253" s="151" t="s">
        <v>4131</v>
      </c>
      <c r="H253" s="152">
        <v>8.19</v>
      </c>
      <c r="L253" s="149"/>
      <c r="M253" s="153"/>
      <c r="T253" s="154"/>
      <c r="AT253" s="150" t="s">
        <v>346</v>
      </c>
      <c r="AU253" s="150" t="s">
        <v>90</v>
      </c>
      <c r="AV253" s="148" t="s">
        <v>90</v>
      </c>
      <c r="AW253" s="148" t="s">
        <v>33</v>
      </c>
      <c r="AX253" s="148" t="s">
        <v>80</v>
      </c>
      <c r="AY253" s="150" t="s">
        <v>337</v>
      </c>
    </row>
    <row r="254" spans="2:65" s="172" customFormat="1" x14ac:dyDescent="0.2">
      <c r="B254" s="173"/>
      <c r="D254" s="143" t="s">
        <v>346</v>
      </c>
      <c r="E254" s="174" t="s">
        <v>4019</v>
      </c>
      <c r="F254" s="175" t="s">
        <v>609</v>
      </c>
      <c r="H254" s="176">
        <v>120.461</v>
      </c>
      <c r="L254" s="173"/>
      <c r="M254" s="177"/>
      <c r="T254" s="178"/>
      <c r="AT254" s="174" t="s">
        <v>346</v>
      </c>
      <c r="AU254" s="174" t="s">
        <v>90</v>
      </c>
      <c r="AV254" s="172" t="s">
        <v>113</v>
      </c>
      <c r="AW254" s="172" t="s">
        <v>33</v>
      </c>
      <c r="AX254" s="172" t="s">
        <v>80</v>
      </c>
      <c r="AY254" s="174" t="s">
        <v>337</v>
      </c>
    </row>
    <row r="255" spans="2:65" s="141" customFormat="1" x14ac:dyDescent="0.2">
      <c r="B255" s="142"/>
      <c r="D255" s="143" t="s">
        <v>346</v>
      </c>
      <c r="E255" s="144"/>
      <c r="F255" s="145" t="s">
        <v>4132</v>
      </c>
      <c r="H255" s="144"/>
      <c r="L255" s="142"/>
      <c r="M255" s="146"/>
      <c r="T255" s="147"/>
      <c r="AT255" s="144" t="s">
        <v>346</v>
      </c>
      <c r="AU255" s="144" t="s">
        <v>90</v>
      </c>
      <c r="AV255" s="141" t="s">
        <v>87</v>
      </c>
      <c r="AW255" s="141" t="s">
        <v>33</v>
      </c>
      <c r="AX255" s="141" t="s">
        <v>80</v>
      </c>
      <c r="AY255" s="144" t="s">
        <v>337</v>
      </c>
    </row>
    <row r="256" spans="2:65" s="141" customFormat="1" x14ac:dyDescent="0.2">
      <c r="B256" s="142"/>
      <c r="D256" s="143" t="s">
        <v>346</v>
      </c>
      <c r="E256" s="144"/>
      <c r="F256" s="145" t="s">
        <v>4133</v>
      </c>
      <c r="H256" s="144"/>
      <c r="L256" s="142"/>
      <c r="M256" s="146"/>
      <c r="T256" s="147"/>
      <c r="AT256" s="144" t="s">
        <v>346</v>
      </c>
      <c r="AU256" s="144" t="s">
        <v>90</v>
      </c>
      <c r="AV256" s="141" t="s">
        <v>87</v>
      </c>
      <c r="AW256" s="141" t="s">
        <v>33</v>
      </c>
      <c r="AX256" s="141" t="s">
        <v>80</v>
      </c>
      <c r="AY256" s="144" t="s">
        <v>337</v>
      </c>
    </row>
    <row r="257" spans="2:51" s="148" customFormat="1" x14ac:dyDescent="0.2">
      <c r="B257" s="149"/>
      <c r="D257" s="143" t="s">
        <v>346</v>
      </c>
      <c r="E257" s="150"/>
      <c r="F257" s="151" t="s">
        <v>4134</v>
      </c>
      <c r="H257" s="152">
        <v>29.9</v>
      </c>
      <c r="L257" s="149"/>
      <c r="M257" s="153"/>
      <c r="T257" s="154"/>
      <c r="AT257" s="150" t="s">
        <v>346</v>
      </c>
      <c r="AU257" s="150" t="s">
        <v>90</v>
      </c>
      <c r="AV257" s="148" t="s">
        <v>90</v>
      </c>
      <c r="AW257" s="148" t="s">
        <v>33</v>
      </c>
      <c r="AX257" s="148" t="s">
        <v>80</v>
      </c>
      <c r="AY257" s="150" t="s">
        <v>337</v>
      </c>
    </row>
    <row r="258" spans="2:51" s="141" customFormat="1" x14ac:dyDescent="0.2">
      <c r="B258" s="142"/>
      <c r="D258" s="143" t="s">
        <v>346</v>
      </c>
      <c r="E258" s="144"/>
      <c r="F258" s="145" t="s">
        <v>4135</v>
      </c>
      <c r="H258" s="144"/>
      <c r="L258" s="142"/>
      <c r="M258" s="146"/>
      <c r="T258" s="147"/>
      <c r="AT258" s="144" t="s">
        <v>346</v>
      </c>
      <c r="AU258" s="144" t="s">
        <v>90</v>
      </c>
      <c r="AV258" s="141" t="s">
        <v>87</v>
      </c>
      <c r="AW258" s="141" t="s">
        <v>33</v>
      </c>
      <c r="AX258" s="141" t="s">
        <v>80</v>
      </c>
      <c r="AY258" s="144" t="s">
        <v>337</v>
      </c>
    </row>
    <row r="259" spans="2:51" s="148" customFormat="1" x14ac:dyDescent="0.2">
      <c r="B259" s="149"/>
      <c r="D259" s="143" t="s">
        <v>346</v>
      </c>
      <c r="E259" s="150"/>
      <c r="F259" s="151" t="s">
        <v>4136</v>
      </c>
      <c r="H259" s="152">
        <v>4.7</v>
      </c>
      <c r="L259" s="149"/>
      <c r="M259" s="153"/>
      <c r="T259" s="154"/>
      <c r="AT259" s="150" t="s">
        <v>346</v>
      </c>
      <c r="AU259" s="150" t="s">
        <v>90</v>
      </c>
      <c r="AV259" s="148" t="s">
        <v>90</v>
      </c>
      <c r="AW259" s="148" t="s">
        <v>33</v>
      </c>
      <c r="AX259" s="148" t="s">
        <v>80</v>
      </c>
      <c r="AY259" s="150" t="s">
        <v>337</v>
      </c>
    </row>
    <row r="260" spans="2:51" s="172" customFormat="1" x14ac:dyDescent="0.2">
      <c r="B260" s="173"/>
      <c r="D260" s="143" t="s">
        <v>346</v>
      </c>
      <c r="E260" s="174" t="s">
        <v>4024</v>
      </c>
      <c r="F260" s="175" t="s">
        <v>609</v>
      </c>
      <c r="H260" s="176">
        <v>34.6</v>
      </c>
      <c r="L260" s="173"/>
      <c r="M260" s="177"/>
      <c r="T260" s="178"/>
      <c r="AT260" s="174" t="s">
        <v>346</v>
      </c>
      <c r="AU260" s="174" t="s">
        <v>90</v>
      </c>
      <c r="AV260" s="172" t="s">
        <v>113</v>
      </c>
      <c r="AW260" s="172" t="s">
        <v>33</v>
      </c>
      <c r="AX260" s="172" t="s">
        <v>80</v>
      </c>
      <c r="AY260" s="174" t="s">
        <v>337</v>
      </c>
    </row>
    <row r="261" spans="2:51" s="141" customFormat="1" x14ac:dyDescent="0.2">
      <c r="B261" s="142"/>
      <c r="D261" s="143" t="s">
        <v>346</v>
      </c>
      <c r="E261" s="144"/>
      <c r="F261" s="145" t="s">
        <v>4089</v>
      </c>
      <c r="H261" s="144"/>
      <c r="L261" s="142"/>
      <c r="M261" s="146"/>
      <c r="T261" s="147"/>
      <c r="AT261" s="144" t="s">
        <v>346</v>
      </c>
      <c r="AU261" s="144" t="s">
        <v>90</v>
      </c>
      <c r="AV261" s="141" t="s">
        <v>87</v>
      </c>
      <c r="AW261" s="141" t="s">
        <v>33</v>
      </c>
      <c r="AX261" s="141" t="s">
        <v>80</v>
      </c>
      <c r="AY261" s="144" t="s">
        <v>337</v>
      </c>
    </row>
    <row r="262" spans="2:51" s="141" customFormat="1" x14ac:dyDescent="0.2">
      <c r="B262" s="142"/>
      <c r="D262" s="143" t="s">
        <v>346</v>
      </c>
      <c r="E262" s="144"/>
      <c r="F262" s="145" t="s">
        <v>4137</v>
      </c>
      <c r="H262" s="144"/>
      <c r="L262" s="142"/>
      <c r="M262" s="146"/>
      <c r="T262" s="147"/>
      <c r="AT262" s="144" t="s">
        <v>346</v>
      </c>
      <c r="AU262" s="144" t="s">
        <v>90</v>
      </c>
      <c r="AV262" s="141" t="s">
        <v>87</v>
      </c>
      <c r="AW262" s="141" t="s">
        <v>33</v>
      </c>
      <c r="AX262" s="141" t="s">
        <v>80</v>
      </c>
      <c r="AY262" s="144" t="s">
        <v>337</v>
      </c>
    </row>
    <row r="263" spans="2:51" s="148" customFormat="1" x14ac:dyDescent="0.2">
      <c r="B263" s="149"/>
      <c r="D263" s="143" t="s">
        <v>346</v>
      </c>
      <c r="E263" s="150"/>
      <c r="F263" s="151" t="s">
        <v>4138</v>
      </c>
      <c r="H263" s="152">
        <v>136.32</v>
      </c>
      <c r="L263" s="149"/>
      <c r="M263" s="153"/>
      <c r="T263" s="154"/>
      <c r="AT263" s="150" t="s">
        <v>346</v>
      </c>
      <c r="AU263" s="150" t="s">
        <v>90</v>
      </c>
      <c r="AV263" s="148" t="s">
        <v>90</v>
      </c>
      <c r="AW263" s="148" t="s">
        <v>33</v>
      </c>
      <c r="AX263" s="148" t="s">
        <v>80</v>
      </c>
      <c r="AY263" s="150" t="s">
        <v>337</v>
      </c>
    </row>
    <row r="264" spans="2:51" s="141" customFormat="1" x14ac:dyDescent="0.2">
      <c r="B264" s="142"/>
      <c r="D264" s="143" t="s">
        <v>346</v>
      </c>
      <c r="E264" s="144"/>
      <c r="F264" s="145" t="s">
        <v>4139</v>
      </c>
      <c r="H264" s="144"/>
      <c r="L264" s="142"/>
      <c r="M264" s="146"/>
      <c r="T264" s="147"/>
      <c r="AT264" s="144" t="s">
        <v>346</v>
      </c>
      <c r="AU264" s="144" t="s">
        <v>90</v>
      </c>
      <c r="AV264" s="141" t="s">
        <v>87</v>
      </c>
      <c r="AW264" s="141" t="s">
        <v>33</v>
      </c>
      <c r="AX264" s="141" t="s">
        <v>80</v>
      </c>
      <c r="AY264" s="144" t="s">
        <v>337</v>
      </c>
    </row>
    <row r="265" spans="2:51" s="148" customFormat="1" x14ac:dyDescent="0.2">
      <c r="B265" s="149"/>
      <c r="D265" s="143" t="s">
        <v>346</v>
      </c>
      <c r="E265" s="150"/>
      <c r="F265" s="151" t="s">
        <v>4140</v>
      </c>
      <c r="H265" s="152">
        <v>18.84</v>
      </c>
      <c r="L265" s="149"/>
      <c r="M265" s="153"/>
      <c r="T265" s="154"/>
      <c r="AT265" s="150" t="s">
        <v>346</v>
      </c>
      <c r="AU265" s="150" t="s">
        <v>90</v>
      </c>
      <c r="AV265" s="148" t="s">
        <v>90</v>
      </c>
      <c r="AW265" s="148" t="s">
        <v>33</v>
      </c>
      <c r="AX265" s="148" t="s">
        <v>80</v>
      </c>
      <c r="AY265" s="150" t="s">
        <v>337</v>
      </c>
    </row>
    <row r="266" spans="2:51" s="141" customFormat="1" x14ac:dyDescent="0.2">
      <c r="B266" s="142"/>
      <c r="D266" s="143" t="s">
        <v>346</v>
      </c>
      <c r="E266" s="144"/>
      <c r="F266" s="145" t="s">
        <v>4141</v>
      </c>
      <c r="H266" s="144"/>
      <c r="L266" s="142"/>
      <c r="M266" s="146"/>
      <c r="T266" s="147"/>
      <c r="AT266" s="144" t="s">
        <v>346</v>
      </c>
      <c r="AU266" s="144" t="s">
        <v>90</v>
      </c>
      <c r="AV266" s="141" t="s">
        <v>87</v>
      </c>
      <c r="AW266" s="141" t="s">
        <v>33</v>
      </c>
      <c r="AX266" s="141" t="s">
        <v>80</v>
      </c>
      <c r="AY266" s="144" t="s">
        <v>337</v>
      </c>
    </row>
    <row r="267" spans="2:51" s="148" customFormat="1" x14ac:dyDescent="0.2">
      <c r="B267" s="149"/>
      <c r="D267" s="143" t="s">
        <v>346</v>
      </c>
      <c r="E267" s="150"/>
      <c r="F267" s="151" t="s">
        <v>4142</v>
      </c>
      <c r="H267" s="152">
        <v>6.4</v>
      </c>
      <c r="L267" s="149"/>
      <c r="M267" s="153"/>
      <c r="T267" s="154"/>
      <c r="AT267" s="150" t="s">
        <v>346</v>
      </c>
      <c r="AU267" s="150" t="s">
        <v>90</v>
      </c>
      <c r="AV267" s="148" t="s">
        <v>90</v>
      </c>
      <c r="AW267" s="148" t="s">
        <v>33</v>
      </c>
      <c r="AX267" s="148" t="s">
        <v>80</v>
      </c>
      <c r="AY267" s="150" t="s">
        <v>337</v>
      </c>
    </row>
    <row r="268" spans="2:51" s="172" customFormat="1" x14ac:dyDescent="0.2">
      <c r="B268" s="173"/>
      <c r="D268" s="143" t="s">
        <v>346</v>
      </c>
      <c r="E268" s="174" t="s">
        <v>4028</v>
      </c>
      <c r="F268" s="175" t="s">
        <v>609</v>
      </c>
      <c r="H268" s="176">
        <v>161.56</v>
      </c>
      <c r="L268" s="173"/>
      <c r="M268" s="177"/>
      <c r="T268" s="178"/>
      <c r="AT268" s="174" t="s">
        <v>346</v>
      </c>
      <c r="AU268" s="174" t="s">
        <v>90</v>
      </c>
      <c r="AV268" s="172" t="s">
        <v>113</v>
      </c>
      <c r="AW268" s="172" t="s">
        <v>33</v>
      </c>
      <c r="AX268" s="172" t="s">
        <v>80</v>
      </c>
      <c r="AY268" s="174" t="s">
        <v>337</v>
      </c>
    </row>
    <row r="269" spans="2:51" s="141" customFormat="1" x14ac:dyDescent="0.2">
      <c r="B269" s="142"/>
      <c r="D269" s="143" t="s">
        <v>346</v>
      </c>
      <c r="E269" s="144"/>
      <c r="F269" s="145" t="s">
        <v>4143</v>
      </c>
      <c r="H269" s="144"/>
      <c r="L269" s="142"/>
      <c r="M269" s="146"/>
      <c r="T269" s="147"/>
      <c r="AT269" s="144" t="s">
        <v>346</v>
      </c>
      <c r="AU269" s="144" t="s">
        <v>90</v>
      </c>
      <c r="AV269" s="141" t="s">
        <v>87</v>
      </c>
      <c r="AW269" s="141" t="s">
        <v>33</v>
      </c>
      <c r="AX269" s="141" t="s">
        <v>80</v>
      </c>
      <c r="AY269" s="144" t="s">
        <v>337</v>
      </c>
    </row>
    <row r="270" spans="2:51" s="141" customFormat="1" x14ac:dyDescent="0.2">
      <c r="B270" s="142"/>
      <c r="D270" s="143" t="s">
        <v>346</v>
      </c>
      <c r="E270" s="144"/>
      <c r="F270" s="145" t="s">
        <v>4144</v>
      </c>
      <c r="H270" s="144"/>
      <c r="L270" s="142"/>
      <c r="M270" s="146"/>
      <c r="T270" s="147"/>
      <c r="AT270" s="144" t="s">
        <v>346</v>
      </c>
      <c r="AU270" s="144" t="s">
        <v>90</v>
      </c>
      <c r="AV270" s="141" t="s">
        <v>87</v>
      </c>
      <c r="AW270" s="141" t="s">
        <v>33</v>
      </c>
      <c r="AX270" s="141" t="s">
        <v>80</v>
      </c>
      <c r="AY270" s="144" t="s">
        <v>337</v>
      </c>
    </row>
    <row r="271" spans="2:51" s="148" customFormat="1" x14ac:dyDescent="0.2">
      <c r="B271" s="149"/>
      <c r="D271" s="143" t="s">
        <v>346</v>
      </c>
      <c r="E271" s="150"/>
      <c r="F271" s="151" t="s">
        <v>4145</v>
      </c>
      <c r="H271" s="152">
        <v>1.6</v>
      </c>
      <c r="L271" s="149"/>
      <c r="M271" s="153"/>
      <c r="T271" s="154"/>
      <c r="AT271" s="150" t="s">
        <v>346</v>
      </c>
      <c r="AU271" s="150" t="s">
        <v>90</v>
      </c>
      <c r="AV271" s="148" t="s">
        <v>90</v>
      </c>
      <c r="AW271" s="148" t="s">
        <v>33</v>
      </c>
      <c r="AX271" s="148" t="s">
        <v>80</v>
      </c>
      <c r="AY271" s="150" t="s">
        <v>337</v>
      </c>
    </row>
    <row r="272" spans="2:51" s="172" customFormat="1" x14ac:dyDescent="0.2">
      <c r="B272" s="173"/>
      <c r="D272" s="143" t="s">
        <v>346</v>
      </c>
      <c r="E272" s="174" t="s">
        <v>4032</v>
      </c>
      <c r="F272" s="175" t="s">
        <v>609</v>
      </c>
      <c r="H272" s="176">
        <v>1.6</v>
      </c>
      <c r="L272" s="173"/>
      <c r="M272" s="177"/>
      <c r="T272" s="178"/>
      <c r="AT272" s="174" t="s">
        <v>346</v>
      </c>
      <c r="AU272" s="174" t="s">
        <v>90</v>
      </c>
      <c r="AV272" s="172" t="s">
        <v>113</v>
      </c>
      <c r="AW272" s="172" t="s">
        <v>33</v>
      </c>
      <c r="AX272" s="172" t="s">
        <v>80</v>
      </c>
      <c r="AY272" s="174" t="s">
        <v>337</v>
      </c>
    </row>
    <row r="273" spans="2:65" s="141" customFormat="1" x14ac:dyDescent="0.2">
      <c r="B273" s="142"/>
      <c r="D273" s="143" t="s">
        <v>346</v>
      </c>
      <c r="E273" s="144"/>
      <c r="F273" s="145" t="s">
        <v>4098</v>
      </c>
      <c r="H273" s="144"/>
      <c r="L273" s="142"/>
      <c r="M273" s="146"/>
      <c r="T273" s="147"/>
      <c r="AT273" s="144" t="s">
        <v>346</v>
      </c>
      <c r="AU273" s="144" t="s">
        <v>90</v>
      </c>
      <c r="AV273" s="141" t="s">
        <v>87</v>
      </c>
      <c r="AW273" s="141" t="s">
        <v>33</v>
      </c>
      <c r="AX273" s="141" t="s">
        <v>80</v>
      </c>
      <c r="AY273" s="144" t="s">
        <v>337</v>
      </c>
    </row>
    <row r="274" spans="2:65" s="148" customFormat="1" x14ac:dyDescent="0.2">
      <c r="B274" s="149"/>
      <c r="D274" s="143" t="s">
        <v>346</v>
      </c>
      <c r="E274" s="150"/>
      <c r="F274" s="151" t="s">
        <v>4146</v>
      </c>
      <c r="H274" s="152">
        <v>8.0399999999999991</v>
      </c>
      <c r="L274" s="149"/>
      <c r="M274" s="153"/>
      <c r="T274" s="154"/>
      <c r="AT274" s="150" t="s">
        <v>346</v>
      </c>
      <c r="AU274" s="150" t="s">
        <v>90</v>
      </c>
      <c r="AV274" s="148" t="s">
        <v>90</v>
      </c>
      <c r="AW274" s="148" t="s">
        <v>33</v>
      </c>
      <c r="AX274" s="148" t="s">
        <v>80</v>
      </c>
      <c r="AY274" s="150" t="s">
        <v>337</v>
      </c>
    </row>
    <row r="275" spans="2:65" s="172" customFormat="1" x14ac:dyDescent="0.2">
      <c r="B275" s="173"/>
      <c r="D275" s="143" t="s">
        <v>346</v>
      </c>
      <c r="E275" s="174" t="s">
        <v>4036</v>
      </c>
      <c r="F275" s="175" t="s">
        <v>609</v>
      </c>
      <c r="H275" s="176">
        <v>8.0399999999999991</v>
      </c>
      <c r="L275" s="173"/>
      <c r="M275" s="177"/>
      <c r="T275" s="178"/>
      <c r="AT275" s="174" t="s">
        <v>346</v>
      </c>
      <c r="AU275" s="174" t="s">
        <v>90</v>
      </c>
      <c r="AV275" s="172" t="s">
        <v>113</v>
      </c>
      <c r="AW275" s="172" t="s">
        <v>33</v>
      </c>
      <c r="AX275" s="172" t="s">
        <v>80</v>
      </c>
      <c r="AY275" s="174" t="s">
        <v>337</v>
      </c>
    </row>
    <row r="276" spans="2:65" s="141" customFormat="1" x14ac:dyDescent="0.2">
      <c r="B276" s="142"/>
      <c r="D276" s="143" t="s">
        <v>346</v>
      </c>
      <c r="E276" s="144"/>
      <c r="F276" s="145" t="s">
        <v>4147</v>
      </c>
      <c r="H276" s="144"/>
      <c r="L276" s="142"/>
      <c r="M276" s="146"/>
      <c r="T276" s="147"/>
      <c r="AT276" s="144" t="s">
        <v>346</v>
      </c>
      <c r="AU276" s="144" t="s">
        <v>90</v>
      </c>
      <c r="AV276" s="141" t="s">
        <v>87</v>
      </c>
      <c r="AW276" s="141" t="s">
        <v>33</v>
      </c>
      <c r="AX276" s="141" t="s">
        <v>80</v>
      </c>
      <c r="AY276" s="144" t="s">
        <v>337</v>
      </c>
    </row>
    <row r="277" spans="2:65" s="148" customFormat="1" x14ac:dyDescent="0.2">
      <c r="B277" s="149"/>
      <c r="D277" s="143" t="s">
        <v>346</v>
      </c>
      <c r="E277" s="150"/>
      <c r="F277" s="151" t="s">
        <v>4019</v>
      </c>
      <c r="H277" s="152">
        <v>120.461</v>
      </c>
      <c r="L277" s="149"/>
      <c r="M277" s="153"/>
      <c r="T277" s="154"/>
      <c r="AT277" s="150" t="s">
        <v>346</v>
      </c>
      <c r="AU277" s="150" t="s">
        <v>90</v>
      </c>
      <c r="AV277" s="148" t="s">
        <v>90</v>
      </c>
      <c r="AW277" s="148" t="s">
        <v>33</v>
      </c>
      <c r="AX277" s="148" t="s">
        <v>80</v>
      </c>
      <c r="AY277" s="150" t="s">
        <v>337</v>
      </c>
    </row>
    <row r="278" spans="2:65" s="148" customFormat="1" x14ac:dyDescent="0.2">
      <c r="B278" s="149"/>
      <c r="D278" s="143" t="s">
        <v>346</v>
      </c>
      <c r="E278" s="150"/>
      <c r="F278" s="151" t="s">
        <v>4024</v>
      </c>
      <c r="H278" s="152">
        <v>34.6</v>
      </c>
      <c r="L278" s="149"/>
      <c r="M278" s="153"/>
      <c r="T278" s="154"/>
      <c r="AT278" s="150" t="s">
        <v>346</v>
      </c>
      <c r="AU278" s="150" t="s">
        <v>90</v>
      </c>
      <c r="AV278" s="148" t="s">
        <v>90</v>
      </c>
      <c r="AW278" s="148" t="s">
        <v>33</v>
      </c>
      <c r="AX278" s="148" t="s">
        <v>80</v>
      </c>
      <c r="AY278" s="150" t="s">
        <v>337</v>
      </c>
    </row>
    <row r="279" spans="2:65" s="148" customFormat="1" x14ac:dyDescent="0.2">
      <c r="B279" s="149"/>
      <c r="D279" s="143" t="s">
        <v>346</v>
      </c>
      <c r="E279" s="150"/>
      <c r="F279" s="151" t="s">
        <v>4028</v>
      </c>
      <c r="H279" s="152">
        <v>161.56</v>
      </c>
      <c r="L279" s="149"/>
      <c r="M279" s="153"/>
      <c r="T279" s="154"/>
      <c r="AT279" s="150" t="s">
        <v>346</v>
      </c>
      <c r="AU279" s="150" t="s">
        <v>90</v>
      </c>
      <c r="AV279" s="148" t="s">
        <v>90</v>
      </c>
      <c r="AW279" s="148" t="s">
        <v>33</v>
      </c>
      <c r="AX279" s="148" t="s">
        <v>80</v>
      </c>
      <c r="AY279" s="150" t="s">
        <v>337</v>
      </c>
    </row>
    <row r="280" spans="2:65" s="148" customFormat="1" x14ac:dyDescent="0.2">
      <c r="B280" s="149"/>
      <c r="D280" s="143" t="s">
        <v>346</v>
      </c>
      <c r="E280" s="150"/>
      <c r="F280" s="151" t="s">
        <v>4032</v>
      </c>
      <c r="H280" s="152">
        <v>1.6</v>
      </c>
      <c r="L280" s="149"/>
      <c r="M280" s="153"/>
      <c r="T280" s="154"/>
      <c r="AT280" s="150" t="s">
        <v>346</v>
      </c>
      <c r="AU280" s="150" t="s">
        <v>90</v>
      </c>
      <c r="AV280" s="148" t="s">
        <v>90</v>
      </c>
      <c r="AW280" s="148" t="s">
        <v>33</v>
      </c>
      <c r="AX280" s="148" t="s">
        <v>80</v>
      </c>
      <c r="AY280" s="150" t="s">
        <v>337</v>
      </c>
    </row>
    <row r="281" spans="2:65" s="148" customFormat="1" x14ac:dyDescent="0.2">
      <c r="B281" s="149"/>
      <c r="D281" s="143" t="s">
        <v>346</v>
      </c>
      <c r="E281" s="150"/>
      <c r="F281" s="151" t="s">
        <v>4036</v>
      </c>
      <c r="H281" s="152">
        <v>8.0399999999999991</v>
      </c>
      <c r="L281" s="149"/>
      <c r="M281" s="153"/>
      <c r="T281" s="154"/>
      <c r="AT281" s="150" t="s">
        <v>346</v>
      </c>
      <c r="AU281" s="150" t="s">
        <v>90</v>
      </c>
      <c r="AV281" s="148" t="s">
        <v>90</v>
      </c>
      <c r="AW281" s="148" t="s">
        <v>33</v>
      </c>
      <c r="AX281" s="148" t="s">
        <v>80</v>
      </c>
      <c r="AY281" s="150" t="s">
        <v>337</v>
      </c>
    </row>
    <row r="282" spans="2:65" s="141" customFormat="1" x14ac:dyDescent="0.2">
      <c r="B282" s="142"/>
      <c r="D282" s="143" t="s">
        <v>346</v>
      </c>
      <c r="E282" s="144"/>
      <c r="F282" s="145" t="s">
        <v>4148</v>
      </c>
      <c r="H282" s="144"/>
      <c r="L282" s="142"/>
      <c r="M282" s="146"/>
      <c r="T282" s="147"/>
      <c r="AT282" s="144" t="s">
        <v>346</v>
      </c>
      <c r="AU282" s="144" t="s">
        <v>90</v>
      </c>
      <c r="AV282" s="141" t="s">
        <v>87</v>
      </c>
      <c r="AW282" s="141" t="s">
        <v>33</v>
      </c>
      <c r="AX282" s="141" t="s">
        <v>80</v>
      </c>
      <c r="AY282" s="144" t="s">
        <v>337</v>
      </c>
    </row>
    <row r="283" spans="2:65" s="148" customFormat="1" x14ac:dyDescent="0.2">
      <c r="B283" s="149"/>
      <c r="D283" s="143" t="s">
        <v>346</v>
      </c>
      <c r="E283" s="150"/>
      <c r="F283" s="151" t="s">
        <v>4019</v>
      </c>
      <c r="H283" s="152">
        <v>120.461</v>
      </c>
      <c r="L283" s="149"/>
      <c r="M283" s="153"/>
      <c r="T283" s="154"/>
      <c r="AT283" s="150" t="s">
        <v>346</v>
      </c>
      <c r="AU283" s="150" t="s">
        <v>90</v>
      </c>
      <c r="AV283" s="148" t="s">
        <v>90</v>
      </c>
      <c r="AW283" s="148" t="s">
        <v>33</v>
      </c>
      <c r="AX283" s="148" t="s">
        <v>80</v>
      </c>
      <c r="AY283" s="150" t="s">
        <v>337</v>
      </c>
    </row>
    <row r="284" spans="2:65" s="148" customFormat="1" x14ac:dyDescent="0.2">
      <c r="B284" s="149"/>
      <c r="D284" s="143" t="s">
        <v>346</v>
      </c>
      <c r="E284" s="150"/>
      <c r="F284" s="151" t="s">
        <v>4024</v>
      </c>
      <c r="H284" s="152">
        <v>34.6</v>
      </c>
      <c r="L284" s="149"/>
      <c r="M284" s="153"/>
      <c r="T284" s="154"/>
      <c r="AT284" s="150" t="s">
        <v>346</v>
      </c>
      <c r="AU284" s="150" t="s">
        <v>90</v>
      </c>
      <c r="AV284" s="148" t="s">
        <v>90</v>
      </c>
      <c r="AW284" s="148" t="s">
        <v>33</v>
      </c>
      <c r="AX284" s="148" t="s">
        <v>80</v>
      </c>
      <c r="AY284" s="150" t="s">
        <v>337</v>
      </c>
    </row>
    <row r="285" spans="2:65" s="148" customFormat="1" x14ac:dyDescent="0.2">
      <c r="B285" s="149"/>
      <c r="D285" s="143" t="s">
        <v>346</v>
      </c>
      <c r="E285" s="150"/>
      <c r="F285" s="151" t="s">
        <v>4028</v>
      </c>
      <c r="H285" s="152">
        <v>161.56</v>
      </c>
      <c r="L285" s="149"/>
      <c r="M285" s="153"/>
      <c r="T285" s="154"/>
      <c r="AT285" s="150" t="s">
        <v>346</v>
      </c>
      <c r="AU285" s="150" t="s">
        <v>90</v>
      </c>
      <c r="AV285" s="148" t="s">
        <v>90</v>
      </c>
      <c r="AW285" s="148" t="s">
        <v>33</v>
      </c>
      <c r="AX285" s="148" t="s">
        <v>80</v>
      </c>
      <c r="AY285" s="150" t="s">
        <v>337</v>
      </c>
    </row>
    <row r="286" spans="2:65" s="148" customFormat="1" x14ac:dyDescent="0.2">
      <c r="B286" s="149"/>
      <c r="D286" s="143" t="s">
        <v>346</v>
      </c>
      <c r="E286" s="150"/>
      <c r="F286" s="151" t="s">
        <v>4036</v>
      </c>
      <c r="H286" s="152">
        <v>8.0399999999999991</v>
      </c>
      <c r="L286" s="149"/>
      <c r="M286" s="153"/>
      <c r="T286" s="154"/>
      <c r="AT286" s="150" t="s">
        <v>346</v>
      </c>
      <c r="AU286" s="150" t="s">
        <v>90</v>
      </c>
      <c r="AV286" s="148" t="s">
        <v>90</v>
      </c>
      <c r="AW286" s="148" t="s">
        <v>33</v>
      </c>
      <c r="AX286" s="148" t="s">
        <v>80</v>
      </c>
      <c r="AY286" s="150" t="s">
        <v>337</v>
      </c>
    </row>
    <row r="287" spans="2:65" s="155" customFormat="1" x14ac:dyDescent="0.2">
      <c r="B287" s="156"/>
      <c r="D287" s="143" t="s">
        <v>346</v>
      </c>
      <c r="E287" s="157"/>
      <c r="F287" s="158" t="s">
        <v>351</v>
      </c>
      <c r="H287" s="159">
        <v>977.18299999999999</v>
      </c>
      <c r="L287" s="156"/>
      <c r="M287" s="160"/>
      <c r="T287" s="161"/>
      <c r="AT287" s="157" t="s">
        <v>346</v>
      </c>
      <c r="AU287" s="157" t="s">
        <v>90</v>
      </c>
      <c r="AV287" s="155" t="s">
        <v>344</v>
      </c>
      <c r="AW287" s="155" t="s">
        <v>33</v>
      </c>
      <c r="AX287" s="155" t="s">
        <v>87</v>
      </c>
      <c r="AY287" s="157" t="s">
        <v>337</v>
      </c>
    </row>
    <row r="288" spans="2:65" s="16" customFormat="1" ht="24.2" customHeight="1" x14ac:dyDescent="0.2">
      <c r="B288" s="17"/>
      <c r="C288" s="162">
        <v>16</v>
      </c>
      <c r="D288" s="162" t="s">
        <v>519</v>
      </c>
      <c r="E288" s="163" t="s">
        <v>3878</v>
      </c>
      <c r="F288" s="164" t="s">
        <v>3879</v>
      </c>
      <c r="G288" s="165" t="s">
        <v>425</v>
      </c>
      <c r="H288" s="166">
        <v>1377.317</v>
      </c>
      <c r="I288" s="167"/>
      <c r="J288" s="168">
        <f>ROUND(I288*H288,2)</f>
        <v>0</v>
      </c>
      <c r="K288" s="164" t="s">
        <v>343</v>
      </c>
      <c r="L288" s="169"/>
      <c r="M288" s="170"/>
      <c r="N288" s="171" t="s">
        <v>45</v>
      </c>
      <c r="P288" s="137">
        <f>O288*H288</f>
        <v>0</v>
      </c>
      <c r="Q288" s="137">
        <v>5.4000000000000003E-3</v>
      </c>
      <c r="R288" s="137">
        <f>Q288*H288</f>
        <v>7.4375118000000002</v>
      </c>
      <c r="S288" s="137">
        <v>0</v>
      </c>
      <c r="T288" s="138">
        <f>S288*H288</f>
        <v>0</v>
      </c>
      <c r="AR288" s="139" t="s">
        <v>621</v>
      </c>
      <c r="AT288" s="139" t="s">
        <v>519</v>
      </c>
      <c r="AU288" s="139" t="s">
        <v>90</v>
      </c>
      <c r="AY288" s="2" t="s">
        <v>337</v>
      </c>
      <c r="BE288" s="140">
        <f>IF(N288="základní",J288,0)</f>
        <v>0</v>
      </c>
      <c r="BF288" s="140">
        <f>IF(N288="snížená",J288,0)</f>
        <v>0</v>
      </c>
      <c r="BG288" s="140">
        <f>IF(N288="zákl. přenesená",J288,0)</f>
        <v>0</v>
      </c>
      <c r="BH288" s="140">
        <f>IF(N288="sníž. přenesená",J288,0)</f>
        <v>0</v>
      </c>
      <c r="BI288" s="140">
        <f>IF(N288="nulová",J288,0)</f>
        <v>0</v>
      </c>
      <c r="BJ288" s="2" t="s">
        <v>87</v>
      </c>
      <c r="BK288" s="140">
        <f>ROUND(I288*H288,2)</f>
        <v>0</v>
      </c>
      <c r="BL288" s="2" t="s">
        <v>496</v>
      </c>
      <c r="BM288" s="139" t="s">
        <v>4149</v>
      </c>
    </row>
    <row r="289" spans="2:65" s="141" customFormat="1" x14ac:dyDescent="0.2">
      <c r="B289" s="142"/>
      <c r="D289" s="143" t="s">
        <v>346</v>
      </c>
      <c r="E289" s="144"/>
      <c r="F289" s="145" t="s">
        <v>4150</v>
      </c>
      <c r="H289" s="144"/>
      <c r="L289" s="142"/>
      <c r="M289" s="146"/>
      <c r="T289" s="147"/>
      <c r="AT289" s="144" t="s">
        <v>346</v>
      </c>
      <c r="AU289" s="144" t="s">
        <v>90</v>
      </c>
      <c r="AV289" s="141" t="s">
        <v>87</v>
      </c>
      <c r="AW289" s="141" t="s">
        <v>33</v>
      </c>
      <c r="AX289" s="141" t="s">
        <v>80</v>
      </c>
      <c r="AY289" s="144" t="s">
        <v>337</v>
      </c>
    </row>
    <row r="290" spans="2:65" s="148" customFormat="1" x14ac:dyDescent="0.2">
      <c r="B290" s="149"/>
      <c r="D290" s="143" t="s">
        <v>346</v>
      </c>
      <c r="E290" s="150"/>
      <c r="F290" s="151" t="s">
        <v>4151</v>
      </c>
      <c r="H290" s="152">
        <v>275.89699999999999</v>
      </c>
      <c r="L290" s="149"/>
      <c r="M290" s="153"/>
      <c r="T290" s="154"/>
      <c r="AT290" s="150" t="s">
        <v>346</v>
      </c>
      <c r="AU290" s="150" t="s">
        <v>90</v>
      </c>
      <c r="AV290" s="148" t="s">
        <v>90</v>
      </c>
      <c r="AW290" s="148" t="s">
        <v>33</v>
      </c>
      <c r="AX290" s="148" t="s">
        <v>80</v>
      </c>
      <c r="AY290" s="150" t="s">
        <v>337</v>
      </c>
    </row>
    <row r="291" spans="2:65" s="148" customFormat="1" x14ac:dyDescent="0.2">
      <c r="B291" s="149"/>
      <c r="D291" s="143" t="s">
        <v>346</v>
      </c>
      <c r="E291" s="150"/>
      <c r="F291" s="151" t="s">
        <v>4152</v>
      </c>
      <c r="H291" s="152">
        <v>68.102999999999994</v>
      </c>
      <c r="L291" s="149"/>
      <c r="M291" s="153"/>
      <c r="T291" s="154"/>
      <c r="AT291" s="150" t="s">
        <v>346</v>
      </c>
      <c r="AU291" s="150" t="s">
        <v>90</v>
      </c>
      <c r="AV291" s="148" t="s">
        <v>90</v>
      </c>
      <c r="AW291" s="148" t="s">
        <v>33</v>
      </c>
      <c r="AX291" s="148" t="s">
        <v>80</v>
      </c>
      <c r="AY291" s="150" t="s">
        <v>337</v>
      </c>
    </row>
    <row r="292" spans="2:65" s="148" customFormat="1" x14ac:dyDescent="0.2">
      <c r="B292" s="149"/>
      <c r="D292" s="143" t="s">
        <v>346</v>
      </c>
      <c r="E292" s="150"/>
      <c r="F292" s="151" t="s">
        <v>4153</v>
      </c>
      <c r="H292" s="152">
        <v>589.91600000000005</v>
      </c>
      <c r="L292" s="149"/>
      <c r="M292" s="153"/>
      <c r="T292" s="154"/>
      <c r="AT292" s="150" t="s">
        <v>346</v>
      </c>
      <c r="AU292" s="150" t="s">
        <v>90</v>
      </c>
      <c r="AV292" s="148" t="s">
        <v>90</v>
      </c>
      <c r="AW292" s="148" t="s">
        <v>33</v>
      </c>
      <c r="AX292" s="148" t="s">
        <v>80</v>
      </c>
      <c r="AY292" s="150" t="s">
        <v>337</v>
      </c>
    </row>
    <row r="293" spans="2:65" s="148" customFormat="1" x14ac:dyDescent="0.2">
      <c r="B293" s="149"/>
      <c r="D293" s="143" t="s">
        <v>346</v>
      </c>
      <c r="E293" s="150"/>
      <c r="F293" s="151" t="s">
        <v>4154</v>
      </c>
      <c r="H293" s="152">
        <v>22.08</v>
      </c>
      <c r="L293" s="149"/>
      <c r="M293" s="153"/>
      <c r="T293" s="154"/>
      <c r="AT293" s="150" t="s">
        <v>346</v>
      </c>
      <c r="AU293" s="150" t="s">
        <v>90</v>
      </c>
      <c r="AV293" s="148" t="s">
        <v>90</v>
      </c>
      <c r="AW293" s="148" t="s">
        <v>33</v>
      </c>
      <c r="AX293" s="148" t="s">
        <v>80</v>
      </c>
      <c r="AY293" s="150" t="s">
        <v>337</v>
      </c>
    </row>
    <row r="294" spans="2:65" s="148" customFormat="1" x14ac:dyDescent="0.2">
      <c r="B294" s="149"/>
      <c r="D294" s="143" t="s">
        <v>346</v>
      </c>
      <c r="E294" s="150"/>
      <c r="F294" s="151" t="s">
        <v>4155</v>
      </c>
      <c r="H294" s="152">
        <v>29.808</v>
      </c>
      <c r="L294" s="149"/>
      <c r="M294" s="153"/>
      <c r="T294" s="154"/>
      <c r="AT294" s="150" t="s">
        <v>346</v>
      </c>
      <c r="AU294" s="150" t="s">
        <v>90</v>
      </c>
      <c r="AV294" s="148" t="s">
        <v>90</v>
      </c>
      <c r="AW294" s="148" t="s">
        <v>33</v>
      </c>
      <c r="AX294" s="148" t="s">
        <v>80</v>
      </c>
      <c r="AY294" s="150" t="s">
        <v>337</v>
      </c>
    </row>
    <row r="295" spans="2:65" s="148" customFormat="1" x14ac:dyDescent="0.2">
      <c r="B295" s="149"/>
      <c r="D295" s="143" t="s">
        <v>346</v>
      </c>
      <c r="E295" s="150"/>
      <c r="F295" s="151" t="s">
        <v>4156</v>
      </c>
      <c r="H295" s="152">
        <v>144.553</v>
      </c>
      <c r="L295" s="149"/>
      <c r="M295" s="153"/>
      <c r="T295" s="154"/>
      <c r="AT295" s="150" t="s">
        <v>346</v>
      </c>
      <c r="AU295" s="150" t="s">
        <v>90</v>
      </c>
      <c r="AV295" s="148" t="s">
        <v>90</v>
      </c>
      <c r="AW295" s="148" t="s">
        <v>33</v>
      </c>
      <c r="AX295" s="148" t="s">
        <v>80</v>
      </c>
      <c r="AY295" s="150" t="s">
        <v>337</v>
      </c>
    </row>
    <row r="296" spans="2:65" s="148" customFormat="1" x14ac:dyDescent="0.2">
      <c r="B296" s="149"/>
      <c r="D296" s="143" t="s">
        <v>346</v>
      </c>
      <c r="E296" s="150"/>
      <c r="F296" s="151" t="s">
        <v>4157</v>
      </c>
      <c r="H296" s="152">
        <v>41.52</v>
      </c>
      <c r="L296" s="149"/>
      <c r="M296" s="153"/>
      <c r="T296" s="154"/>
      <c r="AT296" s="150" t="s">
        <v>346</v>
      </c>
      <c r="AU296" s="150" t="s">
        <v>90</v>
      </c>
      <c r="AV296" s="148" t="s">
        <v>90</v>
      </c>
      <c r="AW296" s="148" t="s">
        <v>33</v>
      </c>
      <c r="AX296" s="148" t="s">
        <v>80</v>
      </c>
      <c r="AY296" s="150" t="s">
        <v>337</v>
      </c>
    </row>
    <row r="297" spans="2:65" s="148" customFormat="1" x14ac:dyDescent="0.2">
      <c r="B297" s="149"/>
      <c r="D297" s="143" t="s">
        <v>346</v>
      </c>
      <c r="E297" s="150"/>
      <c r="F297" s="151" t="s">
        <v>4158</v>
      </c>
      <c r="H297" s="152">
        <v>193.87200000000001</v>
      </c>
      <c r="L297" s="149"/>
      <c r="M297" s="153"/>
      <c r="T297" s="154"/>
      <c r="AT297" s="150" t="s">
        <v>346</v>
      </c>
      <c r="AU297" s="150" t="s">
        <v>90</v>
      </c>
      <c r="AV297" s="148" t="s">
        <v>90</v>
      </c>
      <c r="AW297" s="148" t="s">
        <v>33</v>
      </c>
      <c r="AX297" s="148" t="s">
        <v>80</v>
      </c>
      <c r="AY297" s="150" t="s">
        <v>337</v>
      </c>
    </row>
    <row r="298" spans="2:65" s="148" customFormat="1" x14ac:dyDescent="0.2">
      <c r="B298" s="149"/>
      <c r="D298" s="143" t="s">
        <v>346</v>
      </c>
      <c r="E298" s="150"/>
      <c r="F298" s="151" t="s">
        <v>4159</v>
      </c>
      <c r="H298" s="152">
        <v>1.92</v>
      </c>
      <c r="L298" s="149"/>
      <c r="M298" s="153"/>
      <c r="T298" s="154"/>
      <c r="AT298" s="150" t="s">
        <v>346</v>
      </c>
      <c r="AU298" s="150" t="s">
        <v>90</v>
      </c>
      <c r="AV298" s="148" t="s">
        <v>90</v>
      </c>
      <c r="AW298" s="148" t="s">
        <v>33</v>
      </c>
      <c r="AX298" s="148" t="s">
        <v>80</v>
      </c>
      <c r="AY298" s="150" t="s">
        <v>337</v>
      </c>
    </row>
    <row r="299" spans="2:65" s="148" customFormat="1" x14ac:dyDescent="0.2">
      <c r="B299" s="149"/>
      <c r="D299" s="143" t="s">
        <v>346</v>
      </c>
      <c r="E299" s="150"/>
      <c r="F299" s="151" t="s">
        <v>4160</v>
      </c>
      <c r="H299" s="152">
        <v>9.6479999999999997</v>
      </c>
      <c r="L299" s="149"/>
      <c r="M299" s="153"/>
      <c r="T299" s="154"/>
      <c r="AT299" s="150" t="s">
        <v>346</v>
      </c>
      <c r="AU299" s="150" t="s">
        <v>90</v>
      </c>
      <c r="AV299" s="148" t="s">
        <v>90</v>
      </c>
      <c r="AW299" s="148" t="s">
        <v>33</v>
      </c>
      <c r="AX299" s="148" t="s">
        <v>80</v>
      </c>
      <c r="AY299" s="150" t="s">
        <v>337</v>
      </c>
    </row>
    <row r="300" spans="2:65" s="155" customFormat="1" x14ac:dyDescent="0.2">
      <c r="B300" s="156"/>
      <c r="D300" s="143" t="s">
        <v>346</v>
      </c>
      <c r="E300" s="157"/>
      <c r="F300" s="158" t="s">
        <v>351</v>
      </c>
      <c r="H300" s="159">
        <v>1377.317</v>
      </c>
      <c r="L300" s="156"/>
      <c r="M300" s="160"/>
      <c r="T300" s="161"/>
      <c r="AT300" s="157" t="s">
        <v>346</v>
      </c>
      <c r="AU300" s="157" t="s">
        <v>90</v>
      </c>
      <c r="AV300" s="155" t="s">
        <v>344</v>
      </c>
      <c r="AW300" s="155" t="s">
        <v>33</v>
      </c>
      <c r="AX300" s="155" t="s">
        <v>87</v>
      </c>
      <c r="AY300" s="157" t="s">
        <v>337</v>
      </c>
    </row>
    <row r="301" spans="2:65" s="16" customFormat="1" ht="24.2" customHeight="1" x14ac:dyDescent="0.2">
      <c r="B301" s="17"/>
      <c r="C301" s="162">
        <v>17</v>
      </c>
      <c r="D301" s="162" t="s">
        <v>519</v>
      </c>
      <c r="E301" s="163" t="s">
        <v>4161</v>
      </c>
      <c r="F301" s="164" t="s">
        <v>4162</v>
      </c>
      <c r="G301" s="165" t="s">
        <v>425</v>
      </c>
      <c r="H301" s="166">
        <v>1377.317</v>
      </c>
      <c r="I301" s="167"/>
      <c r="J301" s="168">
        <f>ROUND(I301*H301,2)</f>
        <v>0</v>
      </c>
      <c r="K301" s="164" t="s">
        <v>343</v>
      </c>
      <c r="L301" s="169"/>
      <c r="M301" s="170"/>
      <c r="N301" s="171" t="s">
        <v>45</v>
      </c>
      <c r="P301" s="137">
        <f>O301*H301</f>
        <v>0</v>
      </c>
      <c r="Q301" s="137">
        <v>4.8599999999999997E-3</v>
      </c>
      <c r="R301" s="137">
        <f>Q301*H301</f>
        <v>6.6937606199999999</v>
      </c>
      <c r="S301" s="137">
        <v>0</v>
      </c>
      <c r="T301" s="138">
        <f>S301*H301</f>
        <v>0</v>
      </c>
      <c r="AR301" s="139" t="s">
        <v>621</v>
      </c>
      <c r="AT301" s="139" t="s">
        <v>519</v>
      </c>
      <c r="AU301" s="139" t="s">
        <v>90</v>
      </c>
      <c r="AY301" s="2" t="s">
        <v>337</v>
      </c>
      <c r="BE301" s="140">
        <f>IF(N301="základní",J301,0)</f>
        <v>0</v>
      </c>
      <c r="BF301" s="140">
        <f>IF(N301="snížená",J301,0)</f>
        <v>0</v>
      </c>
      <c r="BG301" s="140">
        <f>IF(N301="zákl. přenesená",J301,0)</f>
        <v>0</v>
      </c>
      <c r="BH301" s="140">
        <f>IF(N301="sníž. přenesená",J301,0)</f>
        <v>0</v>
      </c>
      <c r="BI301" s="140">
        <f>IF(N301="nulová",J301,0)</f>
        <v>0</v>
      </c>
      <c r="BJ301" s="2" t="s">
        <v>87</v>
      </c>
      <c r="BK301" s="140">
        <f>ROUND(I301*H301,2)</f>
        <v>0</v>
      </c>
      <c r="BL301" s="2" t="s">
        <v>496</v>
      </c>
      <c r="BM301" s="139" t="s">
        <v>4163</v>
      </c>
    </row>
    <row r="302" spans="2:65" s="141" customFormat="1" ht="22.5" x14ac:dyDescent="0.2">
      <c r="B302" s="142"/>
      <c r="D302" s="143" t="s">
        <v>346</v>
      </c>
      <c r="E302" s="144"/>
      <c r="F302" s="145" t="s">
        <v>4164</v>
      </c>
      <c r="H302" s="144"/>
      <c r="L302" s="142"/>
      <c r="M302" s="146"/>
      <c r="T302" s="147"/>
      <c r="AT302" s="144" t="s">
        <v>346</v>
      </c>
      <c r="AU302" s="144" t="s">
        <v>90</v>
      </c>
      <c r="AV302" s="141" t="s">
        <v>87</v>
      </c>
      <c r="AW302" s="141" t="s">
        <v>33</v>
      </c>
      <c r="AX302" s="141" t="s">
        <v>80</v>
      </c>
      <c r="AY302" s="144" t="s">
        <v>337</v>
      </c>
    </row>
    <row r="303" spans="2:65" s="148" customFormat="1" x14ac:dyDescent="0.2">
      <c r="B303" s="149"/>
      <c r="D303" s="143" t="s">
        <v>346</v>
      </c>
      <c r="E303" s="150"/>
      <c r="F303" s="151" t="s">
        <v>4151</v>
      </c>
      <c r="H303" s="152">
        <v>275.89699999999999</v>
      </c>
      <c r="L303" s="149"/>
      <c r="M303" s="153"/>
      <c r="T303" s="154"/>
      <c r="AT303" s="150" t="s">
        <v>346</v>
      </c>
      <c r="AU303" s="150" t="s">
        <v>90</v>
      </c>
      <c r="AV303" s="148" t="s">
        <v>90</v>
      </c>
      <c r="AW303" s="148" t="s">
        <v>33</v>
      </c>
      <c r="AX303" s="148" t="s">
        <v>80</v>
      </c>
      <c r="AY303" s="150" t="s">
        <v>337</v>
      </c>
    </row>
    <row r="304" spans="2:65" s="148" customFormat="1" x14ac:dyDescent="0.2">
      <c r="B304" s="149"/>
      <c r="D304" s="143" t="s">
        <v>346</v>
      </c>
      <c r="E304" s="150"/>
      <c r="F304" s="151" t="s">
        <v>4152</v>
      </c>
      <c r="H304" s="152">
        <v>68.102999999999994</v>
      </c>
      <c r="L304" s="149"/>
      <c r="M304" s="153"/>
      <c r="T304" s="154"/>
      <c r="AT304" s="150" t="s">
        <v>346</v>
      </c>
      <c r="AU304" s="150" t="s">
        <v>90</v>
      </c>
      <c r="AV304" s="148" t="s">
        <v>90</v>
      </c>
      <c r="AW304" s="148" t="s">
        <v>33</v>
      </c>
      <c r="AX304" s="148" t="s">
        <v>80</v>
      </c>
      <c r="AY304" s="150" t="s">
        <v>337</v>
      </c>
    </row>
    <row r="305" spans="2:65" s="148" customFormat="1" x14ac:dyDescent="0.2">
      <c r="B305" s="149"/>
      <c r="D305" s="143" t="s">
        <v>346</v>
      </c>
      <c r="E305" s="150"/>
      <c r="F305" s="151" t="s">
        <v>4153</v>
      </c>
      <c r="H305" s="152">
        <v>589.91600000000005</v>
      </c>
      <c r="L305" s="149"/>
      <c r="M305" s="153"/>
      <c r="T305" s="154"/>
      <c r="AT305" s="150" t="s">
        <v>346</v>
      </c>
      <c r="AU305" s="150" t="s">
        <v>90</v>
      </c>
      <c r="AV305" s="148" t="s">
        <v>90</v>
      </c>
      <c r="AW305" s="148" t="s">
        <v>33</v>
      </c>
      <c r="AX305" s="148" t="s">
        <v>80</v>
      </c>
      <c r="AY305" s="150" t="s">
        <v>337</v>
      </c>
    </row>
    <row r="306" spans="2:65" s="148" customFormat="1" x14ac:dyDescent="0.2">
      <c r="B306" s="149"/>
      <c r="D306" s="143" t="s">
        <v>346</v>
      </c>
      <c r="E306" s="150"/>
      <c r="F306" s="151" t="s">
        <v>4154</v>
      </c>
      <c r="H306" s="152">
        <v>22.08</v>
      </c>
      <c r="L306" s="149"/>
      <c r="M306" s="153"/>
      <c r="T306" s="154"/>
      <c r="AT306" s="150" t="s">
        <v>346</v>
      </c>
      <c r="AU306" s="150" t="s">
        <v>90</v>
      </c>
      <c r="AV306" s="148" t="s">
        <v>90</v>
      </c>
      <c r="AW306" s="148" t="s">
        <v>33</v>
      </c>
      <c r="AX306" s="148" t="s">
        <v>80</v>
      </c>
      <c r="AY306" s="150" t="s">
        <v>337</v>
      </c>
    </row>
    <row r="307" spans="2:65" s="148" customFormat="1" x14ac:dyDescent="0.2">
      <c r="B307" s="149"/>
      <c r="D307" s="143" t="s">
        <v>346</v>
      </c>
      <c r="E307" s="150"/>
      <c r="F307" s="151" t="s">
        <v>4155</v>
      </c>
      <c r="H307" s="152">
        <v>29.808</v>
      </c>
      <c r="L307" s="149"/>
      <c r="M307" s="153"/>
      <c r="T307" s="154"/>
      <c r="AT307" s="150" t="s">
        <v>346</v>
      </c>
      <c r="AU307" s="150" t="s">
        <v>90</v>
      </c>
      <c r="AV307" s="148" t="s">
        <v>90</v>
      </c>
      <c r="AW307" s="148" t="s">
        <v>33</v>
      </c>
      <c r="AX307" s="148" t="s">
        <v>80</v>
      </c>
      <c r="AY307" s="150" t="s">
        <v>337</v>
      </c>
    </row>
    <row r="308" spans="2:65" s="148" customFormat="1" x14ac:dyDescent="0.2">
      <c r="B308" s="149"/>
      <c r="D308" s="143" t="s">
        <v>346</v>
      </c>
      <c r="E308" s="150"/>
      <c r="F308" s="151" t="s">
        <v>4156</v>
      </c>
      <c r="H308" s="152">
        <v>144.553</v>
      </c>
      <c r="L308" s="149"/>
      <c r="M308" s="153"/>
      <c r="T308" s="154"/>
      <c r="AT308" s="150" t="s">
        <v>346</v>
      </c>
      <c r="AU308" s="150" t="s">
        <v>90</v>
      </c>
      <c r="AV308" s="148" t="s">
        <v>90</v>
      </c>
      <c r="AW308" s="148" t="s">
        <v>33</v>
      </c>
      <c r="AX308" s="148" t="s">
        <v>80</v>
      </c>
      <c r="AY308" s="150" t="s">
        <v>337</v>
      </c>
    </row>
    <row r="309" spans="2:65" s="148" customFormat="1" x14ac:dyDescent="0.2">
      <c r="B309" s="149"/>
      <c r="D309" s="143" t="s">
        <v>346</v>
      </c>
      <c r="E309" s="150"/>
      <c r="F309" s="151" t="s">
        <v>4157</v>
      </c>
      <c r="H309" s="152">
        <v>41.52</v>
      </c>
      <c r="L309" s="149"/>
      <c r="M309" s="153"/>
      <c r="T309" s="154"/>
      <c r="AT309" s="150" t="s">
        <v>346</v>
      </c>
      <c r="AU309" s="150" t="s">
        <v>90</v>
      </c>
      <c r="AV309" s="148" t="s">
        <v>90</v>
      </c>
      <c r="AW309" s="148" t="s">
        <v>33</v>
      </c>
      <c r="AX309" s="148" t="s">
        <v>80</v>
      </c>
      <c r="AY309" s="150" t="s">
        <v>337</v>
      </c>
    </row>
    <row r="310" spans="2:65" s="148" customFormat="1" x14ac:dyDescent="0.2">
      <c r="B310" s="149"/>
      <c r="D310" s="143" t="s">
        <v>346</v>
      </c>
      <c r="E310" s="150"/>
      <c r="F310" s="151" t="s">
        <v>4158</v>
      </c>
      <c r="H310" s="152">
        <v>193.87200000000001</v>
      </c>
      <c r="L310" s="149"/>
      <c r="M310" s="153"/>
      <c r="T310" s="154"/>
      <c r="AT310" s="150" t="s">
        <v>346</v>
      </c>
      <c r="AU310" s="150" t="s">
        <v>90</v>
      </c>
      <c r="AV310" s="148" t="s">
        <v>90</v>
      </c>
      <c r="AW310" s="148" t="s">
        <v>33</v>
      </c>
      <c r="AX310" s="148" t="s">
        <v>80</v>
      </c>
      <c r="AY310" s="150" t="s">
        <v>337</v>
      </c>
    </row>
    <row r="311" spans="2:65" s="148" customFormat="1" x14ac:dyDescent="0.2">
      <c r="B311" s="149"/>
      <c r="D311" s="143" t="s">
        <v>346</v>
      </c>
      <c r="E311" s="150"/>
      <c r="F311" s="151" t="s">
        <v>4159</v>
      </c>
      <c r="H311" s="152">
        <v>1.92</v>
      </c>
      <c r="L311" s="149"/>
      <c r="M311" s="153"/>
      <c r="T311" s="154"/>
      <c r="AT311" s="150" t="s">
        <v>346</v>
      </c>
      <c r="AU311" s="150" t="s">
        <v>90</v>
      </c>
      <c r="AV311" s="148" t="s">
        <v>90</v>
      </c>
      <c r="AW311" s="148" t="s">
        <v>33</v>
      </c>
      <c r="AX311" s="148" t="s">
        <v>80</v>
      </c>
      <c r="AY311" s="150" t="s">
        <v>337</v>
      </c>
    </row>
    <row r="312" spans="2:65" s="148" customFormat="1" x14ac:dyDescent="0.2">
      <c r="B312" s="149"/>
      <c r="D312" s="143" t="s">
        <v>346</v>
      </c>
      <c r="E312" s="150"/>
      <c r="F312" s="151" t="s">
        <v>4160</v>
      </c>
      <c r="H312" s="152">
        <v>9.6479999999999997</v>
      </c>
      <c r="L312" s="149"/>
      <c r="M312" s="153"/>
      <c r="T312" s="154"/>
      <c r="AT312" s="150" t="s">
        <v>346</v>
      </c>
      <c r="AU312" s="150" t="s">
        <v>90</v>
      </c>
      <c r="AV312" s="148" t="s">
        <v>90</v>
      </c>
      <c r="AW312" s="148" t="s">
        <v>33</v>
      </c>
      <c r="AX312" s="148" t="s">
        <v>80</v>
      </c>
      <c r="AY312" s="150" t="s">
        <v>337</v>
      </c>
    </row>
    <row r="313" spans="2:65" s="155" customFormat="1" x14ac:dyDescent="0.2">
      <c r="B313" s="156"/>
      <c r="D313" s="143" t="s">
        <v>346</v>
      </c>
      <c r="E313" s="157"/>
      <c r="F313" s="158" t="s">
        <v>351</v>
      </c>
      <c r="H313" s="159">
        <v>1377.317</v>
      </c>
      <c r="L313" s="156"/>
      <c r="M313" s="160"/>
      <c r="T313" s="161"/>
      <c r="AT313" s="157" t="s">
        <v>346</v>
      </c>
      <c r="AU313" s="157" t="s">
        <v>90</v>
      </c>
      <c r="AV313" s="155" t="s">
        <v>344</v>
      </c>
      <c r="AW313" s="155" t="s">
        <v>33</v>
      </c>
      <c r="AX313" s="155" t="s">
        <v>87</v>
      </c>
      <c r="AY313" s="157" t="s">
        <v>337</v>
      </c>
    </row>
    <row r="314" spans="2:65" s="16" customFormat="1" ht="24.2" customHeight="1" x14ac:dyDescent="0.2">
      <c r="B314" s="17"/>
      <c r="C314" s="162">
        <v>18</v>
      </c>
      <c r="D314" s="162" t="s">
        <v>519</v>
      </c>
      <c r="E314" s="163" t="s">
        <v>4165</v>
      </c>
      <c r="F314" s="164" t="s">
        <v>4166</v>
      </c>
      <c r="G314" s="165" t="s">
        <v>425</v>
      </c>
      <c r="H314" s="166">
        <v>1353.317</v>
      </c>
      <c r="I314" s="167"/>
      <c r="J314" s="168">
        <f>ROUND(I314*H314,2)</f>
        <v>0</v>
      </c>
      <c r="K314" s="164" t="s">
        <v>343</v>
      </c>
      <c r="L314" s="169"/>
      <c r="M314" s="170"/>
      <c r="N314" s="171" t="s">
        <v>45</v>
      </c>
      <c r="P314" s="137">
        <f>O314*H314</f>
        <v>0</v>
      </c>
      <c r="Q314" s="137">
        <v>4.7000000000000002E-3</v>
      </c>
      <c r="R314" s="137">
        <f>Q314*H314</f>
        <v>6.3605898999999999</v>
      </c>
      <c r="S314" s="137">
        <v>0</v>
      </c>
      <c r="T314" s="138">
        <f>S314*H314</f>
        <v>0</v>
      </c>
      <c r="AR314" s="139" t="s">
        <v>621</v>
      </c>
      <c r="AT314" s="139" t="s">
        <v>519</v>
      </c>
      <c r="AU314" s="139" t="s">
        <v>90</v>
      </c>
      <c r="AY314" s="2" t="s">
        <v>337</v>
      </c>
      <c r="BE314" s="140">
        <f>IF(N314="základní",J314,0)</f>
        <v>0</v>
      </c>
      <c r="BF314" s="140">
        <f>IF(N314="snížená",J314,0)</f>
        <v>0</v>
      </c>
      <c r="BG314" s="140">
        <f>IF(N314="zákl. přenesená",J314,0)</f>
        <v>0</v>
      </c>
      <c r="BH314" s="140">
        <f>IF(N314="sníž. přenesená",J314,0)</f>
        <v>0</v>
      </c>
      <c r="BI314" s="140">
        <f>IF(N314="nulová",J314,0)</f>
        <v>0</v>
      </c>
      <c r="BJ314" s="2" t="s">
        <v>87</v>
      </c>
      <c r="BK314" s="140">
        <f>ROUND(I314*H314,2)</f>
        <v>0</v>
      </c>
      <c r="BL314" s="2" t="s">
        <v>496</v>
      </c>
      <c r="BM314" s="139" t="s">
        <v>4167</v>
      </c>
    </row>
    <row r="315" spans="2:65" s="141" customFormat="1" ht="22.5" x14ac:dyDescent="0.2">
      <c r="B315" s="142"/>
      <c r="D315" s="143" t="s">
        <v>346</v>
      </c>
      <c r="E315" s="144"/>
      <c r="F315" s="145" t="s">
        <v>4168</v>
      </c>
      <c r="H315" s="144"/>
      <c r="L315" s="142"/>
      <c r="M315" s="146"/>
      <c r="T315" s="147"/>
      <c r="AT315" s="144" t="s">
        <v>346</v>
      </c>
      <c r="AU315" s="144" t="s">
        <v>90</v>
      </c>
      <c r="AV315" s="141" t="s">
        <v>87</v>
      </c>
      <c r="AW315" s="141" t="s">
        <v>33</v>
      </c>
      <c r="AX315" s="141" t="s">
        <v>80</v>
      </c>
      <c r="AY315" s="144" t="s">
        <v>337</v>
      </c>
    </row>
    <row r="316" spans="2:65" s="148" customFormat="1" x14ac:dyDescent="0.2">
      <c r="B316" s="149"/>
      <c r="D316" s="143" t="s">
        <v>346</v>
      </c>
      <c r="E316" s="150"/>
      <c r="F316" s="151" t="s">
        <v>4151</v>
      </c>
      <c r="H316" s="152">
        <v>275.89699999999999</v>
      </c>
      <c r="L316" s="149"/>
      <c r="M316" s="153"/>
      <c r="T316" s="154"/>
      <c r="AT316" s="150" t="s">
        <v>346</v>
      </c>
      <c r="AU316" s="150" t="s">
        <v>90</v>
      </c>
      <c r="AV316" s="148" t="s">
        <v>90</v>
      </c>
      <c r="AW316" s="148" t="s">
        <v>33</v>
      </c>
      <c r="AX316" s="148" t="s">
        <v>80</v>
      </c>
      <c r="AY316" s="150" t="s">
        <v>337</v>
      </c>
    </row>
    <row r="317" spans="2:65" s="148" customFormat="1" x14ac:dyDescent="0.2">
      <c r="B317" s="149"/>
      <c r="D317" s="143" t="s">
        <v>346</v>
      </c>
      <c r="E317" s="150"/>
      <c r="F317" s="151" t="s">
        <v>4152</v>
      </c>
      <c r="H317" s="152">
        <v>68.102999999999994</v>
      </c>
      <c r="L317" s="149"/>
      <c r="M317" s="153"/>
      <c r="T317" s="154"/>
      <c r="AT317" s="150" t="s">
        <v>346</v>
      </c>
      <c r="AU317" s="150" t="s">
        <v>90</v>
      </c>
      <c r="AV317" s="148" t="s">
        <v>90</v>
      </c>
      <c r="AW317" s="148" t="s">
        <v>33</v>
      </c>
      <c r="AX317" s="148" t="s">
        <v>80</v>
      </c>
      <c r="AY317" s="150" t="s">
        <v>337</v>
      </c>
    </row>
    <row r="318" spans="2:65" s="148" customFormat="1" x14ac:dyDescent="0.2">
      <c r="B318" s="149"/>
      <c r="D318" s="143" t="s">
        <v>346</v>
      </c>
      <c r="E318" s="150"/>
      <c r="F318" s="151" t="s">
        <v>4153</v>
      </c>
      <c r="H318" s="152">
        <v>589.91600000000005</v>
      </c>
      <c r="L318" s="149"/>
      <c r="M318" s="153"/>
      <c r="T318" s="154"/>
      <c r="AT318" s="150" t="s">
        <v>346</v>
      </c>
      <c r="AU318" s="150" t="s">
        <v>90</v>
      </c>
      <c r="AV318" s="148" t="s">
        <v>90</v>
      </c>
      <c r="AW318" s="148" t="s">
        <v>33</v>
      </c>
      <c r="AX318" s="148" t="s">
        <v>80</v>
      </c>
      <c r="AY318" s="150" t="s">
        <v>337</v>
      </c>
    </row>
    <row r="319" spans="2:65" s="148" customFormat="1" x14ac:dyDescent="0.2">
      <c r="B319" s="149"/>
      <c r="D319" s="143" t="s">
        <v>346</v>
      </c>
      <c r="E319" s="150"/>
      <c r="F319" s="151" t="s">
        <v>4155</v>
      </c>
      <c r="H319" s="152">
        <v>29.808</v>
      </c>
      <c r="L319" s="149"/>
      <c r="M319" s="153"/>
      <c r="T319" s="154"/>
      <c r="AT319" s="150" t="s">
        <v>346</v>
      </c>
      <c r="AU319" s="150" t="s">
        <v>90</v>
      </c>
      <c r="AV319" s="148" t="s">
        <v>90</v>
      </c>
      <c r="AW319" s="148" t="s">
        <v>33</v>
      </c>
      <c r="AX319" s="148" t="s">
        <v>80</v>
      </c>
      <c r="AY319" s="150" t="s">
        <v>337</v>
      </c>
    </row>
    <row r="320" spans="2:65" s="148" customFormat="1" x14ac:dyDescent="0.2">
      <c r="B320" s="149"/>
      <c r="D320" s="143" t="s">
        <v>346</v>
      </c>
      <c r="E320" s="150"/>
      <c r="F320" s="151" t="s">
        <v>4156</v>
      </c>
      <c r="H320" s="152">
        <v>144.553</v>
      </c>
      <c r="L320" s="149"/>
      <c r="M320" s="153"/>
      <c r="T320" s="154"/>
      <c r="AT320" s="150" t="s">
        <v>346</v>
      </c>
      <c r="AU320" s="150" t="s">
        <v>90</v>
      </c>
      <c r="AV320" s="148" t="s">
        <v>90</v>
      </c>
      <c r="AW320" s="148" t="s">
        <v>33</v>
      </c>
      <c r="AX320" s="148" t="s">
        <v>80</v>
      </c>
      <c r="AY320" s="150" t="s">
        <v>337</v>
      </c>
    </row>
    <row r="321" spans="2:65" s="148" customFormat="1" x14ac:dyDescent="0.2">
      <c r="B321" s="149"/>
      <c r="D321" s="143" t="s">
        <v>346</v>
      </c>
      <c r="E321" s="150"/>
      <c r="F321" s="151" t="s">
        <v>4157</v>
      </c>
      <c r="H321" s="152">
        <v>41.52</v>
      </c>
      <c r="L321" s="149"/>
      <c r="M321" s="153"/>
      <c r="T321" s="154"/>
      <c r="AT321" s="150" t="s">
        <v>346</v>
      </c>
      <c r="AU321" s="150" t="s">
        <v>90</v>
      </c>
      <c r="AV321" s="148" t="s">
        <v>90</v>
      </c>
      <c r="AW321" s="148" t="s">
        <v>33</v>
      </c>
      <c r="AX321" s="148" t="s">
        <v>80</v>
      </c>
      <c r="AY321" s="150" t="s">
        <v>337</v>
      </c>
    </row>
    <row r="322" spans="2:65" s="148" customFormat="1" x14ac:dyDescent="0.2">
      <c r="B322" s="149"/>
      <c r="D322" s="143" t="s">
        <v>346</v>
      </c>
      <c r="E322" s="150"/>
      <c r="F322" s="151" t="s">
        <v>4158</v>
      </c>
      <c r="H322" s="152">
        <v>193.87200000000001</v>
      </c>
      <c r="L322" s="149"/>
      <c r="M322" s="153"/>
      <c r="T322" s="154"/>
      <c r="AT322" s="150" t="s">
        <v>346</v>
      </c>
      <c r="AU322" s="150" t="s">
        <v>90</v>
      </c>
      <c r="AV322" s="148" t="s">
        <v>90</v>
      </c>
      <c r="AW322" s="148" t="s">
        <v>33</v>
      </c>
      <c r="AX322" s="148" t="s">
        <v>80</v>
      </c>
      <c r="AY322" s="150" t="s">
        <v>337</v>
      </c>
    </row>
    <row r="323" spans="2:65" s="148" customFormat="1" x14ac:dyDescent="0.2">
      <c r="B323" s="149"/>
      <c r="D323" s="143" t="s">
        <v>346</v>
      </c>
      <c r="E323" s="150"/>
      <c r="F323" s="151" t="s">
        <v>4160</v>
      </c>
      <c r="H323" s="152">
        <v>9.6479999999999997</v>
      </c>
      <c r="L323" s="149"/>
      <c r="M323" s="153"/>
      <c r="T323" s="154"/>
      <c r="AT323" s="150" t="s">
        <v>346</v>
      </c>
      <c r="AU323" s="150" t="s">
        <v>90</v>
      </c>
      <c r="AV323" s="148" t="s">
        <v>90</v>
      </c>
      <c r="AW323" s="148" t="s">
        <v>33</v>
      </c>
      <c r="AX323" s="148" t="s">
        <v>80</v>
      </c>
      <c r="AY323" s="150" t="s">
        <v>337</v>
      </c>
    </row>
    <row r="324" spans="2:65" s="155" customFormat="1" x14ac:dyDescent="0.2">
      <c r="B324" s="156"/>
      <c r="D324" s="143" t="s">
        <v>346</v>
      </c>
      <c r="E324" s="157"/>
      <c r="F324" s="158" t="s">
        <v>351</v>
      </c>
      <c r="H324" s="159">
        <v>1353.317</v>
      </c>
      <c r="L324" s="156"/>
      <c r="M324" s="160"/>
      <c r="T324" s="161"/>
      <c r="AT324" s="157" t="s">
        <v>346</v>
      </c>
      <c r="AU324" s="157" t="s">
        <v>90</v>
      </c>
      <c r="AV324" s="155" t="s">
        <v>344</v>
      </c>
      <c r="AW324" s="155" t="s">
        <v>33</v>
      </c>
      <c r="AX324" s="155" t="s">
        <v>87</v>
      </c>
      <c r="AY324" s="157" t="s">
        <v>337</v>
      </c>
    </row>
    <row r="325" spans="2:65" s="16" customFormat="1" ht="16.5" customHeight="1" x14ac:dyDescent="0.2">
      <c r="B325" s="17"/>
      <c r="C325" s="128">
        <v>19</v>
      </c>
      <c r="D325" s="128" t="s">
        <v>339</v>
      </c>
      <c r="E325" s="129" t="s">
        <v>4169</v>
      </c>
      <c r="F325" s="130" t="s">
        <v>4170</v>
      </c>
      <c r="G325" s="131" t="s">
        <v>449</v>
      </c>
      <c r="H325" s="132">
        <v>55</v>
      </c>
      <c r="I325" s="133"/>
      <c r="J325" s="134">
        <f>ROUND(I325*H325,2)</f>
        <v>0</v>
      </c>
      <c r="K325" s="130" t="s">
        <v>343</v>
      </c>
      <c r="L325" s="17"/>
      <c r="M325" s="135"/>
      <c r="N325" s="136" t="s">
        <v>45</v>
      </c>
      <c r="P325" s="137">
        <f>O325*H325</f>
        <v>0</v>
      </c>
      <c r="Q325" s="137">
        <v>1E-4</v>
      </c>
      <c r="R325" s="137">
        <f>Q325*H325</f>
        <v>5.5000000000000005E-3</v>
      </c>
      <c r="S325" s="137">
        <v>0</v>
      </c>
      <c r="T325" s="138">
        <f>S325*H325</f>
        <v>0</v>
      </c>
      <c r="AR325" s="139" t="s">
        <v>496</v>
      </c>
      <c r="AT325" s="139" t="s">
        <v>339</v>
      </c>
      <c r="AU325" s="139" t="s">
        <v>90</v>
      </c>
      <c r="AY325" s="2" t="s">
        <v>337</v>
      </c>
      <c r="BE325" s="140">
        <f>IF(N325="základní",J325,0)</f>
        <v>0</v>
      </c>
      <c r="BF325" s="140">
        <f>IF(N325="snížená",J325,0)</f>
        <v>0</v>
      </c>
      <c r="BG325" s="140">
        <f>IF(N325="zákl. přenesená",J325,0)</f>
        <v>0</v>
      </c>
      <c r="BH325" s="140">
        <f>IF(N325="sníž. přenesená",J325,0)</f>
        <v>0</v>
      </c>
      <c r="BI325" s="140">
        <f>IF(N325="nulová",J325,0)</f>
        <v>0</v>
      </c>
      <c r="BJ325" s="2" t="s">
        <v>87</v>
      </c>
      <c r="BK325" s="140">
        <f>ROUND(I325*H325,2)</f>
        <v>0</v>
      </c>
      <c r="BL325" s="2" t="s">
        <v>496</v>
      </c>
      <c r="BM325" s="139" t="s">
        <v>4171</v>
      </c>
    </row>
    <row r="326" spans="2:65" s="141" customFormat="1" x14ac:dyDescent="0.2">
      <c r="B326" s="142"/>
      <c r="D326" s="143" t="s">
        <v>346</v>
      </c>
      <c r="E326" s="144"/>
      <c r="F326" s="145" t="s">
        <v>4172</v>
      </c>
      <c r="H326" s="144"/>
      <c r="L326" s="142"/>
      <c r="M326" s="146"/>
      <c r="T326" s="147"/>
      <c r="AT326" s="144" t="s">
        <v>346</v>
      </c>
      <c r="AU326" s="144" t="s">
        <v>90</v>
      </c>
      <c r="AV326" s="141" t="s">
        <v>87</v>
      </c>
      <c r="AW326" s="141" t="s">
        <v>33</v>
      </c>
      <c r="AX326" s="141" t="s">
        <v>80</v>
      </c>
      <c r="AY326" s="144" t="s">
        <v>337</v>
      </c>
    </row>
    <row r="327" spans="2:65" s="141" customFormat="1" x14ac:dyDescent="0.2">
      <c r="B327" s="142"/>
      <c r="D327" s="143" t="s">
        <v>346</v>
      </c>
      <c r="E327" s="144"/>
      <c r="F327" s="145" t="s">
        <v>4173</v>
      </c>
      <c r="H327" s="144"/>
      <c r="L327" s="142"/>
      <c r="M327" s="146"/>
      <c r="T327" s="147"/>
      <c r="AT327" s="144" t="s">
        <v>346</v>
      </c>
      <c r="AU327" s="144" t="s">
        <v>90</v>
      </c>
      <c r="AV327" s="141" t="s">
        <v>87</v>
      </c>
      <c r="AW327" s="141" t="s">
        <v>33</v>
      </c>
      <c r="AX327" s="141" t="s">
        <v>80</v>
      </c>
      <c r="AY327" s="144" t="s">
        <v>337</v>
      </c>
    </row>
    <row r="328" spans="2:65" s="148" customFormat="1" x14ac:dyDescent="0.2">
      <c r="B328" s="149"/>
      <c r="D328" s="143" t="s">
        <v>346</v>
      </c>
      <c r="E328" s="150"/>
      <c r="F328" s="151" t="s">
        <v>4174</v>
      </c>
      <c r="H328" s="152">
        <v>5.31</v>
      </c>
      <c r="L328" s="149"/>
      <c r="M328" s="153"/>
      <c r="T328" s="154"/>
      <c r="AT328" s="150" t="s">
        <v>346</v>
      </c>
      <c r="AU328" s="150" t="s">
        <v>90</v>
      </c>
      <c r="AV328" s="148" t="s">
        <v>90</v>
      </c>
      <c r="AW328" s="148" t="s">
        <v>33</v>
      </c>
      <c r="AX328" s="148" t="s">
        <v>80</v>
      </c>
      <c r="AY328" s="150" t="s">
        <v>337</v>
      </c>
    </row>
    <row r="329" spans="2:65" s="141" customFormat="1" x14ac:dyDescent="0.2">
      <c r="B329" s="142"/>
      <c r="D329" s="143" t="s">
        <v>346</v>
      </c>
      <c r="E329" s="144"/>
      <c r="F329" s="145" t="s">
        <v>4175</v>
      </c>
      <c r="H329" s="144"/>
      <c r="L329" s="142"/>
      <c r="M329" s="146"/>
      <c r="T329" s="147"/>
      <c r="AT329" s="144" t="s">
        <v>346</v>
      </c>
      <c r="AU329" s="144" t="s">
        <v>90</v>
      </c>
      <c r="AV329" s="141" t="s">
        <v>87</v>
      </c>
      <c r="AW329" s="141" t="s">
        <v>33</v>
      </c>
      <c r="AX329" s="141" t="s">
        <v>80</v>
      </c>
      <c r="AY329" s="144" t="s">
        <v>337</v>
      </c>
    </row>
    <row r="330" spans="2:65" s="148" customFormat="1" x14ac:dyDescent="0.2">
      <c r="B330" s="149"/>
      <c r="D330" s="143" t="s">
        <v>346</v>
      </c>
      <c r="E330" s="150"/>
      <c r="F330" s="151" t="s">
        <v>4176</v>
      </c>
      <c r="H330" s="152">
        <v>33.924999999999997</v>
      </c>
      <c r="L330" s="149"/>
      <c r="M330" s="153"/>
      <c r="T330" s="154"/>
      <c r="AT330" s="150" t="s">
        <v>346</v>
      </c>
      <c r="AU330" s="150" t="s">
        <v>90</v>
      </c>
      <c r="AV330" s="148" t="s">
        <v>90</v>
      </c>
      <c r="AW330" s="148" t="s">
        <v>33</v>
      </c>
      <c r="AX330" s="148" t="s">
        <v>80</v>
      </c>
      <c r="AY330" s="150" t="s">
        <v>337</v>
      </c>
    </row>
    <row r="331" spans="2:65" s="141" customFormat="1" x14ac:dyDescent="0.2">
      <c r="B331" s="142"/>
      <c r="D331" s="143" t="s">
        <v>346</v>
      </c>
      <c r="E331" s="144"/>
      <c r="F331" s="145" t="s">
        <v>4177</v>
      </c>
      <c r="H331" s="144"/>
      <c r="L331" s="142"/>
      <c r="M331" s="146"/>
      <c r="T331" s="147"/>
      <c r="AT331" s="144" t="s">
        <v>346</v>
      </c>
      <c r="AU331" s="144" t="s">
        <v>90</v>
      </c>
      <c r="AV331" s="141" t="s">
        <v>87</v>
      </c>
      <c r="AW331" s="141" t="s">
        <v>33</v>
      </c>
      <c r="AX331" s="141" t="s">
        <v>80</v>
      </c>
      <c r="AY331" s="144" t="s">
        <v>337</v>
      </c>
    </row>
    <row r="332" spans="2:65" s="148" customFormat="1" x14ac:dyDescent="0.2">
      <c r="B332" s="149"/>
      <c r="D332" s="143" t="s">
        <v>346</v>
      </c>
      <c r="E332" s="150"/>
      <c r="F332" s="151" t="s">
        <v>4178</v>
      </c>
      <c r="H332" s="152">
        <v>12.574999999999999</v>
      </c>
      <c r="L332" s="149"/>
      <c r="M332" s="153"/>
      <c r="T332" s="154"/>
      <c r="AT332" s="150" t="s">
        <v>346</v>
      </c>
      <c r="AU332" s="150" t="s">
        <v>90</v>
      </c>
      <c r="AV332" s="148" t="s">
        <v>90</v>
      </c>
      <c r="AW332" s="148" t="s">
        <v>33</v>
      </c>
      <c r="AX332" s="148" t="s">
        <v>80</v>
      </c>
      <c r="AY332" s="150" t="s">
        <v>337</v>
      </c>
    </row>
    <row r="333" spans="2:65" s="141" customFormat="1" x14ac:dyDescent="0.2">
      <c r="B333" s="142"/>
      <c r="D333" s="143" t="s">
        <v>346</v>
      </c>
      <c r="E333" s="144"/>
      <c r="F333" s="145" t="s">
        <v>4179</v>
      </c>
      <c r="H333" s="144"/>
      <c r="L333" s="142"/>
      <c r="M333" s="146"/>
      <c r="T333" s="147"/>
      <c r="AT333" s="144" t="s">
        <v>346</v>
      </c>
      <c r="AU333" s="144" t="s">
        <v>90</v>
      </c>
      <c r="AV333" s="141" t="s">
        <v>87</v>
      </c>
      <c r="AW333" s="141" t="s">
        <v>33</v>
      </c>
      <c r="AX333" s="141" t="s">
        <v>80</v>
      </c>
      <c r="AY333" s="144" t="s">
        <v>337</v>
      </c>
    </row>
    <row r="334" spans="2:65" s="148" customFormat="1" x14ac:dyDescent="0.2">
      <c r="B334" s="149"/>
      <c r="D334" s="143" t="s">
        <v>346</v>
      </c>
      <c r="E334" s="150"/>
      <c r="F334" s="151" t="s">
        <v>4180</v>
      </c>
      <c r="H334" s="152">
        <v>2.375</v>
      </c>
      <c r="L334" s="149"/>
      <c r="M334" s="153"/>
      <c r="T334" s="154"/>
      <c r="AT334" s="150" t="s">
        <v>346</v>
      </c>
      <c r="AU334" s="150" t="s">
        <v>90</v>
      </c>
      <c r="AV334" s="148" t="s">
        <v>90</v>
      </c>
      <c r="AW334" s="148" t="s">
        <v>33</v>
      </c>
      <c r="AX334" s="148" t="s">
        <v>80</v>
      </c>
      <c r="AY334" s="150" t="s">
        <v>337</v>
      </c>
    </row>
    <row r="335" spans="2:65" s="148" customFormat="1" x14ac:dyDescent="0.2">
      <c r="B335" s="149"/>
      <c r="D335" s="143" t="s">
        <v>346</v>
      </c>
      <c r="E335" s="150"/>
      <c r="F335" s="151" t="s">
        <v>4181</v>
      </c>
      <c r="H335" s="152">
        <v>0.81499999999999995</v>
      </c>
      <c r="L335" s="149"/>
      <c r="M335" s="153"/>
      <c r="T335" s="154"/>
      <c r="AT335" s="150" t="s">
        <v>346</v>
      </c>
      <c r="AU335" s="150" t="s">
        <v>90</v>
      </c>
      <c r="AV335" s="148" t="s">
        <v>90</v>
      </c>
      <c r="AW335" s="148" t="s">
        <v>33</v>
      </c>
      <c r="AX335" s="148" t="s">
        <v>80</v>
      </c>
      <c r="AY335" s="150" t="s">
        <v>337</v>
      </c>
    </row>
    <row r="336" spans="2:65" s="155" customFormat="1" x14ac:dyDescent="0.2">
      <c r="B336" s="156"/>
      <c r="D336" s="143" t="s">
        <v>346</v>
      </c>
      <c r="E336" s="157"/>
      <c r="F336" s="158" t="s">
        <v>351</v>
      </c>
      <c r="H336" s="159">
        <v>55</v>
      </c>
      <c r="L336" s="156"/>
      <c r="M336" s="160"/>
      <c r="T336" s="161"/>
      <c r="AT336" s="157" t="s">
        <v>346</v>
      </c>
      <c r="AU336" s="157" t="s">
        <v>90</v>
      </c>
      <c r="AV336" s="155" t="s">
        <v>344</v>
      </c>
      <c r="AW336" s="155" t="s">
        <v>33</v>
      </c>
      <c r="AX336" s="155" t="s">
        <v>87</v>
      </c>
      <c r="AY336" s="157" t="s">
        <v>337</v>
      </c>
    </row>
    <row r="337" spans="2:65" s="16" customFormat="1" ht="16.5" customHeight="1" x14ac:dyDescent="0.2">
      <c r="B337" s="17"/>
      <c r="C337" s="162">
        <v>20</v>
      </c>
      <c r="D337" s="162" t="s">
        <v>519</v>
      </c>
      <c r="E337" s="163" t="s">
        <v>4182</v>
      </c>
      <c r="F337" s="164" t="s">
        <v>4183</v>
      </c>
      <c r="G337" s="165" t="s">
        <v>449</v>
      </c>
      <c r="H337" s="166">
        <v>55</v>
      </c>
      <c r="I337" s="167"/>
      <c r="J337" s="168">
        <f>ROUND(I337*H337,2)</f>
        <v>0</v>
      </c>
      <c r="K337" s="164" t="s">
        <v>343</v>
      </c>
      <c r="L337" s="169"/>
      <c r="M337" s="170"/>
      <c r="N337" s="171" t="s">
        <v>45</v>
      </c>
      <c r="P337" s="137">
        <f>O337*H337</f>
        <v>0</v>
      </c>
      <c r="Q337" s="137">
        <v>1E-3</v>
      </c>
      <c r="R337" s="137">
        <f>Q337*H337</f>
        <v>5.5E-2</v>
      </c>
      <c r="S337" s="137">
        <v>0</v>
      </c>
      <c r="T337" s="138">
        <f>S337*H337</f>
        <v>0</v>
      </c>
      <c r="AR337" s="139" t="s">
        <v>621</v>
      </c>
      <c r="AT337" s="139" t="s">
        <v>519</v>
      </c>
      <c r="AU337" s="139" t="s">
        <v>90</v>
      </c>
      <c r="AY337" s="2" t="s">
        <v>337</v>
      </c>
      <c r="BE337" s="140">
        <f>IF(N337="základní",J337,0)</f>
        <v>0</v>
      </c>
      <c r="BF337" s="140">
        <f>IF(N337="snížená",J337,0)</f>
        <v>0</v>
      </c>
      <c r="BG337" s="140">
        <f>IF(N337="zákl. přenesená",J337,0)</f>
        <v>0</v>
      </c>
      <c r="BH337" s="140">
        <f>IF(N337="sníž. přenesená",J337,0)</f>
        <v>0</v>
      </c>
      <c r="BI337" s="140">
        <f>IF(N337="nulová",J337,0)</f>
        <v>0</v>
      </c>
      <c r="BJ337" s="2" t="s">
        <v>87</v>
      </c>
      <c r="BK337" s="140">
        <f>ROUND(I337*H337,2)</f>
        <v>0</v>
      </c>
      <c r="BL337" s="2" t="s">
        <v>496</v>
      </c>
      <c r="BM337" s="139" t="s">
        <v>4184</v>
      </c>
    </row>
    <row r="338" spans="2:65" s="16" customFormat="1" ht="16.5" customHeight="1" x14ac:dyDescent="0.2">
      <c r="B338" s="17"/>
      <c r="C338" s="128">
        <v>21</v>
      </c>
      <c r="D338" s="128" t="s">
        <v>339</v>
      </c>
      <c r="E338" s="129" t="s">
        <v>4185</v>
      </c>
      <c r="F338" s="130" t="s">
        <v>4186</v>
      </c>
      <c r="G338" s="131" t="s">
        <v>449</v>
      </c>
      <c r="H338" s="132">
        <v>1</v>
      </c>
      <c r="I338" s="133"/>
      <c r="J338" s="134">
        <f>ROUND(I338*H338,2)</f>
        <v>0</v>
      </c>
      <c r="K338" s="130" t="s">
        <v>343</v>
      </c>
      <c r="L338" s="17"/>
      <c r="M338" s="135"/>
      <c r="N338" s="136" t="s">
        <v>45</v>
      </c>
      <c r="P338" s="137">
        <f>O338*H338</f>
        <v>0</v>
      </c>
      <c r="Q338" s="137">
        <v>1.5E-3</v>
      </c>
      <c r="R338" s="137">
        <f>Q338*H338</f>
        <v>1.5E-3</v>
      </c>
      <c r="S338" s="137">
        <v>0</v>
      </c>
      <c r="T338" s="138">
        <f>S338*H338</f>
        <v>0</v>
      </c>
      <c r="AR338" s="139" t="s">
        <v>496</v>
      </c>
      <c r="AT338" s="139" t="s">
        <v>339</v>
      </c>
      <c r="AU338" s="139" t="s">
        <v>90</v>
      </c>
      <c r="AY338" s="2" t="s">
        <v>337</v>
      </c>
      <c r="BE338" s="140">
        <f>IF(N338="základní",J338,0)</f>
        <v>0</v>
      </c>
      <c r="BF338" s="140">
        <f>IF(N338="snížená",J338,0)</f>
        <v>0</v>
      </c>
      <c r="BG338" s="140">
        <f>IF(N338="zákl. přenesená",J338,0)</f>
        <v>0</v>
      </c>
      <c r="BH338" s="140">
        <f>IF(N338="sníž. přenesená",J338,0)</f>
        <v>0</v>
      </c>
      <c r="BI338" s="140">
        <f>IF(N338="nulová",J338,0)</f>
        <v>0</v>
      </c>
      <c r="BJ338" s="2" t="s">
        <v>87</v>
      </c>
      <c r="BK338" s="140">
        <f>ROUND(I338*H338,2)</f>
        <v>0</v>
      </c>
      <c r="BL338" s="2" t="s">
        <v>496</v>
      </c>
      <c r="BM338" s="139" t="s">
        <v>4187</v>
      </c>
    </row>
    <row r="339" spans="2:65" s="16" customFormat="1" ht="16.5" customHeight="1" x14ac:dyDescent="0.2">
      <c r="B339" s="17"/>
      <c r="C339" s="128">
        <v>22</v>
      </c>
      <c r="D339" s="128" t="s">
        <v>339</v>
      </c>
      <c r="E339" s="129" t="s">
        <v>4188</v>
      </c>
      <c r="F339" s="130" t="s">
        <v>4189</v>
      </c>
      <c r="G339" s="131" t="s">
        <v>990</v>
      </c>
      <c r="H339" s="132">
        <v>24.364000000000001</v>
      </c>
      <c r="I339" s="133"/>
      <c r="J339" s="134">
        <f>ROUND(I339*H339,2)</f>
        <v>0</v>
      </c>
      <c r="K339" s="130" t="s">
        <v>343</v>
      </c>
      <c r="L339" s="17"/>
      <c r="M339" s="135"/>
      <c r="N339" s="136" t="s">
        <v>45</v>
      </c>
      <c r="P339" s="137">
        <f>O339*H339</f>
        <v>0</v>
      </c>
      <c r="Q339" s="137">
        <v>0</v>
      </c>
      <c r="R339" s="137">
        <f>Q339*H339</f>
        <v>0</v>
      </c>
      <c r="S339" s="137">
        <v>0</v>
      </c>
      <c r="T339" s="138">
        <f>S339*H339</f>
        <v>0</v>
      </c>
      <c r="AR339" s="139" t="s">
        <v>496</v>
      </c>
      <c r="AT339" s="139" t="s">
        <v>339</v>
      </c>
      <c r="AU339" s="139" t="s">
        <v>90</v>
      </c>
      <c r="AY339" s="2" t="s">
        <v>337</v>
      </c>
      <c r="BE339" s="140">
        <f>IF(N339="základní",J339,0)</f>
        <v>0</v>
      </c>
      <c r="BF339" s="140">
        <f>IF(N339="snížená",J339,0)</f>
        <v>0</v>
      </c>
      <c r="BG339" s="140">
        <f>IF(N339="zákl. přenesená",J339,0)</f>
        <v>0</v>
      </c>
      <c r="BH339" s="140">
        <f>IF(N339="sníž. přenesená",J339,0)</f>
        <v>0</v>
      </c>
      <c r="BI339" s="140">
        <f>IF(N339="nulová",J339,0)</f>
        <v>0</v>
      </c>
      <c r="BJ339" s="2" t="s">
        <v>87</v>
      </c>
      <c r="BK339" s="140">
        <f>ROUND(I339*H339,2)</f>
        <v>0</v>
      </c>
      <c r="BL339" s="2" t="s">
        <v>496</v>
      </c>
      <c r="BM339" s="139" t="s">
        <v>4190</v>
      </c>
    </row>
    <row r="340" spans="2:65" s="116" customFormat="1" ht="22.9" customHeight="1" x14ac:dyDescent="0.2">
      <c r="B340" s="117"/>
      <c r="D340" s="118" t="s">
        <v>79</v>
      </c>
      <c r="E340" s="126" t="s">
        <v>1035</v>
      </c>
      <c r="F340" s="126" t="s">
        <v>1036</v>
      </c>
      <c r="J340" s="127">
        <f>BK340</f>
        <v>0</v>
      </c>
      <c r="L340" s="117"/>
      <c r="M340" s="121"/>
      <c r="P340" s="122">
        <f>SUM(P341:P448)</f>
        <v>0</v>
      </c>
      <c r="R340" s="122">
        <f>SUM(R341:R448)</f>
        <v>14.855295589999999</v>
      </c>
      <c r="T340" s="123">
        <f>SUM(T341:T448)</f>
        <v>0</v>
      </c>
      <c r="AR340" s="118" t="s">
        <v>90</v>
      </c>
      <c r="AT340" s="124" t="s">
        <v>79</v>
      </c>
      <c r="AU340" s="124" t="s">
        <v>87</v>
      </c>
      <c r="AY340" s="118" t="s">
        <v>337</v>
      </c>
      <c r="BK340" s="125">
        <f>SUM(BK341:BK448)</f>
        <v>0</v>
      </c>
    </row>
    <row r="341" spans="2:65" s="16" customFormat="1" ht="16.5" customHeight="1" x14ac:dyDescent="0.2">
      <c r="B341" s="17"/>
      <c r="C341" s="128">
        <v>23</v>
      </c>
      <c r="D341" s="128" t="s">
        <v>339</v>
      </c>
      <c r="E341" s="129" t="s">
        <v>4191</v>
      </c>
      <c r="F341" s="130" t="s">
        <v>4192</v>
      </c>
      <c r="G341" s="131" t="s">
        <v>425</v>
      </c>
      <c r="H341" s="132">
        <v>106.64</v>
      </c>
      <c r="I341" s="133"/>
      <c r="J341" s="134">
        <f>ROUND(I341*H341,2)</f>
        <v>0</v>
      </c>
      <c r="K341" s="130" t="s">
        <v>343</v>
      </c>
      <c r="L341" s="17"/>
      <c r="M341" s="135"/>
      <c r="N341" s="136" t="s">
        <v>45</v>
      </c>
      <c r="P341" s="137">
        <f>O341*H341</f>
        <v>0</v>
      </c>
      <c r="Q341" s="137">
        <v>2.9999999999999997E-4</v>
      </c>
      <c r="R341" s="137">
        <f>Q341*H341</f>
        <v>3.1992E-2</v>
      </c>
      <c r="S341" s="137">
        <v>0</v>
      </c>
      <c r="T341" s="138">
        <f>S341*H341</f>
        <v>0</v>
      </c>
      <c r="AR341" s="139" t="s">
        <v>496</v>
      </c>
      <c r="AT341" s="139" t="s">
        <v>339</v>
      </c>
      <c r="AU341" s="139" t="s">
        <v>90</v>
      </c>
      <c r="AY341" s="2" t="s">
        <v>337</v>
      </c>
      <c r="BE341" s="140">
        <f>IF(N341="základní",J341,0)</f>
        <v>0</v>
      </c>
      <c r="BF341" s="140">
        <f>IF(N341="snížená",J341,0)</f>
        <v>0</v>
      </c>
      <c r="BG341" s="140">
        <f>IF(N341="zákl. přenesená",J341,0)</f>
        <v>0</v>
      </c>
      <c r="BH341" s="140">
        <f>IF(N341="sníž. přenesená",J341,0)</f>
        <v>0</v>
      </c>
      <c r="BI341" s="140">
        <f>IF(N341="nulová",J341,0)</f>
        <v>0</v>
      </c>
      <c r="BJ341" s="2" t="s">
        <v>87</v>
      </c>
      <c r="BK341" s="140">
        <f>ROUND(I341*H341,2)</f>
        <v>0</v>
      </c>
      <c r="BL341" s="2" t="s">
        <v>496</v>
      </c>
      <c r="BM341" s="139" t="s">
        <v>4193</v>
      </c>
    </row>
    <row r="342" spans="2:65" s="141" customFormat="1" x14ac:dyDescent="0.2">
      <c r="B342" s="142"/>
      <c r="D342" s="143" t="s">
        <v>346</v>
      </c>
      <c r="E342" s="144"/>
      <c r="F342" s="145" t="s">
        <v>4194</v>
      </c>
      <c r="H342" s="144"/>
      <c r="L342" s="142"/>
      <c r="M342" s="146"/>
      <c r="T342" s="147"/>
      <c r="AT342" s="144" t="s">
        <v>346</v>
      </c>
      <c r="AU342" s="144" t="s">
        <v>90</v>
      </c>
      <c r="AV342" s="141" t="s">
        <v>87</v>
      </c>
      <c r="AW342" s="141" t="s">
        <v>33</v>
      </c>
      <c r="AX342" s="141" t="s">
        <v>80</v>
      </c>
      <c r="AY342" s="144" t="s">
        <v>337</v>
      </c>
    </row>
    <row r="343" spans="2:65" s="141" customFormat="1" x14ac:dyDescent="0.2">
      <c r="B343" s="142"/>
      <c r="D343" s="143" t="s">
        <v>346</v>
      </c>
      <c r="E343" s="144"/>
      <c r="F343" s="145" t="s">
        <v>4195</v>
      </c>
      <c r="H343" s="144"/>
      <c r="L343" s="142"/>
      <c r="M343" s="146"/>
      <c r="T343" s="147"/>
      <c r="AT343" s="144" t="s">
        <v>346</v>
      </c>
      <c r="AU343" s="144" t="s">
        <v>90</v>
      </c>
      <c r="AV343" s="141" t="s">
        <v>87</v>
      </c>
      <c r="AW343" s="141" t="s">
        <v>33</v>
      </c>
      <c r="AX343" s="141" t="s">
        <v>80</v>
      </c>
      <c r="AY343" s="144" t="s">
        <v>337</v>
      </c>
    </row>
    <row r="344" spans="2:65" s="148" customFormat="1" x14ac:dyDescent="0.2">
      <c r="B344" s="149"/>
      <c r="D344" s="143" t="s">
        <v>346</v>
      </c>
      <c r="E344" s="150"/>
      <c r="F344" s="151" t="s">
        <v>4196</v>
      </c>
      <c r="H344" s="152">
        <v>90.88</v>
      </c>
      <c r="L344" s="149"/>
      <c r="M344" s="153"/>
      <c r="T344" s="154"/>
      <c r="AT344" s="150" t="s">
        <v>346</v>
      </c>
      <c r="AU344" s="150" t="s">
        <v>90</v>
      </c>
      <c r="AV344" s="148" t="s">
        <v>90</v>
      </c>
      <c r="AW344" s="148" t="s">
        <v>33</v>
      </c>
      <c r="AX344" s="148" t="s">
        <v>80</v>
      </c>
      <c r="AY344" s="150" t="s">
        <v>337</v>
      </c>
    </row>
    <row r="345" spans="2:65" s="141" customFormat="1" x14ac:dyDescent="0.2">
      <c r="B345" s="142"/>
      <c r="D345" s="143" t="s">
        <v>346</v>
      </c>
      <c r="E345" s="144"/>
      <c r="F345" s="145" t="s">
        <v>4197</v>
      </c>
      <c r="H345" s="144"/>
      <c r="L345" s="142"/>
      <c r="M345" s="146"/>
      <c r="T345" s="147"/>
      <c r="AT345" s="144" t="s">
        <v>346</v>
      </c>
      <c r="AU345" s="144" t="s">
        <v>90</v>
      </c>
      <c r="AV345" s="141" t="s">
        <v>87</v>
      </c>
      <c r="AW345" s="141" t="s">
        <v>33</v>
      </c>
      <c r="AX345" s="141" t="s">
        <v>80</v>
      </c>
      <c r="AY345" s="144" t="s">
        <v>337</v>
      </c>
    </row>
    <row r="346" spans="2:65" s="148" customFormat="1" x14ac:dyDescent="0.2">
      <c r="B346" s="149"/>
      <c r="D346" s="143" t="s">
        <v>346</v>
      </c>
      <c r="E346" s="150"/>
      <c r="F346" s="151" t="s">
        <v>4198</v>
      </c>
      <c r="H346" s="152">
        <v>12.56</v>
      </c>
      <c r="L346" s="149"/>
      <c r="M346" s="153"/>
      <c r="T346" s="154"/>
      <c r="AT346" s="150" t="s">
        <v>346</v>
      </c>
      <c r="AU346" s="150" t="s">
        <v>90</v>
      </c>
      <c r="AV346" s="148" t="s">
        <v>90</v>
      </c>
      <c r="AW346" s="148" t="s">
        <v>33</v>
      </c>
      <c r="AX346" s="148" t="s">
        <v>80</v>
      </c>
      <c r="AY346" s="150" t="s">
        <v>337</v>
      </c>
    </row>
    <row r="347" spans="2:65" s="141" customFormat="1" x14ac:dyDescent="0.2">
      <c r="B347" s="142"/>
      <c r="D347" s="143" t="s">
        <v>346</v>
      </c>
      <c r="E347" s="144"/>
      <c r="F347" s="145" t="s">
        <v>4199</v>
      </c>
      <c r="H347" s="144"/>
      <c r="L347" s="142"/>
      <c r="M347" s="146"/>
      <c r="T347" s="147"/>
      <c r="AT347" s="144" t="s">
        <v>346</v>
      </c>
      <c r="AU347" s="144" t="s">
        <v>90</v>
      </c>
      <c r="AV347" s="141" t="s">
        <v>87</v>
      </c>
      <c r="AW347" s="141" t="s">
        <v>33</v>
      </c>
      <c r="AX347" s="141" t="s">
        <v>80</v>
      </c>
      <c r="AY347" s="144" t="s">
        <v>337</v>
      </c>
    </row>
    <row r="348" spans="2:65" s="148" customFormat="1" x14ac:dyDescent="0.2">
      <c r="B348" s="149"/>
      <c r="D348" s="143" t="s">
        <v>346</v>
      </c>
      <c r="E348" s="150"/>
      <c r="F348" s="151" t="s">
        <v>4200</v>
      </c>
      <c r="H348" s="152">
        <v>3.2</v>
      </c>
      <c r="L348" s="149"/>
      <c r="M348" s="153"/>
      <c r="T348" s="154"/>
      <c r="AT348" s="150" t="s">
        <v>346</v>
      </c>
      <c r="AU348" s="150" t="s">
        <v>90</v>
      </c>
      <c r="AV348" s="148" t="s">
        <v>90</v>
      </c>
      <c r="AW348" s="148" t="s">
        <v>33</v>
      </c>
      <c r="AX348" s="148" t="s">
        <v>80</v>
      </c>
      <c r="AY348" s="150" t="s">
        <v>337</v>
      </c>
    </row>
    <row r="349" spans="2:65" s="155" customFormat="1" x14ac:dyDescent="0.2">
      <c r="B349" s="156"/>
      <c r="D349" s="143" t="s">
        <v>346</v>
      </c>
      <c r="E349" s="157" t="s">
        <v>4042</v>
      </c>
      <c r="F349" s="158" t="s">
        <v>351</v>
      </c>
      <c r="H349" s="159">
        <v>106.64</v>
      </c>
      <c r="L349" s="156"/>
      <c r="M349" s="160"/>
      <c r="T349" s="161"/>
      <c r="AT349" s="157" t="s">
        <v>346</v>
      </c>
      <c r="AU349" s="157" t="s">
        <v>90</v>
      </c>
      <c r="AV349" s="155" t="s">
        <v>344</v>
      </c>
      <c r="AW349" s="155" t="s">
        <v>33</v>
      </c>
      <c r="AX349" s="155" t="s">
        <v>87</v>
      </c>
      <c r="AY349" s="157" t="s">
        <v>337</v>
      </c>
    </row>
    <row r="350" spans="2:65" s="16" customFormat="1" ht="24.2" customHeight="1" x14ac:dyDescent="0.2">
      <c r="B350" s="17"/>
      <c r="C350" s="128">
        <v>24</v>
      </c>
      <c r="D350" s="128" t="s">
        <v>339</v>
      </c>
      <c r="E350" s="129" t="s">
        <v>4201</v>
      </c>
      <c r="F350" s="130" t="s">
        <v>4202</v>
      </c>
      <c r="G350" s="131" t="s">
        <v>425</v>
      </c>
      <c r="H350" s="132">
        <v>333.69400000000002</v>
      </c>
      <c r="I350" s="133"/>
      <c r="J350" s="134">
        <f>ROUND(I350*H350,2)</f>
        <v>0</v>
      </c>
      <c r="K350" s="130" t="s">
        <v>343</v>
      </c>
      <c r="L350" s="17"/>
      <c r="M350" s="135"/>
      <c r="N350" s="136" t="s">
        <v>45</v>
      </c>
      <c r="P350" s="137">
        <f>O350*H350</f>
        <v>0</v>
      </c>
      <c r="Q350" s="137">
        <v>2.4000000000000001E-4</v>
      </c>
      <c r="R350" s="137">
        <f>Q350*H350</f>
        <v>8.0086560000000001E-2</v>
      </c>
      <c r="S350" s="137">
        <v>0</v>
      </c>
      <c r="T350" s="138">
        <f>S350*H350</f>
        <v>0</v>
      </c>
      <c r="AR350" s="139" t="s">
        <v>496</v>
      </c>
      <c r="AT350" s="139" t="s">
        <v>339</v>
      </c>
      <c r="AU350" s="139" t="s">
        <v>90</v>
      </c>
      <c r="AY350" s="2" t="s">
        <v>337</v>
      </c>
      <c r="BE350" s="140">
        <f>IF(N350="základní",J350,0)</f>
        <v>0</v>
      </c>
      <c r="BF350" s="140">
        <f>IF(N350="snížená",J350,0)</f>
        <v>0</v>
      </c>
      <c r="BG350" s="140">
        <f>IF(N350="zákl. přenesená",J350,0)</f>
        <v>0</v>
      </c>
      <c r="BH350" s="140">
        <f>IF(N350="sníž. přenesená",J350,0)</f>
        <v>0</v>
      </c>
      <c r="BI350" s="140">
        <f>IF(N350="nulová",J350,0)</f>
        <v>0</v>
      </c>
      <c r="BJ350" s="2" t="s">
        <v>87</v>
      </c>
      <c r="BK350" s="140">
        <f>ROUND(I350*H350,2)</f>
        <v>0</v>
      </c>
      <c r="BL350" s="2" t="s">
        <v>496</v>
      </c>
      <c r="BM350" s="139" t="s">
        <v>4203</v>
      </c>
    </row>
    <row r="351" spans="2:65" s="141" customFormat="1" x14ac:dyDescent="0.2">
      <c r="B351" s="142"/>
      <c r="D351" s="143" t="s">
        <v>346</v>
      </c>
      <c r="E351" s="144"/>
      <c r="F351" s="145" t="s">
        <v>4204</v>
      </c>
      <c r="H351" s="144"/>
      <c r="L351" s="142"/>
      <c r="M351" s="146"/>
      <c r="T351" s="147"/>
      <c r="AT351" s="144" t="s">
        <v>346</v>
      </c>
      <c r="AU351" s="144" t="s">
        <v>90</v>
      </c>
      <c r="AV351" s="141" t="s">
        <v>87</v>
      </c>
      <c r="AW351" s="141" t="s">
        <v>33</v>
      </c>
      <c r="AX351" s="141" t="s">
        <v>80</v>
      </c>
      <c r="AY351" s="144" t="s">
        <v>337</v>
      </c>
    </row>
    <row r="352" spans="2:65" s="141" customFormat="1" x14ac:dyDescent="0.2">
      <c r="B352" s="142"/>
      <c r="D352" s="143" t="s">
        <v>346</v>
      </c>
      <c r="E352" s="144"/>
      <c r="F352" s="145" t="s">
        <v>4077</v>
      </c>
      <c r="H352" s="144"/>
      <c r="L352" s="142"/>
      <c r="M352" s="146"/>
      <c r="T352" s="147"/>
      <c r="AT352" s="144" t="s">
        <v>346</v>
      </c>
      <c r="AU352" s="144" t="s">
        <v>90</v>
      </c>
      <c r="AV352" s="141" t="s">
        <v>87</v>
      </c>
      <c r="AW352" s="141" t="s">
        <v>33</v>
      </c>
      <c r="AX352" s="141" t="s">
        <v>80</v>
      </c>
      <c r="AY352" s="144" t="s">
        <v>337</v>
      </c>
    </row>
    <row r="353" spans="2:51" s="141" customFormat="1" x14ac:dyDescent="0.2">
      <c r="B353" s="142"/>
      <c r="D353" s="143" t="s">
        <v>346</v>
      </c>
      <c r="E353" s="144"/>
      <c r="F353" s="145" t="s">
        <v>4205</v>
      </c>
      <c r="H353" s="144"/>
      <c r="L353" s="142"/>
      <c r="M353" s="146"/>
      <c r="T353" s="147"/>
      <c r="AT353" s="144" t="s">
        <v>346</v>
      </c>
      <c r="AU353" s="144" t="s">
        <v>90</v>
      </c>
      <c r="AV353" s="141" t="s">
        <v>87</v>
      </c>
      <c r="AW353" s="141" t="s">
        <v>33</v>
      </c>
      <c r="AX353" s="141" t="s">
        <v>80</v>
      </c>
      <c r="AY353" s="144" t="s">
        <v>337</v>
      </c>
    </row>
    <row r="354" spans="2:51" s="141" customFormat="1" x14ac:dyDescent="0.2">
      <c r="B354" s="142"/>
      <c r="D354" s="143" t="s">
        <v>346</v>
      </c>
      <c r="E354" s="144"/>
      <c r="F354" s="145" t="s">
        <v>4206</v>
      </c>
      <c r="H354" s="144"/>
      <c r="L354" s="142"/>
      <c r="M354" s="146"/>
      <c r="T354" s="147"/>
      <c r="AT354" s="144" t="s">
        <v>346</v>
      </c>
      <c r="AU354" s="144" t="s">
        <v>90</v>
      </c>
      <c r="AV354" s="141" t="s">
        <v>87</v>
      </c>
      <c r="AW354" s="141" t="s">
        <v>33</v>
      </c>
      <c r="AX354" s="141" t="s">
        <v>80</v>
      </c>
      <c r="AY354" s="144" t="s">
        <v>337</v>
      </c>
    </row>
    <row r="355" spans="2:51" s="148" customFormat="1" x14ac:dyDescent="0.2">
      <c r="B355" s="149"/>
      <c r="D355" s="143" t="s">
        <v>346</v>
      </c>
      <c r="E355" s="150"/>
      <c r="F355" s="151" t="s">
        <v>4207</v>
      </c>
      <c r="H355" s="152">
        <v>34</v>
      </c>
      <c r="L355" s="149"/>
      <c r="M355" s="153"/>
      <c r="T355" s="154"/>
      <c r="AT355" s="150" t="s">
        <v>346</v>
      </c>
      <c r="AU355" s="150" t="s">
        <v>90</v>
      </c>
      <c r="AV355" s="148" t="s">
        <v>90</v>
      </c>
      <c r="AW355" s="148" t="s">
        <v>33</v>
      </c>
      <c r="AX355" s="148" t="s">
        <v>80</v>
      </c>
      <c r="AY355" s="150" t="s">
        <v>337</v>
      </c>
    </row>
    <row r="356" spans="2:51" s="141" customFormat="1" x14ac:dyDescent="0.2">
      <c r="B356" s="142"/>
      <c r="D356" s="143" t="s">
        <v>346</v>
      </c>
      <c r="E356" s="144"/>
      <c r="F356" s="145" t="s">
        <v>4085</v>
      </c>
      <c r="H356" s="144"/>
      <c r="L356" s="142"/>
      <c r="M356" s="146"/>
      <c r="T356" s="147"/>
      <c r="AT356" s="144" t="s">
        <v>346</v>
      </c>
      <c r="AU356" s="144" t="s">
        <v>90</v>
      </c>
      <c r="AV356" s="141" t="s">
        <v>87</v>
      </c>
      <c r="AW356" s="141" t="s">
        <v>33</v>
      </c>
      <c r="AX356" s="141" t="s">
        <v>80</v>
      </c>
      <c r="AY356" s="144" t="s">
        <v>337</v>
      </c>
    </row>
    <row r="357" spans="2:51" s="141" customFormat="1" x14ac:dyDescent="0.2">
      <c r="B357" s="142"/>
      <c r="D357" s="143" t="s">
        <v>346</v>
      </c>
      <c r="E357" s="144"/>
      <c r="F357" s="145" t="s">
        <v>4208</v>
      </c>
      <c r="H357" s="144"/>
      <c r="L357" s="142"/>
      <c r="M357" s="146"/>
      <c r="T357" s="147"/>
      <c r="AT357" s="144" t="s">
        <v>346</v>
      </c>
      <c r="AU357" s="144" t="s">
        <v>90</v>
      </c>
      <c r="AV357" s="141" t="s">
        <v>87</v>
      </c>
      <c r="AW357" s="141" t="s">
        <v>33</v>
      </c>
      <c r="AX357" s="141" t="s">
        <v>80</v>
      </c>
      <c r="AY357" s="144" t="s">
        <v>337</v>
      </c>
    </row>
    <row r="358" spans="2:51" s="148" customFormat="1" x14ac:dyDescent="0.2">
      <c r="B358" s="149"/>
      <c r="D358" s="143" t="s">
        <v>346</v>
      </c>
      <c r="E358" s="150"/>
      <c r="F358" s="151" t="s">
        <v>4209</v>
      </c>
      <c r="H358" s="152">
        <v>31.155999999999999</v>
      </c>
      <c r="L358" s="149"/>
      <c r="M358" s="153"/>
      <c r="T358" s="154"/>
      <c r="AT358" s="150" t="s">
        <v>346</v>
      </c>
      <c r="AU358" s="150" t="s">
        <v>90</v>
      </c>
      <c r="AV358" s="148" t="s">
        <v>90</v>
      </c>
      <c r="AW358" s="148" t="s">
        <v>33</v>
      </c>
      <c r="AX358" s="148" t="s">
        <v>80</v>
      </c>
      <c r="AY358" s="150" t="s">
        <v>337</v>
      </c>
    </row>
    <row r="359" spans="2:51" s="141" customFormat="1" x14ac:dyDescent="0.2">
      <c r="B359" s="142"/>
      <c r="D359" s="143" t="s">
        <v>346</v>
      </c>
      <c r="E359" s="144"/>
      <c r="F359" s="145" t="s">
        <v>4132</v>
      </c>
      <c r="H359" s="144"/>
      <c r="L359" s="142"/>
      <c r="M359" s="146"/>
      <c r="T359" s="147"/>
      <c r="AT359" s="144" t="s">
        <v>346</v>
      </c>
      <c r="AU359" s="144" t="s">
        <v>90</v>
      </c>
      <c r="AV359" s="141" t="s">
        <v>87</v>
      </c>
      <c r="AW359" s="141" t="s">
        <v>33</v>
      </c>
      <c r="AX359" s="141" t="s">
        <v>80</v>
      </c>
      <c r="AY359" s="144" t="s">
        <v>337</v>
      </c>
    </row>
    <row r="360" spans="2:51" s="148" customFormat="1" x14ac:dyDescent="0.2">
      <c r="B360" s="149"/>
      <c r="D360" s="143" t="s">
        <v>346</v>
      </c>
      <c r="E360" s="150"/>
      <c r="F360" s="151" t="s">
        <v>4210</v>
      </c>
      <c r="H360" s="152">
        <v>18.399999999999999</v>
      </c>
      <c r="L360" s="149"/>
      <c r="M360" s="153"/>
      <c r="T360" s="154"/>
      <c r="AT360" s="150" t="s">
        <v>346</v>
      </c>
      <c r="AU360" s="150" t="s">
        <v>90</v>
      </c>
      <c r="AV360" s="148" t="s">
        <v>90</v>
      </c>
      <c r="AW360" s="148" t="s">
        <v>33</v>
      </c>
      <c r="AX360" s="148" t="s">
        <v>80</v>
      </c>
      <c r="AY360" s="150" t="s">
        <v>337</v>
      </c>
    </row>
    <row r="361" spans="2:51" s="141" customFormat="1" x14ac:dyDescent="0.2">
      <c r="B361" s="142"/>
      <c r="D361" s="143" t="s">
        <v>346</v>
      </c>
      <c r="E361" s="144"/>
      <c r="F361" s="145" t="s">
        <v>4195</v>
      </c>
      <c r="H361" s="144"/>
      <c r="L361" s="142"/>
      <c r="M361" s="146"/>
      <c r="T361" s="147"/>
      <c r="AT361" s="144" t="s">
        <v>346</v>
      </c>
      <c r="AU361" s="144" t="s">
        <v>90</v>
      </c>
      <c r="AV361" s="141" t="s">
        <v>87</v>
      </c>
      <c r="AW361" s="141" t="s">
        <v>33</v>
      </c>
      <c r="AX361" s="141" t="s">
        <v>80</v>
      </c>
      <c r="AY361" s="144" t="s">
        <v>337</v>
      </c>
    </row>
    <row r="362" spans="2:51" s="148" customFormat="1" x14ac:dyDescent="0.2">
      <c r="B362" s="149"/>
      <c r="D362" s="143" t="s">
        <v>346</v>
      </c>
      <c r="E362" s="150"/>
      <c r="F362" s="151" t="s">
        <v>4196</v>
      </c>
      <c r="H362" s="152">
        <v>90.88</v>
      </c>
      <c r="L362" s="149"/>
      <c r="M362" s="153"/>
      <c r="T362" s="154"/>
      <c r="AT362" s="150" t="s">
        <v>346</v>
      </c>
      <c r="AU362" s="150" t="s">
        <v>90</v>
      </c>
      <c r="AV362" s="148" t="s">
        <v>90</v>
      </c>
      <c r="AW362" s="148" t="s">
        <v>33</v>
      </c>
      <c r="AX362" s="148" t="s">
        <v>80</v>
      </c>
      <c r="AY362" s="150" t="s">
        <v>337</v>
      </c>
    </row>
    <row r="363" spans="2:51" s="141" customFormat="1" x14ac:dyDescent="0.2">
      <c r="B363" s="142"/>
      <c r="D363" s="143" t="s">
        <v>346</v>
      </c>
      <c r="E363" s="144"/>
      <c r="F363" s="145" t="s">
        <v>4197</v>
      </c>
      <c r="H363" s="144"/>
      <c r="L363" s="142"/>
      <c r="M363" s="146"/>
      <c r="T363" s="147"/>
      <c r="AT363" s="144" t="s">
        <v>346</v>
      </c>
      <c r="AU363" s="144" t="s">
        <v>90</v>
      </c>
      <c r="AV363" s="141" t="s">
        <v>87</v>
      </c>
      <c r="AW363" s="141" t="s">
        <v>33</v>
      </c>
      <c r="AX363" s="141" t="s">
        <v>80</v>
      </c>
      <c r="AY363" s="144" t="s">
        <v>337</v>
      </c>
    </row>
    <row r="364" spans="2:51" s="148" customFormat="1" x14ac:dyDescent="0.2">
      <c r="B364" s="149"/>
      <c r="D364" s="143" t="s">
        <v>346</v>
      </c>
      <c r="E364" s="150"/>
      <c r="F364" s="151" t="s">
        <v>4198</v>
      </c>
      <c r="H364" s="152">
        <v>12.56</v>
      </c>
      <c r="L364" s="149"/>
      <c r="M364" s="153"/>
      <c r="T364" s="154"/>
      <c r="AT364" s="150" t="s">
        <v>346</v>
      </c>
      <c r="AU364" s="150" t="s">
        <v>90</v>
      </c>
      <c r="AV364" s="148" t="s">
        <v>90</v>
      </c>
      <c r="AW364" s="148" t="s">
        <v>33</v>
      </c>
      <c r="AX364" s="148" t="s">
        <v>80</v>
      </c>
      <c r="AY364" s="150" t="s">
        <v>337</v>
      </c>
    </row>
    <row r="365" spans="2:51" s="141" customFormat="1" x14ac:dyDescent="0.2">
      <c r="B365" s="142"/>
      <c r="D365" s="143" t="s">
        <v>346</v>
      </c>
      <c r="E365" s="144"/>
      <c r="F365" s="145" t="s">
        <v>4199</v>
      </c>
      <c r="H365" s="144"/>
      <c r="L365" s="142"/>
      <c r="M365" s="146"/>
      <c r="T365" s="147"/>
      <c r="AT365" s="144" t="s">
        <v>346</v>
      </c>
      <c r="AU365" s="144" t="s">
        <v>90</v>
      </c>
      <c r="AV365" s="141" t="s">
        <v>87</v>
      </c>
      <c r="AW365" s="141" t="s">
        <v>33</v>
      </c>
      <c r="AX365" s="141" t="s">
        <v>80</v>
      </c>
      <c r="AY365" s="144" t="s">
        <v>337</v>
      </c>
    </row>
    <row r="366" spans="2:51" s="148" customFormat="1" x14ac:dyDescent="0.2">
      <c r="B366" s="149"/>
      <c r="D366" s="143" t="s">
        <v>346</v>
      </c>
      <c r="E366" s="150"/>
      <c r="F366" s="151" t="s">
        <v>4200</v>
      </c>
      <c r="H366" s="152">
        <v>3.2</v>
      </c>
      <c r="L366" s="149"/>
      <c r="M366" s="153"/>
      <c r="T366" s="154"/>
      <c r="AT366" s="150" t="s">
        <v>346</v>
      </c>
      <c r="AU366" s="150" t="s">
        <v>90</v>
      </c>
      <c r="AV366" s="148" t="s">
        <v>90</v>
      </c>
      <c r="AW366" s="148" t="s">
        <v>33</v>
      </c>
      <c r="AX366" s="148" t="s">
        <v>80</v>
      </c>
      <c r="AY366" s="150" t="s">
        <v>337</v>
      </c>
    </row>
    <row r="367" spans="2:51" s="172" customFormat="1" x14ac:dyDescent="0.2">
      <c r="B367" s="173"/>
      <c r="D367" s="143" t="s">
        <v>346</v>
      </c>
      <c r="E367" s="174" t="s">
        <v>4038</v>
      </c>
      <c r="F367" s="175" t="s">
        <v>609</v>
      </c>
      <c r="H367" s="176">
        <v>190.196</v>
      </c>
      <c r="L367" s="173"/>
      <c r="M367" s="177"/>
      <c r="T367" s="178"/>
      <c r="AT367" s="174" t="s">
        <v>346</v>
      </c>
      <c r="AU367" s="174" t="s">
        <v>90</v>
      </c>
      <c r="AV367" s="172" t="s">
        <v>113</v>
      </c>
      <c r="AW367" s="172" t="s">
        <v>33</v>
      </c>
      <c r="AX367" s="172" t="s">
        <v>80</v>
      </c>
      <c r="AY367" s="174" t="s">
        <v>337</v>
      </c>
    </row>
    <row r="368" spans="2:51" s="141" customFormat="1" x14ac:dyDescent="0.2">
      <c r="B368" s="142"/>
      <c r="D368" s="143" t="s">
        <v>346</v>
      </c>
      <c r="E368" s="144"/>
      <c r="F368" s="145" t="s">
        <v>4211</v>
      </c>
      <c r="H368" s="144"/>
      <c r="L368" s="142"/>
      <c r="M368" s="146"/>
      <c r="T368" s="147"/>
      <c r="AT368" s="144" t="s">
        <v>346</v>
      </c>
      <c r="AU368" s="144" t="s">
        <v>90</v>
      </c>
      <c r="AV368" s="141" t="s">
        <v>87</v>
      </c>
      <c r="AW368" s="141" t="s">
        <v>33</v>
      </c>
      <c r="AX368" s="141" t="s">
        <v>80</v>
      </c>
      <c r="AY368" s="144" t="s">
        <v>337</v>
      </c>
    </row>
    <row r="369" spans="2:51" s="141" customFormat="1" x14ac:dyDescent="0.2">
      <c r="B369" s="142"/>
      <c r="D369" s="143" t="s">
        <v>346</v>
      </c>
      <c r="E369" s="144"/>
      <c r="F369" s="145" t="s">
        <v>4212</v>
      </c>
      <c r="H369" s="144"/>
      <c r="L369" s="142"/>
      <c r="M369" s="146"/>
      <c r="T369" s="147"/>
      <c r="AT369" s="144" t="s">
        <v>346</v>
      </c>
      <c r="AU369" s="144" t="s">
        <v>90</v>
      </c>
      <c r="AV369" s="141" t="s">
        <v>87</v>
      </c>
      <c r="AW369" s="141" t="s">
        <v>33</v>
      </c>
      <c r="AX369" s="141" t="s">
        <v>80</v>
      </c>
      <c r="AY369" s="144" t="s">
        <v>337</v>
      </c>
    </row>
    <row r="370" spans="2:51" s="148" customFormat="1" x14ac:dyDescent="0.2">
      <c r="B370" s="149"/>
      <c r="D370" s="143" t="s">
        <v>346</v>
      </c>
      <c r="E370" s="150"/>
      <c r="F370" s="151" t="s">
        <v>4213</v>
      </c>
      <c r="H370" s="152">
        <v>25.5</v>
      </c>
      <c r="L370" s="149"/>
      <c r="M370" s="153"/>
      <c r="T370" s="154"/>
      <c r="AT370" s="150" t="s">
        <v>346</v>
      </c>
      <c r="AU370" s="150" t="s">
        <v>90</v>
      </c>
      <c r="AV370" s="148" t="s">
        <v>90</v>
      </c>
      <c r="AW370" s="148" t="s">
        <v>33</v>
      </c>
      <c r="AX370" s="148" t="s">
        <v>80</v>
      </c>
      <c r="AY370" s="150" t="s">
        <v>337</v>
      </c>
    </row>
    <row r="371" spans="2:51" s="141" customFormat="1" x14ac:dyDescent="0.2">
      <c r="B371" s="142"/>
      <c r="D371" s="143" t="s">
        <v>346</v>
      </c>
      <c r="E371" s="144"/>
      <c r="F371" s="145" t="s">
        <v>4085</v>
      </c>
      <c r="H371" s="144"/>
      <c r="L371" s="142"/>
      <c r="M371" s="146"/>
      <c r="T371" s="147"/>
      <c r="AT371" s="144" t="s">
        <v>346</v>
      </c>
      <c r="AU371" s="144" t="s">
        <v>90</v>
      </c>
      <c r="AV371" s="141" t="s">
        <v>87</v>
      </c>
      <c r="AW371" s="141" t="s">
        <v>33</v>
      </c>
      <c r="AX371" s="141" t="s">
        <v>80</v>
      </c>
      <c r="AY371" s="144" t="s">
        <v>337</v>
      </c>
    </row>
    <row r="372" spans="2:51" s="148" customFormat="1" x14ac:dyDescent="0.2">
      <c r="B372" s="149"/>
      <c r="D372" s="143" t="s">
        <v>346</v>
      </c>
      <c r="E372" s="150"/>
      <c r="F372" s="151" t="s">
        <v>4214</v>
      </c>
      <c r="H372" s="152">
        <v>19.472999999999999</v>
      </c>
      <c r="L372" s="149"/>
      <c r="M372" s="153"/>
      <c r="T372" s="154"/>
      <c r="AT372" s="150" t="s">
        <v>346</v>
      </c>
      <c r="AU372" s="150" t="s">
        <v>90</v>
      </c>
      <c r="AV372" s="148" t="s">
        <v>90</v>
      </c>
      <c r="AW372" s="148" t="s">
        <v>33</v>
      </c>
      <c r="AX372" s="148" t="s">
        <v>80</v>
      </c>
      <c r="AY372" s="150" t="s">
        <v>337</v>
      </c>
    </row>
    <row r="373" spans="2:51" s="141" customFormat="1" x14ac:dyDescent="0.2">
      <c r="B373" s="142"/>
      <c r="D373" s="143" t="s">
        <v>346</v>
      </c>
      <c r="E373" s="144"/>
      <c r="F373" s="145" t="s">
        <v>4132</v>
      </c>
      <c r="H373" s="144"/>
      <c r="L373" s="142"/>
      <c r="M373" s="146"/>
      <c r="T373" s="147"/>
      <c r="AT373" s="144" t="s">
        <v>346</v>
      </c>
      <c r="AU373" s="144" t="s">
        <v>90</v>
      </c>
      <c r="AV373" s="141" t="s">
        <v>87</v>
      </c>
      <c r="AW373" s="141" t="s">
        <v>33</v>
      </c>
      <c r="AX373" s="141" t="s">
        <v>80</v>
      </c>
      <c r="AY373" s="144" t="s">
        <v>337</v>
      </c>
    </row>
    <row r="374" spans="2:51" s="148" customFormat="1" x14ac:dyDescent="0.2">
      <c r="B374" s="149"/>
      <c r="D374" s="143" t="s">
        <v>346</v>
      </c>
      <c r="E374" s="150"/>
      <c r="F374" s="151" t="s">
        <v>4215</v>
      </c>
      <c r="H374" s="152">
        <v>11.5</v>
      </c>
      <c r="L374" s="149"/>
      <c r="M374" s="153"/>
      <c r="T374" s="154"/>
      <c r="AT374" s="150" t="s">
        <v>346</v>
      </c>
      <c r="AU374" s="150" t="s">
        <v>90</v>
      </c>
      <c r="AV374" s="148" t="s">
        <v>90</v>
      </c>
      <c r="AW374" s="148" t="s">
        <v>33</v>
      </c>
      <c r="AX374" s="148" t="s">
        <v>80</v>
      </c>
      <c r="AY374" s="150" t="s">
        <v>337</v>
      </c>
    </row>
    <row r="375" spans="2:51" s="141" customFormat="1" x14ac:dyDescent="0.2">
      <c r="B375" s="142"/>
      <c r="D375" s="143" t="s">
        <v>346</v>
      </c>
      <c r="E375" s="144"/>
      <c r="F375" s="145" t="s">
        <v>4195</v>
      </c>
      <c r="H375" s="144"/>
      <c r="L375" s="142"/>
      <c r="M375" s="146"/>
      <c r="T375" s="147"/>
      <c r="AT375" s="144" t="s">
        <v>346</v>
      </c>
      <c r="AU375" s="144" t="s">
        <v>90</v>
      </c>
      <c r="AV375" s="141" t="s">
        <v>87</v>
      </c>
      <c r="AW375" s="141" t="s">
        <v>33</v>
      </c>
      <c r="AX375" s="141" t="s">
        <v>80</v>
      </c>
      <c r="AY375" s="144" t="s">
        <v>337</v>
      </c>
    </row>
    <row r="376" spans="2:51" s="148" customFormat="1" x14ac:dyDescent="0.2">
      <c r="B376" s="149"/>
      <c r="D376" s="143" t="s">
        <v>346</v>
      </c>
      <c r="E376" s="150"/>
      <c r="F376" s="151" t="s">
        <v>4216</v>
      </c>
      <c r="H376" s="152">
        <v>45.44</v>
      </c>
      <c r="L376" s="149"/>
      <c r="M376" s="153"/>
      <c r="T376" s="154"/>
      <c r="AT376" s="150" t="s">
        <v>346</v>
      </c>
      <c r="AU376" s="150" t="s">
        <v>90</v>
      </c>
      <c r="AV376" s="148" t="s">
        <v>90</v>
      </c>
      <c r="AW376" s="148" t="s">
        <v>33</v>
      </c>
      <c r="AX376" s="148" t="s">
        <v>80</v>
      </c>
      <c r="AY376" s="150" t="s">
        <v>337</v>
      </c>
    </row>
    <row r="377" spans="2:51" s="141" customFormat="1" x14ac:dyDescent="0.2">
      <c r="B377" s="142"/>
      <c r="D377" s="143" t="s">
        <v>346</v>
      </c>
      <c r="E377" s="144"/>
      <c r="F377" s="145" t="s">
        <v>4197</v>
      </c>
      <c r="H377" s="144"/>
      <c r="L377" s="142"/>
      <c r="M377" s="146"/>
      <c r="T377" s="147"/>
      <c r="AT377" s="144" t="s">
        <v>346</v>
      </c>
      <c r="AU377" s="144" t="s">
        <v>90</v>
      </c>
      <c r="AV377" s="141" t="s">
        <v>87</v>
      </c>
      <c r="AW377" s="141" t="s">
        <v>33</v>
      </c>
      <c r="AX377" s="141" t="s">
        <v>80</v>
      </c>
      <c r="AY377" s="144" t="s">
        <v>337</v>
      </c>
    </row>
    <row r="378" spans="2:51" s="148" customFormat="1" x14ac:dyDescent="0.2">
      <c r="B378" s="149"/>
      <c r="D378" s="143" t="s">
        <v>346</v>
      </c>
      <c r="E378" s="150"/>
      <c r="F378" s="151" t="s">
        <v>4198</v>
      </c>
      <c r="H378" s="152">
        <v>12.56</v>
      </c>
      <c r="L378" s="149"/>
      <c r="M378" s="153"/>
      <c r="T378" s="154"/>
      <c r="AT378" s="150" t="s">
        <v>346</v>
      </c>
      <c r="AU378" s="150" t="s">
        <v>90</v>
      </c>
      <c r="AV378" s="148" t="s">
        <v>90</v>
      </c>
      <c r="AW378" s="148" t="s">
        <v>33</v>
      </c>
      <c r="AX378" s="148" t="s">
        <v>80</v>
      </c>
      <c r="AY378" s="150" t="s">
        <v>337</v>
      </c>
    </row>
    <row r="379" spans="2:51" s="141" customFormat="1" x14ac:dyDescent="0.2">
      <c r="B379" s="142"/>
      <c r="D379" s="143" t="s">
        <v>346</v>
      </c>
      <c r="E379" s="144"/>
      <c r="F379" s="145" t="s">
        <v>4199</v>
      </c>
      <c r="H379" s="144"/>
      <c r="L379" s="142"/>
      <c r="M379" s="146"/>
      <c r="T379" s="147"/>
      <c r="AT379" s="144" t="s">
        <v>346</v>
      </c>
      <c r="AU379" s="144" t="s">
        <v>90</v>
      </c>
      <c r="AV379" s="141" t="s">
        <v>87</v>
      </c>
      <c r="AW379" s="141" t="s">
        <v>33</v>
      </c>
      <c r="AX379" s="141" t="s">
        <v>80</v>
      </c>
      <c r="AY379" s="144" t="s">
        <v>337</v>
      </c>
    </row>
    <row r="380" spans="2:51" s="148" customFormat="1" x14ac:dyDescent="0.2">
      <c r="B380" s="149"/>
      <c r="D380" s="143" t="s">
        <v>346</v>
      </c>
      <c r="E380" s="150"/>
      <c r="F380" s="151" t="s">
        <v>4217</v>
      </c>
      <c r="H380" s="152">
        <v>4</v>
      </c>
      <c r="L380" s="149"/>
      <c r="M380" s="153"/>
      <c r="T380" s="154"/>
      <c r="AT380" s="150" t="s">
        <v>346</v>
      </c>
      <c r="AU380" s="150" t="s">
        <v>90</v>
      </c>
      <c r="AV380" s="148" t="s">
        <v>90</v>
      </c>
      <c r="AW380" s="148" t="s">
        <v>33</v>
      </c>
      <c r="AX380" s="148" t="s">
        <v>80</v>
      </c>
      <c r="AY380" s="150" t="s">
        <v>337</v>
      </c>
    </row>
    <row r="381" spans="2:51" s="172" customFormat="1" x14ac:dyDescent="0.2">
      <c r="B381" s="173"/>
      <c r="D381" s="143" t="s">
        <v>346</v>
      </c>
      <c r="E381" s="174" t="s">
        <v>4040</v>
      </c>
      <c r="F381" s="175" t="s">
        <v>609</v>
      </c>
      <c r="H381" s="176">
        <v>118.473</v>
      </c>
      <c r="L381" s="173"/>
      <c r="M381" s="177"/>
      <c r="T381" s="178"/>
      <c r="AT381" s="174" t="s">
        <v>346</v>
      </c>
      <c r="AU381" s="174" t="s">
        <v>90</v>
      </c>
      <c r="AV381" s="172" t="s">
        <v>113</v>
      </c>
      <c r="AW381" s="172" t="s">
        <v>33</v>
      </c>
      <c r="AX381" s="172" t="s">
        <v>80</v>
      </c>
      <c r="AY381" s="174" t="s">
        <v>337</v>
      </c>
    </row>
    <row r="382" spans="2:51" s="141" customFormat="1" x14ac:dyDescent="0.2">
      <c r="B382" s="142"/>
      <c r="D382" s="143" t="s">
        <v>346</v>
      </c>
      <c r="E382" s="144"/>
      <c r="F382" s="145" t="s">
        <v>4218</v>
      </c>
      <c r="H382" s="144"/>
      <c r="L382" s="142"/>
      <c r="M382" s="146"/>
      <c r="T382" s="147"/>
      <c r="AT382" s="144" t="s">
        <v>346</v>
      </c>
      <c r="AU382" s="144" t="s">
        <v>90</v>
      </c>
      <c r="AV382" s="141" t="s">
        <v>87</v>
      </c>
      <c r="AW382" s="141" t="s">
        <v>33</v>
      </c>
      <c r="AX382" s="141" t="s">
        <v>80</v>
      </c>
      <c r="AY382" s="144" t="s">
        <v>337</v>
      </c>
    </row>
    <row r="383" spans="2:51" s="148" customFormat="1" x14ac:dyDescent="0.2">
      <c r="B383" s="149"/>
      <c r="D383" s="143" t="s">
        <v>346</v>
      </c>
      <c r="E383" s="150"/>
      <c r="F383" s="151" t="s">
        <v>4219</v>
      </c>
      <c r="H383" s="152">
        <v>6.4</v>
      </c>
      <c r="L383" s="149"/>
      <c r="M383" s="153"/>
      <c r="T383" s="154"/>
      <c r="AT383" s="150" t="s">
        <v>346</v>
      </c>
      <c r="AU383" s="150" t="s">
        <v>90</v>
      </c>
      <c r="AV383" s="148" t="s">
        <v>90</v>
      </c>
      <c r="AW383" s="148" t="s">
        <v>33</v>
      </c>
      <c r="AX383" s="148" t="s">
        <v>80</v>
      </c>
      <c r="AY383" s="150" t="s">
        <v>337</v>
      </c>
    </row>
    <row r="384" spans="2:51" s="148" customFormat="1" x14ac:dyDescent="0.2">
      <c r="B384" s="149"/>
      <c r="D384" s="143" t="s">
        <v>346</v>
      </c>
      <c r="E384" s="150"/>
      <c r="F384" s="151" t="s">
        <v>4220</v>
      </c>
      <c r="H384" s="152">
        <v>18.625</v>
      </c>
      <c r="L384" s="149"/>
      <c r="M384" s="153"/>
      <c r="T384" s="154"/>
      <c r="AT384" s="150" t="s">
        <v>346</v>
      </c>
      <c r="AU384" s="150" t="s">
        <v>90</v>
      </c>
      <c r="AV384" s="148" t="s">
        <v>90</v>
      </c>
      <c r="AW384" s="148" t="s">
        <v>33</v>
      </c>
      <c r="AX384" s="148" t="s">
        <v>80</v>
      </c>
      <c r="AY384" s="150" t="s">
        <v>337</v>
      </c>
    </row>
    <row r="385" spans="2:65" s="155" customFormat="1" x14ac:dyDescent="0.2">
      <c r="B385" s="156"/>
      <c r="D385" s="143" t="s">
        <v>346</v>
      </c>
      <c r="E385" s="157"/>
      <c r="F385" s="158" t="s">
        <v>351</v>
      </c>
      <c r="H385" s="159">
        <v>333.69400000000002</v>
      </c>
      <c r="L385" s="156"/>
      <c r="M385" s="160"/>
      <c r="T385" s="161"/>
      <c r="AT385" s="157" t="s">
        <v>346</v>
      </c>
      <c r="AU385" s="157" t="s">
        <v>90</v>
      </c>
      <c r="AV385" s="155" t="s">
        <v>344</v>
      </c>
      <c r="AW385" s="155" t="s">
        <v>33</v>
      </c>
      <c r="AX385" s="155" t="s">
        <v>87</v>
      </c>
      <c r="AY385" s="157" t="s">
        <v>337</v>
      </c>
    </row>
    <row r="386" spans="2:65" s="16" customFormat="1" ht="16.5" customHeight="1" x14ac:dyDescent="0.2">
      <c r="B386" s="17"/>
      <c r="C386" s="162">
        <v>25</v>
      </c>
      <c r="D386" s="162" t="s">
        <v>519</v>
      </c>
      <c r="E386" s="163" t="s">
        <v>3438</v>
      </c>
      <c r="F386" s="164" t="s">
        <v>3439</v>
      </c>
      <c r="G386" s="165" t="s">
        <v>425</v>
      </c>
      <c r="H386" s="166">
        <v>311.678</v>
      </c>
      <c r="I386" s="167"/>
      <c r="J386" s="168">
        <f>ROUND(I386*H386,2)</f>
        <v>0</v>
      </c>
      <c r="K386" s="164" t="s">
        <v>343</v>
      </c>
      <c r="L386" s="169"/>
      <c r="M386" s="170"/>
      <c r="N386" s="171" t="s">
        <v>45</v>
      </c>
      <c r="P386" s="137">
        <f>O386*H386</f>
        <v>0</v>
      </c>
      <c r="Q386" s="137">
        <v>9.5999999999999992E-3</v>
      </c>
      <c r="R386" s="137">
        <f>Q386*H386</f>
        <v>2.9921087999999996</v>
      </c>
      <c r="S386" s="137">
        <v>0</v>
      </c>
      <c r="T386" s="138">
        <f>S386*H386</f>
        <v>0</v>
      </c>
      <c r="AR386" s="139" t="s">
        <v>621</v>
      </c>
      <c r="AT386" s="139" t="s">
        <v>519</v>
      </c>
      <c r="AU386" s="139" t="s">
        <v>90</v>
      </c>
      <c r="AY386" s="2" t="s">
        <v>337</v>
      </c>
      <c r="BE386" s="140">
        <f>IF(N386="základní",J386,0)</f>
        <v>0</v>
      </c>
      <c r="BF386" s="140">
        <f>IF(N386="snížená",J386,0)</f>
        <v>0</v>
      </c>
      <c r="BG386" s="140">
        <f>IF(N386="zákl. přenesená",J386,0)</f>
        <v>0</v>
      </c>
      <c r="BH386" s="140">
        <f>IF(N386="sníž. přenesená",J386,0)</f>
        <v>0</v>
      </c>
      <c r="BI386" s="140">
        <f>IF(N386="nulová",J386,0)</f>
        <v>0</v>
      </c>
      <c r="BJ386" s="2" t="s">
        <v>87</v>
      </c>
      <c r="BK386" s="140">
        <f>ROUND(I386*H386,2)</f>
        <v>0</v>
      </c>
      <c r="BL386" s="2" t="s">
        <v>496</v>
      </c>
      <c r="BM386" s="139" t="s">
        <v>4221</v>
      </c>
    </row>
    <row r="387" spans="2:65" s="141" customFormat="1" x14ac:dyDescent="0.2">
      <c r="B387" s="142"/>
      <c r="D387" s="143" t="s">
        <v>346</v>
      </c>
      <c r="E387" s="144"/>
      <c r="F387" s="145" t="s">
        <v>4194</v>
      </c>
      <c r="H387" s="144"/>
      <c r="L387" s="142"/>
      <c r="M387" s="146"/>
      <c r="T387" s="147"/>
      <c r="AT387" s="144" t="s">
        <v>346</v>
      </c>
      <c r="AU387" s="144" t="s">
        <v>90</v>
      </c>
      <c r="AV387" s="141" t="s">
        <v>87</v>
      </c>
      <c r="AW387" s="141" t="s">
        <v>33</v>
      </c>
      <c r="AX387" s="141" t="s">
        <v>80</v>
      </c>
      <c r="AY387" s="144" t="s">
        <v>337</v>
      </c>
    </row>
    <row r="388" spans="2:65" s="148" customFormat="1" x14ac:dyDescent="0.2">
      <c r="B388" s="149"/>
      <c r="D388" s="143" t="s">
        <v>346</v>
      </c>
      <c r="E388" s="150"/>
      <c r="F388" s="151" t="s">
        <v>4042</v>
      </c>
      <c r="H388" s="152">
        <v>106.64</v>
      </c>
      <c r="L388" s="149"/>
      <c r="M388" s="153"/>
      <c r="T388" s="154"/>
      <c r="AT388" s="150" t="s">
        <v>346</v>
      </c>
      <c r="AU388" s="150" t="s">
        <v>90</v>
      </c>
      <c r="AV388" s="148" t="s">
        <v>90</v>
      </c>
      <c r="AW388" s="148" t="s">
        <v>33</v>
      </c>
      <c r="AX388" s="148" t="s">
        <v>80</v>
      </c>
      <c r="AY388" s="150" t="s">
        <v>337</v>
      </c>
    </row>
    <row r="389" spans="2:65" s="141" customFormat="1" x14ac:dyDescent="0.2">
      <c r="B389" s="142"/>
      <c r="D389" s="143" t="s">
        <v>346</v>
      </c>
      <c r="E389" s="144"/>
      <c r="F389" s="145" t="s">
        <v>4204</v>
      </c>
      <c r="H389" s="144"/>
      <c r="L389" s="142"/>
      <c r="M389" s="146"/>
      <c r="T389" s="147"/>
      <c r="AT389" s="144" t="s">
        <v>346</v>
      </c>
      <c r="AU389" s="144" t="s">
        <v>90</v>
      </c>
      <c r="AV389" s="141" t="s">
        <v>87</v>
      </c>
      <c r="AW389" s="141" t="s">
        <v>33</v>
      </c>
      <c r="AX389" s="141" t="s">
        <v>80</v>
      </c>
      <c r="AY389" s="144" t="s">
        <v>337</v>
      </c>
    </row>
    <row r="390" spans="2:65" s="148" customFormat="1" x14ac:dyDescent="0.2">
      <c r="B390" s="149"/>
      <c r="D390" s="143" t="s">
        <v>346</v>
      </c>
      <c r="E390" s="150"/>
      <c r="F390" s="151" t="s">
        <v>4038</v>
      </c>
      <c r="H390" s="152">
        <v>190.196</v>
      </c>
      <c r="L390" s="149"/>
      <c r="M390" s="153"/>
      <c r="T390" s="154"/>
      <c r="AT390" s="150" t="s">
        <v>346</v>
      </c>
      <c r="AU390" s="150" t="s">
        <v>90</v>
      </c>
      <c r="AV390" s="148" t="s">
        <v>90</v>
      </c>
      <c r="AW390" s="148" t="s">
        <v>33</v>
      </c>
      <c r="AX390" s="148" t="s">
        <v>80</v>
      </c>
      <c r="AY390" s="150" t="s">
        <v>337</v>
      </c>
    </row>
    <row r="391" spans="2:65" s="155" customFormat="1" x14ac:dyDescent="0.2">
      <c r="B391" s="156"/>
      <c r="D391" s="143" t="s">
        <v>346</v>
      </c>
      <c r="E391" s="157"/>
      <c r="F391" s="158" t="s">
        <v>351</v>
      </c>
      <c r="H391" s="159">
        <v>296.83600000000001</v>
      </c>
      <c r="L391" s="156"/>
      <c r="M391" s="160"/>
      <c r="T391" s="161"/>
      <c r="AT391" s="157" t="s">
        <v>346</v>
      </c>
      <c r="AU391" s="157" t="s">
        <v>90</v>
      </c>
      <c r="AV391" s="155" t="s">
        <v>344</v>
      </c>
      <c r="AW391" s="155" t="s">
        <v>33</v>
      </c>
      <c r="AX391" s="155" t="s">
        <v>87</v>
      </c>
      <c r="AY391" s="157" t="s">
        <v>337</v>
      </c>
    </row>
    <row r="392" spans="2:65" s="148" customFormat="1" x14ac:dyDescent="0.2">
      <c r="B392" s="149"/>
      <c r="D392" s="143" t="s">
        <v>346</v>
      </c>
      <c r="F392" s="151" t="s">
        <v>4222</v>
      </c>
      <c r="H392" s="152">
        <v>311.678</v>
      </c>
      <c r="L392" s="149"/>
      <c r="M392" s="153"/>
      <c r="T392" s="154"/>
      <c r="AT392" s="150" t="s">
        <v>346</v>
      </c>
      <c r="AU392" s="150" t="s">
        <v>90</v>
      </c>
      <c r="AV392" s="148" t="s">
        <v>90</v>
      </c>
      <c r="AW392" s="148" t="s">
        <v>3</v>
      </c>
      <c r="AX392" s="148" t="s">
        <v>87</v>
      </c>
      <c r="AY392" s="150" t="s">
        <v>337</v>
      </c>
    </row>
    <row r="393" spans="2:65" s="16" customFormat="1" ht="16.5" customHeight="1" x14ac:dyDescent="0.2">
      <c r="B393" s="17"/>
      <c r="C393" s="162">
        <v>26</v>
      </c>
      <c r="D393" s="162" t="s">
        <v>519</v>
      </c>
      <c r="E393" s="163" t="s">
        <v>4223</v>
      </c>
      <c r="F393" s="164" t="s">
        <v>4224</v>
      </c>
      <c r="G393" s="165" t="s">
        <v>342</v>
      </c>
      <c r="H393" s="166">
        <v>10.547000000000001</v>
      </c>
      <c r="I393" s="167"/>
      <c r="J393" s="168">
        <f>ROUND(I393*H393,2)</f>
        <v>0</v>
      </c>
      <c r="K393" s="164" t="s">
        <v>343</v>
      </c>
      <c r="L393" s="169"/>
      <c r="M393" s="170"/>
      <c r="N393" s="171" t="s">
        <v>45</v>
      </c>
      <c r="P393" s="137">
        <f>O393*H393</f>
        <v>0</v>
      </c>
      <c r="Q393" s="137">
        <v>2.6249999999999999E-2</v>
      </c>
      <c r="R393" s="137">
        <f>Q393*H393</f>
        <v>0.27685874999999999</v>
      </c>
      <c r="S393" s="137">
        <v>0</v>
      </c>
      <c r="T393" s="138">
        <f>S393*H393</f>
        <v>0</v>
      </c>
      <c r="AR393" s="139" t="s">
        <v>621</v>
      </c>
      <c r="AT393" s="139" t="s">
        <v>519</v>
      </c>
      <c r="AU393" s="139" t="s">
        <v>90</v>
      </c>
      <c r="AY393" s="2" t="s">
        <v>337</v>
      </c>
      <c r="BE393" s="140">
        <f>IF(N393="základní",J393,0)</f>
        <v>0</v>
      </c>
      <c r="BF393" s="140">
        <f>IF(N393="snížená",J393,0)</f>
        <v>0</v>
      </c>
      <c r="BG393" s="140">
        <f>IF(N393="zákl. přenesená",J393,0)</f>
        <v>0</v>
      </c>
      <c r="BH393" s="140">
        <f>IF(N393="sníž. přenesená",J393,0)</f>
        <v>0</v>
      </c>
      <c r="BI393" s="140">
        <f>IF(N393="nulová",J393,0)</f>
        <v>0</v>
      </c>
      <c r="BJ393" s="2" t="s">
        <v>87</v>
      </c>
      <c r="BK393" s="140">
        <f>ROUND(I393*H393,2)</f>
        <v>0</v>
      </c>
      <c r="BL393" s="2" t="s">
        <v>496</v>
      </c>
      <c r="BM393" s="139" t="s">
        <v>4225</v>
      </c>
    </row>
    <row r="394" spans="2:65" s="141" customFormat="1" x14ac:dyDescent="0.2">
      <c r="B394" s="142"/>
      <c r="D394" s="143" t="s">
        <v>346</v>
      </c>
      <c r="E394" s="144"/>
      <c r="F394" s="145" t="s">
        <v>4077</v>
      </c>
      <c r="H394" s="144"/>
      <c r="L394" s="142"/>
      <c r="M394" s="146"/>
      <c r="T394" s="147"/>
      <c r="AT394" s="144" t="s">
        <v>346</v>
      </c>
      <c r="AU394" s="144" t="s">
        <v>90</v>
      </c>
      <c r="AV394" s="141" t="s">
        <v>87</v>
      </c>
      <c r="AW394" s="141" t="s">
        <v>33</v>
      </c>
      <c r="AX394" s="141" t="s">
        <v>80</v>
      </c>
      <c r="AY394" s="144" t="s">
        <v>337</v>
      </c>
    </row>
    <row r="395" spans="2:65" s="141" customFormat="1" x14ac:dyDescent="0.2">
      <c r="B395" s="142"/>
      <c r="D395" s="143" t="s">
        <v>346</v>
      </c>
      <c r="E395" s="144"/>
      <c r="F395" s="145" t="s">
        <v>4211</v>
      </c>
      <c r="H395" s="144"/>
      <c r="L395" s="142"/>
      <c r="M395" s="146"/>
      <c r="T395" s="147"/>
      <c r="AT395" s="144" t="s">
        <v>346</v>
      </c>
      <c r="AU395" s="144" t="s">
        <v>90</v>
      </c>
      <c r="AV395" s="141" t="s">
        <v>87</v>
      </c>
      <c r="AW395" s="141" t="s">
        <v>33</v>
      </c>
      <c r="AX395" s="141" t="s">
        <v>80</v>
      </c>
      <c r="AY395" s="144" t="s">
        <v>337</v>
      </c>
    </row>
    <row r="396" spans="2:65" s="148" customFormat="1" x14ac:dyDescent="0.2">
      <c r="B396" s="149"/>
      <c r="D396" s="143" t="s">
        <v>346</v>
      </c>
      <c r="E396" s="150"/>
      <c r="F396" s="151" t="s">
        <v>4226</v>
      </c>
      <c r="H396" s="152">
        <v>8.2929999999999993</v>
      </c>
      <c r="L396" s="149"/>
      <c r="M396" s="153"/>
      <c r="T396" s="154"/>
      <c r="AT396" s="150" t="s">
        <v>346</v>
      </c>
      <c r="AU396" s="150" t="s">
        <v>90</v>
      </c>
      <c r="AV396" s="148" t="s">
        <v>90</v>
      </c>
      <c r="AW396" s="148" t="s">
        <v>33</v>
      </c>
      <c r="AX396" s="148" t="s">
        <v>80</v>
      </c>
      <c r="AY396" s="150" t="s">
        <v>337</v>
      </c>
    </row>
    <row r="397" spans="2:65" s="141" customFormat="1" x14ac:dyDescent="0.2">
      <c r="B397" s="142"/>
      <c r="D397" s="143" t="s">
        <v>346</v>
      </c>
      <c r="E397" s="144"/>
      <c r="F397" s="145" t="s">
        <v>4227</v>
      </c>
      <c r="H397" s="144"/>
      <c r="L397" s="142"/>
      <c r="M397" s="146"/>
      <c r="T397" s="147"/>
      <c r="AT397" s="144" t="s">
        <v>346</v>
      </c>
      <c r="AU397" s="144" t="s">
        <v>90</v>
      </c>
      <c r="AV397" s="141" t="s">
        <v>87</v>
      </c>
      <c r="AW397" s="141" t="s">
        <v>33</v>
      </c>
      <c r="AX397" s="141" t="s">
        <v>80</v>
      </c>
      <c r="AY397" s="144" t="s">
        <v>337</v>
      </c>
    </row>
    <row r="398" spans="2:65" s="148" customFormat="1" x14ac:dyDescent="0.2">
      <c r="B398" s="149"/>
      <c r="D398" s="143" t="s">
        <v>346</v>
      </c>
      <c r="E398" s="150"/>
      <c r="F398" s="151" t="s">
        <v>4228</v>
      </c>
      <c r="H398" s="152">
        <v>0.44800000000000001</v>
      </c>
      <c r="L398" s="149"/>
      <c r="M398" s="153"/>
      <c r="T398" s="154"/>
      <c r="AT398" s="150" t="s">
        <v>346</v>
      </c>
      <c r="AU398" s="150" t="s">
        <v>90</v>
      </c>
      <c r="AV398" s="148" t="s">
        <v>90</v>
      </c>
      <c r="AW398" s="148" t="s">
        <v>33</v>
      </c>
      <c r="AX398" s="148" t="s">
        <v>80</v>
      </c>
      <c r="AY398" s="150" t="s">
        <v>337</v>
      </c>
    </row>
    <row r="399" spans="2:65" s="148" customFormat="1" x14ac:dyDescent="0.2">
      <c r="B399" s="149"/>
      <c r="D399" s="143" t="s">
        <v>346</v>
      </c>
      <c r="E399" s="150"/>
      <c r="F399" s="151" t="s">
        <v>4229</v>
      </c>
      <c r="H399" s="152">
        <v>1.304</v>
      </c>
      <c r="L399" s="149"/>
      <c r="M399" s="153"/>
      <c r="T399" s="154"/>
      <c r="AT399" s="150" t="s">
        <v>346</v>
      </c>
      <c r="AU399" s="150" t="s">
        <v>90</v>
      </c>
      <c r="AV399" s="148" t="s">
        <v>90</v>
      </c>
      <c r="AW399" s="148" t="s">
        <v>33</v>
      </c>
      <c r="AX399" s="148" t="s">
        <v>80</v>
      </c>
      <c r="AY399" s="150" t="s">
        <v>337</v>
      </c>
    </row>
    <row r="400" spans="2:65" s="155" customFormat="1" x14ac:dyDescent="0.2">
      <c r="B400" s="156"/>
      <c r="D400" s="143" t="s">
        <v>346</v>
      </c>
      <c r="E400" s="157"/>
      <c r="F400" s="158" t="s">
        <v>351</v>
      </c>
      <c r="H400" s="159">
        <v>10.045</v>
      </c>
      <c r="L400" s="156"/>
      <c r="M400" s="160"/>
      <c r="T400" s="161"/>
      <c r="AT400" s="157" t="s">
        <v>346</v>
      </c>
      <c r="AU400" s="157" t="s">
        <v>90</v>
      </c>
      <c r="AV400" s="155" t="s">
        <v>344</v>
      </c>
      <c r="AW400" s="155" t="s">
        <v>33</v>
      </c>
      <c r="AX400" s="155" t="s">
        <v>87</v>
      </c>
      <c r="AY400" s="157" t="s">
        <v>337</v>
      </c>
    </row>
    <row r="401" spans="2:65" s="148" customFormat="1" x14ac:dyDescent="0.2">
      <c r="B401" s="149"/>
      <c r="D401" s="143" t="s">
        <v>346</v>
      </c>
      <c r="F401" s="151" t="s">
        <v>4230</v>
      </c>
      <c r="H401" s="152">
        <v>10.547000000000001</v>
      </c>
      <c r="L401" s="149"/>
      <c r="M401" s="153"/>
      <c r="T401" s="154"/>
      <c r="AT401" s="150" t="s">
        <v>346</v>
      </c>
      <c r="AU401" s="150" t="s">
        <v>90</v>
      </c>
      <c r="AV401" s="148" t="s">
        <v>90</v>
      </c>
      <c r="AW401" s="148" t="s">
        <v>3</v>
      </c>
      <c r="AX401" s="148" t="s">
        <v>87</v>
      </c>
      <c r="AY401" s="150" t="s">
        <v>337</v>
      </c>
    </row>
    <row r="402" spans="2:65" s="16" customFormat="1" ht="24.2" customHeight="1" x14ac:dyDescent="0.2">
      <c r="B402" s="17"/>
      <c r="C402" s="128">
        <v>27</v>
      </c>
      <c r="D402" s="128" t="s">
        <v>339</v>
      </c>
      <c r="E402" s="129" t="s">
        <v>4231</v>
      </c>
      <c r="F402" s="130" t="s">
        <v>4232</v>
      </c>
      <c r="G402" s="131" t="s">
        <v>425</v>
      </c>
      <c r="H402" s="132">
        <v>8.19</v>
      </c>
      <c r="I402" s="133"/>
      <c r="J402" s="134">
        <f>ROUND(I402*H402,2)</f>
        <v>0</v>
      </c>
      <c r="K402" s="130" t="s">
        <v>343</v>
      </c>
      <c r="L402" s="17"/>
      <c r="M402" s="135"/>
      <c r="N402" s="136" t="s">
        <v>45</v>
      </c>
      <c r="P402" s="137">
        <f>O402*H402</f>
        <v>0</v>
      </c>
      <c r="Q402" s="137">
        <v>4.2000000000000002E-4</v>
      </c>
      <c r="R402" s="137">
        <f>Q402*H402</f>
        <v>3.4397999999999998E-3</v>
      </c>
      <c r="S402" s="137">
        <v>0</v>
      </c>
      <c r="T402" s="138">
        <f>S402*H402</f>
        <v>0</v>
      </c>
      <c r="AR402" s="139" t="s">
        <v>496</v>
      </c>
      <c r="AT402" s="139" t="s">
        <v>339</v>
      </c>
      <c r="AU402" s="139" t="s">
        <v>90</v>
      </c>
      <c r="AY402" s="2" t="s">
        <v>337</v>
      </c>
      <c r="BE402" s="140">
        <f>IF(N402="základní",J402,0)</f>
        <v>0</v>
      </c>
      <c r="BF402" s="140">
        <f>IF(N402="snížená",J402,0)</f>
        <v>0</v>
      </c>
      <c r="BG402" s="140">
        <f>IF(N402="zákl. přenesená",J402,0)</f>
        <v>0</v>
      </c>
      <c r="BH402" s="140">
        <f>IF(N402="sníž. přenesená",J402,0)</f>
        <v>0</v>
      </c>
      <c r="BI402" s="140">
        <f>IF(N402="nulová",J402,0)</f>
        <v>0</v>
      </c>
      <c r="BJ402" s="2" t="s">
        <v>87</v>
      </c>
      <c r="BK402" s="140">
        <f>ROUND(I402*H402,2)</f>
        <v>0</v>
      </c>
      <c r="BL402" s="2" t="s">
        <v>496</v>
      </c>
      <c r="BM402" s="139" t="s">
        <v>4233</v>
      </c>
    </row>
    <row r="403" spans="2:65" s="141" customFormat="1" x14ac:dyDescent="0.2">
      <c r="B403" s="142"/>
      <c r="D403" s="143" t="s">
        <v>346</v>
      </c>
      <c r="E403" s="144"/>
      <c r="F403" s="145" t="s">
        <v>4234</v>
      </c>
      <c r="H403" s="144"/>
      <c r="L403" s="142"/>
      <c r="M403" s="146"/>
      <c r="T403" s="147"/>
      <c r="AT403" s="144" t="s">
        <v>346</v>
      </c>
      <c r="AU403" s="144" t="s">
        <v>90</v>
      </c>
      <c r="AV403" s="141" t="s">
        <v>87</v>
      </c>
      <c r="AW403" s="141" t="s">
        <v>33</v>
      </c>
      <c r="AX403" s="141" t="s">
        <v>80</v>
      </c>
      <c r="AY403" s="144" t="s">
        <v>337</v>
      </c>
    </row>
    <row r="404" spans="2:65" s="141" customFormat="1" x14ac:dyDescent="0.2">
      <c r="B404" s="142"/>
      <c r="D404" s="143" t="s">
        <v>346</v>
      </c>
      <c r="E404" s="144"/>
      <c r="F404" s="145" t="s">
        <v>4235</v>
      </c>
      <c r="H404" s="144"/>
      <c r="L404" s="142"/>
      <c r="M404" s="146"/>
      <c r="T404" s="147"/>
      <c r="AT404" s="144" t="s">
        <v>346</v>
      </c>
      <c r="AU404" s="144" t="s">
        <v>90</v>
      </c>
      <c r="AV404" s="141" t="s">
        <v>87</v>
      </c>
      <c r="AW404" s="141" t="s">
        <v>33</v>
      </c>
      <c r="AX404" s="141" t="s">
        <v>80</v>
      </c>
      <c r="AY404" s="144" t="s">
        <v>337</v>
      </c>
    </row>
    <row r="405" spans="2:65" s="141" customFormat="1" x14ac:dyDescent="0.2">
      <c r="B405" s="142"/>
      <c r="D405" s="143" t="s">
        <v>346</v>
      </c>
      <c r="E405" s="144"/>
      <c r="F405" s="145" t="s">
        <v>4236</v>
      </c>
      <c r="H405" s="144"/>
      <c r="L405" s="142"/>
      <c r="M405" s="146"/>
      <c r="T405" s="147"/>
      <c r="AT405" s="144" t="s">
        <v>346</v>
      </c>
      <c r="AU405" s="144" t="s">
        <v>90</v>
      </c>
      <c r="AV405" s="141" t="s">
        <v>87</v>
      </c>
      <c r="AW405" s="141" t="s">
        <v>33</v>
      </c>
      <c r="AX405" s="141" t="s">
        <v>80</v>
      </c>
      <c r="AY405" s="144" t="s">
        <v>337</v>
      </c>
    </row>
    <row r="406" spans="2:65" s="148" customFormat="1" x14ac:dyDescent="0.2">
      <c r="B406" s="149"/>
      <c r="D406" s="143" t="s">
        <v>346</v>
      </c>
      <c r="E406" s="150"/>
      <c r="F406" s="151" t="s">
        <v>4131</v>
      </c>
      <c r="H406" s="152">
        <v>8.19</v>
      </c>
      <c r="L406" s="149"/>
      <c r="M406" s="153"/>
      <c r="T406" s="154"/>
      <c r="AT406" s="150" t="s">
        <v>346</v>
      </c>
      <c r="AU406" s="150" t="s">
        <v>90</v>
      </c>
      <c r="AV406" s="148" t="s">
        <v>90</v>
      </c>
      <c r="AW406" s="148" t="s">
        <v>33</v>
      </c>
      <c r="AX406" s="148" t="s">
        <v>80</v>
      </c>
      <c r="AY406" s="150" t="s">
        <v>337</v>
      </c>
    </row>
    <row r="407" spans="2:65" s="155" customFormat="1" x14ac:dyDescent="0.2">
      <c r="B407" s="156"/>
      <c r="D407" s="143" t="s">
        <v>346</v>
      </c>
      <c r="E407" s="157"/>
      <c r="F407" s="158" t="s">
        <v>351</v>
      </c>
      <c r="H407" s="159">
        <v>8.19</v>
      </c>
      <c r="L407" s="156"/>
      <c r="M407" s="160"/>
      <c r="T407" s="161"/>
      <c r="AT407" s="157" t="s">
        <v>346</v>
      </c>
      <c r="AU407" s="157" t="s">
        <v>90</v>
      </c>
      <c r="AV407" s="155" t="s">
        <v>344</v>
      </c>
      <c r="AW407" s="155" t="s">
        <v>33</v>
      </c>
      <c r="AX407" s="155" t="s">
        <v>87</v>
      </c>
      <c r="AY407" s="157" t="s">
        <v>337</v>
      </c>
    </row>
    <row r="408" spans="2:65" s="16" customFormat="1" ht="16.5" customHeight="1" x14ac:dyDescent="0.2">
      <c r="B408" s="17"/>
      <c r="C408" s="162">
        <v>28</v>
      </c>
      <c r="D408" s="162" t="s">
        <v>519</v>
      </c>
      <c r="E408" s="163" t="s">
        <v>4237</v>
      </c>
      <c r="F408" s="164" t="s">
        <v>4238</v>
      </c>
      <c r="G408" s="165" t="s">
        <v>425</v>
      </c>
      <c r="H408" s="166">
        <v>8.6</v>
      </c>
      <c r="I408" s="167"/>
      <c r="J408" s="168">
        <f>ROUND(I408*H408,2)</f>
        <v>0</v>
      </c>
      <c r="K408" s="164" t="s">
        <v>343</v>
      </c>
      <c r="L408" s="169"/>
      <c r="M408" s="170"/>
      <c r="N408" s="171" t="s">
        <v>45</v>
      </c>
      <c r="P408" s="137">
        <f>O408*H408</f>
        <v>0</v>
      </c>
      <c r="Q408" s="137">
        <v>5.4000000000000003E-3</v>
      </c>
      <c r="R408" s="137">
        <f>Q408*H408</f>
        <v>4.6440000000000002E-2</v>
      </c>
      <c r="S408" s="137">
        <v>0</v>
      </c>
      <c r="T408" s="138">
        <f>S408*H408</f>
        <v>0</v>
      </c>
      <c r="AR408" s="139" t="s">
        <v>621</v>
      </c>
      <c r="AT408" s="139" t="s">
        <v>519</v>
      </c>
      <c r="AU408" s="139" t="s">
        <v>90</v>
      </c>
      <c r="AY408" s="2" t="s">
        <v>337</v>
      </c>
      <c r="BE408" s="140">
        <f>IF(N408="základní",J408,0)</f>
        <v>0</v>
      </c>
      <c r="BF408" s="140">
        <f>IF(N408="snížená",J408,0)</f>
        <v>0</v>
      </c>
      <c r="BG408" s="140">
        <f>IF(N408="zákl. přenesená",J408,0)</f>
        <v>0</v>
      </c>
      <c r="BH408" s="140">
        <f>IF(N408="sníž. přenesená",J408,0)</f>
        <v>0</v>
      </c>
      <c r="BI408" s="140">
        <f>IF(N408="nulová",J408,0)</f>
        <v>0</v>
      </c>
      <c r="BJ408" s="2" t="s">
        <v>87</v>
      </c>
      <c r="BK408" s="140">
        <f>ROUND(I408*H408,2)</f>
        <v>0</v>
      </c>
      <c r="BL408" s="2" t="s">
        <v>496</v>
      </c>
      <c r="BM408" s="139" t="s">
        <v>4239</v>
      </c>
    </row>
    <row r="409" spans="2:65" s="141" customFormat="1" x14ac:dyDescent="0.2">
      <c r="B409" s="142"/>
      <c r="D409" s="143" t="s">
        <v>346</v>
      </c>
      <c r="E409" s="144"/>
      <c r="F409" s="145" t="s">
        <v>4236</v>
      </c>
      <c r="H409" s="144"/>
      <c r="L409" s="142"/>
      <c r="M409" s="146"/>
      <c r="T409" s="147"/>
      <c r="AT409" s="144" t="s">
        <v>346</v>
      </c>
      <c r="AU409" s="144" t="s">
        <v>90</v>
      </c>
      <c r="AV409" s="141" t="s">
        <v>87</v>
      </c>
      <c r="AW409" s="141" t="s">
        <v>33</v>
      </c>
      <c r="AX409" s="141" t="s">
        <v>80</v>
      </c>
      <c r="AY409" s="144" t="s">
        <v>337</v>
      </c>
    </row>
    <row r="410" spans="2:65" s="148" customFormat="1" x14ac:dyDescent="0.2">
      <c r="B410" s="149"/>
      <c r="D410" s="143" t="s">
        <v>346</v>
      </c>
      <c r="E410" s="150"/>
      <c r="F410" s="151" t="s">
        <v>4131</v>
      </c>
      <c r="H410" s="152">
        <v>8.19</v>
      </c>
      <c r="L410" s="149"/>
      <c r="M410" s="153"/>
      <c r="T410" s="154"/>
      <c r="AT410" s="150" t="s">
        <v>346</v>
      </c>
      <c r="AU410" s="150" t="s">
        <v>90</v>
      </c>
      <c r="AV410" s="148" t="s">
        <v>90</v>
      </c>
      <c r="AW410" s="148" t="s">
        <v>33</v>
      </c>
      <c r="AX410" s="148" t="s">
        <v>87</v>
      </c>
      <c r="AY410" s="150" t="s">
        <v>337</v>
      </c>
    </row>
    <row r="411" spans="2:65" s="148" customFormat="1" x14ac:dyDescent="0.2">
      <c r="B411" s="149"/>
      <c r="D411" s="143" t="s">
        <v>346</v>
      </c>
      <c r="F411" s="151" t="s">
        <v>4240</v>
      </c>
      <c r="H411" s="152">
        <v>8.6</v>
      </c>
      <c r="L411" s="149"/>
      <c r="M411" s="153"/>
      <c r="T411" s="154"/>
      <c r="AT411" s="150" t="s">
        <v>346</v>
      </c>
      <c r="AU411" s="150" t="s">
        <v>90</v>
      </c>
      <c r="AV411" s="148" t="s">
        <v>90</v>
      </c>
      <c r="AW411" s="148" t="s">
        <v>3</v>
      </c>
      <c r="AX411" s="148" t="s">
        <v>87</v>
      </c>
      <c r="AY411" s="150" t="s">
        <v>337</v>
      </c>
    </row>
    <row r="412" spans="2:65" s="16" customFormat="1" ht="21.75" customHeight="1" x14ac:dyDescent="0.2">
      <c r="B412" s="17"/>
      <c r="C412" s="128">
        <v>29</v>
      </c>
      <c r="D412" s="128" t="s">
        <v>339</v>
      </c>
      <c r="E412" s="129" t="s">
        <v>4241</v>
      </c>
      <c r="F412" s="130" t="s">
        <v>4242</v>
      </c>
      <c r="G412" s="131" t="s">
        <v>425</v>
      </c>
      <c r="H412" s="132">
        <v>812.1</v>
      </c>
      <c r="I412" s="133"/>
      <c r="J412" s="134">
        <f>ROUND(I412*H412,2)</f>
        <v>0</v>
      </c>
      <c r="K412" s="130" t="s">
        <v>343</v>
      </c>
      <c r="L412" s="17"/>
      <c r="M412" s="135"/>
      <c r="N412" s="136" t="s">
        <v>45</v>
      </c>
      <c r="P412" s="137">
        <f>O412*H412</f>
        <v>0</v>
      </c>
      <c r="Q412" s="137">
        <v>1.16E-3</v>
      </c>
      <c r="R412" s="137">
        <f>Q412*H412</f>
        <v>0.94203599999999998</v>
      </c>
      <c r="S412" s="137">
        <v>0</v>
      </c>
      <c r="T412" s="138">
        <f>S412*H412</f>
        <v>0</v>
      </c>
      <c r="AR412" s="139" t="s">
        <v>496</v>
      </c>
      <c r="AT412" s="139" t="s">
        <v>339</v>
      </c>
      <c r="AU412" s="139" t="s">
        <v>90</v>
      </c>
      <c r="AY412" s="2" t="s">
        <v>337</v>
      </c>
      <c r="BE412" s="140">
        <f>IF(N412="základní",J412,0)</f>
        <v>0</v>
      </c>
      <c r="BF412" s="140">
        <f>IF(N412="snížená",J412,0)</f>
        <v>0</v>
      </c>
      <c r="BG412" s="140">
        <f>IF(N412="zákl. přenesená",J412,0)</f>
        <v>0</v>
      </c>
      <c r="BH412" s="140">
        <f>IF(N412="sníž. přenesená",J412,0)</f>
        <v>0</v>
      </c>
      <c r="BI412" s="140">
        <f>IF(N412="nulová",J412,0)</f>
        <v>0</v>
      </c>
      <c r="BJ412" s="2" t="s">
        <v>87</v>
      </c>
      <c r="BK412" s="140">
        <f>ROUND(I412*H412,2)</f>
        <v>0</v>
      </c>
      <c r="BL412" s="2" t="s">
        <v>496</v>
      </c>
      <c r="BM412" s="139" t="s">
        <v>4243</v>
      </c>
    </row>
    <row r="413" spans="2:65" s="148" customFormat="1" x14ac:dyDescent="0.2">
      <c r="B413" s="149"/>
      <c r="D413" s="143" t="s">
        <v>346</v>
      </c>
      <c r="E413" s="150"/>
      <c r="F413" s="151" t="s">
        <v>4017</v>
      </c>
      <c r="H413" s="152">
        <v>239.91</v>
      </c>
      <c r="L413" s="149"/>
      <c r="M413" s="153"/>
      <c r="T413" s="154"/>
      <c r="AT413" s="150" t="s">
        <v>346</v>
      </c>
      <c r="AU413" s="150" t="s">
        <v>90</v>
      </c>
      <c r="AV413" s="148" t="s">
        <v>90</v>
      </c>
      <c r="AW413" s="148" t="s">
        <v>33</v>
      </c>
      <c r="AX413" s="148" t="s">
        <v>80</v>
      </c>
      <c r="AY413" s="150" t="s">
        <v>337</v>
      </c>
    </row>
    <row r="414" spans="2:65" s="148" customFormat="1" x14ac:dyDescent="0.2">
      <c r="B414" s="149"/>
      <c r="D414" s="143" t="s">
        <v>346</v>
      </c>
      <c r="E414" s="150"/>
      <c r="F414" s="151" t="s">
        <v>4021</v>
      </c>
      <c r="H414" s="152">
        <v>59.22</v>
      </c>
      <c r="L414" s="149"/>
      <c r="M414" s="153"/>
      <c r="T414" s="154"/>
      <c r="AT414" s="150" t="s">
        <v>346</v>
      </c>
      <c r="AU414" s="150" t="s">
        <v>90</v>
      </c>
      <c r="AV414" s="148" t="s">
        <v>90</v>
      </c>
      <c r="AW414" s="148" t="s">
        <v>33</v>
      </c>
      <c r="AX414" s="148" t="s">
        <v>80</v>
      </c>
      <c r="AY414" s="150" t="s">
        <v>337</v>
      </c>
    </row>
    <row r="415" spans="2:65" s="148" customFormat="1" x14ac:dyDescent="0.2">
      <c r="B415" s="149"/>
      <c r="D415" s="143" t="s">
        <v>346</v>
      </c>
      <c r="E415" s="150"/>
      <c r="F415" s="151" t="s">
        <v>4026</v>
      </c>
      <c r="H415" s="152">
        <v>512.97</v>
      </c>
      <c r="L415" s="149"/>
      <c r="M415" s="153"/>
      <c r="T415" s="154"/>
      <c r="AT415" s="150" t="s">
        <v>346</v>
      </c>
      <c r="AU415" s="150" t="s">
        <v>90</v>
      </c>
      <c r="AV415" s="148" t="s">
        <v>90</v>
      </c>
      <c r="AW415" s="148" t="s">
        <v>33</v>
      </c>
      <c r="AX415" s="148" t="s">
        <v>80</v>
      </c>
      <c r="AY415" s="150" t="s">
        <v>337</v>
      </c>
    </row>
    <row r="416" spans="2:65" s="155" customFormat="1" x14ac:dyDescent="0.2">
      <c r="B416" s="156"/>
      <c r="D416" s="143" t="s">
        <v>346</v>
      </c>
      <c r="E416" s="157"/>
      <c r="F416" s="158" t="s">
        <v>351</v>
      </c>
      <c r="H416" s="159">
        <v>812.1</v>
      </c>
      <c r="L416" s="156"/>
      <c r="M416" s="160"/>
      <c r="T416" s="161"/>
      <c r="AT416" s="157" t="s">
        <v>346</v>
      </c>
      <c r="AU416" s="157" t="s">
        <v>90</v>
      </c>
      <c r="AV416" s="155" t="s">
        <v>344</v>
      </c>
      <c r="AW416" s="155" t="s">
        <v>33</v>
      </c>
      <c r="AX416" s="155" t="s">
        <v>87</v>
      </c>
      <c r="AY416" s="157" t="s">
        <v>337</v>
      </c>
    </row>
    <row r="417" spans="2:65" s="16" customFormat="1" ht="16.5" customHeight="1" x14ac:dyDescent="0.2">
      <c r="B417" s="17"/>
      <c r="C417" s="162">
        <v>30</v>
      </c>
      <c r="D417" s="162" t="s">
        <v>519</v>
      </c>
      <c r="E417" s="163" t="s">
        <v>4244</v>
      </c>
      <c r="F417" s="164" t="s">
        <v>4245</v>
      </c>
      <c r="G417" s="165" t="s">
        <v>425</v>
      </c>
      <c r="H417" s="166">
        <v>790.524</v>
      </c>
      <c r="I417" s="167"/>
      <c r="J417" s="168">
        <f>ROUND(I417*H417,2)</f>
        <v>0</v>
      </c>
      <c r="K417" s="164" t="s">
        <v>343</v>
      </c>
      <c r="L417" s="169"/>
      <c r="M417" s="170"/>
      <c r="N417" s="171" t="s">
        <v>45</v>
      </c>
      <c r="P417" s="137">
        <f>O417*H417</f>
        <v>0</v>
      </c>
      <c r="Q417" s="137">
        <v>2.8999999999999998E-3</v>
      </c>
      <c r="R417" s="137">
        <f>Q417*H417</f>
        <v>2.2925195999999999</v>
      </c>
      <c r="S417" s="137">
        <v>0</v>
      </c>
      <c r="T417" s="138">
        <f>S417*H417</f>
        <v>0</v>
      </c>
      <c r="AR417" s="139" t="s">
        <v>621</v>
      </c>
      <c r="AT417" s="139" t="s">
        <v>519</v>
      </c>
      <c r="AU417" s="139" t="s">
        <v>90</v>
      </c>
      <c r="AY417" s="2" t="s">
        <v>337</v>
      </c>
      <c r="BE417" s="140">
        <f>IF(N417="základní",J417,0)</f>
        <v>0</v>
      </c>
      <c r="BF417" s="140">
        <f>IF(N417="snížená",J417,0)</f>
        <v>0</v>
      </c>
      <c r="BG417" s="140">
        <f>IF(N417="zákl. přenesená",J417,0)</f>
        <v>0</v>
      </c>
      <c r="BH417" s="140">
        <f>IF(N417="sníž. přenesená",J417,0)</f>
        <v>0</v>
      </c>
      <c r="BI417" s="140">
        <f>IF(N417="nulová",J417,0)</f>
        <v>0</v>
      </c>
      <c r="BJ417" s="2" t="s">
        <v>87</v>
      </c>
      <c r="BK417" s="140">
        <f>ROUND(I417*H417,2)</f>
        <v>0</v>
      </c>
      <c r="BL417" s="2" t="s">
        <v>496</v>
      </c>
      <c r="BM417" s="139" t="s">
        <v>4246</v>
      </c>
    </row>
    <row r="418" spans="2:65" s="141" customFormat="1" x14ac:dyDescent="0.2">
      <c r="B418" s="142"/>
      <c r="D418" s="143" t="s">
        <v>346</v>
      </c>
      <c r="E418" s="144"/>
      <c r="F418" s="145" t="s">
        <v>4247</v>
      </c>
      <c r="H418" s="144"/>
      <c r="L418" s="142"/>
      <c r="M418" s="146"/>
      <c r="T418" s="147"/>
      <c r="AT418" s="144" t="s">
        <v>346</v>
      </c>
      <c r="AU418" s="144" t="s">
        <v>90</v>
      </c>
      <c r="AV418" s="141" t="s">
        <v>87</v>
      </c>
      <c r="AW418" s="141" t="s">
        <v>33</v>
      </c>
      <c r="AX418" s="141" t="s">
        <v>80</v>
      </c>
      <c r="AY418" s="144" t="s">
        <v>337</v>
      </c>
    </row>
    <row r="419" spans="2:65" s="148" customFormat="1" x14ac:dyDescent="0.2">
      <c r="B419" s="149"/>
      <c r="D419" s="143" t="s">
        <v>346</v>
      </c>
      <c r="E419" s="150"/>
      <c r="F419" s="151" t="s">
        <v>4017</v>
      </c>
      <c r="H419" s="152">
        <v>239.91</v>
      </c>
      <c r="L419" s="149"/>
      <c r="M419" s="153"/>
      <c r="T419" s="154"/>
      <c r="AT419" s="150" t="s">
        <v>346</v>
      </c>
      <c r="AU419" s="150" t="s">
        <v>90</v>
      </c>
      <c r="AV419" s="148" t="s">
        <v>90</v>
      </c>
      <c r="AW419" s="148" t="s">
        <v>33</v>
      </c>
      <c r="AX419" s="148" t="s">
        <v>80</v>
      </c>
      <c r="AY419" s="150" t="s">
        <v>337</v>
      </c>
    </row>
    <row r="420" spans="2:65" s="148" customFormat="1" x14ac:dyDescent="0.2">
      <c r="B420" s="149"/>
      <c r="D420" s="143" t="s">
        <v>346</v>
      </c>
      <c r="E420" s="150"/>
      <c r="F420" s="151" t="s">
        <v>4026</v>
      </c>
      <c r="H420" s="152">
        <v>512.97</v>
      </c>
      <c r="L420" s="149"/>
      <c r="M420" s="153"/>
      <c r="T420" s="154"/>
      <c r="AT420" s="150" t="s">
        <v>346</v>
      </c>
      <c r="AU420" s="150" t="s">
        <v>90</v>
      </c>
      <c r="AV420" s="148" t="s">
        <v>90</v>
      </c>
      <c r="AW420" s="148" t="s">
        <v>33</v>
      </c>
      <c r="AX420" s="148" t="s">
        <v>80</v>
      </c>
      <c r="AY420" s="150" t="s">
        <v>337</v>
      </c>
    </row>
    <row r="421" spans="2:65" s="155" customFormat="1" x14ac:dyDescent="0.2">
      <c r="B421" s="156"/>
      <c r="D421" s="143" t="s">
        <v>346</v>
      </c>
      <c r="E421" s="157"/>
      <c r="F421" s="158" t="s">
        <v>351</v>
      </c>
      <c r="H421" s="159">
        <v>752.88</v>
      </c>
      <c r="L421" s="156"/>
      <c r="M421" s="160"/>
      <c r="T421" s="161"/>
      <c r="AT421" s="157" t="s">
        <v>346</v>
      </c>
      <c r="AU421" s="157" t="s">
        <v>90</v>
      </c>
      <c r="AV421" s="155" t="s">
        <v>344</v>
      </c>
      <c r="AW421" s="155" t="s">
        <v>33</v>
      </c>
      <c r="AX421" s="155" t="s">
        <v>87</v>
      </c>
      <c r="AY421" s="157" t="s">
        <v>337</v>
      </c>
    </row>
    <row r="422" spans="2:65" s="148" customFormat="1" x14ac:dyDescent="0.2">
      <c r="B422" s="149"/>
      <c r="D422" s="143" t="s">
        <v>346</v>
      </c>
      <c r="F422" s="151" t="s">
        <v>4248</v>
      </c>
      <c r="H422" s="152">
        <v>790.524</v>
      </c>
      <c r="L422" s="149"/>
      <c r="M422" s="153"/>
      <c r="T422" s="154"/>
      <c r="AT422" s="150" t="s">
        <v>346</v>
      </c>
      <c r="AU422" s="150" t="s">
        <v>90</v>
      </c>
      <c r="AV422" s="148" t="s">
        <v>90</v>
      </c>
      <c r="AW422" s="148" t="s">
        <v>3</v>
      </c>
      <c r="AX422" s="148" t="s">
        <v>87</v>
      </c>
      <c r="AY422" s="150" t="s">
        <v>337</v>
      </c>
    </row>
    <row r="423" spans="2:65" s="16" customFormat="1" ht="16.5" customHeight="1" x14ac:dyDescent="0.2">
      <c r="B423" s="17"/>
      <c r="C423" s="162">
        <v>31</v>
      </c>
      <c r="D423" s="162" t="s">
        <v>519</v>
      </c>
      <c r="E423" s="163" t="s">
        <v>4249</v>
      </c>
      <c r="F423" s="164" t="s">
        <v>4250</v>
      </c>
      <c r="G423" s="165" t="s">
        <v>425</v>
      </c>
      <c r="H423" s="166">
        <v>59.22</v>
      </c>
      <c r="I423" s="167"/>
      <c r="J423" s="168">
        <f>ROUND(I423*H423,2)</f>
        <v>0</v>
      </c>
      <c r="K423" s="164" t="s">
        <v>343</v>
      </c>
      <c r="L423" s="169"/>
      <c r="M423" s="170"/>
      <c r="N423" s="171" t="s">
        <v>45</v>
      </c>
      <c r="P423" s="137">
        <f>O423*H423</f>
        <v>0</v>
      </c>
      <c r="Q423" s="137">
        <v>3.2000000000000002E-3</v>
      </c>
      <c r="R423" s="137">
        <f>Q423*H423</f>
        <v>0.18950400000000001</v>
      </c>
      <c r="S423" s="137">
        <v>0</v>
      </c>
      <c r="T423" s="138">
        <f>S423*H423</f>
        <v>0</v>
      </c>
      <c r="AR423" s="139" t="s">
        <v>621</v>
      </c>
      <c r="AT423" s="139" t="s">
        <v>519</v>
      </c>
      <c r="AU423" s="139" t="s">
        <v>90</v>
      </c>
      <c r="AY423" s="2" t="s">
        <v>337</v>
      </c>
      <c r="BE423" s="140">
        <f>IF(N423="základní",J423,0)</f>
        <v>0</v>
      </c>
      <c r="BF423" s="140">
        <f>IF(N423="snížená",J423,0)</f>
        <v>0</v>
      </c>
      <c r="BG423" s="140">
        <f>IF(N423="zákl. přenesená",J423,0)</f>
        <v>0</v>
      </c>
      <c r="BH423" s="140">
        <f>IF(N423="sníž. přenesená",J423,0)</f>
        <v>0</v>
      </c>
      <c r="BI423" s="140">
        <f>IF(N423="nulová",J423,0)</f>
        <v>0</v>
      </c>
      <c r="BJ423" s="2" t="s">
        <v>87</v>
      </c>
      <c r="BK423" s="140">
        <f>ROUND(I423*H423,2)</f>
        <v>0</v>
      </c>
      <c r="BL423" s="2" t="s">
        <v>496</v>
      </c>
      <c r="BM423" s="139" t="s">
        <v>4251</v>
      </c>
    </row>
    <row r="424" spans="2:65" s="141" customFormat="1" x14ac:dyDescent="0.2">
      <c r="B424" s="142"/>
      <c r="D424" s="143" t="s">
        <v>346</v>
      </c>
      <c r="E424" s="144"/>
      <c r="F424" s="145" t="s">
        <v>4247</v>
      </c>
      <c r="H424" s="144"/>
      <c r="L424" s="142"/>
      <c r="M424" s="146"/>
      <c r="T424" s="147"/>
      <c r="AT424" s="144" t="s">
        <v>346</v>
      </c>
      <c r="AU424" s="144" t="s">
        <v>90</v>
      </c>
      <c r="AV424" s="141" t="s">
        <v>87</v>
      </c>
      <c r="AW424" s="141" t="s">
        <v>33</v>
      </c>
      <c r="AX424" s="141" t="s">
        <v>80</v>
      </c>
      <c r="AY424" s="144" t="s">
        <v>337</v>
      </c>
    </row>
    <row r="425" spans="2:65" s="148" customFormat="1" x14ac:dyDescent="0.2">
      <c r="B425" s="149"/>
      <c r="D425" s="143" t="s">
        <v>346</v>
      </c>
      <c r="E425" s="150"/>
      <c r="F425" s="151" t="s">
        <v>4021</v>
      </c>
      <c r="H425" s="152">
        <v>59.22</v>
      </c>
      <c r="L425" s="149"/>
      <c r="M425" s="153"/>
      <c r="T425" s="154"/>
      <c r="AT425" s="150" t="s">
        <v>346</v>
      </c>
      <c r="AU425" s="150" t="s">
        <v>90</v>
      </c>
      <c r="AV425" s="148" t="s">
        <v>90</v>
      </c>
      <c r="AW425" s="148" t="s">
        <v>33</v>
      </c>
      <c r="AX425" s="148" t="s">
        <v>87</v>
      </c>
      <c r="AY425" s="150" t="s">
        <v>337</v>
      </c>
    </row>
    <row r="426" spans="2:65" s="16" customFormat="1" ht="16.5" customHeight="1" x14ac:dyDescent="0.2">
      <c r="B426" s="17"/>
      <c r="C426" s="128">
        <v>32</v>
      </c>
      <c r="D426" s="128" t="s">
        <v>339</v>
      </c>
      <c r="E426" s="129" t="s">
        <v>4252</v>
      </c>
      <c r="F426" s="130" t="s">
        <v>4253</v>
      </c>
      <c r="G426" s="131" t="s">
        <v>425</v>
      </c>
      <c r="H426" s="132">
        <v>978.38800000000003</v>
      </c>
      <c r="I426" s="133"/>
      <c r="J426" s="134">
        <f>ROUND(I426*H426,2)</f>
        <v>0</v>
      </c>
      <c r="K426" s="130" t="s">
        <v>343</v>
      </c>
      <c r="L426" s="17"/>
      <c r="M426" s="135"/>
      <c r="N426" s="136" t="s">
        <v>45</v>
      </c>
      <c r="P426" s="137">
        <f>O426*H426</f>
        <v>0</v>
      </c>
      <c r="Q426" s="137">
        <v>1.16E-3</v>
      </c>
      <c r="R426" s="137">
        <f>Q426*H426</f>
        <v>1.13493008</v>
      </c>
      <c r="S426" s="137">
        <v>0</v>
      </c>
      <c r="T426" s="138">
        <f>S426*H426</f>
        <v>0</v>
      </c>
      <c r="AR426" s="139" t="s">
        <v>496</v>
      </c>
      <c r="AT426" s="139" t="s">
        <v>339</v>
      </c>
      <c r="AU426" s="139" t="s">
        <v>90</v>
      </c>
      <c r="AY426" s="2" t="s">
        <v>337</v>
      </c>
      <c r="BE426" s="140">
        <f>IF(N426="základní",J426,0)</f>
        <v>0</v>
      </c>
      <c r="BF426" s="140">
        <f>IF(N426="snížená",J426,0)</f>
        <v>0</v>
      </c>
      <c r="BG426" s="140">
        <f>IF(N426="zákl. přenesená",J426,0)</f>
        <v>0</v>
      </c>
      <c r="BH426" s="140">
        <f>IF(N426="sníž. přenesená",J426,0)</f>
        <v>0</v>
      </c>
      <c r="BI426" s="140">
        <f>IF(N426="nulová",J426,0)</f>
        <v>0</v>
      </c>
      <c r="BJ426" s="2" t="s">
        <v>87</v>
      </c>
      <c r="BK426" s="140">
        <f>ROUND(I426*H426,2)</f>
        <v>0</v>
      </c>
      <c r="BL426" s="2" t="s">
        <v>496</v>
      </c>
      <c r="BM426" s="139" t="s">
        <v>4254</v>
      </c>
    </row>
    <row r="427" spans="2:65" s="148" customFormat="1" x14ac:dyDescent="0.2">
      <c r="B427" s="149"/>
      <c r="D427" s="143" t="s">
        <v>346</v>
      </c>
      <c r="E427" s="150"/>
      <c r="F427" s="151" t="s">
        <v>4017</v>
      </c>
      <c r="H427" s="152">
        <v>239.91</v>
      </c>
      <c r="L427" s="149"/>
      <c r="M427" s="153"/>
      <c r="T427" s="154"/>
      <c r="AT427" s="150" t="s">
        <v>346</v>
      </c>
      <c r="AU427" s="150" t="s">
        <v>90</v>
      </c>
      <c r="AV427" s="148" t="s">
        <v>90</v>
      </c>
      <c r="AW427" s="148" t="s">
        <v>33</v>
      </c>
      <c r="AX427" s="148" t="s">
        <v>80</v>
      </c>
      <c r="AY427" s="150" t="s">
        <v>337</v>
      </c>
    </row>
    <row r="428" spans="2:65" s="148" customFormat="1" x14ac:dyDescent="0.2">
      <c r="B428" s="149"/>
      <c r="D428" s="143" t="s">
        <v>346</v>
      </c>
      <c r="E428" s="150"/>
      <c r="F428" s="151" t="s">
        <v>4021</v>
      </c>
      <c r="H428" s="152">
        <v>59.22</v>
      </c>
      <c r="L428" s="149"/>
      <c r="M428" s="153"/>
      <c r="T428" s="154"/>
      <c r="AT428" s="150" t="s">
        <v>346</v>
      </c>
      <c r="AU428" s="150" t="s">
        <v>90</v>
      </c>
      <c r="AV428" s="148" t="s">
        <v>90</v>
      </c>
      <c r="AW428" s="148" t="s">
        <v>33</v>
      </c>
      <c r="AX428" s="148" t="s">
        <v>80</v>
      </c>
      <c r="AY428" s="150" t="s">
        <v>337</v>
      </c>
    </row>
    <row r="429" spans="2:65" s="148" customFormat="1" x14ac:dyDescent="0.2">
      <c r="B429" s="149"/>
      <c r="D429" s="143" t="s">
        <v>346</v>
      </c>
      <c r="E429" s="150"/>
      <c r="F429" s="151" t="s">
        <v>4026</v>
      </c>
      <c r="H429" s="152">
        <v>512.97</v>
      </c>
      <c r="L429" s="149"/>
      <c r="M429" s="153"/>
      <c r="T429" s="154"/>
      <c r="AT429" s="150" t="s">
        <v>346</v>
      </c>
      <c r="AU429" s="150" t="s">
        <v>90</v>
      </c>
      <c r="AV429" s="148" t="s">
        <v>90</v>
      </c>
      <c r="AW429" s="148" t="s">
        <v>33</v>
      </c>
      <c r="AX429" s="148" t="s">
        <v>80</v>
      </c>
      <c r="AY429" s="150" t="s">
        <v>337</v>
      </c>
    </row>
    <row r="430" spans="2:65" s="148" customFormat="1" x14ac:dyDescent="0.2">
      <c r="B430" s="149"/>
      <c r="D430" s="143" t="s">
        <v>346</v>
      </c>
      <c r="E430" s="150"/>
      <c r="F430" s="151" t="s">
        <v>4034</v>
      </c>
      <c r="H430" s="152">
        <v>25.92</v>
      </c>
      <c r="L430" s="149"/>
      <c r="M430" s="153"/>
      <c r="T430" s="154"/>
      <c r="AT430" s="150" t="s">
        <v>346</v>
      </c>
      <c r="AU430" s="150" t="s">
        <v>90</v>
      </c>
      <c r="AV430" s="148" t="s">
        <v>90</v>
      </c>
      <c r="AW430" s="148" t="s">
        <v>33</v>
      </c>
      <c r="AX430" s="148" t="s">
        <v>80</v>
      </c>
      <c r="AY430" s="150" t="s">
        <v>337</v>
      </c>
    </row>
    <row r="431" spans="2:65" s="148" customFormat="1" x14ac:dyDescent="0.2">
      <c r="B431" s="149"/>
      <c r="D431" s="143" t="s">
        <v>346</v>
      </c>
      <c r="E431" s="150"/>
      <c r="F431" s="151" t="s">
        <v>261</v>
      </c>
      <c r="H431" s="152">
        <v>140.36799999999999</v>
      </c>
      <c r="L431" s="149"/>
      <c r="M431" s="153"/>
      <c r="T431" s="154"/>
      <c r="AT431" s="150" t="s">
        <v>346</v>
      </c>
      <c r="AU431" s="150" t="s">
        <v>90</v>
      </c>
      <c r="AV431" s="148" t="s">
        <v>90</v>
      </c>
      <c r="AW431" s="148" t="s">
        <v>33</v>
      </c>
      <c r="AX431" s="148" t="s">
        <v>80</v>
      </c>
      <c r="AY431" s="150" t="s">
        <v>337</v>
      </c>
    </row>
    <row r="432" spans="2:65" s="155" customFormat="1" x14ac:dyDescent="0.2">
      <c r="B432" s="156"/>
      <c r="D432" s="143" t="s">
        <v>346</v>
      </c>
      <c r="E432" s="157"/>
      <c r="F432" s="158" t="s">
        <v>351</v>
      </c>
      <c r="H432" s="159">
        <v>978.38800000000003</v>
      </c>
      <c r="L432" s="156"/>
      <c r="M432" s="160"/>
      <c r="T432" s="161"/>
      <c r="AT432" s="157" t="s">
        <v>346</v>
      </c>
      <c r="AU432" s="157" t="s">
        <v>90</v>
      </c>
      <c r="AV432" s="155" t="s">
        <v>344</v>
      </c>
      <c r="AW432" s="155" t="s">
        <v>33</v>
      </c>
      <c r="AX432" s="155" t="s">
        <v>87</v>
      </c>
      <c r="AY432" s="157" t="s">
        <v>337</v>
      </c>
    </row>
    <row r="433" spans="2:65" s="16" customFormat="1" ht="16.5" customHeight="1" x14ac:dyDescent="0.2">
      <c r="B433" s="17"/>
      <c r="C433" s="162">
        <v>33</v>
      </c>
      <c r="D433" s="162" t="s">
        <v>519</v>
      </c>
      <c r="E433" s="163" t="s">
        <v>4255</v>
      </c>
      <c r="F433" s="164" t="s">
        <v>4256</v>
      </c>
      <c r="G433" s="165" t="s">
        <v>342</v>
      </c>
      <c r="H433" s="166">
        <v>222.042</v>
      </c>
      <c r="I433" s="167"/>
      <c r="J433" s="168">
        <f>ROUND(I433*H433,2)</f>
        <v>0</v>
      </c>
      <c r="K433" s="164" t="s">
        <v>343</v>
      </c>
      <c r="L433" s="169"/>
      <c r="M433" s="170"/>
      <c r="N433" s="171" t="s">
        <v>45</v>
      </c>
      <c r="P433" s="137">
        <f>O433*H433</f>
        <v>0</v>
      </c>
      <c r="Q433" s="137">
        <v>0.03</v>
      </c>
      <c r="R433" s="137">
        <f>Q433*H433</f>
        <v>6.6612599999999995</v>
      </c>
      <c r="S433" s="137">
        <v>0</v>
      </c>
      <c r="T433" s="138">
        <f>S433*H433</f>
        <v>0</v>
      </c>
      <c r="AR433" s="139" t="s">
        <v>621</v>
      </c>
      <c r="AT433" s="139" t="s">
        <v>519</v>
      </c>
      <c r="AU433" s="139" t="s">
        <v>90</v>
      </c>
      <c r="AY433" s="2" t="s">
        <v>337</v>
      </c>
      <c r="BE433" s="140">
        <f>IF(N433="základní",J433,0)</f>
        <v>0</v>
      </c>
      <c r="BF433" s="140">
        <f>IF(N433="snížená",J433,0)</f>
        <v>0</v>
      </c>
      <c r="BG433" s="140">
        <f>IF(N433="zákl. přenesená",J433,0)</f>
        <v>0</v>
      </c>
      <c r="BH433" s="140">
        <f>IF(N433="sníž. přenesená",J433,0)</f>
        <v>0</v>
      </c>
      <c r="BI433" s="140">
        <f>IF(N433="nulová",J433,0)</f>
        <v>0</v>
      </c>
      <c r="BJ433" s="2" t="s">
        <v>87</v>
      </c>
      <c r="BK433" s="140">
        <f>ROUND(I433*H433,2)</f>
        <v>0</v>
      </c>
      <c r="BL433" s="2" t="s">
        <v>496</v>
      </c>
      <c r="BM433" s="139" t="s">
        <v>4257</v>
      </c>
    </row>
    <row r="434" spans="2:65" s="141" customFormat="1" ht="22.5" x14ac:dyDescent="0.2">
      <c r="B434" s="142"/>
      <c r="D434" s="143" t="s">
        <v>346</v>
      </c>
      <c r="E434" s="144"/>
      <c r="F434" s="145" t="s">
        <v>4258</v>
      </c>
      <c r="H434" s="144"/>
      <c r="L434" s="142"/>
      <c r="M434" s="146"/>
      <c r="T434" s="147"/>
      <c r="AT434" s="144" t="s">
        <v>346</v>
      </c>
      <c r="AU434" s="144" t="s">
        <v>90</v>
      </c>
      <c r="AV434" s="141" t="s">
        <v>87</v>
      </c>
      <c r="AW434" s="141" t="s">
        <v>33</v>
      </c>
      <c r="AX434" s="141" t="s">
        <v>80</v>
      </c>
      <c r="AY434" s="144" t="s">
        <v>337</v>
      </c>
    </row>
    <row r="435" spans="2:65" s="141" customFormat="1" x14ac:dyDescent="0.2">
      <c r="B435" s="142"/>
      <c r="D435" s="143" t="s">
        <v>346</v>
      </c>
      <c r="E435" s="144"/>
      <c r="F435" s="145" t="s">
        <v>4259</v>
      </c>
      <c r="H435" s="144"/>
      <c r="L435" s="142"/>
      <c r="M435" s="146"/>
      <c r="T435" s="147"/>
      <c r="AT435" s="144" t="s">
        <v>346</v>
      </c>
      <c r="AU435" s="144" t="s">
        <v>90</v>
      </c>
      <c r="AV435" s="141" t="s">
        <v>87</v>
      </c>
      <c r="AW435" s="141" t="s">
        <v>33</v>
      </c>
      <c r="AX435" s="141" t="s">
        <v>80</v>
      </c>
      <c r="AY435" s="144" t="s">
        <v>337</v>
      </c>
    </row>
    <row r="436" spans="2:65" s="148" customFormat="1" x14ac:dyDescent="0.2">
      <c r="B436" s="149"/>
      <c r="D436" s="143" t="s">
        <v>346</v>
      </c>
      <c r="E436" s="150"/>
      <c r="F436" s="151" t="s">
        <v>4260</v>
      </c>
      <c r="H436" s="152">
        <v>53.98</v>
      </c>
      <c r="L436" s="149"/>
      <c r="M436" s="153"/>
      <c r="T436" s="154"/>
      <c r="AT436" s="150" t="s">
        <v>346</v>
      </c>
      <c r="AU436" s="150" t="s">
        <v>90</v>
      </c>
      <c r="AV436" s="148" t="s">
        <v>90</v>
      </c>
      <c r="AW436" s="148" t="s">
        <v>33</v>
      </c>
      <c r="AX436" s="148" t="s">
        <v>80</v>
      </c>
      <c r="AY436" s="150" t="s">
        <v>337</v>
      </c>
    </row>
    <row r="437" spans="2:65" s="141" customFormat="1" x14ac:dyDescent="0.2">
      <c r="B437" s="142"/>
      <c r="D437" s="143" t="s">
        <v>346</v>
      </c>
      <c r="E437" s="144"/>
      <c r="F437" s="145" t="s">
        <v>4261</v>
      </c>
      <c r="H437" s="144"/>
      <c r="L437" s="142"/>
      <c r="M437" s="146"/>
      <c r="T437" s="147"/>
      <c r="AT437" s="144" t="s">
        <v>346</v>
      </c>
      <c r="AU437" s="144" t="s">
        <v>90</v>
      </c>
      <c r="AV437" s="141" t="s">
        <v>87</v>
      </c>
      <c r="AW437" s="141" t="s">
        <v>33</v>
      </c>
      <c r="AX437" s="141" t="s">
        <v>80</v>
      </c>
      <c r="AY437" s="144" t="s">
        <v>337</v>
      </c>
    </row>
    <row r="438" spans="2:65" s="148" customFormat="1" x14ac:dyDescent="0.2">
      <c r="B438" s="149"/>
      <c r="D438" s="143" t="s">
        <v>346</v>
      </c>
      <c r="E438" s="150"/>
      <c r="F438" s="151" t="s">
        <v>4262</v>
      </c>
      <c r="H438" s="152">
        <v>14.007</v>
      </c>
      <c r="L438" s="149"/>
      <c r="M438" s="153"/>
      <c r="T438" s="154"/>
      <c r="AT438" s="150" t="s">
        <v>346</v>
      </c>
      <c r="AU438" s="150" t="s">
        <v>90</v>
      </c>
      <c r="AV438" s="148" t="s">
        <v>90</v>
      </c>
      <c r="AW438" s="148" t="s">
        <v>33</v>
      </c>
      <c r="AX438" s="148" t="s">
        <v>80</v>
      </c>
      <c r="AY438" s="150" t="s">
        <v>337</v>
      </c>
    </row>
    <row r="439" spans="2:65" s="148" customFormat="1" x14ac:dyDescent="0.2">
      <c r="B439" s="149"/>
      <c r="D439" s="143" t="s">
        <v>346</v>
      </c>
      <c r="E439" s="150"/>
      <c r="F439" s="151" t="s">
        <v>4263</v>
      </c>
      <c r="H439" s="152">
        <v>13.324999999999999</v>
      </c>
      <c r="L439" s="149"/>
      <c r="M439" s="153"/>
      <c r="T439" s="154"/>
      <c r="AT439" s="150" t="s">
        <v>346</v>
      </c>
      <c r="AU439" s="150" t="s">
        <v>90</v>
      </c>
      <c r="AV439" s="148" t="s">
        <v>90</v>
      </c>
      <c r="AW439" s="148" t="s">
        <v>33</v>
      </c>
      <c r="AX439" s="148" t="s">
        <v>80</v>
      </c>
      <c r="AY439" s="150" t="s">
        <v>337</v>
      </c>
    </row>
    <row r="440" spans="2:65" s="148" customFormat="1" x14ac:dyDescent="0.2">
      <c r="B440" s="149"/>
      <c r="D440" s="143" t="s">
        <v>346</v>
      </c>
      <c r="E440" s="150"/>
      <c r="F440" s="151" t="s">
        <v>4264</v>
      </c>
      <c r="H440" s="152">
        <v>115.41800000000001</v>
      </c>
      <c r="L440" s="149"/>
      <c r="M440" s="153"/>
      <c r="T440" s="154"/>
      <c r="AT440" s="150" t="s">
        <v>346</v>
      </c>
      <c r="AU440" s="150" t="s">
        <v>90</v>
      </c>
      <c r="AV440" s="148" t="s">
        <v>90</v>
      </c>
      <c r="AW440" s="148" t="s">
        <v>33</v>
      </c>
      <c r="AX440" s="148" t="s">
        <v>80</v>
      </c>
      <c r="AY440" s="150" t="s">
        <v>337</v>
      </c>
    </row>
    <row r="441" spans="2:65" s="141" customFormat="1" x14ac:dyDescent="0.2">
      <c r="B441" s="142"/>
      <c r="D441" s="143" t="s">
        <v>346</v>
      </c>
      <c r="E441" s="144"/>
      <c r="F441" s="145" t="s">
        <v>4265</v>
      </c>
      <c r="H441" s="144"/>
      <c r="L441" s="142"/>
      <c r="M441" s="146"/>
      <c r="T441" s="147"/>
      <c r="AT441" s="144" t="s">
        <v>346</v>
      </c>
      <c r="AU441" s="144" t="s">
        <v>90</v>
      </c>
      <c r="AV441" s="141" t="s">
        <v>87</v>
      </c>
      <c r="AW441" s="141" t="s">
        <v>33</v>
      </c>
      <c r="AX441" s="141" t="s">
        <v>80</v>
      </c>
      <c r="AY441" s="144" t="s">
        <v>337</v>
      </c>
    </row>
    <row r="442" spans="2:65" s="148" customFormat="1" x14ac:dyDescent="0.2">
      <c r="B442" s="149"/>
      <c r="D442" s="143" t="s">
        <v>346</v>
      </c>
      <c r="E442" s="150"/>
      <c r="F442" s="151" t="s">
        <v>4266</v>
      </c>
      <c r="H442" s="152">
        <v>14.739000000000001</v>
      </c>
      <c r="L442" s="149"/>
      <c r="M442" s="153"/>
      <c r="T442" s="154"/>
      <c r="AT442" s="150" t="s">
        <v>346</v>
      </c>
      <c r="AU442" s="150" t="s">
        <v>90</v>
      </c>
      <c r="AV442" s="148" t="s">
        <v>90</v>
      </c>
      <c r="AW442" s="148" t="s">
        <v>33</v>
      </c>
      <c r="AX442" s="148" t="s">
        <v>80</v>
      </c>
      <c r="AY442" s="150" t="s">
        <v>337</v>
      </c>
    </row>
    <row r="443" spans="2:65" s="155" customFormat="1" x14ac:dyDescent="0.2">
      <c r="B443" s="156"/>
      <c r="D443" s="143" t="s">
        <v>346</v>
      </c>
      <c r="E443" s="157"/>
      <c r="F443" s="158" t="s">
        <v>351</v>
      </c>
      <c r="H443" s="159">
        <v>211.46899999999999</v>
      </c>
      <c r="L443" s="156"/>
      <c r="M443" s="160"/>
      <c r="T443" s="161"/>
      <c r="AT443" s="157" t="s">
        <v>346</v>
      </c>
      <c r="AU443" s="157" t="s">
        <v>90</v>
      </c>
      <c r="AV443" s="155" t="s">
        <v>344</v>
      </c>
      <c r="AW443" s="155" t="s">
        <v>33</v>
      </c>
      <c r="AX443" s="155" t="s">
        <v>87</v>
      </c>
      <c r="AY443" s="157" t="s">
        <v>337</v>
      </c>
    </row>
    <row r="444" spans="2:65" s="148" customFormat="1" x14ac:dyDescent="0.2">
      <c r="B444" s="149"/>
      <c r="D444" s="143" t="s">
        <v>346</v>
      </c>
      <c r="F444" s="151" t="s">
        <v>4267</v>
      </c>
      <c r="H444" s="152">
        <v>222.042</v>
      </c>
      <c r="L444" s="149"/>
      <c r="M444" s="153"/>
      <c r="T444" s="154"/>
      <c r="AT444" s="150" t="s">
        <v>346</v>
      </c>
      <c r="AU444" s="150" t="s">
        <v>90</v>
      </c>
      <c r="AV444" s="148" t="s">
        <v>90</v>
      </c>
      <c r="AW444" s="148" t="s">
        <v>3</v>
      </c>
      <c r="AX444" s="148" t="s">
        <v>87</v>
      </c>
      <c r="AY444" s="150" t="s">
        <v>337</v>
      </c>
    </row>
    <row r="445" spans="2:65" s="16" customFormat="1" ht="24.2" customHeight="1" x14ac:dyDescent="0.2">
      <c r="B445" s="17"/>
      <c r="C445" s="162">
        <v>34</v>
      </c>
      <c r="D445" s="162" t="s">
        <v>519</v>
      </c>
      <c r="E445" s="163" t="s">
        <v>4268</v>
      </c>
      <c r="F445" s="164" t="s">
        <v>4269</v>
      </c>
      <c r="G445" s="165" t="s">
        <v>425</v>
      </c>
      <c r="H445" s="166">
        <v>27.216000000000001</v>
      </c>
      <c r="I445" s="167"/>
      <c r="J445" s="168">
        <f>ROUND(I445*H445,2)</f>
        <v>0</v>
      </c>
      <c r="K445" s="164"/>
      <c r="L445" s="169"/>
      <c r="M445" s="170"/>
      <c r="N445" s="171" t="s">
        <v>45</v>
      </c>
      <c r="P445" s="137">
        <f>O445*H445</f>
        <v>0</v>
      </c>
      <c r="Q445" s="137">
        <v>7.4999999999999997E-3</v>
      </c>
      <c r="R445" s="137">
        <f>Q445*H445</f>
        <v>0.20412</v>
      </c>
      <c r="S445" s="137">
        <v>0</v>
      </c>
      <c r="T445" s="138">
        <f>S445*H445</f>
        <v>0</v>
      </c>
      <c r="AR445" s="139" t="s">
        <v>621</v>
      </c>
      <c r="AT445" s="139" t="s">
        <v>519</v>
      </c>
      <c r="AU445" s="139" t="s">
        <v>90</v>
      </c>
      <c r="AY445" s="2" t="s">
        <v>337</v>
      </c>
      <c r="BE445" s="140">
        <f>IF(N445="základní",J445,0)</f>
        <v>0</v>
      </c>
      <c r="BF445" s="140">
        <f>IF(N445="snížená",J445,0)</f>
        <v>0</v>
      </c>
      <c r="BG445" s="140">
        <f>IF(N445="zákl. přenesená",J445,0)</f>
        <v>0</v>
      </c>
      <c r="BH445" s="140">
        <f>IF(N445="sníž. přenesená",J445,0)</f>
        <v>0</v>
      </c>
      <c r="BI445" s="140">
        <f>IF(N445="nulová",J445,0)</f>
        <v>0</v>
      </c>
      <c r="BJ445" s="2" t="s">
        <v>87</v>
      </c>
      <c r="BK445" s="140">
        <f>ROUND(I445*H445,2)</f>
        <v>0</v>
      </c>
      <c r="BL445" s="2" t="s">
        <v>496</v>
      </c>
      <c r="BM445" s="139" t="s">
        <v>4270</v>
      </c>
    </row>
    <row r="446" spans="2:65" s="148" customFormat="1" x14ac:dyDescent="0.2">
      <c r="B446" s="149"/>
      <c r="D446" s="143" t="s">
        <v>346</v>
      </c>
      <c r="E446" s="150"/>
      <c r="F446" s="151" t="s">
        <v>4034</v>
      </c>
      <c r="H446" s="152">
        <v>25.92</v>
      </c>
      <c r="L446" s="149"/>
      <c r="M446" s="153"/>
      <c r="T446" s="154"/>
      <c r="AT446" s="150" t="s">
        <v>346</v>
      </c>
      <c r="AU446" s="150" t="s">
        <v>90</v>
      </c>
      <c r="AV446" s="148" t="s">
        <v>90</v>
      </c>
      <c r="AW446" s="148" t="s">
        <v>33</v>
      </c>
      <c r="AX446" s="148" t="s">
        <v>87</v>
      </c>
      <c r="AY446" s="150" t="s">
        <v>337</v>
      </c>
    </row>
    <row r="447" spans="2:65" s="148" customFormat="1" x14ac:dyDescent="0.2">
      <c r="B447" s="149"/>
      <c r="D447" s="143" t="s">
        <v>346</v>
      </c>
      <c r="F447" s="151" t="s">
        <v>4271</v>
      </c>
      <c r="H447" s="152">
        <v>27.216000000000001</v>
      </c>
      <c r="L447" s="149"/>
      <c r="M447" s="153"/>
      <c r="T447" s="154"/>
      <c r="AT447" s="150" t="s">
        <v>346</v>
      </c>
      <c r="AU447" s="150" t="s">
        <v>90</v>
      </c>
      <c r="AV447" s="148" t="s">
        <v>90</v>
      </c>
      <c r="AW447" s="148" t="s">
        <v>3</v>
      </c>
      <c r="AX447" s="148" t="s">
        <v>87</v>
      </c>
      <c r="AY447" s="150" t="s">
        <v>337</v>
      </c>
    </row>
    <row r="448" spans="2:65" s="16" customFormat="1" ht="16.5" customHeight="1" x14ac:dyDescent="0.2">
      <c r="B448" s="17"/>
      <c r="C448" s="128">
        <v>35</v>
      </c>
      <c r="D448" s="128" t="s">
        <v>339</v>
      </c>
      <c r="E448" s="129" t="s">
        <v>1094</v>
      </c>
      <c r="F448" s="130" t="s">
        <v>1095</v>
      </c>
      <c r="G448" s="131" t="s">
        <v>990</v>
      </c>
      <c r="H448" s="132">
        <v>14.855</v>
      </c>
      <c r="I448" s="133"/>
      <c r="J448" s="134">
        <f>ROUND(I448*H448,2)</f>
        <v>0</v>
      </c>
      <c r="K448" s="130" t="s">
        <v>343</v>
      </c>
      <c r="L448" s="17"/>
      <c r="M448" s="135"/>
      <c r="N448" s="136" t="s">
        <v>45</v>
      </c>
      <c r="P448" s="137">
        <f>O448*H448</f>
        <v>0</v>
      </c>
      <c r="Q448" s="137">
        <v>0</v>
      </c>
      <c r="R448" s="137">
        <f>Q448*H448</f>
        <v>0</v>
      </c>
      <c r="S448" s="137">
        <v>0</v>
      </c>
      <c r="T448" s="138">
        <f>S448*H448</f>
        <v>0</v>
      </c>
      <c r="AR448" s="139" t="s">
        <v>496</v>
      </c>
      <c r="AT448" s="139" t="s">
        <v>339</v>
      </c>
      <c r="AU448" s="139" t="s">
        <v>90</v>
      </c>
      <c r="AY448" s="2" t="s">
        <v>337</v>
      </c>
      <c r="BE448" s="140">
        <f>IF(N448="základní",J448,0)</f>
        <v>0</v>
      </c>
      <c r="BF448" s="140">
        <f>IF(N448="snížená",J448,0)</f>
        <v>0</v>
      </c>
      <c r="BG448" s="140">
        <f>IF(N448="zákl. přenesená",J448,0)</f>
        <v>0</v>
      </c>
      <c r="BH448" s="140">
        <f>IF(N448="sníž. přenesená",J448,0)</f>
        <v>0</v>
      </c>
      <c r="BI448" s="140">
        <f>IF(N448="nulová",J448,0)</f>
        <v>0</v>
      </c>
      <c r="BJ448" s="2" t="s">
        <v>87</v>
      </c>
      <c r="BK448" s="140">
        <f>ROUND(I448*H448,2)</f>
        <v>0</v>
      </c>
      <c r="BL448" s="2" t="s">
        <v>496</v>
      </c>
      <c r="BM448" s="139" t="s">
        <v>4272</v>
      </c>
    </row>
    <row r="449" spans="2:65" s="116" customFormat="1" ht="22.9" customHeight="1" x14ac:dyDescent="0.2">
      <c r="B449" s="117"/>
      <c r="D449" s="118" t="s">
        <v>79</v>
      </c>
      <c r="E449" s="126" t="s">
        <v>4273</v>
      </c>
      <c r="F449" s="126" t="s">
        <v>4274</v>
      </c>
      <c r="J449" s="127">
        <f>BK449</f>
        <v>0</v>
      </c>
      <c r="L449" s="117"/>
      <c r="M449" s="121"/>
      <c r="P449" s="122">
        <f>SUM(P450:P480)</f>
        <v>0</v>
      </c>
      <c r="R449" s="122">
        <f>SUM(R450:R480)</f>
        <v>22.559585879999997</v>
      </c>
      <c r="T449" s="123">
        <f>SUM(T450:T480)</f>
        <v>0</v>
      </c>
      <c r="AR449" s="118" t="s">
        <v>90</v>
      </c>
      <c r="AT449" s="124" t="s">
        <v>79</v>
      </c>
      <c r="AU449" s="124" t="s">
        <v>87</v>
      </c>
      <c r="AY449" s="118" t="s">
        <v>337</v>
      </c>
      <c r="BK449" s="125">
        <f>SUM(BK450:BK480)</f>
        <v>0</v>
      </c>
    </row>
    <row r="450" spans="2:65" s="16" customFormat="1" ht="24.2" customHeight="1" x14ac:dyDescent="0.2">
      <c r="B450" s="17"/>
      <c r="C450" s="128">
        <v>36</v>
      </c>
      <c r="D450" s="128" t="s">
        <v>339</v>
      </c>
      <c r="E450" s="129" t="s">
        <v>4275</v>
      </c>
      <c r="F450" s="130" t="s">
        <v>4276</v>
      </c>
      <c r="G450" s="131" t="s">
        <v>425</v>
      </c>
      <c r="H450" s="132">
        <v>532.16999999999996</v>
      </c>
      <c r="I450" s="133"/>
      <c r="J450" s="134">
        <f>ROUND(I450*H450,2)</f>
        <v>0</v>
      </c>
      <c r="K450" s="130" t="s">
        <v>343</v>
      </c>
      <c r="L450" s="17"/>
      <c r="M450" s="135"/>
      <c r="N450" s="136" t="s">
        <v>45</v>
      </c>
      <c r="P450" s="137">
        <f>O450*H450</f>
        <v>0</v>
      </c>
      <c r="Q450" s="137">
        <v>3.7929999999999998E-2</v>
      </c>
      <c r="R450" s="137">
        <f>Q450*H450</f>
        <v>20.185208099999997</v>
      </c>
      <c r="S450" s="137">
        <v>0</v>
      </c>
      <c r="T450" s="138">
        <f>S450*H450</f>
        <v>0</v>
      </c>
      <c r="AR450" s="139" t="s">
        <v>496</v>
      </c>
      <c r="AT450" s="139" t="s">
        <v>339</v>
      </c>
      <c r="AU450" s="139" t="s">
        <v>90</v>
      </c>
      <c r="AY450" s="2" t="s">
        <v>337</v>
      </c>
      <c r="BE450" s="140">
        <f>IF(N450="základní",J450,0)</f>
        <v>0</v>
      </c>
      <c r="BF450" s="140">
        <f>IF(N450="snížená",J450,0)</f>
        <v>0</v>
      </c>
      <c r="BG450" s="140">
        <f>IF(N450="zákl. přenesená",J450,0)</f>
        <v>0</v>
      </c>
      <c r="BH450" s="140">
        <f>IF(N450="sníž. přenesená",J450,0)</f>
        <v>0</v>
      </c>
      <c r="BI450" s="140">
        <f>IF(N450="nulová",J450,0)</f>
        <v>0</v>
      </c>
      <c r="BJ450" s="2" t="s">
        <v>87</v>
      </c>
      <c r="BK450" s="140">
        <f>ROUND(I450*H450,2)</f>
        <v>0</v>
      </c>
      <c r="BL450" s="2" t="s">
        <v>496</v>
      </c>
      <c r="BM450" s="139" t="s">
        <v>4277</v>
      </c>
    </row>
    <row r="451" spans="2:65" s="148" customFormat="1" x14ac:dyDescent="0.2">
      <c r="B451" s="149"/>
      <c r="D451" s="143" t="s">
        <v>346</v>
      </c>
      <c r="E451" s="150"/>
      <c r="F451" s="151" t="s">
        <v>4026</v>
      </c>
      <c r="H451" s="152">
        <v>512.97</v>
      </c>
      <c r="L451" s="149"/>
      <c r="M451" s="153"/>
      <c r="T451" s="154"/>
      <c r="AT451" s="150" t="s">
        <v>346</v>
      </c>
      <c r="AU451" s="150" t="s">
        <v>90</v>
      </c>
      <c r="AV451" s="148" t="s">
        <v>90</v>
      </c>
      <c r="AW451" s="148" t="s">
        <v>33</v>
      </c>
      <c r="AX451" s="148" t="s">
        <v>80</v>
      </c>
      <c r="AY451" s="150" t="s">
        <v>337</v>
      </c>
    </row>
    <row r="452" spans="2:65" s="148" customFormat="1" x14ac:dyDescent="0.2">
      <c r="B452" s="149"/>
      <c r="D452" s="143" t="s">
        <v>346</v>
      </c>
      <c r="E452" s="150"/>
      <c r="F452" s="151" t="s">
        <v>4030</v>
      </c>
      <c r="H452" s="152">
        <v>19.2</v>
      </c>
      <c r="L452" s="149"/>
      <c r="M452" s="153"/>
      <c r="T452" s="154"/>
      <c r="AT452" s="150" t="s">
        <v>346</v>
      </c>
      <c r="AU452" s="150" t="s">
        <v>90</v>
      </c>
      <c r="AV452" s="148" t="s">
        <v>90</v>
      </c>
      <c r="AW452" s="148" t="s">
        <v>33</v>
      </c>
      <c r="AX452" s="148" t="s">
        <v>80</v>
      </c>
      <c r="AY452" s="150" t="s">
        <v>337</v>
      </c>
    </row>
    <row r="453" spans="2:65" s="155" customFormat="1" x14ac:dyDescent="0.2">
      <c r="B453" s="156"/>
      <c r="D453" s="143" t="s">
        <v>346</v>
      </c>
      <c r="E453" s="157"/>
      <c r="F453" s="158" t="s">
        <v>351</v>
      </c>
      <c r="H453" s="159">
        <v>532.16999999999996</v>
      </c>
      <c r="L453" s="156"/>
      <c r="M453" s="160"/>
      <c r="T453" s="161"/>
      <c r="AT453" s="157" t="s">
        <v>346</v>
      </c>
      <c r="AU453" s="157" t="s">
        <v>90</v>
      </c>
      <c r="AV453" s="155" t="s">
        <v>344</v>
      </c>
      <c r="AW453" s="155" t="s">
        <v>33</v>
      </c>
      <c r="AX453" s="155" t="s">
        <v>87</v>
      </c>
      <c r="AY453" s="157" t="s">
        <v>337</v>
      </c>
    </row>
    <row r="454" spans="2:65" s="16" customFormat="1" ht="16.5" customHeight="1" x14ac:dyDescent="0.2">
      <c r="B454" s="17"/>
      <c r="C454" s="128">
        <v>37</v>
      </c>
      <c r="D454" s="128" t="s">
        <v>339</v>
      </c>
      <c r="E454" s="129" t="s">
        <v>4278</v>
      </c>
      <c r="F454" s="130" t="s">
        <v>4279</v>
      </c>
      <c r="G454" s="131" t="s">
        <v>425</v>
      </c>
      <c r="H454" s="132">
        <v>143.49799999999999</v>
      </c>
      <c r="I454" s="133"/>
      <c r="J454" s="134">
        <f>ROUND(I454*H454,2)</f>
        <v>0</v>
      </c>
      <c r="K454" s="130" t="s">
        <v>343</v>
      </c>
      <c r="L454" s="17"/>
      <c r="M454" s="135"/>
      <c r="N454" s="136" t="s">
        <v>45</v>
      </c>
      <c r="P454" s="137">
        <f>O454*H454</f>
        <v>0</v>
      </c>
      <c r="Q454" s="137">
        <v>1.396E-2</v>
      </c>
      <c r="R454" s="137">
        <f>Q454*H454</f>
        <v>2.0032320800000001</v>
      </c>
      <c r="S454" s="137">
        <v>0</v>
      </c>
      <c r="T454" s="138">
        <f>S454*H454</f>
        <v>0</v>
      </c>
      <c r="AR454" s="139" t="s">
        <v>496</v>
      </c>
      <c r="AT454" s="139" t="s">
        <v>339</v>
      </c>
      <c r="AU454" s="139" t="s">
        <v>90</v>
      </c>
      <c r="AY454" s="2" t="s">
        <v>337</v>
      </c>
      <c r="BE454" s="140">
        <f>IF(N454="základní",J454,0)</f>
        <v>0</v>
      </c>
      <c r="BF454" s="140">
        <f>IF(N454="snížená",J454,0)</f>
        <v>0</v>
      </c>
      <c r="BG454" s="140">
        <f>IF(N454="zákl. přenesená",J454,0)</f>
        <v>0</v>
      </c>
      <c r="BH454" s="140">
        <f>IF(N454="sníž. přenesená",J454,0)</f>
        <v>0</v>
      </c>
      <c r="BI454" s="140">
        <f>IF(N454="nulová",J454,0)</f>
        <v>0</v>
      </c>
      <c r="BJ454" s="2" t="s">
        <v>87</v>
      </c>
      <c r="BK454" s="140">
        <f>ROUND(I454*H454,2)</f>
        <v>0</v>
      </c>
      <c r="BL454" s="2" t="s">
        <v>496</v>
      </c>
      <c r="BM454" s="139" t="s">
        <v>4280</v>
      </c>
    </row>
    <row r="455" spans="2:65" s="141" customFormat="1" x14ac:dyDescent="0.2">
      <c r="B455" s="142"/>
      <c r="D455" s="143" t="s">
        <v>346</v>
      </c>
      <c r="E455" s="144"/>
      <c r="F455" s="145" t="s">
        <v>4077</v>
      </c>
      <c r="H455" s="144"/>
      <c r="L455" s="142"/>
      <c r="M455" s="146"/>
      <c r="T455" s="147"/>
      <c r="AT455" s="144" t="s">
        <v>346</v>
      </c>
      <c r="AU455" s="144" t="s">
        <v>90</v>
      </c>
      <c r="AV455" s="141" t="s">
        <v>87</v>
      </c>
      <c r="AW455" s="141" t="s">
        <v>33</v>
      </c>
      <c r="AX455" s="141" t="s">
        <v>80</v>
      </c>
      <c r="AY455" s="144" t="s">
        <v>337</v>
      </c>
    </row>
    <row r="456" spans="2:65" s="141" customFormat="1" x14ac:dyDescent="0.2">
      <c r="B456" s="142"/>
      <c r="D456" s="143" t="s">
        <v>346</v>
      </c>
      <c r="E456" s="144"/>
      <c r="F456" s="145" t="s">
        <v>4281</v>
      </c>
      <c r="H456" s="144"/>
      <c r="L456" s="142"/>
      <c r="M456" s="146"/>
      <c r="T456" s="147"/>
      <c r="AT456" s="144" t="s">
        <v>346</v>
      </c>
      <c r="AU456" s="144" t="s">
        <v>90</v>
      </c>
      <c r="AV456" s="141" t="s">
        <v>87</v>
      </c>
      <c r="AW456" s="141" t="s">
        <v>33</v>
      </c>
      <c r="AX456" s="141" t="s">
        <v>80</v>
      </c>
      <c r="AY456" s="144" t="s">
        <v>337</v>
      </c>
    </row>
    <row r="457" spans="2:65" s="141" customFormat="1" x14ac:dyDescent="0.2">
      <c r="B457" s="142"/>
      <c r="D457" s="143" t="s">
        <v>346</v>
      </c>
      <c r="E457" s="144"/>
      <c r="F457" s="145" t="s">
        <v>4212</v>
      </c>
      <c r="H457" s="144"/>
      <c r="L457" s="142"/>
      <c r="M457" s="146"/>
      <c r="T457" s="147"/>
      <c r="AT457" s="144" t="s">
        <v>346</v>
      </c>
      <c r="AU457" s="144" t="s">
        <v>90</v>
      </c>
      <c r="AV457" s="141" t="s">
        <v>87</v>
      </c>
      <c r="AW457" s="141" t="s">
        <v>33</v>
      </c>
      <c r="AX457" s="141" t="s">
        <v>80</v>
      </c>
      <c r="AY457" s="144" t="s">
        <v>337</v>
      </c>
    </row>
    <row r="458" spans="2:65" s="148" customFormat="1" x14ac:dyDescent="0.2">
      <c r="B458" s="149"/>
      <c r="D458" s="143" t="s">
        <v>346</v>
      </c>
      <c r="E458" s="150"/>
      <c r="F458" s="151" t="s">
        <v>4213</v>
      </c>
      <c r="H458" s="152">
        <v>25.5</v>
      </c>
      <c r="L458" s="149"/>
      <c r="M458" s="153"/>
      <c r="T458" s="154"/>
      <c r="AT458" s="150" t="s">
        <v>346</v>
      </c>
      <c r="AU458" s="150" t="s">
        <v>90</v>
      </c>
      <c r="AV458" s="148" t="s">
        <v>90</v>
      </c>
      <c r="AW458" s="148" t="s">
        <v>33</v>
      </c>
      <c r="AX458" s="148" t="s">
        <v>80</v>
      </c>
      <c r="AY458" s="150" t="s">
        <v>337</v>
      </c>
    </row>
    <row r="459" spans="2:65" s="141" customFormat="1" x14ac:dyDescent="0.2">
      <c r="B459" s="142"/>
      <c r="D459" s="143" t="s">
        <v>346</v>
      </c>
      <c r="E459" s="144"/>
      <c r="F459" s="145" t="s">
        <v>4085</v>
      </c>
      <c r="H459" s="144"/>
      <c r="L459" s="142"/>
      <c r="M459" s="146"/>
      <c r="T459" s="147"/>
      <c r="AT459" s="144" t="s">
        <v>346</v>
      </c>
      <c r="AU459" s="144" t="s">
        <v>90</v>
      </c>
      <c r="AV459" s="141" t="s">
        <v>87</v>
      </c>
      <c r="AW459" s="141" t="s">
        <v>33</v>
      </c>
      <c r="AX459" s="141" t="s">
        <v>80</v>
      </c>
      <c r="AY459" s="144" t="s">
        <v>337</v>
      </c>
    </row>
    <row r="460" spans="2:65" s="141" customFormat="1" x14ac:dyDescent="0.2">
      <c r="B460" s="142"/>
      <c r="D460" s="143" t="s">
        <v>346</v>
      </c>
      <c r="E460" s="144"/>
      <c r="F460" s="145" t="s">
        <v>4282</v>
      </c>
      <c r="H460" s="144"/>
      <c r="L460" s="142"/>
      <c r="M460" s="146"/>
      <c r="T460" s="147"/>
      <c r="AT460" s="144" t="s">
        <v>346</v>
      </c>
      <c r="AU460" s="144" t="s">
        <v>90</v>
      </c>
      <c r="AV460" s="141" t="s">
        <v>87</v>
      </c>
      <c r="AW460" s="141" t="s">
        <v>33</v>
      </c>
      <c r="AX460" s="141" t="s">
        <v>80</v>
      </c>
      <c r="AY460" s="144" t="s">
        <v>337</v>
      </c>
    </row>
    <row r="461" spans="2:65" s="148" customFormat="1" x14ac:dyDescent="0.2">
      <c r="B461" s="149"/>
      <c r="D461" s="143" t="s">
        <v>346</v>
      </c>
      <c r="E461" s="150"/>
      <c r="F461" s="151" t="s">
        <v>4214</v>
      </c>
      <c r="H461" s="152">
        <v>19.472999999999999</v>
      </c>
      <c r="L461" s="149"/>
      <c r="M461" s="153"/>
      <c r="T461" s="154"/>
      <c r="AT461" s="150" t="s">
        <v>346</v>
      </c>
      <c r="AU461" s="150" t="s">
        <v>90</v>
      </c>
      <c r="AV461" s="148" t="s">
        <v>90</v>
      </c>
      <c r="AW461" s="148" t="s">
        <v>33</v>
      </c>
      <c r="AX461" s="148" t="s">
        <v>80</v>
      </c>
      <c r="AY461" s="150" t="s">
        <v>337</v>
      </c>
    </row>
    <row r="462" spans="2:65" s="141" customFormat="1" x14ac:dyDescent="0.2">
      <c r="B462" s="142"/>
      <c r="D462" s="143" t="s">
        <v>346</v>
      </c>
      <c r="E462" s="144"/>
      <c r="F462" s="145" t="s">
        <v>4132</v>
      </c>
      <c r="H462" s="144"/>
      <c r="L462" s="142"/>
      <c r="M462" s="146"/>
      <c r="T462" s="147"/>
      <c r="AT462" s="144" t="s">
        <v>346</v>
      </c>
      <c r="AU462" s="144" t="s">
        <v>90</v>
      </c>
      <c r="AV462" s="141" t="s">
        <v>87</v>
      </c>
      <c r="AW462" s="141" t="s">
        <v>33</v>
      </c>
      <c r="AX462" s="141" t="s">
        <v>80</v>
      </c>
      <c r="AY462" s="144" t="s">
        <v>337</v>
      </c>
    </row>
    <row r="463" spans="2:65" s="148" customFormat="1" x14ac:dyDescent="0.2">
      <c r="B463" s="149"/>
      <c r="D463" s="143" t="s">
        <v>346</v>
      </c>
      <c r="E463" s="150"/>
      <c r="F463" s="151" t="s">
        <v>4215</v>
      </c>
      <c r="H463" s="152">
        <v>11.5</v>
      </c>
      <c r="L463" s="149"/>
      <c r="M463" s="153"/>
      <c r="T463" s="154"/>
      <c r="AT463" s="150" t="s">
        <v>346</v>
      </c>
      <c r="AU463" s="150" t="s">
        <v>90</v>
      </c>
      <c r="AV463" s="148" t="s">
        <v>90</v>
      </c>
      <c r="AW463" s="148" t="s">
        <v>33</v>
      </c>
      <c r="AX463" s="148" t="s">
        <v>80</v>
      </c>
      <c r="AY463" s="150" t="s">
        <v>337</v>
      </c>
    </row>
    <row r="464" spans="2:65" s="141" customFormat="1" x14ac:dyDescent="0.2">
      <c r="B464" s="142"/>
      <c r="D464" s="143" t="s">
        <v>346</v>
      </c>
      <c r="E464" s="144"/>
      <c r="F464" s="145" t="s">
        <v>4195</v>
      </c>
      <c r="H464" s="144"/>
      <c r="L464" s="142"/>
      <c r="M464" s="146"/>
      <c r="T464" s="147"/>
      <c r="AT464" s="144" t="s">
        <v>346</v>
      </c>
      <c r="AU464" s="144" t="s">
        <v>90</v>
      </c>
      <c r="AV464" s="141" t="s">
        <v>87</v>
      </c>
      <c r="AW464" s="141" t="s">
        <v>33</v>
      </c>
      <c r="AX464" s="141" t="s">
        <v>80</v>
      </c>
      <c r="AY464" s="144" t="s">
        <v>337</v>
      </c>
    </row>
    <row r="465" spans="2:65" s="148" customFormat="1" x14ac:dyDescent="0.2">
      <c r="B465" s="149"/>
      <c r="D465" s="143" t="s">
        <v>346</v>
      </c>
      <c r="E465" s="150"/>
      <c r="F465" s="151" t="s">
        <v>4216</v>
      </c>
      <c r="H465" s="152">
        <v>45.44</v>
      </c>
      <c r="L465" s="149"/>
      <c r="M465" s="153"/>
      <c r="T465" s="154"/>
      <c r="AT465" s="150" t="s">
        <v>346</v>
      </c>
      <c r="AU465" s="150" t="s">
        <v>90</v>
      </c>
      <c r="AV465" s="148" t="s">
        <v>90</v>
      </c>
      <c r="AW465" s="148" t="s">
        <v>33</v>
      </c>
      <c r="AX465" s="148" t="s">
        <v>80</v>
      </c>
      <c r="AY465" s="150" t="s">
        <v>337</v>
      </c>
    </row>
    <row r="466" spans="2:65" s="141" customFormat="1" x14ac:dyDescent="0.2">
      <c r="B466" s="142"/>
      <c r="D466" s="143" t="s">
        <v>346</v>
      </c>
      <c r="E466" s="144"/>
      <c r="F466" s="145" t="s">
        <v>4283</v>
      </c>
      <c r="H466" s="144"/>
      <c r="L466" s="142"/>
      <c r="M466" s="146"/>
      <c r="T466" s="147"/>
      <c r="AT466" s="144" t="s">
        <v>346</v>
      </c>
      <c r="AU466" s="144" t="s">
        <v>90</v>
      </c>
      <c r="AV466" s="141" t="s">
        <v>87</v>
      </c>
      <c r="AW466" s="141" t="s">
        <v>33</v>
      </c>
      <c r="AX466" s="141" t="s">
        <v>80</v>
      </c>
      <c r="AY466" s="144" t="s">
        <v>337</v>
      </c>
    </row>
    <row r="467" spans="2:65" s="148" customFormat="1" x14ac:dyDescent="0.2">
      <c r="B467" s="149"/>
      <c r="D467" s="143" t="s">
        <v>346</v>
      </c>
      <c r="E467" s="150"/>
      <c r="F467" s="151" t="s">
        <v>4198</v>
      </c>
      <c r="H467" s="152">
        <v>12.56</v>
      </c>
      <c r="L467" s="149"/>
      <c r="M467" s="153"/>
      <c r="T467" s="154"/>
      <c r="AT467" s="150" t="s">
        <v>346</v>
      </c>
      <c r="AU467" s="150" t="s">
        <v>90</v>
      </c>
      <c r="AV467" s="148" t="s">
        <v>90</v>
      </c>
      <c r="AW467" s="148" t="s">
        <v>33</v>
      </c>
      <c r="AX467" s="148" t="s">
        <v>80</v>
      </c>
      <c r="AY467" s="150" t="s">
        <v>337</v>
      </c>
    </row>
    <row r="468" spans="2:65" s="141" customFormat="1" x14ac:dyDescent="0.2">
      <c r="B468" s="142"/>
      <c r="D468" s="143" t="s">
        <v>346</v>
      </c>
      <c r="E468" s="144"/>
      <c r="F468" s="145" t="s">
        <v>4284</v>
      </c>
      <c r="H468" s="144"/>
      <c r="L468" s="142"/>
      <c r="M468" s="146"/>
      <c r="T468" s="147"/>
      <c r="AT468" s="144" t="s">
        <v>346</v>
      </c>
      <c r="AU468" s="144" t="s">
        <v>90</v>
      </c>
      <c r="AV468" s="141" t="s">
        <v>87</v>
      </c>
      <c r="AW468" s="141" t="s">
        <v>33</v>
      </c>
      <c r="AX468" s="141" t="s">
        <v>80</v>
      </c>
      <c r="AY468" s="144" t="s">
        <v>337</v>
      </c>
    </row>
    <row r="469" spans="2:65" s="148" customFormat="1" x14ac:dyDescent="0.2">
      <c r="B469" s="149"/>
      <c r="D469" s="143" t="s">
        <v>346</v>
      </c>
      <c r="E469" s="150"/>
      <c r="F469" s="151" t="s">
        <v>4217</v>
      </c>
      <c r="H469" s="152">
        <v>4</v>
      </c>
      <c r="L469" s="149"/>
      <c r="M469" s="153"/>
      <c r="T469" s="154"/>
      <c r="AT469" s="150" t="s">
        <v>346</v>
      </c>
      <c r="AU469" s="150" t="s">
        <v>90</v>
      </c>
      <c r="AV469" s="148" t="s">
        <v>90</v>
      </c>
      <c r="AW469" s="148" t="s">
        <v>33</v>
      </c>
      <c r="AX469" s="148" t="s">
        <v>80</v>
      </c>
      <c r="AY469" s="150" t="s">
        <v>337</v>
      </c>
    </row>
    <row r="470" spans="2:65" s="141" customFormat="1" x14ac:dyDescent="0.2">
      <c r="B470" s="142"/>
      <c r="D470" s="143" t="s">
        <v>346</v>
      </c>
      <c r="E470" s="144"/>
      <c r="F470" s="145" t="s">
        <v>4285</v>
      </c>
      <c r="H470" s="144"/>
      <c r="L470" s="142"/>
      <c r="M470" s="146"/>
      <c r="T470" s="147"/>
      <c r="AT470" s="144" t="s">
        <v>346</v>
      </c>
      <c r="AU470" s="144" t="s">
        <v>90</v>
      </c>
      <c r="AV470" s="141" t="s">
        <v>87</v>
      </c>
      <c r="AW470" s="141" t="s">
        <v>33</v>
      </c>
      <c r="AX470" s="141" t="s">
        <v>80</v>
      </c>
      <c r="AY470" s="144" t="s">
        <v>337</v>
      </c>
    </row>
    <row r="471" spans="2:65" s="148" customFormat="1" x14ac:dyDescent="0.2">
      <c r="B471" s="149"/>
      <c r="D471" s="143" t="s">
        <v>346</v>
      </c>
      <c r="E471" s="150"/>
      <c r="F471" s="151" t="s">
        <v>4219</v>
      </c>
      <c r="H471" s="152">
        <v>6.4</v>
      </c>
      <c r="L471" s="149"/>
      <c r="M471" s="153"/>
      <c r="T471" s="154"/>
      <c r="AT471" s="150" t="s">
        <v>346</v>
      </c>
      <c r="AU471" s="150" t="s">
        <v>90</v>
      </c>
      <c r="AV471" s="148" t="s">
        <v>90</v>
      </c>
      <c r="AW471" s="148" t="s">
        <v>33</v>
      </c>
      <c r="AX471" s="148" t="s">
        <v>80</v>
      </c>
      <c r="AY471" s="150" t="s">
        <v>337</v>
      </c>
    </row>
    <row r="472" spans="2:65" s="148" customFormat="1" x14ac:dyDescent="0.2">
      <c r="B472" s="149"/>
      <c r="D472" s="143" t="s">
        <v>346</v>
      </c>
      <c r="E472" s="150"/>
      <c r="F472" s="151" t="s">
        <v>4220</v>
      </c>
      <c r="H472" s="152">
        <v>18.625</v>
      </c>
      <c r="L472" s="149"/>
      <c r="M472" s="153"/>
      <c r="T472" s="154"/>
      <c r="AT472" s="150" t="s">
        <v>346</v>
      </c>
      <c r="AU472" s="150" t="s">
        <v>90</v>
      </c>
      <c r="AV472" s="148" t="s">
        <v>90</v>
      </c>
      <c r="AW472" s="148" t="s">
        <v>33</v>
      </c>
      <c r="AX472" s="148" t="s">
        <v>80</v>
      </c>
      <c r="AY472" s="150" t="s">
        <v>337</v>
      </c>
    </row>
    <row r="473" spans="2:65" s="155" customFormat="1" x14ac:dyDescent="0.2">
      <c r="B473" s="156"/>
      <c r="D473" s="143" t="s">
        <v>346</v>
      </c>
      <c r="E473" s="157"/>
      <c r="F473" s="158" t="s">
        <v>351</v>
      </c>
      <c r="H473" s="159">
        <v>143.49799999999999</v>
      </c>
      <c r="L473" s="156"/>
      <c r="M473" s="160"/>
      <c r="T473" s="161"/>
      <c r="AT473" s="157" t="s">
        <v>346</v>
      </c>
      <c r="AU473" s="157" t="s">
        <v>90</v>
      </c>
      <c r="AV473" s="155" t="s">
        <v>344</v>
      </c>
      <c r="AW473" s="155" t="s">
        <v>33</v>
      </c>
      <c r="AX473" s="155" t="s">
        <v>87</v>
      </c>
      <c r="AY473" s="157" t="s">
        <v>337</v>
      </c>
    </row>
    <row r="474" spans="2:65" s="16" customFormat="1" ht="16.5" customHeight="1" x14ac:dyDescent="0.2">
      <c r="B474" s="17"/>
      <c r="C474" s="128">
        <v>38</v>
      </c>
      <c r="D474" s="128" t="s">
        <v>339</v>
      </c>
      <c r="E474" s="129" t="s">
        <v>4286</v>
      </c>
      <c r="F474" s="130" t="s">
        <v>4287</v>
      </c>
      <c r="G474" s="131" t="s">
        <v>342</v>
      </c>
      <c r="H474" s="132">
        <v>15.929</v>
      </c>
      <c r="I474" s="133"/>
      <c r="J474" s="134">
        <f>ROUND(I474*H474,2)</f>
        <v>0</v>
      </c>
      <c r="K474" s="130" t="s">
        <v>343</v>
      </c>
      <c r="L474" s="17"/>
      <c r="M474" s="135"/>
      <c r="N474" s="136" t="s">
        <v>45</v>
      </c>
      <c r="P474" s="137">
        <f>O474*H474</f>
        <v>0</v>
      </c>
      <c r="Q474" s="137">
        <v>2.3300000000000001E-2</v>
      </c>
      <c r="R474" s="137">
        <f>Q474*H474</f>
        <v>0.37114570000000002</v>
      </c>
      <c r="S474" s="137">
        <v>0</v>
      </c>
      <c r="T474" s="138">
        <f>S474*H474</f>
        <v>0</v>
      </c>
      <c r="AR474" s="139" t="s">
        <v>496</v>
      </c>
      <c r="AT474" s="139" t="s">
        <v>339</v>
      </c>
      <c r="AU474" s="139" t="s">
        <v>90</v>
      </c>
      <c r="AY474" s="2" t="s">
        <v>337</v>
      </c>
      <c r="BE474" s="140">
        <f>IF(N474="základní",J474,0)</f>
        <v>0</v>
      </c>
      <c r="BF474" s="140">
        <f>IF(N474="snížená",J474,0)</f>
        <v>0</v>
      </c>
      <c r="BG474" s="140">
        <f>IF(N474="zákl. přenesená",J474,0)</f>
        <v>0</v>
      </c>
      <c r="BH474" s="140">
        <f>IF(N474="sníž. přenesená",J474,0)</f>
        <v>0</v>
      </c>
      <c r="BI474" s="140">
        <f>IF(N474="nulová",J474,0)</f>
        <v>0</v>
      </c>
      <c r="BJ474" s="2" t="s">
        <v>87</v>
      </c>
      <c r="BK474" s="140">
        <f>ROUND(I474*H474,2)</f>
        <v>0</v>
      </c>
      <c r="BL474" s="2" t="s">
        <v>496</v>
      </c>
      <c r="BM474" s="139" t="s">
        <v>4288</v>
      </c>
    </row>
    <row r="475" spans="2:65" s="148" customFormat="1" x14ac:dyDescent="0.2">
      <c r="B475" s="149"/>
      <c r="D475" s="143" t="s">
        <v>346</v>
      </c>
      <c r="E475" s="150"/>
      <c r="F475" s="151" t="s">
        <v>4289</v>
      </c>
      <c r="H475" s="152">
        <v>12.311</v>
      </c>
      <c r="L475" s="149"/>
      <c r="M475" s="153"/>
      <c r="T475" s="154"/>
      <c r="AT475" s="150" t="s">
        <v>346</v>
      </c>
      <c r="AU475" s="150" t="s">
        <v>90</v>
      </c>
      <c r="AV475" s="148" t="s">
        <v>90</v>
      </c>
      <c r="AW475" s="148" t="s">
        <v>33</v>
      </c>
      <c r="AX475" s="148" t="s">
        <v>80</v>
      </c>
      <c r="AY475" s="150" t="s">
        <v>337</v>
      </c>
    </row>
    <row r="476" spans="2:65" s="148" customFormat="1" x14ac:dyDescent="0.2">
      <c r="B476" s="149"/>
      <c r="D476" s="143" t="s">
        <v>346</v>
      </c>
      <c r="E476" s="150"/>
      <c r="F476" s="151" t="s">
        <v>4290</v>
      </c>
      <c r="H476" s="152">
        <v>0.46100000000000002</v>
      </c>
      <c r="L476" s="149"/>
      <c r="M476" s="153"/>
      <c r="T476" s="154"/>
      <c r="AT476" s="150" t="s">
        <v>346</v>
      </c>
      <c r="AU476" s="150" t="s">
        <v>90</v>
      </c>
      <c r="AV476" s="148" t="s">
        <v>90</v>
      </c>
      <c r="AW476" s="148" t="s">
        <v>33</v>
      </c>
      <c r="AX476" s="148" t="s">
        <v>80</v>
      </c>
      <c r="AY476" s="150" t="s">
        <v>337</v>
      </c>
    </row>
    <row r="477" spans="2:65" s="141" customFormat="1" x14ac:dyDescent="0.2">
      <c r="B477" s="142"/>
      <c r="D477" s="143" t="s">
        <v>346</v>
      </c>
      <c r="E477" s="144"/>
      <c r="F477" s="145" t="s">
        <v>4291</v>
      </c>
      <c r="H477" s="144"/>
      <c r="L477" s="142"/>
      <c r="M477" s="146"/>
      <c r="T477" s="147"/>
      <c r="AT477" s="144" t="s">
        <v>346</v>
      </c>
      <c r="AU477" s="144" t="s">
        <v>90</v>
      </c>
      <c r="AV477" s="141" t="s">
        <v>87</v>
      </c>
      <c r="AW477" s="141" t="s">
        <v>33</v>
      </c>
      <c r="AX477" s="141" t="s">
        <v>80</v>
      </c>
      <c r="AY477" s="144" t="s">
        <v>337</v>
      </c>
    </row>
    <row r="478" spans="2:65" s="148" customFormat="1" x14ac:dyDescent="0.2">
      <c r="B478" s="149"/>
      <c r="D478" s="143" t="s">
        <v>346</v>
      </c>
      <c r="E478" s="150"/>
      <c r="F478" s="151" t="s">
        <v>4292</v>
      </c>
      <c r="H478" s="152">
        <v>3.157</v>
      </c>
      <c r="L478" s="149"/>
      <c r="M478" s="153"/>
      <c r="T478" s="154"/>
      <c r="AT478" s="150" t="s">
        <v>346</v>
      </c>
      <c r="AU478" s="150" t="s">
        <v>90</v>
      </c>
      <c r="AV478" s="148" t="s">
        <v>90</v>
      </c>
      <c r="AW478" s="148" t="s">
        <v>33</v>
      </c>
      <c r="AX478" s="148" t="s">
        <v>80</v>
      </c>
      <c r="AY478" s="150" t="s">
        <v>337</v>
      </c>
    </row>
    <row r="479" spans="2:65" s="155" customFormat="1" x14ac:dyDescent="0.2">
      <c r="B479" s="156"/>
      <c r="D479" s="143" t="s">
        <v>346</v>
      </c>
      <c r="E479" s="157"/>
      <c r="F479" s="158" t="s">
        <v>351</v>
      </c>
      <c r="H479" s="159">
        <v>15.929</v>
      </c>
      <c r="L479" s="156"/>
      <c r="M479" s="160"/>
      <c r="T479" s="161"/>
      <c r="AT479" s="157" t="s">
        <v>346</v>
      </c>
      <c r="AU479" s="157" t="s">
        <v>90</v>
      </c>
      <c r="AV479" s="155" t="s">
        <v>344</v>
      </c>
      <c r="AW479" s="155" t="s">
        <v>33</v>
      </c>
      <c r="AX479" s="155" t="s">
        <v>87</v>
      </c>
      <c r="AY479" s="157" t="s">
        <v>337</v>
      </c>
    </row>
    <row r="480" spans="2:65" s="16" customFormat="1" ht="16.5" customHeight="1" x14ac:dyDescent="0.2">
      <c r="B480" s="17"/>
      <c r="C480" s="128">
        <v>39</v>
      </c>
      <c r="D480" s="128" t="s">
        <v>339</v>
      </c>
      <c r="E480" s="129" t="s">
        <v>4293</v>
      </c>
      <c r="F480" s="130" t="s">
        <v>4294</v>
      </c>
      <c r="G480" s="131" t="s">
        <v>990</v>
      </c>
      <c r="H480" s="132">
        <v>22.56</v>
      </c>
      <c r="I480" s="133"/>
      <c r="J480" s="134">
        <f>ROUND(I480*H480,2)</f>
        <v>0</v>
      </c>
      <c r="K480" s="130" t="s">
        <v>343</v>
      </c>
      <c r="L480" s="17"/>
      <c r="M480" s="135"/>
      <c r="N480" s="136" t="s">
        <v>45</v>
      </c>
      <c r="P480" s="137">
        <f>O480*H480</f>
        <v>0</v>
      </c>
      <c r="Q480" s="137">
        <v>0</v>
      </c>
      <c r="R480" s="137">
        <f>Q480*H480</f>
        <v>0</v>
      </c>
      <c r="S480" s="137">
        <v>0</v>
      </c>
      <c r="T480" s="138">
        <f>S480*H480</f>
        <v>0</v>
      </c>
      <c r="AR480" s="139" t="s">
        <v>496</v>
      </c>
      <c r="AT480" s="139" t="s">
        <v>339</v>
      </c>
      <c r="AU480" s="139" t="s">
        <v>90</v>
      </c>
      <c r="AY480" s="2" t="s">
        <v>337</v>
      </c>
      <c r="BE480" s="140">
        <f>IF(N480="základní",J480,0)</f>
        <v>0</v>
      </c>
      <c r="BF480" s="140">
        <f>IF(N480="snížená",J480,0)</f>
        <v>0</v>
      </c>
      <c r="BG480" s="140">
        <f>IF(N480="zákl. přenesená",J480,0)</f>
        <v>0</v>
      </c>
      <c r="BH480" s="140">
        <f>IF(N480="sníž. přenesená",J480,0)</f>
        <v>0</v>
      </c>
      <c r="BI480" s="140">
        <f>IF(N480="nulová",J480,0)</f>
        <v>0</v>
      </c>
      <c r="BJ480" s="2" t="s">
        <v>87</v>
      </c>
      <c r="BK480" s="140">
        <f>ROUND(I480*H480,2)</f>
        <v>0</v>
      </c>
      <c r="BL480" s="2" t="s">
        <v>496</v>
      </c>
      <c r="BM480" s="139" t="s">
        <v>4295</v>
      </c>
    </row>
    <row r="481" spans="2:65" s="116" customFormat="1" ht="22.9" customHeight="1" x14ac:dyDescent="0.2">
      <c r="B481" s="117"/>
      <c r="D481" s="118" t="s">
        <v>79</v>
      </c>
      <c r="E481" s="126" t="s">
        <v>4296</v>
      </c>
      <c r="F481" s="126" t="s">
        <v>4297</v>
      </c>
      <c r="J481" s="127">
        <f>BK481</f>
        <v>0</v>
      </c>
      <c r="L481" s="117"/>
      <c r="M481" s="121"/>
      <c r="P481" s="122">
        <f>SUM(P482:P491)</f>
        <v>0</v>
      </c>
      <c r="R481" s="122">
        <f>SUM(R482:R491)</f>
        <v>3.2000000000000003E-4</v>
      </c>
      <c r="T481" s="123">
        <f>SUM(T482:T491)</f>
        <v>0</v>
      </c>
      <c r="AR481" s="118" t="s">
        <v>90</v>
      </c>
      <c r="AT481" s="124" t="s">
        <v>79</v>
      </c>
      <c r="AU481" s="124" t="s">
        <v>87</v>
      </c>
      <c r="AY481" s="118" t="s">
        <v>337</v>
      </c>
      <c r="BK481" s="125">
        <f>SUM(BK482:BK491)</f>
        <v>0</v>
      </c>
    </row>
    <row r="482" spans="2:65" s="16" customFormat="1" ht="16.5" customHeight="1" x14ac:dyDescent="0.2">
      <c r="B482" s="17"/>
      <c r="C482" s="128">
        <v>40</v>
      </c>
      <c r="D482" s="128" t="s">
        <v>339</v>
      </c>
      <c r="E482" s="129" t="s">
        <v>4298</v>
      </c>
      <c r="F482" s="130" t="s">
        <v>4299</v>
      </c>
      <c r="G482" s="131" t="s">
        <v>449</v>
      </c>
      <c r="H482" s="132">
        <v>21</v>
      </c>
      <c r="I482" s="133"/>
      <c r="J482" s="134">
        <f>ROUND(I482*H482,2)</f>
        <v>0</v>
      </c>
      <c r="K482" s="130"/>
      <c r="L482" s="17"/>
      <c r="M482" s="135"/>
      <c r="N482" s="136" t="s">
        <v>45</v>
      </c>
      <c r="P482" s="137">
        <f>O482*H482</f>
        <v>0</v>
      </c>
      <c r="Q482" s="137">
        <v>1.0000000000000001E-5</v>
      </c>
      <c r="R482" s="137">
        <f>Q482*H482</f>
        <v>2.1000000000000001E-4</v>
      </c>
      <c r="S482" s="137">
        <v>0</v>
      </c>
      <c r="T482" s="138">
        <f>S482*H482</f>
        <v>0</v>
      </c>
      <c r="AR482" s="139" t="s">
        <v>496</v>
      </c>
      <c r="AT482" s="139" t="s">
        <v>339</v>
      </c>
      <c r="AU482" s="139" t="s">
        <v>90</v>
      </c>
      <c r="AY482" s="2" t="s">
        <v>337</v>
      </c>
      <c r="BE482" s="140">
        <f>IF(N482="základní",J482,0)</f>
        <v>0</v>
      </c>
      <c r="BF482" s="140">
        <f>IF(N482="snížená",J482,0)</f>
        <v>0</v>
      </c>
      <c r="BG482" s="140">
        <f>IF(N482="zákl. přenesená",J482,0)</f>
        <v>0</v>
      </c>
      <c r="BH482" s="140">
        <f>IF(N482="sníž. přenesená",J482,0)</f>
        <v>0</v>
      </c>
      <c r="BI482" s="140">
        <f>IF(N482="nulová",J482,0)</f>
        <v>0</v>
      </c>
      <c r="BJ482" s="2" t="s">
        <v>87</v>
      </c>
      <c r="BK482" s="140">
        <f>ROUND(I482*H482,2)</f>
        <v>0</v>
      </c>
      <c r="BL482" s="2" t="s">
        <v>496</v>
      </c>
      <c r="BM482" s="139" t="s">
        <v>4300</v>
      </c>
    </row>
    <row r="483" spans="2:65" s="141" customFormat="1" x14ac:dyDescent="0.2">
      <c r="B483" s="142"/>
      <c r="D483" s="143" t="s">
        <v>346</v>
      </c>
      <c r="E483" s="144"/>
      <c r="F483" s="145" t="s">
        <v>4301</v>
      </c>
      <c r="H483" s="144"/>
      <c r="L483" s="142"/>
      <c r="M483" s="146"/>
      <c r="T483" s="147"/>
      <c r="AT483" s="144" t="s">
        <v>346</v>
      </c>
      <c r="AU483" s="144" t="s">
        <v>90</v>
      </c>
      <c r="AV483" s="141" t="s">
        <v>87</v>
      </c>
      <c r="AW483" s="141" t="s">
        <v>33</v>
      </c>
      <c r="AX483" s="141" t="s">
        <v>80</v>
      </c>
      <c r="AY483" s="144" t="s">
        <v>337</v>
      </c>
    </row>
    <row r="484" spans="2:65" s="141" customFormat="1" ht="22.5" x14ac:dyDescent="0.2">
      <c r="B484" s="142"/>
      <c r="D484" s="143" t="s">
        <v>346</v>
      </c>
      <c r="E484" s="144"/>
      <c r="F484" s="145" t="s">
        <v>4302</v>
      </c>
      <c r="H484" s="144"/>
      <c r="L484" s="142"/>
      <c r="M484" s="146"/>
      <c r="T484" s="147"/>
      <c r="AT484" s="144" t="s">
        <v>346</v>
      </c>
      <c r="AU484" s="144" t="s">
        <v>90</v>
      </c>
      <c r="AV484" s="141" t="s">
        <v>87</v>
      </c>
      <c r="AW484" s="141" t="s">
        <v>33</v>
      </c>
      <c r="AX484" s="141" t="s">
        <v>80</v>
      </c>
      <c r="AY484" s="144" t="s">
        <v>337</v>
      </c>
    </row>
    <row r="485" spans="2:65" s="141" customFormat="1" x14ac:dyDescent="0.2">
      <c r="B485" s="142"/>
      <c r="D485" s="143" t="s">
        <v>346</v>
      </c>
      <c r="E485" s="144"/>
      <c r="F485" s="145" t="s">
        <v>4303</v>
      </c>
      <c r="H485" s="144"/>
      <c r="L485" s="142"/>
      <c r="M485" s="146"/>
      <c r="T485" s="147"/>
      <c r="AT485" s="144" t="s">
        <v>346</v>
      </c>
      <c r="AU485" s="144" t="s">
        <v>90</v>
      </c>
      <c r="AV485" s="141" t="s">
        <v>87</v>
      </c>
      <c r="AW485" s="141" t="s">
        <v>33</v>
      </c>
      <c r="AX485" s="141" t="s">
        <v>80</v>
      </c>
      <c r="AY485" s="144" t="s">
        <v>337</v>
      </c>
    </row>
    <row r="486" spans="2:65" s="148" customFormat="1" x14ac:dyDescent="0.2">
      <c r="B486" s="149"/>
      <c r="D486" s="143" t="s">
        <v>346</v>
      </c>
      <c r="E486" s="150"/>
      <c r="F486" s="151" t="s">
        <v>6</v>
      </c>
      <c r="H486" s="152">
        <v>21</v>
      </c>
      <c r="L486" s="149"/>
      <c r="M486" s="153"/>
      <c r="T486" s="154"/>
      <c r="AT486" s="150" t="s">
        <v>346</v>
      </c>
      <c r="AU486" s="150" t="s">
        <v>90</v>
      </c>
      <c r="AV486" s="148" t="s">
        <v>90</v>
      </c>
      <c r="AW486" s="148" t="s">
        <v>33</v>
      </c>
      <c r="AX486" s="148" t="s">
        <v>87</v>
      </c>
      <c r="AY486" s="150" t="s">
        <v>337</v>
      </c>
    </row>
    <row r="487" spans="2:65" s="16" customFormat="1" ht="21.75" customHeight="1" x14ac:dyDescent="0.2">
      <c r="B487" s="17"/>
      <c r="C487" s="128">
        <v>41</v>
      </c>
      <c r="D487" s="128" t="s">
        <v>339</v>
      </c>
      <c r="E487" s="129" t="s">
        <v>4304</v>
      </c>
      <c r="F487" s="130" t="s">
        <v>4305</v>
      </c>
      <c r="G487" s="131" t="s">
        <v>449</v>
      </c>
      <c r="H487" s="132">
        <v>11</v>
      </c>
      <c r="I487" s="133"/>
      <c r="J487" s="134">
        <f>ROUND(I487*H487,2)</f>
        <v>0</v>
      </c>
      <c r="K487" s="130"/>
      <c r="L487" s="17"/>
      <c r="M487" s="135"/>
      <c r="N487" s="136" t="s">
        <v>45</v>
      </c>
      <c r="P487" s="137">
        <f>O487*H487</f>
        <v>0</v>
      </c>
      <c r="Q487" s="137">
        <v>1.0000000000000001E-5</v>
      </c>
      <c r="R487" s="137">
        <f>Q487*H487</f>
        <v>1.1E-4</v>
      </c>
      <c r="S487" s="137">
        <v>0</v>
      </c>
      <c r="T487" s="138">
        <f>S487*H487</f>
        <v>0</v>
      </c>
      <c r="AR487" s="139" t="s">
        <v>496</v>
      </c>
      <c r="AT487" s="139" t="s">
        <v>339</v>
      </c>
      <c r="AU487" s="139" t="s">
        <v>90</v>
      </c>
      <c r="AY487" s="2" t="s">
        <v>337</v>
      </c>
      <c r="BE487" s="140">
        <f>IF(N487="základní",J487,0)</f>
        <v>0</v>
      </c>
      <c r="BF487" s="140">
        <f>IF(N487="snížená",J487,0)</f>
        <v>0</v>
      </c>
      <c r="BG487" s="140">
        <f>IF(N487="zákl. přenesená",J487,0)</f>
        <v>0</v>
      </c>
      <c r="BH487" s="140">
        <f>IF(N487="sníž. přenesená",J487,0)</f>
        <v>0</v>
      </c>
      <c r="BI487" s="140">
        <f>IF(N487="nulová",J487,0)</f>
        <v>0</v>
      </c>
      <c r="BJ487" s="2" t="s">
        <v>87</v>
      </c>
      <c r="BK487" s="140">
        <f>ROUND(I487*H487,2)</f>
        <v>0</v>
      </c>
      <c r="BL487" s="2" t="s">
        <v>496</v>
      </c>
      <c r="BM487" s="139" t="s">
        <v>4306</v>
      </c>
    </row>
    <row r="488" spans="2:65" s="141" customFormat="1" x14ac:dyDescent="0.2">
      <c r="B488" s="142"/>
      <c r="D488" s="143" t="s">
        <v>346</v>
      </c>
      <c r="E488" s="144"/>
      <c r="F488" s="145" t="s">
        <v>4307</v>
      </c>
      <c r="H488" s="144"/>
      <c r="L488" s="142"/>
      <c r="M488" s="146"/>
      <c r="T488" s="147"/>
      <c r="AT488" s="144" t="s">
        <v>346</v>
      </c>
      <c r="AU488" s="144" t="s">
        <v>90</v>
      </c>
      <c r="AV488" s="141" t="s">
        <v>87</v>
      </c>
      <c r="AW488" s="141" t="s">
        <v>33</v>
      </c>
      <c r="AX488" s="141" t="s">
        <v>80</v>
      </c>
      <c r="AY488" s="144" t="s">
        <v>337</v>
      </c>
    </row>
    <row r="489" spans="2:65" s="148" customFormat="1" x14ac:dyDescent="0.2">
      <c r="B489" s="149"/>
      <c r="D489" s="143" t="s">
        <v>346</v>
      </c>
      <c r="E489" s="150"/>
      <c r="F489" s="151" t="s">
        <v>462</v>
      </c>
      <c r="H489" s="152">
        <v>11</v>
      </c>
      <c r="L489" s="149"/>
      <c r="M489" s="153"/>
      <c r="T489" s="154"/>
      <c r="AT489" s="150" t="s">
        <v>346</v>
      </c>
      <c r="AU489" s="150" t="s">
        <v>90</v>
      </c>
      <c r="AV489" s="148" t="s">
        <v>90</v>
      </c>
      <c r="AW489" s="148" t="s">
        <v>33</v>
      </c>
      <c r="AX489" s="148" t="s">
        <v>87</v>
      </c>
      <c r="AY489" s="150" t="s">
        <v>337</v>
      </c>
    </row>
    <row r="490" spans="2:65" s="16" customFormat="1" ht="24.2" customHeight="1" x14ac:dyDescent="0.2">
      <c r="B490" s="17"/>
      <c r="C490" s="128">
        <v>42</v>
      </c>
      <c r="D490" s="128" t="s">
        <v>339</v>
      </c>
      <c r="E490" s="129" t="s">
        <v>4308</v>
      </c>
      <c r="F490" s="130" t="s">
        <v>4309</v>
      </c>
      <c r="G490" s="131" t="s">
        <v>724</v>
      </c>
      <c r="H490" s="132">
        <v>47</v>
      </c>
      <c r="I490" s="133"/>
      <c r="J490" s="134">
        <f>ROUND(I490*H490,2)</f>
        <v>0</v>
      </c>
      <c r="K490" s="130"/>
      <c r="L490" s="17"/>
      <c r="M490" s="135"/>
      <c r="N490" s="136" t="s">
        <v>45</v>
      </c>
      <c r="P490" s="137">
        <f>O490*H490</f>
        <v>0</v>
      </c>
      <c r="Q490" s="137">
        <v>0</v>
      </c>
      <c r="R490" s="137">
        <f>Q490*H490</f>
        <v>0</v>
      </c>
      <c r="S490" s="137">
        <v>0</v>
      </c>
      <c r="T490" s="138">
        <f>S490*H490</f>
        <v>0</v>
      </c>
      <c r="AR490" s="139" t="s">
        <v>496</v>
      </c>
      <c r="AT490" s="139" t="s">
        <v>339</v>
      </c>
      <c r="AU490" s="139" t="s">
        <v>90</v>
      </c>
      <c r="AY490" s="2" t="s">
        <v>337</v>
      </c>
      <c r="BE490" s="140">
        <f>IF(N490="základní",J490,0)</f>
        <v>0</v>
      </c>
      <c r="BF490" s="140">
        <f>IF(N490="snížená",J490,0)</f>
        <v>0</v>
      </c>
      <c r="BG490" s="140">
        <f>IF(N490="zákl. přenesená",J490,0)</f>
        <v>0</v>
      </c>
      <c r="BH490" s="140">
        <f>IF(N490="sníž. přenesená",J490,0)</f>
        <v>0</v>
      </c>
      <c r="BI490" s="140">
        <f>IF(N490="nulová",J490,0)</f>
        <v>0</v>
      </c>
      <c r="BJ490" s="2" t="s">
        <v>87</v>
      </c>
      <c r="BK490" s="140">
        <f>ROUND(I490*H490,2)</f>
        <v>0</v>
      </c>
      <c r="BL490" s="2" t="s">
        <v>496</v>
      </c>
      <c r="BM490" s="139" t="s">
        <v>4310</v>
      </c>
    </row>
    <row r="491" spans="2:65" s="16" customFormat="1" ht="16.5" customHeight="1" x14ac:dyDescent="0.2">
      <c r="B491" s="17"/>
      <c r="C491" s="128">
        <v>43</v>
      </c>
      <c r="D491" s="128" t="s">
        <v>339</v>
      </c>
      <c r="E491" s="129" t="s">
        <v>4311</v>
      </c>
      <c r="F491" s="130" t="s">
        <v>4312</v>
      </c>
      <c r="G491" s="131" t="s">
        <v>449</v>
      </c>
      <c r="H491" s="132">
        <v>1</v>
      </c>
      <c r="I491" s="133"/>
      <c r="J491" s="134">
        <f>ROUND(I491*H491,2)</f>
        <v>0</v>
      </c>
      <c r="K491" s="130"/>
      <c r="L491" s="17"/>
      <c r="M491" s="135"/>
      <c r="N491" s="136" t="s">
        <v>45</v>
      </c>
      <c r="P491" s="137">
        <f>O491*H491</f>
        <v>0</v>
      </c>
      <c r="Q491" s="137">
        <v>0</v>
      </c>
      <c r="R491" s="137">
        <f>Q491*H491</f>
        <v>0</v>
      </c>
      <c r="S491" s="137">
        <v>0</v>
      </c>
      <c r="T491" s="138">
        <f>S491*H491</f>
        <v>0</v>
      </c>
      <c r="AR491" s="139" t="s">
        <v>496</v>
      </c>
      <c r="AT491" s="139" t="s">
        <v>339</v>
      </c>
      <c r="AU491" s="139" t="s">
        <v>90</v>
      </c>
      <c r="AY491" s="2" t="s">
        <v>337</v>
      </c>
      <c r="BE491" s="140">
        <f>IF(N491="základní",J491,0)</f>
        <v>0</v>
      </c>
      <c r="BF491" s="140">
        <f>IF(N491="snížená",J491,0)</f>
        <v>0</v>
      </c>
      <c r="BG491" s="140">
        <f>IF(N491="zákl. přenesená",J491,0)</f>
        <v>0</v>
      </c>
      <c r="BH491" s="140">
        <f>IF(N491="sníž. přenesená",J491,0)</f>
        <v>0</v>
      </c>
      <c r="BI491" s="140">
        <f>IF(N491="nulová",J491,0)</f>
        <v>0</v>
      </c>
      <c r="BJ491" s="2" t="s">
        <v>87</v>
      </c>
      <c r="BK491" s="140">
        <f>ROUND(I491*H491,2)</f>
        <v>0</v>
      </c>
      <c r="BL491" s="2" t="s">
        <v>496</v>
      </c>
      <c r="BM491" s="139" t="s">
        <v>4313</v>
      </c>
    </row>
    <row r="492" spans="2:65" s="116" customFormat="1" ht="22.9" customHeight="1" x14ac:dyDescent="0.2">
      <c r="B492" s="117"/>
      <c r="D492" s="118" t="s">
        <v>79</v>
      </c>
      <c r="E492" s="126" t="s">
        <v>1539</v>
      </c>
      <c r="F492" s="126" t="s">
        <v>1540</v>
      </c>
      <c r="J492" s="127">
        <f>BK492</f>
        <v>0</v>
      </c>
      <c r="L492" s="117"/>
      <c r="M492" s="121"/>
      <c r="P492" s="122">
        <f>SUM(P493:P591)</f>
        <v>0</v>
      </c>
      <c r="R492" s="122">
        <f>SUM(R493:R591)</f>
        <v>10.796229879999999</v>
      </c>
      <c r="T492" s="123">
        <f>SUM(T493:T591)</f>
        <v>0</v>
      </c>
      <c r="AR492" s="118" t="s">
        <v>90</v>
      </c>
      <c r="AT492" s="124" t="s">
        <v>79</v>
      </c>
      <c r="AU492" s="124" t="s">
        <v>87</v>
      </c>
      <c r="AY492" s="118" t="s">
        <v>337</v>
      </c>
      <c r="BK492" s="125">
        <f>SUM(BK493:BK591)</f>
        <v>0</v>
      </c>
    </row>
    <row r="493" spans="2:65" s="16" customFormat="1" ht="16.5" customHeight="1" x14ac:dyDescent="0.2">
      <c r="B493" s="17"/>
      <c r="C493" s="128">
        <v>44</v>
      </c>
      <c r="D493" s="128" t="s">
        <v>339</v>
      </c>
      <c r="E493" s="129" t="s">
        <v>1548</v>
      </c>
      <c r="F493" s="130" t="s">
        <v>1549</v>
      </c>
      <c r="G493" s="131" t="s">
        <v>425</v>
      </c>
      <c r="H493" s="132">
        <v>43.719000000000001</v>
      </c>
      <c r="I493" s="133"/>
      <c r="J493" s="134">
        <f>ROUND(I493*H493,2)</f>
        <v>0</v>
      </c>
      <c r="K493" s="130" t="s">
        <v>343</v>
      </c>
      <c r="L493" s="17"/>
      <c r="M493" s="135"/>
      <c r="N493" s="136" t="s">
        <v>45</v>
      </c>
      <c r="P493" s="137">
        <f>O493*H493</f>
        <v>0</v>
      </c>
      <c r="Q493" s="137">
        <v>2.9999999999999997E-4</v>
      </c>
      <c r="R493" s="137">
        <f>Q493*H493</f>
        <v>1.3115699999999999E-2</v>
      </c>
      <c r="S493" s="137">
        <v>0</v>
      </c>
      <c r="T493" s="138">
        <f>S493*H493</f>
        <v>0</v>
      </c>
      <c r="AR493" s="139" t="s">
        <v>496</v>
      </c>
      <c r="AT493" s="139" t="s">
        <v>339</v>
      </c>
      <c r="AU493" s="139" t="s">
        <v>90</v>
      </c>
      <c r="AY493" s="2" t="s">
        <v>337</v>
      </c>
      <c r="BE493" s="140">
        <f>IF(N493="základní",J493,0)</f>
        <v>0</v>
      </c>
      <c r="BF493" s="140">
        <f>IF(N493="snížená",J493,0)</f>
        <v>0</v>
      </c>
      <c r="BG493" s="140">
        <f>IF(N493="zákl. přenesená",J493,0)</f>
        <v>0</v>
      </c>
      <c r="BH493" s="140">
        <f>IF(N493="sníž. přenesená",J493,0)</f>
        <v>0</v>
      </c>
      <c r="BI493" s="140">
        <f>IF(N493="nulová",J493,0)</f>
        <v>0</v>
      </c>
      <c r="BJ493" s="2" t="s">
        <v>87</v>
      </c>
      <c r="BK493" s="140">
        <f>ROUND(I493*H493,2)</f>
        <v>0</v>
      </c>
      <c r="BL493" s="2" t="s">
        <v>496</v>
      </c>
      <c r="BM493" s="139" t="s">
        <v>4314</v>
      </c>
    </row>
    <row r="494" spans="2:65" s="148" customFormat="1" x14ac:dyDescent="0.2">
      <c r="B494" s="149"/>
      <c r="D494" s="143" t="s">
        <v>346</v>
      </c>
      <c r="E494" s="150"/>
      <c r="F494" s="151" t="s">
        <v>4315</v>
      </c>
      <c r="H494" s="152">
        <v>31.643000000000001</v>
      </c>
      <c r="L494" s="149"/>
      <c r="M494" s="153"/>
      <c r="T494" s="154"/>
      <c r="AT494" s="150" t="s">
        <v>346</v>
      </c>
      <c r="AU494" s="150" t="s">
        <v>90</v>
      </c>
      <c r="AV494" s="148" t="s">
        <v>90</v>
      </c>
      <c r="AW494" s="148" t="s">
        <v>33</v>
      </c>
      <c r="AX494" s="148" t="s">
        <v>80</v>
      </c>
      <c r="AY494" s="150" t="s">
        <v>337</v>
      </c>
    </row>
    <row r="495" spans="2:65" s="148" customFormat="1" x14ac:dyDescent="0.2">
      <c r="B495" s="149"/>
      <c r="D495" s="143" t="s">
        <v>346</v>
      </c>
      <c r="E495" s="150"/>
      <c r="F495" s="151" t="s">
        <v>4316</v>
      </c>
      <c r="H495" s="152">
        <v>4.8760000000000003</v>
      </c>
      <c r="L495" s="149"/>
      <c r="M495" s="153"/>
      <c r="T495" s="154"/>
      <c r="AT495" s="150" t="s">
        <v>346</v>
      </c>
      <c r="AU495" s="150" t="s">
        <v>90</v>
      </c>
      <c r="AV495" s="148" t="s">
        <v>90</v>
      </c>
      <c r="AW495" s="148" t="s">
        <v>33</v>
      </c>
      <c r="AX495" s="148" t="s">
        <v>80</v>
      </c>
      <c r="AY495" s="150" t="s">
        <v>337</v>
      </c>
    </row>
    <row r="496" spans="2:65" s="148" customFormat="1" x14ac:dyDescent="0.2">
      <c r="B496" s="149"/>
      <c r="D496" s="143" t="s">
        <v>346</v>
      </c>
      <c r="E496" s="150"/>
      <c r="F496" s="151" t="s">
        <v>4317</v>
      </c>
      <c r="H496" s="152">
        <v>7.2</v>
      </c>
      <c r="L496" s="149"/>
      <c r="M496" s="153"/>
      <c r="T496" s="154"/>
      <c r="AT496" s="150" t="s">
        <v>346</v>
      </c>
      <c r="AU496" s="150" t="s">
        <v>90</v>
      </c>
      <c r="AV496" s="148" t="s">
        <v>90</v>
      </c>
      <c r="AW496" s="148" t="s">
        <v>33</v>
      </c>
      <c r="AX496" s="148" t="s">
        <v>80</v>
      </c>
      <c r="AY496" s="150" t="s">
        <v>337</v>
      </c>
    </row>
    <row r="497" spans="2:65" s="155" customFormat="1" x14ac:dyDescent="0.2">
      <c r="B497" s="156"/>
      <c r="D497" s="143" t="s">
        <v>346</v>
      </c>
      <c r="E497" s="157"/>
      <c r="F497" s="158" t="s">
        <v>351</v>
      </c>
      <c r="H497" s="159">
        <v>43.719000000000001</v>
      </c>
      <c r="L497" s="156"/>
      <c r="M497" s="160"/>
      <c r="T497" s="161"/>
      <c r="AT497" s="157" t="s">
        <v>346</v>
      </c>
      <c r="AU497" s="157" t="s">
        <v>90</v>
      </c>
      <c r="AV497" s="155" t="s">
        <v>344</v>
      </c>
      <c r="AW497" s="155" t="s">
        <v>33</v>
      </c>
      <c r="AX497" s="155" t="s">
        <v>87</v>
      </c>
      <c r="AY497" s="157" t="s">
        <v>337</v>
      </c>
    </row>
    <row r="498" spans="2:65" s="16" customFormat="1" ht="16.5" customHeight="1" x14ac:dyDescent="0.2">
      <c r="B498" s="17"/>
      <c r="C498" s="128">
        <v>45</v>
      </c>
      <c r="D498" s="128" t="s">
        <v>339</v>
      </c>
      <c r="E498" s="129" t="s">
        <v>1558</v>
      </c>
      <c r="F498" s="130" t="s">
        <v>1559</v>
      </c>
      <c r="G498" s="131" t="s">
        <v>724</v>
      </c>
      <c r="H498" s="132">
        <v>20</v>
      </c>
      <c r="I498" s="133"/>
      <c r="J498" s="134">
        <f>ROUND(I498*H498,2)</f>
        <v>0</v>
      </c>
      <c r="K498" s="130" t="s">
        <v>343</v>
      </c>
      <c r="L498" s="17"/>
      <c r="M498" s="135"/>
      <c r="N498" s="136" t="s">
        <v>45</v>
      </c>
      <c r="P498" s="137">
        <f>O498*H498</f>
        <v>0</v>
      </c>
      <c r="Q498" s="137">
        <v>3.4000000000000002E-4</v>
      </c>
      <c r="R498" s="137">
        <f>Q498*H498</f>
        <v>6.8000000000000005E-3</v>
      </c>
      <c r="S498" s="137">
        <v>0</v>
      </c>
      <c r="T498" s="138">
        <f>S498*H498</f>
        <v>0</v>
      </c>
      <c r="AR498" s="139" t="s">
        <v>496</v>
      </c>
      <c r="AT498" s="139" t="s">
        <v>339</v>
      </c>
      <c r="AU498" s="139" t="s">
        <v>90</v>
      </c>
      <c r="AY498" s="2" t="s">
        <v>337</v>
      </c>
      <c r="BE498" s="140">
        <f>IF(N498="základní",J498,0)</f>
        <v>0</v>
      </c>
      <c r="BF498" s="140">
        <f>IF(N498="snížená",J498,0)</f>
        <v>0</v>
      </c>
      <c r="BG498" s="140">
        <f>IF(N498="zákl. přenesená",J498,0)</f>
        <v>0</v>
      </c>
      <c r="BH498" s="140">
        <f>IF(N498="sníž. přenesená",J498,0)</f>
        <v>0</v>
      </c>
      <c r="BI498" s="140">
        <f>IF(N498="nulová",J498,0)</f>
        <v>0</v>
      </c>
      <c r="BJ498" s="2" t="s">
        <v>87</v>
      </c>
      <c r="BK498" s="140">
        <f>ROUND(I498*H498,2)</f>
        <v>0</v>
      </c>
      <c r="BL498" s="2" t="s">
        <v>496</v>
      </c>
      <c r="BM498" s="139" t="s">
        <v>4318</v>
      </c>
    </row>
    <row r="499" spans="2:65" s="141" customFormat="1" x14ac:dyDescent="0.2">
      <c r="B499" s="142"/>
      <c r="D499" s="143" t="s">
        <v>346</v>
      </c>
      <c r="E499" s="144"/>
      <c r="F499" s="145" t="s">
        <v>4319</v>
      </c>
      <c r="H499" s="144"/>
      <c r="L499" s="142"/>
      <c r="M499" s="146"/>
      <c r="T499" s="147"/>
      <c r="AT499" s="144" t="s">
        <v>346</v>
      </c>
      <c r="AU499" s="144" t="s">
        <v>90</v>
      </c>
      <c r="AV499" s="141" t="s">
        <v>87</v>
      </c>
      <c r="AW499" s="141" t="s">
        <v>33</v>
      </c>
      <c r="AX499" s="141" t="s">
        <v>80</v>
      </c>
      <c r="AY499" s="144" t="s">
        <v>337</v>
      </c>
    </row>
    <row r="500" spans="2:65" s="148" customFormat="1" x14ac:dyDescent="0.2">
      <c r="B500" s="149"/>
      <c r="D500" s="143" t="s">
        <v>346</v>
      </c>
      <c r="E500" s="150"/>
      <c r="F500" s="151" t="s">
        <v>4320</v>
      </c>
      <c r="H500" s="152">
        <v>20</v>
      </c>
      <c r="L500" s="149"/>
      <c r="M500" s="153"/>
      <c r="T500" s="154"/>
      <c r="AT500" s="150" t="s">
        <v>346</v>
      </c>
      <c r="AU500" s="150" t="s">
        <v>90</v>
      </c>
      <c r="AV500" s="148" t="s">
        <v>90</v>
      </c>
      <c r="AW500" s="148" t="s">
        <v>33</v>
      </c>
      <c r="AX500" s="148" t="s">
        <v>87</v>
      </c>
      <c r="AY500" s="150" t="s">
        <v>337</v>
      </c>
    </row>
    <row r="501" spans="2:65" s="16" customFormat="1" ht="16.5" customHeight="1" x14ac:dyDescent="0.2">
      <c r="B501" s="17"/>
      <c r="C501" s="162">
        <v>46</v>
      </c>
      <c r="D501" s="162" t="s">
        <v>519</v>
      </c>
      <c r="E501" s="163" t="s">
        <v>1563</v>
      </c>
      <c r="F501" s="164" t="s">
        <v>1564</v>
      </c>
      <c r="G501" s="165" t="s">
        <v>724</v>
      </c>
      <c r="H501" s="166">
        <v>22</v>
      </c>
      <c r="I501" s="167"/>
      <c r="J501" s="168">
        <f>ROUND(I501*H501,2)</f>
        <v>0</v>
      </c>
      <c r="K501" s="164"/>
      <c r="L501" s="169"/>
      <c r="M501" s="170"/>
      <c r="N501" s="171" t="s">
        <v>45</v>
      </c>
      <c r="P501" s="137">
        <f>O501*H501</f>
        <v>0</v>
      </c>
      <c r="Q501" s="137">
        <v>1.7000000000000001E-4</v>
      </c>
      <c r="R501" s="137">
        <f>Q501*H501</f>
        <v>3.7400000000000003E-3</v>
      </c>
      <c r="S501" s="137">
        <v>0</v>
      </c>
      <c r="T501" s="138">
        <f>S501*H501</f>
        <v>0</v>
      </c>
      <c r="AR501" s="139" t="s">
        <v>621</v>
      </c>
      <c r="AT501" s="139" t="s">
        <v>519</v>
      </c>
      <c r="AU501" s="139" t="s">
        <v>90</v>
      </c>
      <c r="AY501" s="2" t="s">
        <v>337</v>
      </c>
      <c r="BE501" s="140">
        <f>IF(N501="základní",J501,0)</f>
        <v>0</v>
      </c>
      <c r="BF501" s="140">
        <f>IF(N501="snížená",J501,0)</f>
        <v>0</v>
      </c>
      <c r="BG501" s="140">
        <f>IF(N501="zákl. přenesená",J501,0)</f>
        <v>0</v>
      </c>
      <c r="BH501" s="140">
        <f>IF(N501="sníž. přenesená",J501,0)</f>
        <v>0</v>
      </c>
      <c r="BI501" s="140">
        <f>IF(N501="nulová",J501,0)</f>
        <v>0</v>
      </c>
      <c r="BJ501" s="2" t="s">
        <v>87</v>
      </c>
      <c r="BK501" s="140">
        <f>ROUND(I501*H501,2)</f>
        <v>0</v>
      </c>
      <c r="BL501" s="2" t="s">
        <v>496</v>
      </c>
      <c r="BM501" s="139" t="s">
        <v>4321</v>
      </c>
    </row>
    <row r="502" spans="2:65" s="16" customFormat="1" ht="19.5" x14ac:dyDescent="0.2">
      <c r="B502" s="17"/>
      <c r="D502" s="143" t="s">
        <v>644</v>
      </c>
      <c r="F502" s="179" t="s">
        <v>1566</v>
      </c>
      <c r="L502" s="17"/>
      <c r="M502" s="180"/>
      <c r="T502" s="41"/>
      <c r="AT502" s="2" t="s">
        <v>644</v>
      </c>
      <c r="AU502" s="2" t="s">
        <v>90</v>
      </c>
    </row>
    <row r="503" spans="2:65" s="148" customFormat="1" x14ac:dyDescent="0.2">
      <c r="B503" s="149"/>
      <c r="D503" s="143" t="s">
        <v>346</v>
      </c>
      <c r="F503" s="151" t="s">
        <v>4322</v>
      </c>
      <c r="H503" s="152">
        <v>22</v>
      </c>
      <c r="L503" s="149"/>
      <c r="M503" s="153"/>
      <c r="T503" s="154"/>
      <c r="AT503" s="150" t="s">
        <v>346</v>
      </c>
      <c r="AU503" s="150" t="s">
        <v>90</v>
      </c>
      <c r="AV503" s="148" t="s">
        <v>90</v>
      </c>
      <c r="AW503" s="148" t="s">
        <v>3</v>
      </c>
      <c r="AX503" s="148" t="s">
        <v>87</v>
      </c>
      <c r="AY503" s="150" t="s">
        <v>337</v>
      </c>
    </row>
    <row r="504" spans="2:65" s="16" customFormat="1" ht="16.5" customHeight="1" x14ac:dyDescent="0.2">
      <c r="B504" s="17"/>
      <c r="C504" s="128">
        <v>47</v>
      </c>
      <c r="D504" s="128" t="s">
        <v>339</v>
      </c>
      <c r="E504" s="129" t="s">
        <v>4323</v>
      </c>
      <c r="F504" s="130" t="s">
        <v>4324</v>
      </c>
      <c r="G504" s="131" t="s">
        <v>724</v>
      </c>
      <c r="H504" s="132">
        <v>177.53</v>
      </c>
      <c r="I504" s="133"/>
      <c r="J504" s="134">
        <f>ROUND(I504*H504,2)</f>
        <v>0</v>
      </c>
      <c r="K504" s="130" t="s">
        <v>343</v>
      </c>
      <c r="L504" s="17"/>
      <c r="M504" s="135"/>
      <c r="N504" s="136" t="s">
        <v>45</v>
      </c>
      <c r="P504" s="137">
        <f>O504*H504</f>
        <v>0</v>
      </c>
      <c r="Q504" s="137">
        <v>3.4000000000000002E-4</v>
      </c>
      <c r="R504" s="137">
        <f>Q504*H504</f>
        <v>6.0360200000000003E-2</v>
      </c>
      <c r="S504" s="137">
        <v>0</v>
      </c>
      <c r="T504" s="138">
        <f>S504*H504</f>
        <v>0</v>
      </c>
      <c r="AR504" s="139" t="s">
        <v>496</v>
      </c>
      <c r="AT504" s="139" t="s">
        <v>339</v>
      </c>
      <c r="AU504" s="139" t="s">
        <v>90</v>
      </c>
      <c r="AY504" s="2" t="s">
        <v>337</v>
      </c>
      <c r="BE504" s="140">
        <f>IF(N504="základní",J504,0)</f>
        <v>0</v>
      </c>
      <c r="BF504" s="140">
        <f>IF(N504="snížená",J504,0)</f>
        <v>0</v>
      </c>
      <c r="BG504" s="140">
        <f>IF(N504="zákl. přenesená",J504,0)</f>
        <v>0</v>
      </c>
      <c r="BH504" s="140">
        <f>IF(N504="sníž. přenesená",J504,0)</f>
        <v>0</v>
      </c>
      <c r="BI504" s="140">
        <f>IF(N504="nulová",J504,0)</f>
        <v>0</v>
      </c>
      <c r="BJ504" s="2" t="s">
        <v>87</v>
      </c>
      <c r="BK504" s="140">
        <f>ROUND(I504*H504,2)</f>
        <v>0</v>
      </c>
      <c r="BL504" s="2" t="s">
        <v>496</v>
      </c>
      <c r="BM504" s="139" t="s">
        <v>4325</v>
      </c>
    </row>
    <row r="505" spans="2:65" s="141" customFormat="1" x14ac:dyDescent="0.2">
      <c r="B505" s="142"/>
      <c r="D505" s="143" t="s">
        <v>346</v>
      </c>
      <c r="E505" s="144"/>
      <c r="F505" s="145" t="s">
        <v>4326</v>
      </c>
      <c r="H505" s="144"/>
      <c r="L505" s="142"/>
      <c r="M505" s="146"/>
      <c r="T505" s="147"/>
      <c r="AT505" s="144" t="s">
        <v>346</v>
      </c>
      <c r="AU505" s="144" t="s">
        <v>90</v>
      </c>
      <c r="AV505" s="141" t="s">
        <v>87</v>
      </c>
      <c r="AW505" s="141" t="s">
        <v>33</v>
      </c>
      <c r="AX505" s="141" t="s">
        <v>80</v>
      </c>
      <c r="AY505" s="144" t="s">
        <v>337</v>
      </c>
    </row>
    <row r="506" spans="2:65" s="141" customFormat="1" x14ac:dyDescent="0.2">
      <c r="B506" s="142"/>
      <c r="D506" s="143" t="s">
        <v>346</v>
      </c>
      <c r="E506" s="144"/>
      <c r="F506" s="145" t="s">
        <v>4327</v>
      </c>
      <c r="H506" s="144"/>
      <c r="L506" s="142"/>
      <c r="M506" s="146"/>
      <c r="T506" s="147"/>
      <c r="AT506" s="144" t="s">
        <v>346</v>
      </c>
      <c r="AU506" s="144" t="s">
        <v>90</v>
      </c>
      <c r="AV506" s="141" t="s">
        <v>87</v>
      </c>
      <c r="AW506" s="141" t="s">
        <v>33</v>
      </c>
      <c r="AX506" s="141" t="s">
        <v>80</v>
      </c>
      <c r="AY506" s="144" t="s">
        <v>337</v>
      </c>
    </row>
    <row r="507" spans="2:65" s="141" customFormat="1" x14ac:dyDescent="0.2">
      <c r="B507" s="142"/>
      <c r="D507" s="143" t="s">
        <v>346</v>
      </c>
      <c r="E507" s="144"/>
      <c r="F507" s="145" t="s">
        <v>362</v>
      </c>
      <c r="H507" s="144"/>
      <c r="L507" s="142"/>
      <c r="M507" s="146"/>
      <c r="T507" s="147"/>
      <c r="AT507" s="144" t="s">
        <v>346</v>
      </c>
      <c r="AU507" s="144" t="s">
        <v>90</v>
      </c>
      <c r="AV507" s="141" t="s">
        <v>87</v>
      </c>
      <c r="AW507" s="141" t="s">
        <v>33</v>
      </c>
      <c r="AX507" s="141" t="s">
        <v>80</v>
      </c>
      <c r="AY507" s="144" t="s">
        <v>337</v>
      </c>
    </row>
    <row r="508" spans="2:65" s="148" customFormat="1" x14ac:dyDescent="0.2">
      <c r="B508" s="149"/>
      <c r="D508" s="143" t="s">
        <v>346</v>
      </c>
      <c r="E508" s="150"/>
      <c r="F508" s="151" t="s">
        <v>4328</v>
      </c>
      <c r="H508" s="152">
        <v>26.75</v>
      </c>
      <c r="L508" s="149"/>
      <c r="M508" s="153"/>
      <c r="T508" s="154"/>
      <c r="AT508" s="150" t="s">
        <v>346</v>
      </c>
      <c r="AU508" s="150" t="s">
        <v>90</v>
      </c>
      <c r="AV508" s="148" t="s">
        <v>90</v>
      </c>
      <c r="AW508" s="148" t="s">
        <v>33</v>
      </c>
      <c r="AX508" s="148" t="s">
        <v>80</v>
      </c>
      <c r="AY508" s="150" t="s">
        <v>337</v>
      </c>
    </row>
    <row r="509" spans="2:65" s="141" customFormat="1" x14ac:dyDescent="0.2">
      <c r="B509" s="142"/>
      <c r="D509" s="143" t="s">
        <v>346</v>
      </c>
      <c r="E509" s="144"/>
      <c r="F509" s="145" t="s">
        <v>367</v>
      </c>
      <c r="H509" s="144"/>
      <c r="L509" s="142"/>
      <c r="M509" s="146"/>
      <c r="T509" s="147"/>
      <c r="AT509" s="144" t="s">
        <v>346</v>
      </c>
      <c r="AU509" s="144" t="s">
        <v>90</v>
      </c>
      <c r="AV509" s="141" t="s">
        <v>87</v>
      </c>
      <c r="AW509" s="141" t="s">
        <v>33</v>
      </c>
      <c r="AX509" s="141" t="s">
        <v>80</v>
      </c>
      <c r="AY509" s="144" t="s">
        <v>337</v>
      </c>
    </row>
    <row r="510" spans="2:65" s="148" customFormat="1" x14ac:dyDescent="0.2">
      <c r="B510" s="149"/>
      <c r="D510" s="143" t="s">
        <v>346</v>
      </c>
      <c r="E510" s="150"/>
      <c r="F510" s="151" t="s">
        <v>4329</v>
      </c>
      <c r="H510" s="152">
        <v>32.1</v>
      </c>
      <c r="L510" s="149"/>
      <c r="M510" s="153"/>
      <c r="T510" s="154"/>
      <c r="AT510" s="150" t="s">
        <v>346</v>
      </c>
      <c r="AU510" s="150" t="s">
        <v>90</v>
      </c>
      <c r="AV510" s="148" t="s">
        <v>90</v>
      </c>
      <c r="AW510" s="148" t="s">
        <v>33</v>
      </c>
      <c r="AX510" s="148" t="s">
        <v>80</v>
      </c>
      <c r="AY510" s="150" t="s">
        <v>337</v>
      </c>
    </row>
    <row r="511" spans="2:65" s="141" customFormat="1" x14ac:dyDescent="0.2">
      <c r="B511" s="142"/>
      <c r="D511" s="143" t="s">
        <v>346</v>
      </c>
      <c r="E511" s="144"/>
      <c r="F511" s="145" t="s">
        <v>368</v>
      </c>
      <c r="H511" s="144"/>
      <c r="L511" s="142"/>
      <c r="M511" s="146"/>
      <c r="T511" s="147"/>
      <c r="AT511" s="144" t="s">
        <v>346</v>
      </c>
      <c r="AU511" s="144" t="s">
        <v>90</v>
      </c>
      <c r="AV511" s="141" t="s">
        <v>87</v>
      </c>
      <c r="AW511" s="141" t="s">
        <v>33</v>
      </c>
      <c r="AX511" s="141" t="s">
        <v>80</v>
      </c>
      <c r="AY511" s="144" t="s">
        <v>337</v>
      </c>
    </row>
    <row r="512" spans="2:65" s="148" customFormat="1" x14ac:dyDescent="0.2">
      <c r="B512" s="149"/>
      <c r="D512" s="143" t="s">
        <v>346</v>
      </c>
      <c r="E512" s="150"/>
      <c r="F512" s="151" t="s">
        <v>4330</v>
      </c>
      <c r="H512" s="152">
        <v>37.450000000000003</v>
      </c>
      <c r="L512" s="149"/>
      <c r="M512" s="153"/>
      <c r="T512" s="154"/>
      <c r="AT512" s="150" t="s">
        <v>346</v>
      </c>
      <c r="AU512" s="150" t="s">
        <v>90</v>
      </c>
      <c r="AV512" s="148" t="s">
        <v>90</v>
      </c>
      <c r="AW512" s="148" t="s">
        <v>33</v>
      </c>
      <c r="AX512" s="148" t="s">
        <v>80</v>
      </c>
      <c r="AY512" s="150" t="s">
        <v>337</v>
      </c>
    </row>
    <row r="513" spans="2:65" s="141" customFormat="1" x14ac:dyDescent="0.2">
      <c r="B513" s="142"/>
      <c r="D513" s="143" t="s">
        <v>346</v>
      </c>
      <c r="E513" s="144"/>
      <c r="F513" s="145" t="s">
        <v>370</v>
      </c>
      <c r="H513" s="144"/>
      <c r="L513" s="142"/>
      <c r="M513" s="146"/>
      <c r="T513" s="147"/>
      <c r="AT513" s="144" t="s">
        <v>346</v>
      </c>
      <c r="AU513" s="144" t="s">
        <v>90</v>
      </c>
      <c r="AV513" s="141" t="s">
        <v>87</v>
      </c>
      <c r="AW513" s="141" t="s">
        <v>33</v>
      </c>
      <c r="AX513" s="141" t="s">
        <v>80</v>
      </c>
      <c r="AY513" s="144" t="s">
        <v>337</v>
      </c>
    </row>
    <row r="514" spans="2:65" s="148" customFormat="1" x14ac:dyDescent="0.2">
      <c r="B514" s="149"/>
      <c r="D514" s="143" t="s">
        <v>346</v>
      </c>
      <c r="E514" s="150"/>
      <c r="F514" s="151" t="s">
        <v>4330</v>
      </c>
      <c r="H514" s="152">
        <v>37.450000000000003</v>
      </c>
      <c r="L514" s="149"/>
      <c r="M514" s="153"/>
      <c r="T514" s="154"/>
      <c r="AT514" s="150" t="s">
        <v>346</v>
      </c>
      <c r="AU514" s="150" t="s">
        <v>90</v>
      </c>
      <c r="AV514" s="148" t="s">
        <v>90</v>
      </c>
      <c r="AW514" s="148" t="s">
        <v>33</v>
      </c>
      <c r="AX514" s="148" t="s">
        <v>80</v>
      </c>
      <c r="AY514" s="150" t="s">
        <v>337</v>
      </c>
    </row>
    <row r="515" spans="2:65" s="141" customFormat="1" x14ac:dyDescent="0.2">
      <c r="B515" s="142"/>
      <c r="D515" s="143" t="s">
        <v>346</v>
      </c>
      <c r="E515" s="144"/>
      <c r="F515" s="145" t="s">
        <v>434</v>
      </c>
      <c r="H515" s="144"/>
      <c r="L515" s="142"/>
      <c r="M515" s="146"/>
      <c r="T515" s="147"/>
      <c r="AT515" s="144" t="s">
        <v>346</v>
      </c>
      <c r="AU515" s="144" t="s">
        <v>90</v>
      </c>
      <c r="AV515" s="141" t="s">
        <v>87</v>
      </c>
      <c r="AW515" s="141" t="s">
        <v>33</v>
      </c>
      <c r="AX515" s="141" t="s">
        <v>80</v>
      </c>
      <c r="AY515" s="144" t="s">
        <v>337</v>
      </c>
    </row>
    <row r="516" spans="2:65" s="148" customFormat="1" x14ac:dyDescent="0.2">
      <c r="B516" s="149"/>
      <c r="D516" s="143" t="s">
        <v>346</v>
      </c>
      <c r="E516" s="150"/>
      <c r="F516" s="151" t="s">
        <v>4331</v>
      </c>
      <c r="H516" s="152">
        <v>5.25</v>
      </c>
      <c r="L516" s="149"/>
      <c r="M516" s="153"/>
      <c r="T516" s="154"/>
      <c r="AT516" s="150" t="s">
        <v>346</v>
      </c>
      <c r="AU516" s="150" t="s">
        <v>90</v>
      </c>
      <c r="AV516" s="148" t="s">
        <v>90</v>
      </c>
      <c r="AW516" s="148" t="s">
        <v>33</v>
      </c>
      <c r="AX516" s="148" t="s">
        <v>80</v>
      </c>
      <c r="AY516" s="150" t="s">
        <v>337</v>
      </c>
    </row>
    <row r="517" spans="2:65" s="148" customFormat="1" x14ac:dyDescent="0.2">
      <c r="B517" s="149"/>
      <c r="D517" s="143" t="s">
        <v>346</v>
      </c>
      <c r="E517" s="150"/>
      <c r="F517" s="151" t="s">
        <v>4332</v>
      </c>
      <c r="H517" s="152">
        <v>38.53</v>
      </c>
      <c r="L517" s="149"/>
      <c r="M517" s="153"/>
      <c r="T517" s="154"/>
      <c r="AT517" s="150" t="s">
        <v>346</v>
      </c>
      <c r="AU517" s="150" t="s">
        <v>90</v>
      </c>
      <c r="AV517" s="148" t="s">
        <v>90</v>
      </c>
      <c r="AW517" s="148" t="s">
        <v>33</v>
      </c>
      <c r="AX517" s="148" t="s">
        <v>80</v>
      </c>
      <c r="AY517" s="150" t="s">
        <v>337</v>
      </c>
    </row>
    <row r="518" spans="2:65" s="155" customFormat="1" x14ac:dyDescent="0.2">
      <c r="B518" s="156"/>
      <c r="D518" s="143" t="s">
        <v>346</v>
      </c>
      <c r="E518" s="157"/>
      <c r="F518" s="158" t="s">
        <v>351</v>
      </c>
      <c r="H518" s="159">
        <v>177.53</v>
      </c>
      <c r="L518" s="156"/>
      <c r="M518" s="160"/>
      <c r="T518" s="161"/>
      <c r="AT518" s="157" t="s">
        <v>346</v>
      </c>
      <c r="AU518" s="157" t="s">
        <v>90</v>
      </c>
      <c r="AV518" s="155" t="s">
        <v>344</v>
      </c>
      <c r="AW518" s="155" t="s">
        <v>33</v>
      </c>
      <c r="AX518" s="155" t="s">
        <v>87</v>
      </c>
      <c r="AY518" s="157" t="s">
        <v>337</v>
      </c>
    </row>
    <row r="519" spans="2:65" s="16" customFormat="1" ht="16.5" customHeight="1" x14ac:dyDescent="0.2">
      <c r="B519" s="17"/>
      <c r="C519" s="162">
        <v>48</v>
      </c>
      <c r="D519" s="162" t="s">
        <v>519</v>
      </c>
      <c r="E519" s="163" t="s">
        <v>4333</v>
      </c>
      <c r="F519" s="164" t="s">
        <v>4334</v>
      </c>
      <c r="G519" s="165" t="s">
        <v>724</v>
      </c>
      <c r="H519" s="166">
        <v>186.40700000000001</v>
      </c>
      <c r="I519" s="167"/>
      <c r="J519" s="168">
        <f>ROUND(I519*H519,2)</f>
        <v>0</v>
      </c>
      <c r="K519" s="164"/>
      <c r="L519" s="169"/>
      <c r="M519" s="170"/>
      <c r="N519" s="171" t="s">
        <v>45</v>
      </c>
      <c r="P519" s="137">
        <f>O519*H519</f>
        <v>0</v>
      </c>
      <c r="Q519" s="137">
        <v>3.2000000000000003E-4</v>
      </c>
      <c r="R519" s="137">
        <f>Q519*H519</f>
        <v>5.9650240000000007E-2</v>
      </c>
      <c r="S519" s="137">
        <v>0</v>
      </c>
      <c r="T519" s="138">
        <f>S519*H519</f>
        <v>0</v>
      </c>
      <c r="AR519" s="139" t="s">
        <v>621</v>
      </c>
      <c r="AT519" s="139" t="s">
        <v>519</v>
      </c>
      <c r="AU519" s="139" t="s">
        <v>90</v>
      </c>
      <c r="AY519" s="2" t="s">
        <v>337</v>
      </c>
      <c r="BE519" s="140">
        <f>IF(N519="základní",J519,0)</f>
        <v>0</v>
      </c>
      <c r="BF519" s="140">
        <f>IF(N519="snížená",J519,0)</f>
        <v>0</v>
      </c>
      <c r="BG519" s="140">
        <f>IF(N519="zákl. přenesená",J519,0)</f>
        <v>0</v>
      </c>
      <c r="BH519" s="140">
        <f>IF(N519="sníž. přenesená",J519,0)</f>
        <v>0</v>
      </c>
      <c r="BI519" s="140">
        <f>IF(N519="nulová",J519,0)</f>
        <v>0</v>
      </c>
      <c r="BJ519" s="2" t="s">
        <v>87</v>
      </c>
      <c r="BK519" s="140">
        <f>ROUND(I519*H519,2)</f>
        <v>0</v>
      </c>
      <c r="BL519" s="2" t="s">
        <v>496</v>
      </c>
      <c r="BM519" s="139" t="s">
        <v>4335</v>
      </c>
    </row>
    <row r="520" spans="2:65" s="148" customFormat="1" x14ac:dyDescent="0.2">
      <c r="B520" s="149"/>
      <c r="D520" s="143" t="s">
        <v>346</v>
      </c>
      <c r="F520" s="151" t="s">
        <v>4336</v>
      </c>
      <c r="H520" s="152">
        <v>186.40700000000001</v>
      </c>
      <c r="L520" s="149"/>
      <c r="M520" s="153"/>
      <c r="T520" s="154"/>
      <c r="AT520" s="150" t="s">
        <v>346</v>
      </c>
      <c r="AU520" s="150" t="s">
        <v>90</v>
      </c>
      <c r="AV520" s="148" t="s">
        <v>90</v>
      </c>
      <c r="AW520" s="148" t="s">
        <v>3</v>
      </c>
      <c r="AX520" s="148" t="s">
        <v>87</v>
      </c>
      <c r="AY520" s="150" t="s">
        <v>337</v>
      </c>
    </row>
    <row r="521" spans="2:65" s="16" customFormat="1" ht="24.2" customHeight="1" x14ac:dyDescent="0.2">
      <c r="B521" s="17"/>
      <c r="C521" s="128">
        <v>49</v>
      </c>
      <c r="D521" s="128" t="s">
        <v>339</v>
      </c>
      <c r="E521" s="129" t="s">
        <v>1568</v>
      </c>
      <c r="F521" s="130" t="s">
        <v>1569</v>
      </c>
      <c r="G521" s="131" t="s">
        <v>724</v>
      </c>
      <c r="H521" s="132">
        <v>20</v>
      </c>
      <c r="I521" s="133"/>
      <c r="J521" s="134">
        <f>ROUND(I521*H521,2)</f>
        <v>0</v>
      </c>
      <c r="K521" s="130" t="s">
        <v>343</v>
      </c>
      <c r="L521" s="17"/>
      <c r="M521" s="135"/>
      <c r="N521" s="136" t="s">
        <v>45</v>
      </c>
      <c r="P521" s="137">
        <f>O521*H521</f>
        <v>0</v>
      </c>
      <c r="Q521" s="137">
        <v>1.5299999999999999E-3</v>
      </c>
      <c r="R521" s="137">
        <f>Q521*H521</f>
        <v>3.0599999999999999E-2</v>
      </c>
      <c r="S521" s="137">
        <v>0</v>
      </c>
      <c r="T521" s="138">
        <f>S521*H521</f>
        <v>0</v>
      </c>
      <c r="AR521" s="139" t="s">
        <v>496</v>
      </c>
      <c r="AT521" s="139" t="s">
        <v>339</v>
      </c>
      <c r="AU521" s="139" t="s">
        <v>90</v>
      </c>
      <c r="AY521" s="2" t="s">
        <v>337</v>
      </c>
      <c r="BE521" s="140">
        <f>IF(N521="základní",J521,0)</f>
        <v>0</v>
      </c>
      <c r="BF521" s="140">
        <f>IF(N521="snížená",J521,0)</f>
        <v>0</v>
      </c>
      <c r="BG521" s="140">
        <f>IF(N521="zákl. přenesená",J521,0)</f>
        <v>0</v>
      </c>
      <c r="BH521" s="140">
        <f>IF(N521="sníž. přenesená",J521,0)</f>
        <v>0</v>
      </c>
      <c r="BI521" s="140">
        <f>IF(N521="nulová",J521,0)</f>
        <v>0</v>
      </c>
      <c r="BJ521" s="2" t="s">
        <v>87</v>
      </c>
      <c r="BK521" s="140">
        <f>ROUND(I521*H521,2)</f>
        <v>0</v>
      </c>
      <c r="BL521" s="2" t="s">
        <v>496</v>
      </c>
      <c r="BM521" s="139" t="s">
        <v>4337</v>
      </c>
    </row>
    <row r="522" spans="2:65" s="141" customFormat="1" x14ac:dyDescent="0.2">
      <c r="B522" s="142"/>
      <c r="D522" s="143" t="s">
        <v>346</v>
      </c>
      <c r="E522" s="144"/>
      <c r="F522" s="145" t="s">
        <v>4319</v>
      </c>
      <c r="H522" s="144"/>
      <c r="L522" s="142"/>
      <c r="M522" s="146"/>
      <c r="T522" s="147"/>
      <c r="AT522" s="144" t="s">
        <v>346</v>
      </c>
      <c r="AU522" s="144" t="s">
        <v>90</v>
      </c>
      <c r="AV522" s="141" t="s">
        <v>87</v>
      </c>
      <c r="AW522" s="141" t="s">
        <v>33</v>
      </c>
      <c r="AX522" s="141" t="s">
        <v>80</v>
      </c>
      <c r="AY522" s="144" t="s">
        <v>337</v>
      </c>
    </row>
    <row r="523" spans="2:65" s="148" customFormat="1" x14ac:dyDescent="0.2">
      <c r="B523" s="149"/>
      <c r="D523" s="143" t="s">
        <v>346</v>
      </c>
      <c r="E523" s="150"/>
      <c r="F523" s="151" t="s">
        <v>4320</v>
      </c>
      <c r="H523" s="152">
        <v>20</v>
      </c>
      <c r="L523" s="149"/>
      <c r="M523" s="153"/>
      <c r="T523" s="154"/>
      <c r="AT523" s="150" t="s">
        <v>346</v>
      </c>
      <c r="AU523" s="150" t="s">
        <v>90</v>
      </c>
      <c r="AV523" s="148" t="s">
        <v>90</v>
      </c>
      <c r="AW523" s="148" t="s">
        <v>33</v>
      </c>
      <c r="AX523" s="148" t="s">
        <v>87</v>
      </c>
      <c r="AY523" s="150" t="s">
        <v>337</v>
      </c>
    </row>
    <row r="524" spans="2:65" s="16" customFormat="1" ht="24.2" customHeight="1" x14ac:dyDescent="0.2">
      <c r="B524" s="17"/>
      <c r="C524" s="128">
        <v>50</v>
      </c>
      <c r="D524" s="128" t="s">
        <v>339</v>
      </c>
      <c r="E524" s="129" t="s">
        <v>4338</v>
      </c>
      <c r="F524" s="130" t="s">
        <v>4339</v>
      </c>
      <c r="G524" s="131" t="s">
        <v>724</v>
      </c>
      <c r="H524" s="132">
        <v>20</v>
      </c>
      <c r="I524" s="133"/>
      <c r="J524" s="134">
        <f>ROUND(I524*H524,2)</f>
        <v>0</v>
      </c>
      <c r="K524" s="130" t="s">
        <v>343</v>
      </c>
      <c r="L524" s="17"/>
      <c r="M524" s="135"/>
      <c r="N524" s="136" t="s">
        <v>45</v>
      </c>
      <c r="P524" s="137">
        <f>O524*H524</f>
        <v>0</v>
      </c>
      <c r="Q524" s="137">
        <v>7.5000000000000002E-4</v>
      </c>
      <c r="R524" s="137">
        <f>Q524*H524</f>
        <v>1.4999999999999999E-2</v>
      </c>
      <c r="S524" s="137">
        <v>0</v>
      </c>
      <c r="T524" s="138">
        <f>S524*H524</f>
        <v>0</v>
      </c>
      <c r="AR524" s="139" t="s">
        <v>496</v>
      </c>
      <c r="AT524" s="139" t="s">
        <v>339</v>
      </c>
      <c r="AU524" s="139" t="s">
        <v>90</v>
      </c>
      <c r="AY524" s="2" t="s">
        <v>337</v>
      </c>
      <c r="BE524" s="140">
        <f>IF(N524="základní",J524,0)</f>
        <v>0</v>
      </c>
      <c r="BF524" s="140">
        <f>IF(N524="snížená",J524,0)</f>
        <v>0</v>
      </c>
      <c r="BG524" s="140">
        <f>IF(N524="zákl. přenesená",J524,0)</f>
        <v>0</v>
      </c>
      <c r="BH524" s="140">
        <f>IF(N524="sníž. přenesená",J524,0)</f>
        <v>0</v>
      </c>
      <c r="BI524" s="140">
        <f>IF(N524="nulová",J524,0)</f>
        <v>0</v>
      </c>
      <c r="BJ524" s="2" t="s">
        <v>87</v>
      </c>
      <c r="BK524" s="140">
        <f>ROUND(I524*H524,2)</f>
        <v>0</v>
      </c>
      <c r="BL524" s="2" t="s">
        <v>496</v>
      </c>
      <c r="BM524" s="139" t="s">
        <v>4340</v>
      </c>
    </row>
    <row r="525" spans="2:65" s="16" customFormat="1" ht="21.75" customHeight="1" x14ac:dyDescent="0.2">
      <c r="B525" s="17"/>
      <c r="C525" s="128">
        <v>51</v>
      </c>
      <c r="D525" s="128" t="s">
        <v>339</v>
      </c>
      <c r="E525" s="129" t="s">
        <v>4341</v>
      </c>
      <c r="F525" s="130" t="s">
        <v>4342</v>
      </c>
      <c r="G525" s="131" t="s">
        <v>724</v>
      </c>
      <c r="H525" s="132">
        <v>48.759</v>
      </c>
      <c r="I525" s="133"/>
      <c r="J525" s="134">
        <f>ROUND(I525*H525,2)</f>
        <v>0</v>
      </c>
      <c r="K525" s="130" t="s">
        <v>343</v>
      </c>
      <c r="L525" s="17"/>
      <c r="M525" s="135"/>
      <c r="N525" s="136" t="s">
        <v>45</v>
      </c>
      <c r="P525" s="137">
        <f>O525*H525</f>
        <v>0</v>
      </c>
      <c r="Q525" s="137">
        <v>2.9999999999999997E-4</v>
      </c>
      <c r="R525" s="137">
        <f>Q525*H525</f>
        <v>1.4627699999999999E-2</v>
      </c>
      <c r="S525" s="137">
        <v>0</v>
      </c>
      <c r="T525" s="138">
        <f>S525*H525</f>
        <v>0</v>
      </c>
      <c r="AR525" s="139" t="s">
        <v>496</v>
      </c>
      <c r="AT525" s="139" t="s">
        <v>339</v>
      </c>
      <c r="AU525" s="139" t="s">
        <v>90</v>
      </c>
      <c r="AY525" s="2" t="s">
        <v>337</v>
      </c>
      <c r="BE525" s="140">
        <f>IF(N525="základní",J525,0)</f>
        <v>0</v>
      </c>
      <c r="BF525" s="140">
        <f>IF(N525="snížená",J525,0)</f>
        <v>0</v>
      </c>
      <c r="BG525" s="140">
        <f>IF(N525="zákl. přenesená",J525,0)</f>
        <v>0</v>
      </c>
      <c r="BH525" s="140">
        <f>IF(N525="sníž. přenesená",J525,0)</f>
        <v>0</v>
      </c>
      <c r="BI525" s="140">
        <f>IF(N525="nulová",J525,0)</f>
        <v>0</v>
      </c>
      <c r="BJ525" s="2" t="s">
        <v>87</v>
      </c>
      <c r="BK525" s="140">
        <f>ROUND(I525*H525,2)</f>
        <v>0</v>
      </c>
      <c r="BL525" s="2" t="s">
        <v>496</v>
      </c>
      <c r="BM525" s="139" t="s">
        <v>4343</v>
      </c>
    </row>
    <row r="526" spans="2:65" s="141" customFormat="1" x14ac:dyDescent="0.2">
      <c r="B526" s="142"/>
      <c r="D526" s="143" t="s">
        <v>346</v>
      </c>
      <c r="E526" s="144"/>
      <c r="F526" s="145" t="s">
        <v>4344</v>
      </c>
      <c r="H526" s="144"/>
      <c r="L526" s="142"/>
      <c r="M526" s="146"/>
      <c r="T526" s="147"/>
      <c r="AT526" s="144" t="s">
        <v>346</v>
      </c>
      <c r="AU526" s="144" t="s">
        <v>90</v>
      </c>
      <c r="AV526" s="141" t="s">
        <v>87</v>
      </c>
      <c r="AW526" s="141" t="s">
        <v>33</v>
      </c>
      <c r="AX526" s="141" t="s">
        <v>80</v>
      </c>
      <c r="AY526" s="144" t="s">
        <v>337</v>
      </c>
    </row>
    <row r="527" spans="2:65" s="148" customFormat="1" x14ac:dyDescent="0.2">
      <c r="B527" s="149"/>
      <c r="D527" s="143" t="s">
        <v>346</v>
      </c>
      <c r="E527" s="150"/>
      <c r="F527" s="151" t="s">
        <v>4345</v>
      </c>
      <c r="H527" s="152">
        <v>21.428999999999998</v>
      </c>
      <c r="L527" s="149"/>
      <c r="M527" s="153"/>
      <c r="T527" s="154"/>
      <c r="AT527" s="150" t="s">
        <v>346</v>
      </c>
      <c r="AU527" s="150" t="s">
        <v>90</v>
      </c>
      <c r="AV527" s="148" t="s">
        <v>90</v>
      </c>
      <c r="AW527" s="148" t="s">
        <v>33</v>
      </c>
      <c r="AX527" s="148" t="s">
        <v>80</v>
      </c>
      <c r="AY527" s="150" t="s">
        <v>337</v>
      </c>
    </row>
    <row r="528" spans="2:65" s="148" customFormat="1" x14ac:dyDescent="0.2">
      <c r="B528" s="149"/>
      <c r="D528" s="143" t="s">
        <v>346</v>
      </c>
      <c r="E528" s="150"/>
      <c r="F528" s="151" t="s">
        <v>4346</v>
      </c>
      <c r="H528" s="152">
        <v>-2.71</v>
      </c>
      <c r="L528" s="149"/>
      <c r="M528" s="153"/>
      <c r="T528" s="154"/>
      <c r="AT528" s="150" t="s">
        <v>346</v>
      </c>
      <c r="AU528" s="150" t="s">
        <v>90</v>
      </c>
      <c r="AV528" s="148" t="s">
        <v>90</v>
      </c>
      <c r="AW528" s="148" t="s">
        <v>33</v>
      </c>
      <c r="AX528" s="148" t="s">
        <v>80</v>
      </c>
      <c r="AY528" s="150" t="s">
        <v>337</v>
      </c>
    </row>
    <row r="529" spans="2:65" s="148" customFormat="1" x14ac:dyDescent="0.2">
      <c r="B529" s="149"/>
      <c r="D529" s="143" t="s">
        <v>346</v>
      </c>
      <c r="E529" s="150"/>
      <c r="F529" s="151" t="s">
        <v>4347</v>
      </c>
      <c r="H529" s="152">
        <v>31.04</v>
      </c>
      <c r="L529" s="149"/>
      <c r="M529" s="153"/>
      <c r="T529" s="154"/>
      <c r="AT529" s="150" t="s">
        <v>346</v>
      </c>
      <c r="AU529" s="150" t="s">
        <v>90</v>
      </c>
      <c r="AV529" s="148" t="s">
        <v>90</v>
      </c>
      <c r="AW529" s="148" t="s">
        <v>33</v>
      </c>
      <c r="AX529" s="148" t="s">
        <v>80</v>
      </c>
      <c r="AY529" s="150" t="s">
        <v>337</v>
      </c>
    </row>
    <row r="530" spans="2:65" s="148" customFormat="1" x14ac:dyDescent="0.2">
      <c r="B530" s="149"/>
      <c r="D530" s="143" t="s">
        <v>346</v>
      </c>
      <c r="E530" s="150"/>
      <c r="F530" s="151" t="s">
        <v>1586</v>
      </c>
      <c r="H530" s="152">
        <v>-1</v>
      </c>
      <c r="L530" s="149"/>
      <c r="M530" s="153"/>
      <c r="T530" s="154"/>
      <c r="AT530" s="150" t="s">
        <v>346</v>
      </c>
      <c r="AU530" s="150" t="s">
        <v>90</v>
      </c>
      <c r="AV530" s="148" t="s">
        <v>90</v>
      </c>
      <c r="AW530" s="148" t="s">
        <v>33</v>
      </c>
      <c r="AX530" s="148" t="s">
        <v>80</v>
      </c>
      <c r="AY530" s="150" t="s">
        <v>337</v>
      </c>
    </row>
    <row r="531" spans="2:65" s="172" customFormat="1" x14ac:dyDescent="0.2">
      <c r="B531" s="173"/>
      <c r="D531" s="143" t="s">
        <v>346</v>
      </c>
      <c r="E531" s="174" t="s">
        <v>4007</v>
      </c>
      <c r="F531" s="175" t="s">
        <v>609</v>
      </c>
      <c r="H531" s="176">
        <v>48.759</v>
      </c>
      <c r="L531" s="173"/>
      <c r="M531" s="177"/>
      <c r="T531" s="178"/>
      <c r="AT531" s="174" t="s">
        <v>346</v>
      </c>
      <c r="AU531" s="174" t="s">
        <v>90</v>
      </c>
      <c r="AV531" s="172" t="s">
        <v>113</v>
      </c>
      <c r="AW531" s="172" t="s">
        <v>33</v>
      </c>
      <c r="AX531" s="172" t="s">
        <v>87</v>
      </c>
      <c r="AY531" s="174" t="s">
        <v>337</v>
      </c>
    </row>
    <row r="532" spans="2:65" s="16" customFormat="1" ht="21.75" customHeight="1" x14ac:dyDescent="0.2">
      <c r="B532" s="17"/>
      <c r="C532" s="128">
        <v>52</v>
      </c>
      <c r="D532" s="128" t="s">
        <v>339</v>
      </c>
      <c r="E532" s="129" t="s">
        <v>4348</v>
      </c>
      <c r="F532" s="130" t="s">
        <v>4349</v>
      </c>
      <c r="G532" s="131" t="s">
        <v>724</v>
      </c>
      <c r="H532" s="132">
        <v>316.43</v>
      </c>
      <c r="I532" s="133"/>
      <c r="J532" s="134">
        <f>ROUND(I532*H532,2)</f>
        <v>0</v>
      </c>
      <c r="K532" s="130" t="s">
        <v>343</v>
      </c>
      <c r="L532" s="17"/>
      <c r="M532" s="135"/>
      <c r="N532" s="136" t="s">
        <v>45</v>
      </c>
      <c r="P532" s="137">
        <f>O532*H532</f>
        <v>0</v>
      </c>
      <c r="Q532" s="137">
        <v>4.2999999999999999E-4</v>
      </c>
      <c r="R532" s="137">
        <f>Q532*H532</f>
        <v>0.13606489999999999</v>
      </c>
      <c r="S532" s="137">
        <v>0</v>
      </c>
      <c r="T532" s="138">
        <f>S532*H532</f>
        <v>0</v>
      </c>
      <c r="AR532" s="139" t="s">
        <v>496</v>
      </c>
      <c r="AT532" s="139" t="s">
        <v>339</v>
      </c>
      <c r="AU532" s="139" t="s">
        <v>90</v>
      </c>
      <c r="AY532" s="2" t="s">
        <v>337</v>
      </c>
      <c r="BE532" s="140">
        <f>IF(N532="základní",J532,0)</f>
        <v>0</v>
      </c>
      <c r="BF532" s="140">
        <f>IF(N532="snížená",J532,0)</f>
        <v>0</v>
      </c>
      <c r="BG532" s="140">
        <f>IF(N532="zákl. přenesená",J532,0)</f>
        <v>0</v>
      </c>
      <c r="BH532" s="140">
        <f>IF(N532="sníž. přenesená",J532,0)</f>
        <v>0</v>
      </c>
      <c r="BI532" s="140">
        <f>IF(N532="nulová",J532,0)</f>
        <v>0</v>
      </c>
      <c r="BJ532" s="2" t="s">
        <v>87</v>
      </c>
      <c r="BK532" s="140">
        <f>ROUND(I532*H532,2)</f>
        <v>0</v>
      </c>
      <c r="BL532" s="2" t="s">
        <v>496</v>
      </c>
      <c r="BM532" s="139" t="s">
        <v>4350</v>
      </c>
    </row>
    <row r="533" spans="2:65" s="141" customFormat="1" x14ac:dyDescent="0.2">
      <c r="B533" s="142"/>
      <c r="D533" s="143" t="s">
        <v>346</v>
      </c>
      <c r="E533" s="144"/>
      <c r="F533" s="145" t="s">
        <v>4351</v>
      </c>
      <c r="H533" s="144"/>
      <c r="L533" s="142"/>
      <c r="M533" s="146"/>
      <c r="T533" s="147"/>
      <c r="AT533" s="144" t="s">
        <v>346</v>
      </c>
      <c r="AU533" s="144" t="s">
        <v>90</v>
      </c>
      <c r="AV533" s="141" t="s">
        <v>87</v>
      </c>
      <c r="AW533" s="141" t="s">
        <v>33</v>
      </c>
      <c r="AX533" s="141" t="s">
        <v>80</v>
      </c>
      <c r="AY533" s="144" t="s">
        <v>337</v>
      </c>
    </row>
    <row r="534" spans="2:65" s="148" customFormat="1" x14ac:dyDescent="0.2">
      <c r="B534" s="149"/>
      <c r="D534" s="143" t="s">
        <v>346</v>
      </c>
      <c r="E534" s="150"/>
      <c r="F534" s="151" t="s">
        <v>4352</v>
      </c>
      <c r="H534" s="152">
        <v>14.4</v>
      </c>
      <c r="L534" s="149"/>
      <c r="M534" s="153"/>
      <c r="T534" s="154"/>
      <c r="AT534" s="150" t="s">
        <v>346</v>
      </c>
      <c r="AU534" s="150" t="s">
        <v>90</v>
      </c>
      <c r="AV534" s="148" t="s">
        <v>90</v>
      </c>
      <c r="AW534" s="148" t="s">
        <v>33</v>
      </c>
      <c r="AX534" s="148" t="s">
        <v>80</v>
      </c>
      <c r="AY534" s="150" t="s">
        <v>337</v>
      </c>
    </row>
    <row r="535" spans="2:65" s="141" customFormat="1" x14ac:dyDescent="0.2">
      <c r="B535" s="142"/>
      <c r="D535" s="143" t="s">
        <v>346</v>
      </c>
      <c r="E535" s="144"/>
      <c r="F535" s="145" t="s">
        <v>4353</v>
      </c>
      <c r="H535" s="144"/>
      <c r="L535" s="142"/>
      <c r="M535" s="146"/>
      <c r="T535" s="147"/>
      <c r="AT535" s="144" t="s">
        <v>346</v>
      </c>
      <c r="AU535" s="144" t="s">
        <v>90</v>
      </c>
      <c r="AV535" s="141" t="s">
        <v>87</v>
      </c>
      <c r="AW535" s="141" t="s">
        <v>33</v>
      </c>
      <c r="AX535" s="141" t="s">
        <v>80</v>
      </c>
      <c r="AY535" s="144" t="s">
        <v>337</v>
      </c>
    </row>
    <row r="536" spans="2:65" s="148" customFormat="1" x14ac:dyDescent="0.2">
      <c r="B536" s="149"/>
      <c r="D536" s="143" t="s">
        <v>346</v>
      </c>
      <c r="E536" s="150"/>
      <c r="F536" s="151" t="s">
        <v>4354</v>
      </c>
      <c r="H536" s="152">
        <v>244.75</v>
      </c>
      <c r="L536" s="149"/>
      <c r="M536" s="153"/>
      <c r="T536" s="154"/>
      <c r="AT536" s="150" t="s">
        <v>346</v>
      </c>
      <c r="AU536" s="150" t="s">
        <v>90</v>
      </c>
      <c r="AV536" s="148" t="s">
        <v>90</v>
      </c>
      <c r="AW536" s="148" t="s">
        <v>33</v>
      </c>
      <c r="AX536" s="148" t="s">
        <v>80</v>
      </c>
      <c r="AY536" s="150" t="s">
        <v>337</v>
      </c>
    </row>
    <row r="537" spans="2:65" s="141" customFormat="1" x14ac:dyDescent="0.2">
      <c r="B537" s="142"/>
      <c r="D537" s="143" t="s">
        <v>346</v>
      </c>
      <c r="E537" s="144"/>
      <c r="F537" s="145" t="s">
        <v>4355</v>
      </c>
      <c r="H537" s="144"/>
      <c r="L537" s="142"/>
      <c r="M537" s="146"/>
      <c r="T537" s="147"/>
      <c r="AT537" s="144" t="s">
        <v>346</v>
      </c>
      <c r="AU537" s="144" t="s">
        <v>90</v>
      </c>
      <c r="AV537" s="141" t="s">
        <v>87</v>
      </c>
      <c r="AW537" s="141" t="s">
        <v>33</v>
      </c>
      <c r="AX537" s="141" t="s">
        <v>80</v>
      </c>
      <c r="AY537" s="144" t="s">
        <v>337</v>
      </c>
    </row>
    <row r="538" spans="2:65" s="148" customFormat="1" x14ac:dyDescent="0.2">
      <c r="B538" s="149"/>
      <c r="D538" s="143" t="s">
        <v>346</v>
      </c>
      <c r="E538" s="150"/>
      <c r="F538" s="151" t="s">
        <v>4356</v>
      </c>
      <c r="H538" s="152">
        <v>43.78</v>
      </c>
      <c r="L538" s="149"/>
      <c r="M538" s="153"/>
      <c r="T538" s="154"/>
      <c r="AT538" s="150" t="s">
        <v>346</v>
      </c>
      <c r="AU538" s="150" t="s">
        <v>90</v>
      </c>
      <c r="AV538" s="148" t="s">
        <v>90</v>
      </c>
      <c r="AW538" s="148" t="s">
        <v>33</v>
      </c>
      <c r="AX538" s="148" t="s">
        <v>80</v>
      </c>
      <c r="AY538" s="150" t="s">
        <v>337</v>
      </c>
    </row>
    <row r="539" spans="2:65" s="148" customFormat="1" x14ac:dyDescent="0.2">
      <c r="B539" s="149"/>
      <c r="D539" s="143" t="s">
        <v>346</v>
      </c>
      <c r="E539" s="150"/>
      <c r="F539" s="151" t="s">
        <v>4357</v>
      </c>
      <c r="H539" s="152">
        <v>13.5</v>
      </c>
      <c r="L539" s="149"/>
      <c r="M539" s="153"/>
      <c r="T539" s="154"/>
      <c r="AT539" s="150" t="s">
        <v>346</v>
      </c>
      <c r="AU539" s="150" t="s">
        <v>90</v>
      </c>
      <c r="AV539" s="148" t="s">
        <v>90</v>
      </c>
      <c r="AW539" s="148" t="s">
        <v>33</v>
      </c>
      <c r="AX539" s="148" t="s">
        <v>80</v>
      </c>
      <c r="AY539" s="150" t="s">
        <v>337</v>
      </c>
    </row>
    <row r="540" spans="2:65" s="172" customFormat="1" x14ac:dyDescent="0.2">
      <c r="B540" s="173"/>
      <c r="D540" s="143" t="s">
        <v>346</v>
      </c>
      <c r="E540" s="174" t="s">
        <v>4009</v>
      </c>
      <c r="F540" s="175" t="s">
        <v>609</v>
      </c>
      <c r="H540" s="176">
        <v>316.43</v>
      </c>
      <c r="L540" s="173"/>
      <c r="M540" s="177"/>
      <c r="T540" s="178"/>
      <c r="AT540" s="174" t="s">
        <v>346</v>
      </c>
      <c r="AU540" s="174" t="s">
        <v>90</v>
      </c>
      <c r="AV540" s="172" t="s">
        <v>113</v>
      </c>
      <c r="AW540" s="172" t="s">
        <v>33</v>
      </c>
      <c r="AX540" s="172" t="s">
        <v>87</v>
      </c>
      <c r="AY540" s="174" t="s">
        <v>337</v>
      </c>
    </row>
    <row r="541" spans="2:65" s="16" customFormat="1" ht="24.2" customHeight="1" x14ac:dyDescent="0.2">
      <c r="B541" s="17"/>
      <c r="C541" s="128">
        <v>53</v>
      </c>
      <c r="D541" s="128" t="s">
        <v>339</v>
      </c>
      <c r="E541" s="129" t="s">
        <v>4358</v>
      </c>
      <c r="F541" s="130" t="s">
        <v>4359</v>
      </c>
      <c r="G541" s="131" t="s">
        <v>724</v>
      </c>
      <c r="H541" s="132">
        <v>14.4</v>
      </c>
      <c r="I541" s="133"/>
      <c r="J541" s="134">
        <f>ROUND(I541*H541,2)</f>
        <v>0</v>
      </c>
      <c r="K541" s="130" t="s">
        <v>343</v>
      </c>
      <c r="L541" s="17"/>
      <c r="M541" s="135"/>
      <c r="N541" s="136" t="s">
        <v>45</v>
      </c>
      <c r="P541" s="137">
        <f>O541*H541</f>
        <v>0</v>
      </c>
      <c r="Q541" s="137">
        <v>4.2999999999999999E-4</v>
      </c>
      <c r="R541" s="137">
        <f>Q541*H541</f>
        <v>6.1919999999999996E-3</v>
      </c>
      <c r="S541" s="137">
        <v>0</v>
      </c>
      <c r="T541" s="138">
        <f>S541*H541</f>
        <v>0</v>
      </c>
      <c r="AR541" s="139" t="s">
        <v>496</v>
      </c>
      <c r="AT541" s="139" t="s">
        <v>339</v>
      </c>
      <c r="AU541" s="139" t="s">
        <v>90</v>
      </c>
      <c r="AY541" s="2" t="s">
        <v>337</v>
      </c>
      <c r="BE541" s="140">
        <f>IF(N541="základní",J541,0)</f>
        <v>0</v>
      </c>
      <c r="BF541" s="140">
        <f>IF(N541="snížená",J541,0)</f>
        <v>0</v>
      </c>
      <c r="BG541" s="140">
        <f>IF(N541="zákl. přenesená",J541,0)</f>
        <v>0</v>
      </c>
      <c r="BH541" s="140">
        <f>IF(N541="sníž. přenesená",J541,0)</f>
        <v>0</v>
      </c>
      <c r="BI541" s="140">
        <f>IF(N541="nulová",J541,0)</f>
        <v>0</v>
      </c>
      <c r="BJ541" s="2" t="s">
        <v>87</v>
      </c>
      <c r="BK541" s="140">
        <f>ROUND(I541*H541,2)</f>
        <v>0</v>
      </c>
      <c r="BL541" s="2" t="s">
        <v>496</v>
      </c>
      <c r="BM541" s="139" t="s">
        <v>4360</v>
      </c>
    </row>
    <row r="542" spans="2:65" s="141" customFormat="1" x14ac:dyDescent="0.2">
      <c r="B542" s="142"/>
      <c r="D542" s="143" t="s">
        <v>346</v>
      </c>
      <c r="E542" s="144"/>
      <c r="F542" s="145" t="s">
        <v>4344</v>
      </c>
      <c r="H542" s="144"/>
      <c r="L542" s="142"/>
      <c r="M542" s="146"/>
      <c r="T542" s="147"/>
      <c r="AT542" s="144" t="s">
        <v>346</v>
      </c>
      <c r="AU542" s="144" t="s">
        <v>90</v>
      </c>
      <c r="AV542" s="141" t="s">
        <v>87</v>
      </c>
      <c r="AW542" s="141" t="s">
        <v>33</v>
      </c>
      <c r="AX542" s="141" t="s">
        <v>80</v>
      </c>
      <c r="AY542" s="144" t="s">
        <v>337</v>
      </c>
    </row>
    <row r="543" spans="2:65" s="148" customFormat="1" x14ac:dyDescent="0.2">
      <c r="B543" s="149"/>
      <c r="D543" s="143" t="s">
        <v>346</v>
      </c>
      <c r="E543" s="150"/>
      <c r="F543" s="151" t="s">
        <v>4352</v>
      </c>
      <c r="H543" s="152">
        <v>14.4</v>
      </c>
      <c r="L543" s="149"/>
      <c r="M543" s="153"/>
      <c r="T543" s="154"/>
      <c r="AT543" s="150" t="s">
        <v>346</v>
      </c>
      <c r="AU543" s="150" t="s">
        <v>90</v>
      </c>
      <c r="AV543" s="148" t="s">
        <v>90</v>
      </c>
      <c r="AW543" s="148" t="s">
        <v>33</v>
      </c>
      <c r="AX543" s="148" t="s">
        <v>80</v>
      </c>
      <c r="AY543" s="150" t="s">
        <v>337</v>
      </c>
    </row>
    <row r="544" spans="2:65" s="172" customFormat="1" x14ac:dyDescent="0.2">
      <c r="B544" s="173"/>
      <c r="D544" s="143" t="s">
        <v>346</v>
      </c>
      <c r="E544" s="174" t="s">
        <v>4011</v>
      </c>
      <c r="F544" s="175" t="s">
        <v>609</v>
      </c>
      <c r="H544" s="176">
        <v>14.4</v>
      </c>
      <c r="L544" s="173"/>
      <c r="M544" s="177"/>
      <c r="T544" s="178"/>
      <c r="AT544" s="174" t="s">
        <v>346</v>
      </c>
      <c r="AU544" s="174" t="s">
        <v>90</v>
      </c>
      <c r="AV544" s="172" t="s">
        <v>113</v>
      </c>
      <c r="AW544" s="172" t="s">
        <v>33</v>
      </c>
      <c r="AX544" s="172" t="s">
        <v>87</v>
      </c>
      <c r="AY544" s="174" t="s">
        <v>337</v>
      </c>
    </row>
    <row r="545" spans="2:65" s="16" customFormat="1" ht="16.5" customHeight="1" x14ac:dyDescent="0.2">
      <c r="B545" s="17"/>
      <c r="C545" s="162">
        <v>54</v>
      </c>
      <c r="D545" s="162" t="s">
        <v>519</v>
      </c>
      <c r="E545" s="163" t="s">
        <v>4361</v>
      </c>
      <c r="F545" s="164" t="s">
        <v>4362</v>
      </c>
      <c r="G545" s="165" t="s">
        <v>724</v>
      </c>
      <c r="H545" s="166">
        <v>348.07299999999998</v>
      </c>
      <c r="I545" s="167"/>
      <c r="J545" s="168">
        <f>ROUND(I545*H545,2)</f>
        <v>0</v>
      </c>
      <c r="K545" s="164"/>
      <c r="L545" s="169"/>
      <c r="M545" s="170"/>
      <c r="N545" s="171" t="s">
        <v>45</v>
      </c>
      <c r="P545" s="137">
        <f>O545*H545</f>
        <v>0</v>
      </c>
      <c r="Q545" s="137">
        <v>2.64E-3</v>
      </c>
      <c r="R545" s="137">
        <f>Q545*H545</f>
        <v>0.91891271999999991</v>
      </c>
      <c r="S545" s="137">
        <v>0</v>
      </c>
      <c r="T545" s="138">
        <f>S545*H545</f>
        <v>0</v>
      </c>
      <c r="AR545" s="139" t="s">
        <v>621</v>
      </c>
      <c r="AT545" s="139" t="s">
        <v>519</v>
      </c>
      <c r="AU545" s="139" t="s">
        <v>90</v>
      </c>
      <c r="AY545" s="2" t="s">
        <v>337</v>
      </c>
      <c r="BE545" s="140">
        <f>IF(N545="základní",J545,0)</f>
        <v>0</v>
      </c>
      <c r="BF545" s="140">
        <f>IF(N545="snížená",J545,0)</f>
        <v>0</v>
      </c>
      <c r="BG545" s="140">
        <f>IF(N545="zákl. přenesená",J545,0)</f>
        <v>0</v>
      </c>
      <c r="BH545" s="140">
        <f>IF(N545="sníž. přenesená",J545,0)</f>
        <v>0</v>
      </c>
      <c r="BI545" s="140">
        <f>IF(N545="nulová",J545,0)</f>
        <v>0</v>
      </c>
      <c r="BJ545" s="2" t="s">
        <v>87</v>
      </c>
      <c r="BK545" s="140">
        <f>ROUND(I545*H545,2)</f>
        <v>0</v>
      </c>
      <c r="BL545" s="2" t="s">
        <v>496</v>
      </c>
      <c r="BM545" s="139" t="s">
        <v>4363</v>
      </c>
    </row>
    <row r="546" spans="2:65" s="148" customFormat="1" x14ac:dyDescent="0.2">
      <c r="B546" s="149"/>
      <c r="D546" s="143" t="s">
        <v>346</v>
      </c>
      <c r="E546" s="150"/>
      <c r="F546" s="151" t="s">
        <v>4009</v>
      </c>
      <c r="H546" s="152">
        <v>316.43</v>
      </c>
      <c r="L546" s="149"/>
      <c r="M546" s="153"/>
      <c r="T546" s="154"/>
      <c r="AT546" s="150" t="s">
        <v>346</v>
      </c>
      <c r="AU546" s="150" t="s">
        <v>90</v>
      </c>
      <c r="AV546" s="148" t="s">
        <v>90</v>
      </c>
      <c r="AW546" s="148" t="s">
        <v>33</v>
      </c>
      <c r="AX546" s="148" t="s">
        <v>87</v>
      </c>
      <c r="AY546" s="150" t="s">
        <v>337</v>
      </c>
    </row>
    <row r="547" spans="2:65" s="148" customFormat="1" x14ac:dyDescent="0.2">
      <c r="B547" s="149"/>
      <c r="D547" s="143" t="s">
        <v>346</v>
      </c>
      <c r="F547" s="151" t="s">
        <v>4364</v>
      </c>
      <c r="H547" s="152">
        <v>348.07299999999998</v>
      </c>
      <c r="L547" s="149"/>
      <c r="M547" s="153"/>
      <c r="T547" s="154"/>
      <c r="AT547" s="150" t="s">
        <v>346</v>
      </c>
      <c r="AU547" s="150" t="s">
        <v>90</v>
      </c>
      <c r="AV547" s="148" t="s">
        <v>90</v>
      </c>
      <c r="AW547" s="148" t="s">
        <v>3</v>
      </c>
      <c r="AX547" s="148" t="s">
        <v>87</v>
      </c>
      <c r="AY547" s="150" t="s">
        <v>337</v>
      </c>
    </row>
    <row r="548" spans="2:65" s="16" customFormat="1" ht="16.5" customHeight="1" x14ac:dyDescent="0.2">
      <c r="B548" s="17"/>
      <c r="C548" s="162">
        <v>55</v>
      </c>
      <c r="D548" s="162" t="s">
        <v>519</v>
      </c>
      <c r="E548" s="163" t="s">
        <v>4365</v>
      </c>
      <c r="F548" s="164" t="s">
        <v>4366</v>
      </c>
      <c r="G548" s="165" t="s">
        <v>724</v>
      </c>
      <c r="H548" s="166">
        <v>69.474999999999994</v>
      </c>
      <c r="I548" s="167"/>
      <c r="J548" s="168">
        <f>ROUND(I548*H548,2)</f>
        <v>0</v>
      </c>
      <c r="K548" s="164"/>
      <c r="L548" s="169"/>
      <c r="M548" s="170"/>
      <c r="N548" s="171" t="s">
        <v>45</v>
      </c>
      <c r="P548" s="137">
        <f>O548*H548</f>
        <v>0</v>
      </c>
      <c r="Q548" s="137">
        <v>2.64E-3</v>
      </c>
      <c r="R548" s="137">
        <f>Q548*H548</f>
        <v>0.18341399999999999</v>
      </c>
      <c r="S548" s="137">
        <v>0</v>
      </c>
      <c r="T548" s="138">
        <f>S548*H548</f>
        <v>0</v>
      </c>
      <c r="AR548" s="139" t="s">
        <v>621</v>
      </c>
      <c r="AT548" s="139" t="s">
        <v>519</v>
      </c>
      <c r="AU548" s="139" t="s">
        <v>90</v>
      </c>
      <c r="AY548" s="2" t="s">
        <v>337</v>
      </c>
      <c r="BE548" s="140">
        <f>IF(N548="základní",J548,0)</f>
        <v>0</v>
      </c>
      <c r="BF548" s="140">
        <f>IF(N548="snížená",J548,0)</f>
        <v>0</v>
      </c>
      <c r="BG548" s="140">
        <f>IF(N548="zákl. přenesená",J548,0)</f>
        <v>0</v>
      </c>
      <c r="BH548" s="140">
        <f>IF(N548="sníž. přenesená",J548,0)</f>
        <v>0</v>
      </c>
      <c r="BI548" s="140">
        <f>IF(N548="nulová",J548,0)</f>
        <v>0</v>
      </c>
      <c r="BJ548" s="2" t="s">
        <v>87</v>
      </c>
      <c r="BK548" s="140">
        <f>ROUND(I548*H548,2)</f>
        <v>0</v>
      </c>
      <c r="BL548" s="2" t="s">
        <v>496</v>
      </c>
      <c r="BM548" s="139" t="s">
        <v>4367</v>
      </c>
    </row>
    <row r="549" spans="2:65" s="148" customFormat="1" x14ac:dyDescent="0.2">
      <c r="B549" s="149"/>
      <c r="D549" s="143" t="s">
        <v>346</v>
      </c>
      <c r="E549" s="150"/>
      <c r="F549" s="151" t="s">
        <v>4007</v>
      </c>
      <c r="H549" s="152">
        <v>48.759</v>
      </c>
      <c r="L549" s="149"/>
      <c r="M549" s="153"/>
      <c r="T549" s="154"/>
      <c r="AT549" s="150" t="s">
        <v>346</v>
      </c>
      <c r="AU549" s="150" t="s">
        <v>90</v>
      </c>
      <c r="AV549" s="148" t="s">
        <v>90</v>
      </c>
      <c r="AW549" s="148" t="s">
        <v>33</v>
      </c>
      <c r="AX549" s="148" t="s">
        <v>80</v>
      </c>
      <c r="AY549" s="150" t="s">
        <v>337</v>
      </c>
    </row>
    <row r="550" spans="2:65" s="148" customFormat="1" x14ac:dyDescent="0.2">
      <c r="B550" s="149"/>
      <c r="D550" s="143" t="s">
        <v>346</v>
      </c>
      <c r="E550" s="150"/>
      <c r="F550" s="151" t="s">
        <v>4011</v>
      </c>
      <c r="H550" s="152">
        <v>14.4</v>
      </c>
      <c r="L550" s="149"/>
      <c r="M550" s="153"/>
      <c r="T550" s="154"/>
      <c r="AT550" s="150" t="s">
        <v>346</v>
      </c>
      <c r="AU550" s="150" t="s">
        <v>90</v>
      </c>
      <c r="AV550" s="148" t="s">
        <v>90</v>
      </c>
      <c r="AW550" s="148" t="s">
        <v>33</v>
      </c>
      <c r="AX550" s="148" t="s">
        <v>80</v>
      </c>
      <c r="AY550" s="150" t="s">
        <v>337</v>
      </c>
    </row>
    <row r="551" spans="2:65" s="155" customFormat="1" x14ac:dyDescent="0.2">
      <c r="B551" s="156"/>
      <c r="D551" s="143" t="s">
        <v>346</v>
      </c>
      <c r="E551" s="157"/>
      <c r="F551" s="158" t="s">
        <v>351</v>
      </c>
      <c r="H551" s="159">
        <v>63.158999999999999</v>
      </c>
      <c r="L551" s="156"/>
      <c r="M551" s="160"/>
      <c r="T551" s="161"/>
      <c r="AT551" s="157" t="s">
        <v>346</v>
      </c>
      <c r="AU551" s="157" t="s">
        <v>90</v>
      </c>
      <c r="AV551" s="155" t="s">
        <v>344</v>
      </c>
      <c r="AW551" s="155" t="s">
        <v>33</v>
      </c>
      <c r="AX551" s="155" t="s">
        <v>87</v>
      </c>
      <c r="AY551" s="157" t="s">
        <v>337</v>
      </c>
    </row>
    <row r="552" spans="2:65" s="148" customFormat="1" x14ac:dyDescent="0.2">
      <c r="B552" s="149"/>
      <c r="D552" s="143" t="s">
        <v>346</v>
      </c>
      <c r="F552" s="151" t="s">
        <v>4368</v>
      </c>
      <c r="H552" s="152">
        <v>69.474999999999994</v>
      </c>
      <c r="L552" s="149"/>
      <c r="M552" s="153"/>
      <c r="T552" s="154"/>
      <c r="AT552" s="150" t="s">
        <v>346</v>
      </c>
      <c r="AU552" s="150" t="s">
        <v>90</v>
      </c>
      <c r="AV552" s="148" t="s">
        <v>90</v>
      </c>
      <c r="AW552" s="148" t="s">
        <v>3</v>
      </c>
      <c r="AX552" s="148" t="s">
        <v>87</v>
      </c>
      <c r="AY552" s="150" t="s">
        <v>337</v>
      </c>
    </row>
    <row r="553" spans="2:65" s="16" customFormat="1" ht="16.5" customHeight="1" x14ac:dyDescent="0.2">
      <c r="B553" s="17"/>
      <c r="C553" s="128">
        <v>56</v>
      </c>
      <c r="D553" s="128" t="s">
        <v>339</v>
      </c>
      <c r="E553" s="129" t="s">
        <v>2264</v>
      </c>
      <c r="F553" s="130" t="s">
        <v>2265</v>
      </c>
      <c r="G553" s="131" t="s">
        <v>724</v>
      </c>
      <c r="H553" s="132">
        <v>379.589</v>
      </c>
      <c r="I553" s="133"/>
      <c r="J553" s="134">
        <f>ROUND(I553*H553,2)</f>
        <v>0</v>
      </c>
      <c r="K553" s="130" t="s">
        <v>343</v>
      </c>
      <c r="L553" s="17"/>
      <c r="M553" s="135"/>
      <c r="N553" s="136" t="s">
        <v>45</v>
      </c>
      <c r="P553" s="137">
        <f>O553*H553</f>
        <v>0</v>
      </c>
      <c r="Q553" s="137">
        <v>1.8000000000000001E-4</v>
      </c>
      <c r="R553" s="137">
        <f>Q553*H553</f>
        <v>6.8326020000000001E-2</v>
      </c>
      <c r="S553" s="137">
        <v>0</v>
      </c>
      <c r="T553" s="138">
        <f>S553*H553</f>
        <v>0</v>
      </c>
      <c r="AR553" s="139" t="s">
        <v>496</v>
      </c>
      <c r="AT553" s="139" t="s">
        <v>339</v>
      </c>
      <c r="AU553" s="139" t="s">
        <v>90</v>
      </c>
      <c r="AY553" s="2" t="s">
        <v>337</v>
      </c>
      <c r="BE553" s="140">
        <f>IF(N553="základní",J553,0)</f>
        <v>0</v>
      </c>
      <c r="BF553" s="140">
        <f>IF(N553="snížená",J553,0)</f>
        <v>0</v>
      </c>
      <c r="BG553" s="140">
        <f>IF(N553="zákl. přenesená",J553,0)</f>
        <v>0</v>
      </c>
      <c r="BH553" s="140">
        <f>IF(N553="sníž. přenesená",J553,0)</f>
        <v>0</v>
      </c>
      <c r="BI553" s="140">
        <f>IF(N553="nulová",J553,0)</f>
        <v>0</v>
      </c>
      <c r="BJ553" s="2" t="s">
        <v>87</v>
      </c>
      <c r="BK553" s="140">
        <f>ROUND(I553*H553,2)</f>
        <v>0</v>
      </c>
      <c r="BL553" s="2" t="s">
        <v>496</v>
      </c>
      <c r="BM553" s="139" t="s">
        <v>4369</v>
      </c>
    </row>
    <row r="554" spans="2:65" s="141" customFormat="1" x14ac:dyDescent="0.2">
      <c r="B554" s="142"/>
      <c r="D554" s="143" t="s">
        <v>346</v>
      </c>
      <c r="E554" s="144"/>
      <c r="F554" s="145" t="s">
        <v>2267</v>
      </c>
      <c r="H554" s="144"/>
      <c r="L554" s="142"/>
      <c r="M554" s="146"/>
      <c r="T554" s="147"/>
      <c r="AT554" s="144" t="s">
        <v>346</v>
      </c>
      <c r="AU554" s="144" t="s">
        <v>90</v>
      </c>
      <c r="AV554" s="141" t="s">
        <v>87</v>
      </c>
      <c r="AW554" s="141" t="s">
        <v>33</v>
      </c>
      <c r="AX554" s="141" t="s">
        <v>80</v>
      </c>
      <c r="AY554" s="144" t="s">
        <v>337</v>
      </c>
    </row>
    <row r="555" spans="2:65" s="148" customFormat="1" x14ac:dyDescent="0.2">
      <c r="B555" s="149"/>
      <c r="D555" s="143" t="s">
        <v>346</v>
      </c>
      <c r="E555" s="150"/>
      <c r="F555" s="151" t="s">
        <v>4009</v>
      </c>
      <c r="H555" s="152">
        <v>316.43</v>
      </c>
      <c r="L555" s="149"/>
      <c r="M555" s="153"/>
      <c r="T555" s="154"/>
      <c r="AT555" s="150" t="s">
        <v>346</v>
      </c>
      <c r="AU555" s="150" t="s">
        <v>90</v>
      </c>
      <c r="AV555" s="148" t="s">
        <v>90</v>
      </c>
      <c r="AW555" s="148" t="s">
        <v>33</v>
      </c>
      <c r="AX555" s="148" t="s">
        <v>80</v>
      </c>
      <c r="AY555" s="150" t="s">
        <v>337</v>
      </c>
    </row>
    <row r="556" spans="2:65" s="148" customFormat="1" x14ac:dyDescent="0.2">
      <c r="B556" s="149"/>
      <c r="D556" s="143" t="s">
        <v>346</v>
      </c>
      <c r="E556" s="150"/>
      <c r="F556" s="151" t="s">
        <v>4007</v>
      </c>
      <c r="H556" s="152">
        <v>48.759</v>
      </c>
      <c r="L556" s="149"/>
      <c r="M556" s="153"/>
      <c r="T556" s="154"/>
      <c r="AT556" s="150" t="s">
        <v>346</v>
      </c>
      <c r="AU556" s="150" t="s">
        <v>90</v>
      </c>
      <c r="AV556" s="148" t="s">
        <v>90</v>
      </c>
      <c r="AW556" s="148" t="s">
        <v>33</v>
      </c>
      <c r="AX556" s="148" t="s">
        <v>80</v>
      </c>
      <c r="AY556" s="150" t="s">
        <v>337</v>
      </c>
    </row>
    <row r="557" spans="2:65" s="148" customFormat="1" x14ac:dyDescent="0.2">
      <c r="B557" s="149"/>
      <c r="D557" s="143" t="s">
        <v>346</v>
      </c>
      <c r="E557" s="150"/>
      <c r="F557" s="151" t="s">
        <v>4011</v>
      </c>
      <c r="H557" s="152">
        <v>14.4</v>
      </c>
      <c r="L557" s="149"/>
      <c r="M557" s="153"/>
      <c r="T557" s="154"/>
      <c r="AT557" s="150" t="s">
        <v>346</v>
      </c>
      <c r="AU557" s="150" t="s">
        <v>90</v>
      </c>
      <c r="AV557" s="148" t="s">
        <v>90</v>
      </c>
      <c r="AW557" s="148" t="s">
        <v>33</v>
      </c>
      <c r="AX557" s="148" t="s">
        <v>80</v>
      </c>
      <c r="AY557" s="150" t="s">
        <v>337</v>
      </c>
    </row>
    <row r="558" spans="2:65" s="155" customFormat="1" x14ac:dyDescent="0.2">
      <c r="B558" s="156"/>
      <c r="D558" s="143" t="s">
        <v>346</v>
      </c>
      <c r="E558" s="157"/>
      <c r="F558" s="158" t="s">
        <v>351</v>
      </c>
      <c r="H558" s="159">
        <v>379.589</v>
      </c>
      <c r="L558" s="156"/>
      <c r="M558" s="160"/>
      <c r="T558" s="161"/>
      <c r="AT558" s="157" t="s">
        <v>346</v>
      </c>
      <c r="AU558" s="157" t="s">
        <v>90</v>
      </c>
      <c r="AV558" s="155" t="s">
        <v>344</v>
      </c>
      <c r="AW558" s="155" t="s">
        <v>33</v>
      </c>
      <c r="AX558" s="155" t="s">
        <v>87</v>
      </c>
      <c r="AY558" s="157" t="s">
        <v>337</v>
      </c>
    </row>
    <row r="559" spans="2:65" s="16" customFormat="1" ht="16.5" customHeight="1" x14ac:dyDescent="0.2">
      <c r="B559" s="17"/>
      <c r="C559" s="162">
        <v>57</v>
      </c>
      <c r="D559" s="162" t="s">
        <v>519</v>
      </c>
      <c r="E559" s="163" t="s">
        <v>2274</v>
      </c>
      <c r="F559" s="164" t="s">
        <v>2275</v>
      </c>
      <c r="G559" s="165" t="s">
        <v>724</v>
      </c>
      <c r="H559" s="166">
        <v>398.56799999999998</v>
      </c>
      <c r="I559" s="167"/>
      <c r="J559" s="168">
        <f>ROUND(I559*H559,2)</f>
        <v>0</v>
      </c>
      <c r="K559" s="164"/>
      <c r="L559" s="169"/>
      <c r="M559" s="170"/>
      <c r="N559" s="171" t="s">
        <v>45</v>
      </c>
      <c r="P559" s="137">
        <f>O559*H559</f>
        <v>0</v>
      </c>
      <c r="Q559" s="137">
        <v>1E-4</v>
      </c>
      <c r="R559" s="137">
        <f>Q559*H559</f>
        <v>3.9856799999999998E-2</v>
      </c>
      <c r="S559" s="137">
        <v>0</v>
      </c>
      <c r="T559" s="138">
        <f>S559*H559</f>
        <v>0</v>
      </c>
      <c r="AR559" s="139" t="s">
        <v>621</v>
      </c>
      <c r="AT559" s="139" t="s">
        <v>519</v>
      </c>
      <c r="AU559" s="139" t="s">
        <v>90</v>
      </c>
      <c r="AY559" s="2" t="s">
        <v>337</v>
      </c>
      <c r="BE559" s="140">
        <f>IF(N559="základní",J559,0)</f>
        <v>0</v>
      </c>
      <c r="BF559" s="140">
        <f>IF(N559="snížená",J559,0)</f>
        <v>0</v>
      </c>
      <c r="BG559" s="140">
        <f>IF(N559="zákl. přenesená",J559,0)</f>
        <v>0</v>
      </c>
      <c r="BH559" s="140">
        <f>IF(N559="sníž. přenesená",J559,0)</f>
        <v>0</v>
      </c>
      <c r="BI559" s="140">
        <f>IF(N559="nulová",J559,0)</f>
        <v>0</v>
      </c>
      <c r="BJ559" s="2" t="s">
        <v>87</v>
      </c>
      <c r="BK559" s="140">
        <f>ROUND(I559*H559,2)</f>
        <v>0</v>
      </c>
      <c r="BL559" s="2" t="s">
        <v>496</v>
      </c>
      <c r="BM559" s="139" t="s">
        <v>4370</v>
      </c>
    </row>
    <row r="560" spans="2:65" s="148" customFormat="1" x14ac:dyDescent="0.2">
      <c r="B560" s="149"/>
      <c r="D560" s="143" t="s">
        <v>346</v>
      </c>
      <c r="F560" s="151" t="s">
        <v>4371</v>
      </c>
      <c r="H560" s="152">
        <v>398.56799999999998</v>
      </c>
      <c r="L560" s="149"/>
      <c r="M560" s="153"/>
      <c r="T560" s="154"/>
      <c r="AT560" s="150" t="s">
        <v>346</v>
      </c>
      <c r="AU560" s="150" t="s">
        <v>90</v>
      </c>
      <c r="AV560" s="148" t="s">
        <v>90</v>
      </c>
      <c r="AW560" s="148" t="s">
        <v>3</v>
      </c>
      <c r="AX560" s="148" t="s">
        <v>87</v>
      </c>
      <c r="AY560" s="150" t="s">
        <v>337</v>
      </c>
    </row>
    <row r="561" spans="2:65" s="16" customFormat="1" ht="16.5" customHeight="1" x14ac:dyDescent="0.2">
      <c r="B561" s="17"/>
      <c r="C561" s="128">
        <v>58</v>
      </c>
      <c r="D561" s="128" t="s">
        <v>339</v>
      </c>
      <c r="E561" s="129" t="s">
        <v>4372</v>
      </c>
      <c r="F561" s="130" t="s">
        <v>4373</v>
      </c>
      <c r="G561" s="131" t="s">
        <v>425</v>
      </c>
      <c r="H561" s="132">
        <v>190.62100000000001</v>
      </c>
      <c r="I561" s="133"/>
      <c r="J561" s="134">
        <f>ROUND(I561*H561,2)</f>
        <v>0</v>
      </c>
      <c r="K561" s="130" t="s">
        <v>343</v>
      </c>
      <c r="L561" s="17"/>
      <c r="M561" s="135"/>
      <c r="N561" s="136" t="s">
        <v>45</v>
      </c>
      <c r="P561" s="137">
        <f>O561*H561</f>
        <v>0</v>
      </c>
      <c r="Q561" s="137">
        <v>1.6000000000000001E-3</v>
      </c>
      <c r="R561" s="137">
        <f>Q561*H561</f>
        <v>0.30499360000000003</v>
      </c>
      <c r="S561" s="137">
        <v>0</v>
      </c>
      <c r="T561" s="138">
        <f>S561*H561</f>
        <v>0</v>
      </c>
      <c r="AR561" s="139" t="s">
        <v>496</v>
      </c>
      <c r="AT561" s="139" t="s">
        <v>339</v>
      </c>
      <c r="AU561" s="139" t="s">
        <v>90</v>
      </c>
      <c r="AY561" s="2" t="s">
        <v>337</v>
      </c>
      <c r="BE561" s="140">
        <f>IF(N561="základní",J561,0)</f>
        <v>0</v>
      </c>
      <c r="BF561" s="140">
        <f>IF(N561="snížená",J561,0)</f>
        <v>0</v>
      </c>
      <c r="BG561" s="140">
        <f>IF(N561="zákl. přenesená",J561,0)</f>
        <v>0</v>
      </c>
      <c r="BH561" s="140">
        <f>IF(N561="sníž. přenesená",J561,0)</f>
        <v>0</v>
      </c>
      <c r="BI561" s="140">
        <f>IF(N561="nulová",J561,0)</f>
        <v>0</v>
      </c>
      <c r="BJ561" s="2" t="s">
        <v>87</v>
      </c>
      <c r="BK561" s="140">
        <f>ROUND(I561*H561,2)</f>
        <v>0</v>
      </c>
      <c r="BL561" s="2" t="s">
        <v>496</v>
      </c>
      <c r="BM561" s="139" t="s">
        <v>4374</v>
      </c>
    </row>
    <row r="562" spans="2:65" s="141" customFormat="1" x14ac:dyDescent="0.2">
      <c r="B562" s="142"/>
      <c r="D562" s="143" t="s">
        <v>346</v>
      </c>
      <c r="E562" s="144"/>
      <c r="F562" s="145" t="s">
        <v>4326</v>
      </c>
      <c r="H562" s="144"/>
      <c r="L562" s="142"/>
      <c r="M562" s="146"/>
      <c r="T562" s="147"/>
      <c r="AT562" s="144" t="s">
        <v>346</v>
      </c>
      <c r="AU562" s="144" t="s">
        <v>90</v>
      </c>
      <c r="AV562" s="141" t="s">
        <v>87</v>
      </c>
      <c r="AW562" s="141" t="s">
        <v>33</v>
      </c>
      <c r="AX562" s="141" t="s">
        <v>80</v>
      </c>
      <c r="AY562" s="144" t="s">
        <v>337</v>
      </c>
    </row>
    <row r="563" spans="2:65" s="141" customFormat="1" x14ac:dyDescent="0.2">
      <c r="B563" s="142"/>
      <c r="D563" s="143" t="s">
        <v>346</v>
      </c>
      <c r="E563" s="144"/>
      <c r="F563" s="145" t="s">
        <v>4327</v>
      </c>
      <c r="H563" s="144"/>
      <c r="L563" s="142"/>
      <c r="M563" s="146"/>
      <c r="T563" s="147"/>
      <c r="AT563" s="144" t="s">
        <v>346</v>
      </c>
      <c r="AU563" s="144" t="s">
        <v>90</v>
      </c>
      <c r="AV563" s="141" t="s">
        <v>87</v>
      </c>
      <c r="AW563" s="141" t="s">
        <v>33</v>
      </c>
      <c r="AX563" s="141" t="s">
        <v>80</v>
      </c>
      <c r="AY563" s="144" t="s">
        <v>337</v>
      </c>
    </row>
    <row r="564" spans="2:65" s="141" customFormat="1" x14ac:dyDescent="0.2">
      <c r="B564" s="142"/>
      <c r="D564" s="143" t="s">
        <v>346</v>
      </c>
      <c r="E564" s="144"/>
      <c r="F564" s="145" t="s">
        <v>362</v>
      </c>
      <c r="H564" s="144"/>
      <c r="L564" s="142"/>
      <c r="M564" s="146"/>
      <c r="T564" s="147"/>
      <c r="AT564" s="144" t="s">
        <v>346</v>
      </c>
      <c r="AU564" s="144" t="s">
        <v>90</v>
      </c>
      <c r="AV564" s="141" t="s">
        <v>87</v>
      </c>
      <c r="AW564" s="141" t="s">
        <v>33</v>
      </c>
      <c r="AX564" s="141" t="s">
        <v>80</v>
      </c>
      <c r="AY564" s="144" t="s">
        <v>337</v>
      </c>
    </row>
    <row r="565" spans="2:65" s="148" customFormat="1" x14ac:dyDescent="0.2">
      <c r="B565" s="149"/>
      <c r="D565" s="143" t="s">
        <v>346</v>
      </c>
      <c r="E565" s="150"/>
      <c r="F565" s="151" t="s">
        <v>4375</v>
      </c>
      <c r="H565" s="152">
        <v>32.1</v>
      </c>
      <c r="L565" s="149"/>
      <c r="M565" s="153"/>
      <c r="T565" s="154"/>
      <c r="AT565" s="150" t="s">
        <v>346</v>
      </c>
      <c r="AU565" s="150" t="s">
        <v>90</v>
      </c>
      <c r="AV565" s="148" t="s">
        <v>90</v>
      </c>
      <c r="AW565" s="148" t="s">
        <v>33</v>
      </c>
      <c r="AX565" s="148" t="s">
        <v>80</v>
      </c>
      <c r="AY565" s="150" t="s">
        <v>337</v>
      </c>
    </row>
    <row r="566" spans="2:65" s="141" customFormat="1" x14ac:dyDescent="0.2">
      <c r="B566" s="142"/>
      <c r="D566" s="143" t="s">
        <v>346</v>
      </c>
      <c r="E566" s="144"/>
      <c r="F566" s="145" t="s">
        <v>367</v>
      </c>
      <c r="H566" s="144"/>
      <c r="L566" s="142"/>
      <c r="M566" s="146"/>
      <c r="T566" s="147"/>
      <c r="AT566" s="144" t="s">
        <v>346</v>
      </c>
      <c r="AU566" s="144" t="s">
        <v>90</v>
      </c>
      <c r="AV566" s="141" t="s">
        <v>87</v>
      </c>
      <c r="AW566" s="141" t="s">
        <v>33</v>
      </c>
      <c r="AX566" s="141" t="s">
        <v>80</v>
      </c>
      <c r="AY566" s="144" t="s">
        <v>337</v>
      </c>
    </row>
    <row r="567" spans="2:65" s="148" customFormat="1" x14ac:dyDescent="0.2">
      <c r="B567" s="149"/>
      <c r="D567" s="143" t="s">
        <v>346</v>
      </c>
      <c r="E567" s="150"/>
      <c r="F567" s="151" t="s">
        <v>4376</v>
      </c>
      <c r="H567" s="152">
        <v>38.520000000000003</v>
      </c>
      <c r="L567" s="149"/>
      <c r="M567" s="153"/>
      <c r="T567" s="154"/>
      <c r="AT567" s="150" t="s">
        <v>346</v>
      </c>
      <c r="AU567" s="150" t="s">
        <v>90</v>
      </c>
      <c r="AV567" s="148" t="s">
        <v>90</v>
      </c>
      <c r="AW567" s="148" t="s">
        <v>33</v>
      </c>
      <c r="AX567" s="148" t="s">
        <v>80</v>
      </c>
      <c r="AY567" s="150" t="s">
        <v>337</v>
      </c>
    </row>
    <row r="568" spans="2:65" s="141" customFormat="1" x14ac:dyDescent="0.2">
      <c r="B568" s="142"/>
      <c r="D568" s="143" t="s">
        <v>346</v>
      </c>
      <c r="E568" s="144"/>
      <c r="F568" s="145" t="s">
        <v>368</v>
      </c>
      <c r="H568" s="144"/>
      <c r="L568" s="142"/>
      <c r="M568" s="146"/>
      <c r="T568" s="147"/>
      <c r="AT568" s="144" t="s">
        <v>346</v>
      </c>
      <c r="AU568" s="144" t="s">
        <v>90</v>
      </c>
      <c r="AV568" s="141" t="s">
        <v>87</v>
      </c>
      <c r="AW568" s="141" t="s">
        <v>33</v>
      </c>
      <c r="AX568" s="141" t="s">
        <v>80</v>
      </c>
      <c r="AY568" s="144" t="s">
        <v>337</v>
      </c>
    </row>
    <row r="569" spans="2:65" s="148" customFormat="1" x14ac:dyDescent="0.2">
      <c r="B569" s="149"/>
      <c r="D569" s="143" t="s">
        <v>346</v>
      </c>
      <c r="E569" s="150"/>
      <c r="F569" s="151" t="s">
        <v>4377</v>
      </c>
      <c r="H569" s="152">
        <v>44.94</v>
      </c>
      <c r="L569" s="149"/>
      <c r="M569" s="153"/>
      <c r="T569" s="154"/>
      <c r="AT569" s="150" t="s">
        <v>346</v>
      </c>
      <c r="AU569" s="150" t="s">
        <v>90</v>
      </c>
      <c r="AV569" s="148" t="s">
        <v>90</v>
      </c>
      <c r="AW569" s="148" t="s">
        <v>33</v>
      </c>
      <c r="AX569" s="148" t="s">
        <v>80</v>
      </c>
      <c r="AY569" s="150" t="s">
        <v>337</v>
      </c>
    </row>
    <row r="570" spans="2:65" s="141" customFormat="1" x14ac:dyDescent="0.2">
      <c r="B570" s="142"/>
      <c r="D570" s="143" t="s">
        <v>346</v>
      </c>
      <c r="E570" s="144"/>
      <c r="F570" s="145" t="s">
        <v>370</v>
      </c>
      <c r="H570" s="144"/>
      <c r="L570" s="142"/>
      <c r="M570" s="146"/>
      <c r="T570" s="147"/>
      <c r="AT570" s="144" t="s">
        <v>346</v>
      </c>
      <c r="AU570" s="144" t="s">
        <v>90</v>
      </c>
      <c r="AV570" s="141" t="s">
        <v>87</v>
      </c>
      <c r="AW570" s="141" t="s">
        <v>33</v>
      </c>
      <c r="AX570" s="141" t="s">
        <v>80</v>
      </c>
      <c r="AY570" s="144" t="s">
        <v>337</v>
      </c>
    </row>
    <row r="571" spans="2:65" s="148" customFormat="1" x14ac:dyDescent="0.2">
      <c r="B571" s="149"/>
      <c r="D571" s="143" t="s">
        <v>346</v>
      </c>
      <c r="E571" s="150"/>
      <c r="F571" s="151" t="s">
        <v>4377</v>
      </c>
      <c r="H571" s="152">
        <v>44.94</v>
      </c>
      <c r="L571" s="149"/>
      <c r="M571" s="153"/>
      <c r="T571" s="154"/>
      <c r="AT571" s="150" t="s">
        <v>346</v>
      </c>
      <c r="AU571" s="150" t="s">
        <v>90</v>
      </c>
      <c r="AV571" s="148" t="s">
        <v>90</v>
      </c>
      <c r="AW571" s="148" t="s">
        <v>33</v>
      </c>
      <c r="AX571" s="148" t="s">
        <v>80</v>
      </c>
      <c r="AY571" s="150" t="s">
        <v>337</v>
      </c>
    </row>
    <row r="572" spans="2:65" s="141" customFormat="1" x14ac:dyDescent="0.2">
      <c r="B572" s="142"/>
      <c r="D572" s="143" t="s">
        <v>346</v>
      </c>
      <c r="E572" s="144"/>
      <c r="F572" s="145" t="s">
        <v>434</v>
      </c>
      <c r="H572" s="144"/>
      <c r="L572" s="142"/>
      <c r="M572" s="146"/>
      <c r="T572" s="147"/>
      <c r="AT572" s="144" t="s">
        <v>346</v>
      </c>
      <c r="AU572" s="144" t="s">
        <v>90</v>
      </c>
      <c r="AV572" s="141" t="s">
        <v>87</v>
      </c>
      <c r="AW572" s="141" t="s">
        <v>33</v>
      </c>
      <c r="AX572" s="141" t="s">
        <v>80</v>
      </c>
      <c r="AY572" s="144" t="s">
        <v>337</v>
      </c>
    </row>
    <row r="573" spans="2:65" s="148" customFormat="1" x14ac:dyDescent="0.2">
      <c r="B573" s="149"/>
      <c r="D573" s="143" t="s">
        <v>346</v>
      </c>
      <c r="E573" s="150"/>
      <c r="F573" s="151" t="s">
        <v>4378</v>
      </c>
      <c r="H573" s="152">
        <v>3.15</v>
      </c>
      <c r="L573" s="149"/>
      <c r="M573" s="153"/>
      <c r="T573" s="154"/>
      <c r="AT573" s="150" t="s">
        <v>346</v>
      </c>
      <c r="AU573" s="150" t="s">
        <v>90</v>
      </c>
      <c r="AV573" s="148" t="s">
        <v>90</v>
      </c>
      <c r="AW573" s="148" t="s">
        <v>33</v>
      </c>
      <c r="AX573" s="148" t="s">
        <v>80</v>
      </c>
      <c r="AY573" s="150" t="s">
        <v>337</v>
      </c>
    </row>
    <row r="574" spans="2:65" s="148" customFormat="1" x14ac:dyDescent="0.2">
      <c r="B574" s="149"/>
      <c r="D574" s="143" t="s">
        <v>346</v>
      </c>
      <c r="E574" s="150"/>
      <c r="F574" s="151" t="s">
        <v>4379</v>
      </c>
      <c r="H574" s="152">
        <v>26.971</v>
      </c>
      <c r="L574" s="149"/>
      <c r="M574" s="153"/>
      <c r="T574" s="154"/>
      <c r="AT574" s="150" t="s">
        <v>346</v>
      </c>
      <c r="AU574" s="150" t="s">
        <v>90</v>
      </c>
      <c r="AV574" s="148" t="s">
        <v>90</v>
      </c>
      <c r="AW574" s="148" t="s">
        <v>33</v>
      </c>
      <c r="AX574" s="148" t="s">
        <v>80</v>
      </c>
      <c r="AY574" s="150" t="s">
        <v>337</v>
      </c>
    </row>
    <row r="575" spans="2:65" s="172" customFormat="1" x14ac:dyDescent="0.2">
      <c r="B575" s="173"/>
      <c r="D575" s="143" t="s">
        <v>346</v>
      </c>
      <c r="E575" s="174" t="s">
        <v>4013</v>
      </c>
      <c r="F575" s="175" t="s">
        <v>609</v>
      </c>
      <c r="H575" s="176">
        <v>190.62100000000001</v>
      </c>
      <c r="L575" s="173"/>
      <c r="M575" s="177"/>
      <c r="T575" s="178"/>
      <c r="AT575" s="174" t="s">
        <v>346</v>
      </c>
      <c r="AU575" s="174" t="s">
        <v>90</v>
      </c>
      <c r="AV575" s="172" t="s">
        <v>113</v>
      </c>
      <c r="AW575" s="172" t="s">
        <v>33</v>
      </c>
      <c r="AX575" s="172" t="s">
        <v>87</v>
      </c>
      <c r="AY575" s="174" t="s">
        <v>337</v>
      </c>
    </row>
    <row r="576" spans="2:65" s="16" customFormat="1" ht="33" customHeight="1" x14ac:dyDescent="0.2">
      <c r="B576" s="17"/>
      <c r="C576" s="162">
        <v>59</v>
      </c>
      <c r="D576" s="162" t="s">
        <v>519</v>
      </c>
      <c r="E576" s="163" t="s">
        <v>4380</v>
      </c>
      <c r="F576" s="164" t="s">
        <v>4381</v>
      </c>
      <c r="G576" s="165" t="s">
        <v>425</v>
      </c>
      <c r="H576" s="166">
        <v>209.68299999999999</v>
      </c>
      <c r="I576" s="167"/>
      <c r="J576" s="168">
        <f>ROUND(I576*H576,2)</f>
        <v>0</v>
      </c>
      <c r="K576" s="164" t="s">
        <v>343</v>
      </c>
      <c r="L576" s="169"/>
      <c r="M576" s="170"/>
      <c r="N576" s="171" t="s">
        <v>45</v>
      </c>
      <c r="P576" s="137">
        <f>O576*H576</f>
        <v>0</v>
      </c>
      <c r="Q576" s="137">
        <v>2.1999999999999999E-2</v>
      </c>
      <c r="R576" s="137">
        <f>Q576*H576</f>
        <v>4.6130259999999996</v>
      </c>
      <c r="S576" s="137">
        <v>0</v>
      </c>
      <c r="T576" s="138">
        <f>S576*H576</f>
        <v>0</v>
      </c>
      <c r="AR576" s="139" t="s">
        <v>621</v>
      </c>
      <c r="AT576" s="139" t="s">
        <v>519</v>
      </c>
      <c r="AU576" s="139" t="s">
        <v>90</v>
      </c>
      <c r="AY576" s="2" t="s">
        <v>337</v>
      </c>
      <c r="BE576" s="140">
        <f>IF(N576="základní",J576,0)</f>
        <v>0</v>
      </c>
      <c r="BF576" s="140">
        <f>IF(N576="snížená",J576,0)</f>
        <v>0</v>
      </c>
      <c r="BG576" s="140">
        <f>IF(N576="zákl. přenesená",J576,0)</f>
        <v>0</v>
      </c>
      <c r="BH576" s="140">
        <f>IF(N576="sníž. přenesená",J576,0)</f>
        <v>0</v>
      </c>
      <c r="BI576" s="140">
        <f>IF(N576="nulová",J576,0)</f>
        <v>0</v>
      </c>
      <c r="BJ576" s="2" t="s">
        <v>87</v>
      </c>
      <c r="BK576" s="140">
        <f>ROUND(I576*H576,2)</f>
        <v>0</v>
      </c>
      <c r="BL576" s="2" t="s">
        <v>496</v>
      </c>
      <c r="BM576" s="139" t="s">
        <v>4382</v>
      </c>
    </row>
    <row r="577" spans="2:65" s="148" customFormat="1" x14ac:dyDescent="0.2">
      <c r="B577" s="149"/>
      <c r="D577" s="143" t="s">
        <v>346</v>
      </c>
      <c r="E577" s="150"/>
      <c r="F577" s="151" t="s">
        <v>4013</v>
      </c>
      <c r="H577" s="152">
        <v>190.62100000000001</v>
      </c>
      <c r="L577" s="149"/>
      <c r="M577" s="153"/>
      <c r="T577" s="154"/>
      <c r="AT577" s="150" t="s">
        <v>346</v>
      </c>
      <c r="AU577" s="150" t="s">
        <v>90</v>
      </c>
      <c r="AV577" s="148" t="s">
        <v>90</v>
      </c>
      <c r="AW577" s="148" t="s">
        <v>33</v>
      </c>
      <c r="AX577" s="148" t="s">
        <v>87</v>
      </c>
      <c r="AY577" s="150" t="s">
        <v>337</v>
      </c>
    </row>
    <row r="578" spans="2:65" s="148" customFormat="1" x14ac:dyDescent="0.2">
      <c r="B578" s="149"/>
      <c r="D578" s="143" t="s">
        <v>346</v>
      </c>
      <c r="F578" s="151" t="s">
        <v>4383</v>
      </c>
      <c r="H578" s="152">
        <v>209.68299999999999</v>
      </c>
      <c r="L578" s="149"/>
      <c r="M578" s="153"/>
      <c r="T578" s="154"/>
      <c r="AT578" s="150" t="s">
        <v>346</v>
      </c>
      <c r="AU578" s="150" t="s">
        <v>90</v>
      </c>
      <c r="AV578" s="148" t="s">
        <v>90</v>
      </c>
      <c r="AW578" s="148" t="s">
        <v>3</v>
      </c>
      <c r="AX578" s="148" t="s">
        <v>87</v>
      </c>
      <c r="AY578" s="150" t="s">
        <v>337</v>
      </c>
    </row>
    <row r="579" spans="2:65" s="16" customFormat="1" ht="16.5" customHeight="1" x14ac:dyDescent="0.2">
      <c r="B579" s="17"/>
      <c r="C579" s="128">
        <v>60</v>
      </c>
      <c r="D579" s="128" t="s">
        <v>339</v>
      </c>
      <c r="E579" s="129" t="s">
        <v>4384</v>
      </c>
      <c r="F579" s="130" t="s">
        <v>4385</v>
      </c>
      <c r="G579" s="131" t="s">
        <v>425</v>
      </c>
      <c r="H579" s="132">
        <v>83.45</v>
      </c>
      <c r="I579" s="133"/>
      <c r="J579" s="134">
        <f>ROUND(I579*H579,2)</f>
        <v>0</v>
      </c>
      <c r="K579" s="130"/>
      <c r="L579" s="17"/>
      <c r="M579" s="135"/>
      <c r="N579" s="136" t="s">
        <v>45</v>
      </c>
      <c r="P579" s="137">
        <f>O579*H579</f>
        <v>0</v>
      </c>
      <c r="Q579" s="137">
        <v>1.6000000000000001E-3</v>
      </c>
      <c r="R579" s="137">
        <f>Q579*H579</f>
        <v>0.13352</v>
      </c>
      <c r="S579" s="137">
        <v>0</v>
      </c>
      <c r="T579" s="138">
        <f>S579*H579</f>
        <v>0</v>
      </c>
      <c r="AR579" s="139" t="s">
        <v>496</v>
      </c>
      <c r="AT579" s="139" t="s">
        <v>339</v>
      </c>
      <c r="AU579" s="139" t="s">
        <v>90</v>
      </c>
      <c r="AY579" s="2" t="s">
        <v>337</v>
      </c>
      <c r="BE579" s="140">
        <f>IF(N579="základní",J579,0)</f>
        <v>0</v>
      </c>
      <c r="BF579" s="140">
        <f>IF(N579="snížená",J579,0)</f>
        <v>0</v>
      </c>
      <c r="BG579" s="140">
        <f>IF(N579="zákl. přenesená",J579,0)</f>
        <v>0</v>
      </c>
      <c r="BH579" s="140">
        <f>IF(N579="sníž. přenesená",J579,0)</f>
        <v>0</v>
      </c>
      <c r="BI579" s="140">
        <f>IF(N579="nulová",J579,0)</f>
        <v>0</v>
      </c>
      <c r="BJ579" s="2" t="s">
        <v>87</v>
      </c>
      <c r="BK579" s="140">
        <f>ROUND(I579*H579,2)</f>
        <v>0</v>
      </c>
      <c r="BL579" s="2" t="s">
        <v>496</v>
      </c>
      <c r="BM579" s="139" t="s">
        <v>4386</v>
      </c>
    </row>
    <row r="580" spans="2:65" s="141" customFormat="1" x14ac:dyDescent="0.2">
      <c r="B580" s="142"/>
      <c r="D580" s="143" t="s">
        <v>346</v>
      </c>
      <c r="E580" s="144"/>
      <c r="F580" s="145" t="s">
        <v>4387</v>
      </c>
      <c r="H580" s="144"/>
      <c r="L580" s="142"/>
      <c r="M580" s="146"/>
      <c r="T580" s="147"/>
      <c r="AT580" s="144" t="s">
        <v>346</v>
      </c>
      <c r="AU580" s="144" t="s">
        <v>90</v>
      </c>
      <c r="AV580" s="141" t="s">
        <v>87</v>
      </c>
      <c r="AW580" s="141" t="s">
        <v>33</v>
      </c>
      <c r="AX580" s="141" t="s">
        <v>80</v>
      </c>
      <c r="AY580" s="144" t="s">
        <v>337</v>
      </c>
    </row>
    <row r="581" spans="2:65" s="141" customFormat="1" x14ac:dyDescent="0.2">
      <c r="B581" s="142"/>
      <c r="D581" s="143" t="s">
        <v>346</v>
      </c>
      <c r="E581" s="144"/>
      <c r="F581" s="145" t="s">
        <v>4388</v>
      </c>
      <c r="H581" s="144"/>
      <c r="L581" s="142"/>
      <c r="M581" s="146"/>
      <c r="T581" s="147"/>
      <c r="AT581" s="144" t="s">
        <v>346</v>
      </c>
      <c r="AU581" s="144" t="s">
        <v>90</v>
      </c>
      <c r="AV581" s="141" t="s">
        <v>87</v>
      </c>
      <c r="AW581" s="141" t="s">
        <v>33</v>
      </c>
      <c r="AX581" s="141" t="s">
        <v>80</v>
      </c>
      <c r="AY581" s="144" t="s">
        <v>337</v>
      </c>
    </row>
    <row r="582" spans="2:65" s="148" customFormat="1" x14ac:dyDescent="0.2">
      <c r="B582" s="149"/>
      <c r="D582" s="143" t="s">
        <v>346</v>
      </c>
      <c r="E582" s="150"/>
      <c r="F582" s="151" t="s">
        <v>4035</v>
      </c>
      <c r="H582" s="152">
        <v>25.92</v>
      </c>
      <c r="L582" s="149"/>
      <c r="M582" s="153"/>
      <c r="T582" s="154"/>
      <c r="AT582" s="150" t="s">
        <v>346</v>
      </c>
      <c r="AU582" s="150" t="s">
        <v>90</v>
      </c>
      <c r="AV582" s="148" t="s">
        <v>90</v>
      </c>
      <c r="AW582" s="148" t="s">
        <v>33</v>
      </c>
      <c r="AX582" s="148" t="s">
        <v>80</v>
      </c>
      <c r="AY582" s="150" t="s">
        <v>337</v>
      </c>
    </row>
    <row r="583" spans="2:65" s="141" customFormat="1" x14ac:dyDescent="0.2">
      <c r="B583" s="142"/>
      <c r="D583" s="143" t="s">
        <v>346</v>
      </c>
      <c r="E583" s="144"/>
      <c r="F583" s="145" t="s">
        <v>4389</v>
      </c>
      <c r="H583" s="144"/>
      <c r="L583" s="142"/>
      <c r="M583" s="146"/>
      <c r="T583" s="147"/>
      <c r="AT583" s="144" t="s">
        <v>346</v>
      </c>
      <c r="AU583" s="144" t="s">
        <v>90</v>
      </c>
      <c r="AV583" s="141" t="s">
        <v>87</v>
      </c>
      <c r="AW583" s="141" t="s">
        <v>33</v>
      </c>
      <c r="AX583" s="141" t="s">
        <v>80</v>
      </c>
      <c r="AY583" s="144" t="s">
        <v>337</v>
      </c>
    </row>
    <row r="584" spans="2:65" s="148" customFormat="1" x14ac:dyDescent="0.2">
      <c r="B584" s="149"/>
      <c r="D584" s="143" t="s">
        <v>346</v>
      </c>
      <c r="E584" s="150"/>
      <c r="F584" s="151" t="s">
        <v>4390</v>
      </c>
      <c r="H584" s="152">
        <v>57.53</v>
      </c>
      <c r="L584" s="149"/>
      <c r="M584" s="153"/>
      <c r="T584" s="154"/>
      <c r="AT584" s="150" t="s">
        <v>346</v>
      </c>
      <c r="AU584" s="150" t="s">
        <v>90</v>
      </c>
      <c r="AV584" s="148" t="s">
        <v>90</v>
      </c>
      <c r="AW584" s="148" t="s">
        <v>33</v>
      </c>
      <c r="AX584" s="148" t="s">
        <v>80</v>
      </c>
      <c r="AY584" s="150" t="s">
        <v>337</v>
      </c>
    </row>
    <row r="585" spans="2:65" s="172" customFormat="1" x14ac:dyDescent="0.2">
      <c r="B585" s="173"/>
      <c r="D585" s="143" t="s">
        <v>346</v>
      </c>
      <c r="E585" s="174" t="s">
        <v>4015</v>
      </c>
      <c r="F585" s="175" t="s">
        <v>609</v>
      </c>
      <c r="H585" s="176">
        <v>83.45</v>
      </c>
      <c r="L585" s="173"/>
      <c r="M585" s="177"/>
      <c r="T585" s="178"/>
      <c r="AT585" s="174" t="s">
        <v>346</v>
      </c>
      <c r="AU585" s="174" t="s">
        <v>90</v>
      </c>
      <c r="AV585" s="172" t="s">
        <v>113</v>
      </c>
      <c r="AW585" s="172" t="s">
        <v>33</v>
      </c>
      <c r="AX585" s="172" t="s">
        <v>87</v>
      </c>
      <c r="AY585" s="174" t="s">
        <v>337</v>
      </c>
    </row>
    <row r="586" spans="2:65" s="16" customFormat="1" ht="24.2" customHeight="1" x14ac:dyDescent="0.2">
      <c r="B586" s="17"/>
      <c r="C586" s="162">
        <v>61</v>
      </c>
      <c r="D586" s="162" t="s">
        <v>519</v>
      </c>
      <c r="E586" s="163" t="s">
        <v>4391</v>
      </c>
      <c r="F586" s="164" t="s">
        <v>4392</v>
      </c>
      <c r="G586" s="165" t="s">
        <v>425</v>
      </c>
      <c r="H586" s="166">
        <v>99.715000000000003</v>
      </c>
      <c r="I586" s="167"/>
      <c r="J586" s="168">
        <f>ROUND(I586*H586,2)</f>
        <v>0</v>
      </c>
      <c r="K586" s="164"/>
      <c r="L586" s="169"/>
      <c r="M586" s="170"/>
      <c r="N586" s="171" t="s">
        <v>45</v>
      </c>
      <c r="P586" s="137">
        <f>O586*H586</f>
        <v>0</v>
      </c>
      <c r="Q586" s="137">
        <v>4.2000000000000003E-2</v>
      </c>
      <c r="R586" s="137">
        <f>Q586*H586</f>
        <v>4.1880300000000004</v>
      </c>
      <c r="S586" s="137">
        <v>0</v>
      </c>
      <c r="T586" s="138">
        <f>S586*H586</f>
        <v>0</v>
      </c>
      <c r="AR586" s="139" t="s">
        <v>621</v>
      </c>
      <c r="AT586" s="139" t="s">
        <v>519</v>
      </c>
      <c r="AU586" s="139" t="s">
        <v>90</v>
      </c>
      <c r="AY586" s="2" t="s">
        <v>337</v>
      </c>
      <c r="BE586" s="140">
        <f>IF(N586="základní",J586,0)</f>
        <v>0</v>
      </c>
      <c r="BF586" s="140">
        <f>IF(N586="snížená",J586,0)</f>
        <v>0</v>
      </c>
      <c r="BG586" s="140">
        <f>IF(N586="zákl. přenesená",J586,0)</f>
        <v>0</v>
      </c>
      <c r="BH586" s="140">
        <f>IF(N586="sníž. přenesená",J586,0)</f>
        <v>0</v>
      </c>
      <c r="BI586" s="140">
        <f>IF(N586="nulová",J586,0)</f>
        <v>0</v>
      </c>
      <c r="BJ586" s="2" t="s">
        <v>87</v>
      </c>
      <c r="BK586" s="140">
        <f>ROUND(I586*H586,2)</f>
        <v>0</v>
      </c>
      <c r="BL586" s="2" t="s">
        <v>496</v>
      </c>
      <c r="BM586" s="139" t="s">
        <v>4393</v>
      </c>
    </row>
    <row r="587" spans="2:65" s="148" customFormat="1" x14ac:dyDescent="0.2">
      <c r="B587" s="149"/>
      <c r="D587" s="143" t="s">
        <v>346</v>
      </c>
      <c r="E587" s="150"/>
      <c r="F587" s="151" t="s">
        <v>4015</v>
      </c>
      <c r="H587" s="152">
        <v>83.45</v>
      </c>
      <c r="L587" s="149"/>
      <c r="M587" s="153"/>
      <c r="T587" s="154"/>
      <c r="AT587" s="150" t="s">
        <v>346</v>
      </c>
      <c r="AU587" s="150" t="s">
        <v>90</v>
      </c>
      <c r="AV587" s="148" t="s">
        <v>90</v>
      </c>
      <c r="AW587" s="148" t="s">
        <v>33</v>
      </c>
      <c r="AX587" s="148" t="s">
        <v>80</v>
      </c>
      <c r="AY587" s="150" t="s">
        <v>337</v>
      </c>
    </row>
    <row r="588" spans="2:65" s="148" customFormat="1" x14ac:dyDescent="0.2">
      <c r="B588" s="149"/>
      <c r="D588" s="143" t="s">
        <v>346</v>
      </c>
      <c r="E588" s="150"/>
      <c r="F588" s="151" t="s">
        <v>4317</v>
      </c>
      <c r="H588" s="152">
        <v>7.2</v>
      </c>
      <c r="L588" s="149"/>
      <c r="M588" s="153"/>
      <c r="T588" s="154"/>
      <c r="AT588" s="150" t="s">
        <v>346</v>
      </c>
      <c r="AU588" s="150" t="s">
        <v>90</v>
      </c>
      <c r="AV588" s="148" t="s">
        <v>90</v>
      </c>
      <c r="AW588" s="148" t="s">
        <v>33</v>
      </c>
      <c r="AX588" s="148" t="s">
        <v>80</v>
      </c>
      <c r="AY588" s="150" t="s">
        <v>337</v>
      </c>
    </row>
    <row r="589" spans="2:65" s="155" customFormat="1" x14ac:dyDescent="0.2">
      <c r="B589" s="156"/>
      <c r="D589" s="143" t="s">
        <v>346</v>
      </c>
      <c r="E589" s="157"/>
      <c r="F589" s="158" t="s">
        <v>351</v>
      </c>
      <c r="H589" s="159">
        <v>90.65</v>
      </c>
      <c r="L589" s="156"/>
      <c r="M589" s="160"/>
      <c r="T589" s="161"/>
      <c r="AT589" s="157" t="s">
        <v>346</v>
      </c>
      <c r="AU589" s="157" t="s">
        <v>90</v>
      </c>
      <c r="AV589" s="155" t="s">
        <v>344</v>
      </c>
      <c r="AW589" s="155" t="s">
        <v>33</v>
      </c>
      <c r="AX589" s="155" t="s">
        <v>87</v>
      </c>
      <c r="AY589" s="157" t="s">
        <v>337</v>
      </c>
    </row>
    <row r="590" spans="2:65" s="148" customFormat="1" x14ac:dyDescent="0.2">
      <c r="B590" s="149"/>
      <c r="D590" s="143" t="s">
        <v>346</v>
      </c>
      <c r="F590" s="151" t="s">
        <v>4394</v>
      </c>
      <c r="H590" s="152">
        <v>99.715000000000003</v>
      </c>
      <c r="L590" s="149"/>
      <c r="M590" s="153"/>
      <c r="T590" s="154"/>
      <c r="AT590" s="150" t="s">
        <v>346</v>
      </c>
      <c r="AU590" s="150" t="s">
        <v>90</v>
      </c>
      <c r="AV590" s="148" t="s">
        <v>90</v>
      </c>
      <c r="AW590" s="148" t="s">
        <v>3</v>
      </c>
      <c r="AX590" s="148" t="s">
        <v>87</v>
      </c>
      <c r="AY590" s="150" t="s">
        <v>337</v>
      </c>
    </row>
    <row r="591" spans="2:65" s="16" customFormat="1" ht="16.5" customHeight="1" x14ac:dyDescent="0.2">
      <c r="B591" s="17"/>
      <c r="C591" s="128">
        <v>62</v>
      </c>
      <c r="D591" s="128" t="s">
        <v>339</v>
      </c>
      <c r="E591" s="129" t="s">
        <v>1747</v>
      </c>
      <c r="F591" s="130" t="s">
        <v>1748</v>
      </c>
      <c r="G591" s="131" t="s">
        <v>990</v>
      </c>
      <c r="H591" s="132">
        <v>10.795999999999999</v>
      </c>
      <c r="I591" s="133"/>
      <c r="J591" s="134">
        <f>ROUND(I591*H591,2)</f>
        <v>0</v>
      </c>
      <c r="K591" s="130" t="s">
        <v>343</v>
      </c>
      <c r="L591" s="17"/>
      <c r="M591" s="187"/>
      <c r="N591" s="188" t="s">
        <v>45</v>
      </c>
      <c r="O591" s="189"/>
      <c r="P591" s="190">
        <f>O591*H591</f>
        <v>0</v>
      </c>
      <c r="Q591" s="190">
        <v>0</v>
      </c>
      <c r="R591" s="190">
        <f>Q591*H591</f>
        <v>0</v>
      </c>
      <c r="S591" s="190">
        <v>0</v>
      </c>
      <c r="T591" s="191">
        <f>S591*H591</f>
        <v>0</v>
      </c>
      <c r="AR591" s="139" t="s">
        <v>496</v>
      </c>
      <c r="AT591" s="139" t="s">
        <v>339</v>
      </c>
      <c r="AU591" s="139" t="s">
        <v>90</v>
      </c>
      <c r="AY591" s="2" t="s">
        <v>337</v>
      </c>
      <c r="BE591" s="140">
        <f>IF(N591="základní",J591,0)</f>
        <v>0</v>
      </c>
      <c r="BF591" s="140">
        <f>IF(N591="snížená",J591,0)</f>
        <v>0</v>
      </c>
      <c r="BG591" s="140">
        <f>IF(N591="zákl. přenesená",J591,0)</f>
        <v>0</v>
      </c>
      <c r="BH591" s="140">
        <f>IF(N591="sníž. přenesená",J591,0)</f>
        <v>0</v>
      </c>
      <c r="BI591" s="140">
        <f>IF(N591="nulová",J591,0)</f>
        <v>0</v>
      </c>
      <c r="BJ591" s="2" t="s">
        <v>87</v>
      </c>
      <c r="BK591" s="140">
        <f>ROUND(I591*H591,2)</f>
        <v>0</v>
      </c>
      <c r="BL591" s="2" t="s">
        <v>496</v>
      </c>
      <c r="BM591" s="139" t="s">
        <v>4395</v>
      </c>
    </row>
    <row r="592" spans="2:65" s="16" customFormat="1" ht="6.95" customHeight="1" x14ac:dyDescent="0.2">
      <c r="B592" s="30"/>
      <c r="C592" s="19"/>
      <c r="D592" s="19"/>
      <c r="E592" s="19"/>
      <c r="F592" s="19"/>
      <c r="G592" s="19"/>
      <c r="H592" s="19"/>
      <c r="I592" s="19"/>
      <c r="J592" s="19"/>
      <c r="K592" s="19"/>
      <c r="L592" s="17"/>
    </row>
  </sheetData>
  <sheetProtection algorithmName="SHA-512" hashValue="Hdnu3SW7e43kRkfGYMI1p4svRmjiz/PVz8Z3bGf3SDt7bpl0NYTq+LGg2ibkts8J2AA//C3n9kEBaQc0mtFqEA==" saltValue="XTjeUHh2j6QvL/R3TGtv6A==" spinCount="100000" sheet="1" objects="1" scenarios="1" formatCells="0" formatColumns="0" formatRows="0" autoFilter="0"/>
  <autoFilter ref="C137:K591" xr:uid="{00000000-0009-0000-0000-000004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B2:BM146"/>
  <sheetViews>
    <sheetView showGridLines="0" workbookViewId="0">
      <selection activeCell="F100" sqref="F100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4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107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" hidden="1" customHeight="1" x14ac:dyDescent="0.2">
      <c r="B8" s="5"/>
      <c r="D8" s="12" t="s">
        <v>190</v>
      </c>
      <c r="L8" s="5"/>
    </row>
    <row r="9" spans="2:4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</row>
    <row r="10" spans="2:46" s="16" customFormat="1" ht="12" hidden="1" customHeight="1" x14ac:dyDescent="0.2">
      <c r="B10" s="17"/>
      <c r="D10" s="12" t="s">
        <v>196</v>
      </c>
      <c r="L10" s="17"/>
    </row>
    <row r="11" spans="2:46" s="16" customFormat="1" ht="16.5" hidden="1" customHeight="1" x14ac:dyDescent="0.2">
      <c r="B11" s="17"/>
      <c r="E11" s="309" t="s">
        <v>4396</v>
      </c>
      <c r="F11" s="309"/>
      <c r="G11" s="309"/>
      <c r="H11" s="309"/>
      <c r="L11" s="17"/>
    </row>
    <row r="12" spans="2:46" s="16" customFormat="1" hidden="1" x14ac:dyDescent="0.2">
      <c r="B12" s="17"/>
      <c r="L12" s="17"/>
    </row>
    <row r="13" spans="2:4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</row>
    <row r="14" spans="2:46" s="16" customFormat="1" ht="12" hidden="1" customHeight="1" x14ac:dyDescent="0.2">
      <c r="B14" s="17"/>
      <c r="D14" s="12" t="s">
        <v>19</v>
      </c>
      <c r="F14" s="10" t="s">
        <v>20</v>
      </c>
      <c r="I14" s="12" t="s">
        <v>21</v>
      </c>
      <c r="J14" s="38" t="str">
        <f>IF(Rekapitulace_stavby!AN8&lt;&gt;"",Rekapitulace_stavby!AN8,"")</f>
        <v/>
      </c>
      <c r="L14" s="17"/>
    </row>
    <row r="15" spans="2:46" s="16" customFormat="1" ht="10.9" hidden="1" customHeight="1" x14ac:dyDescent="0.2">
      <c r="B15" s="17"/>
      <c r="L15" s="17"/>
    </row>
    <row r="16" spans="2:46" s="16" customFormat="1" ht="12" hidden="1" customHeight="1" x14ac:dyDescent="0.2">
      <c r="B16" s="17"/>
      <c r="D16" s="12" t="s">
        <v>22</v>
      </c>
      <c r="I16" s="12" t="s">
        <v>23</v>
      </c>
      <c r="J16" s="10" t="s">
        <v>24</v>
      </c>
      <c r="L16" s="17"/>
    </row>
    <row r="17" spans="2:12" s="16" customFormat="1" ht="18" hidden="1" customHeight="1" x14ac:dyDescent="0.2">
      <c r="B17" s="17"/>
      <c r="E17" s="10" t="s">
        <v>25</v>
      </c>
      <c r="I17" s="12" t="s">
        <v>26</v>
      </c>
      <c r="J17" s="10" t="s">
        <v>27</v>
      </c>
      <c r="L17" s="17"/>
    </row>
    <row r="18" spans="2:12" s="16" customFormat="1" ht="6.95" hidden="1" customHeight="1" x14ac:dyDescent="0.2">
      <c r="B18" s="17"/>
      <c r="L18" s="17"/>
    </row>
    <row r="19" spans="2:12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</row>
    <row r="20" spans="2:12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12" s="16" customFormat="1" ht="6.95" hidden="1" customHeight="1" x14ac:dyDescent="0.2">
      <c r="B21" s="17"/>
      <c r="L21" s="17"/>
    </row>
    <row r="22" spans="2:12" s="16" customFormat="1" ht="12" hidden="1" customHeight="1" x14ac:dyDescent="0.2">
      <c r="B22" s="17"/>
      <c r="D22" s="12" t="s">
        <v>29</v>
      </c>
      <c r="I22" s="12" t="s">
        <v>23</v>
      </c>
      <c r="J22" s="10" t="s">
        <v>30</v>
      </c>
      <c r="L22" s="17"/>
    </row>
    <row r="23" spans="2:12" s="16" customFormat="1" ht="18" hidden="1" customHeight="1" x14ac:dyDescent="0.2">
      <c r="B23" s="17"/>
      <c r="E23" s="10" t="s">
        <v>31</v>
      </c>
      <c r="I23" s="12" t="s">
        <v>26</v>
      </c>
      <c r="J23" s="10" t="s">
        <v>32</v>
      </c>
      <c r="L23" s="17"/>
    </row>
    <row r="24" spans="2:12" s="16" customFormat="1" ht="6.95" hidden="1" customHeight="1" x14ac:dyDescent="0.2">
      <c r="B24" s="17"/>
      <c r="L24" s="17"/>
    </row>
    <row r="25" spans="2:12" s="16" customFormat="1" ht="12" hidden="1" customHeight="1" x14ac:dyDescent="0.2">
      <c r="B25" s="17"/>
      <c r="D25" s="12" t="s">
        <v>34</v>
      </c>
      <c r="I25" s="12" t="s">
        <v>23</v>
      </c>
      <c r="J25" s="10" t="s">
        <v>35</v>
      </c>
      <c r="L25" s="17"/>
    </row>
    <row r="26" spans="2:12" s="16" customFormat="1" ht="18" hidden="1" customHeight="1" x14ac:dyDescent="0.2">
      <c r="B26" s="17"/>
      <c r="E26" s="10" t="s">
        <v>36</v>
      </c>
      <c r="I26" s="12" t="s">
        <v>26</v>
      </c>
      <c r="J26" s="10" t="s">
        <v>37</v>
      </c>
      <c r="L26" s="17"/>
    </row>
    <row r="27" spans="2:12" s="16" customFormat="1" ht="6.95" hidden="1" customHeight="1" x14ac:dyDescent="0.2">
      <c r="B27" s="17"/>
      <c r="L27" s="17"/>
    </row>
    <row r="28" spans="2:12" s="16" customFormat="1" ht="12" hidden="1" customHeight="1" x14ac:dyDescent="0.2">
      <c r="B28" s="17"/>
      <c r="D28" s="12" t="s">
        <v>38</v>
      </c>
      <c r="L28" s="17"/>
    </row>
    <row r="29" spans="2:12" s="81" customFormat="1" ht="47.25" hidden="1" customHeight="1" x14ac:dyDescent="0.2">
      <c r="B29" s="82"/>
      <c r="E29" s="304" t="s">
        <v>4397</v>
      </c>
      <c r="F29" s="304"/>
      <c r="G29" s="304"/>
      <c r="H29" s="304"/>
      <c r="L29" s="82"/>
    </row>
    <row r="30" spans="2:12" s="16" customFormat="1" ht="6.95" hidden="1" customHeight="1" x14ac:dyDescent="0.2">
      <c r="B30" s="17"/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25.35" hidden="1" customHeight="1" x14ac:dyDescent="0.2">
      <c r="B32" s="17"/>
      <c r="D32" s="84" t="s">
        <v>40</v>
      </c>
      <c r="J32" s="52">
        <f>ROUND(J139,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ROUND((SUM(BE139:BE145)),  2)</f>
        <v>0</v>
      </c>
      <c r="I35" s="86">
        <v>0.21</v>
      </c>
      <c r="J35" s="73">
        <f>ROUND(((SUM(BE139:BE145))*I35),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ROUND((SUM(BF139:BF145)),  2)</f>
        <v>0</v>
      </c>
      <c r="I36" s="86">
        <v>0.12</v>
      </c>
      <c r="J36" s="73">
        <f>ROUND(((SUM(BF139:BF145))*I36),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ROUND((SUM(BG139:BG145)),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ROUND((SUM(BH139:BH145)),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ROUND((SUM(BI139:BI145)),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DOZ - Výtahy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>Alej Svobody 703 Plzeň 1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J139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4398</v>
      </c>
      <c r="E99" s="101"/>
      <c r="F99" s="101"/>
      <c r="G99" s="101"/>
      <c r="H99" s="101"/>
      <c r="I99" s="101"/>
      <c r="J99" s="102">
        <f>J140</f>
        <v>0</v>
      </c>
      <c r="L99" s="99"/>
    </row>
    <row r="100" spans="2:47" s="16" customFormat="1" ht="21.75" customHeight="1" x14ac:dyDescent="0.2">
      <c r="B100" s="17"/>
      <c r="L100" s="17"/>
    </row>
    <row r="101" spans="2:47" s="16" customFormat="1" ht="6.95" customHeight="1" x14ac:dyDescent="0.2">
      <c r="B101" s="30"/>
      <c r="C101" s="19"/>
      <c r="D101" s="19"/>
      <c r="E101" s="19"/>
      <c r="F101" s="19"/>
      <c r="G101" s="19"/>
      <c r="H101" s="19"/>
      <c r="I101" s="19"/>
      <c r="J101" s="19"/>
      <c r="K101" s="19"/>
      <c r="L101" s="17"/>
    </row>
    <row r="105" spans="2:47" ht="2.4500000000000002" customHeight="1" x14ac:dyDescent="0.2"/>
    <row r="106" spans="2:47" ht="2.4500000000000002" customHeight="1" x14ac:dyDescent="0.2"/>
    <row r="107" spans="2:47" ht="2.4500000000000002" customHeight="1" x14ac:dyDescent="0.2"/>
    <row r="108" spans="2:47" ht="2.4500000000000002" customHeight="1" x14ac:dyDescent="0.2"/>
    <row r="109" spans="2:47" ht="2.4500000000000002" customHeight="1" x14ac:dyDescent="0.2"/>
    <row r="110" spans="2:47" ht="2.4500000000000002" customHeight="1" x14ac:dyDescent="0.2"/>
    <row r="111" spans="2:47" ht="2.4500000000000002" customHeight="1" x14ac:dyDescent="0.2"/>
    <row r="112" spans="2:47" ht="2.4500000000000002" customHeight="1" x14ac:dyDescent="0.2"/>
    <row r="113" spans="2:12" ht="2.4500000000000002" customHeight="1" x14ac:dyDescent="0.2"/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ht="2.4500000000000002" customHeight="1" x14ac:dyDescent="0.2"/>
    <row r="122" spans="2:12" ht="2.4500000000000002" customHeight="1" x14ac:dyDescent="0.2"/>
    <row r="123" spans="2:12" s="16" customFormat="1" ht="6.95" customHeight="1" x14ac:dyDescent="0.2">
      <c r="B123" s="31"/>
      <c r="C123" s="28"/>
      <c r="D123" s="28"/>
      <c r="E123" s="28"/>
      <c r="F123" s="28"/>
      <c r="G123" s="28"/>
      <c r="H123" s="28"/>
      <c r="I123" s="28"/>
      <c r="J123" s="28"/>
      <c r="K123" s="28"/>
      <c r="L123" s="17"/>
    </row>
    <row r="124" spans="2:12" s="16" customFormat="1" ht="24.95" customHeight="1" x14ac:dyDescent="0.2">
      <c r="B124" s="17"/>
      <c r="C124" s="6" t="s">
        <v>322</v>
      </c>
      <c r="L124" s="17"/>
    </row>
    <row r="125" spans="2:12" s="16" customFormat="1" ht="6.95" customHeight="1" x14ac:dyDescent="0.2">
      <c r="B125" s="17"/>
      <c r="L125" s="17"/>
    </row>
    <row r="126" spans="2:12" s="16" customFormat="1" ht="12" customHeight="1" x14ac:dyDescent="0.2">
      <c r="B126" s="17"/>
      <c r="C126" s="12" t="s">
        <v>15</v>
      </c>
      <c r="L126" s="17"/>
    </row>
    <row r="127" spans="2:12" s="16" customFormat="1" ht="16.5" customHeight="1" x14ac:dyDescent="0.2">
      <c r="B127" s="17"/>
      <c r="E127" s="325" t="str">
        <f>E7</f>
        <v>Rekonstrukce části Šafránkova pavilonu studentské koleje a nástavba jednoho patra</v>
      </c>
      <c r="F127" s="325"/>
      <c r="G127" s="325"/>
      <c r="H127" s="325"/>
      <c r="L127" s="17"/>
    </row>
    <row r="128" spans="2:12" ht="12" customHeight="1" x14ac:dyDescent="0.2">
      <c r="B128" s="5"/>
      <c r="C128" s="12" t="s">
        <v>190</v>
      </c>
      <c r="L128" s="5"/>
    </row>
    <row r="129" spans="2:65" s="16" customFormat="1" ht="16.5" customHeight="1" x14ac:dyDescent="0.2">
      <c r="B129" s="17"/>
      <c r="E129" s="325" t="s">
        <v>193</v>
      </c>
      <c r="F129" s="325"/>
      <c r="G129" s="325"/>
      <c r="H129" s="325"/>
      <c r="L129" s="17"/>
    </row>
    <row r="130" spans="2:65" s="16" customFormat="1" ht="12" customHeight="1" x14ac:dyDescent="0.2">
      <c r="B130" s="17"/>
      <c r="C130" s="12" t="s">
        <v>196</v>
      </c>
      <c r="L130" s="17"/>
    </row>
    <row r="131" spans="2:65" s="16" customFormat="1" ht="16.5" customHeight="1" x14ac:dyDescent="0.2">
      <c r="B131" s="17"/>
      <c r="E131" s="309" t="str">
        <f>E11</f>
        <v>DOZ - Výtahy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tr">
        <f>F14</f>
        <v>Alej Svobody 703 Plzeň 1</v>
      </c>
      <c r="I133" s="12" t="s">
        <v>21</v>
      </c>
      <c r="J133" s="38" t="str">
        <f>IF(J14="","",J14)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E17</f>
        <v>Univerzita Karlova, Lékařská fakulta v Plzni</v>
      </c>
      <c r="I135" s="12" t="s">
        <v>29</v>
      </c>
      <c r="J135" s="15" t="str">
        <f>E23</f>
        <v>MEPRO s.r.o.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IF(E20="","",E20)</f>
        <v>0</v>
      </c>
      <c r="I136" s="12" t="s">
        <v>34</v>
      </c>
      <c r="J136" s="304" t="str">
        <f>E26</f>
        <v>Propos Liberec s.r.o.</v>
      </c>
      <c r="K136" s="327"/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</f>
        <v>0</v>
      </c>
      <c r="Q139" s="39"/>
      <c r="R139" s="113">
        <f>R140</f>
        <v>0</v>
      </c>
      <c r="S139" s="39"/>
      <c r="T139" s="114">
        <f>T140</f>
        <v>0</v>
      </c>
      <c r="AT139" s="2" t="s">
        <v>79</v>
      </c>
      <c r="AU139" s="2" t="s">
        <v>303</v>
      </c>
      <c r="BK139" s="115">
        <f>BK140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4399</v>
      </c>
      <c r="F140" s="119" t="s">
        <v>4400</v>
      </c>
      <c r="J140" s="120">
        <f>BK140</f>
        <v>0</v>
      </c>
      <c r="L140" s="117"/>
      <c r="M140" s="121"/>
      <c r="P140" s="122">
        <f>SUM(P141:P145)</f>
        <v>0</v>
      </c>
      <c r="R140" s="122">
        <f>SUM(R141:R145)</f>
        <v>0</v>
      </c>
      <c r="T140" s="123">
        <f>SUM(T141:T145)</f>
        <v>0</v>
      </c>
      <c r="AR140" s="118" t="s">
        <v>113</v>
      </c>
      <c r="AT140" s="124" t="s">
        <v>79</v>
      </c>
      <c r="AU140" s="124" t="s">
        <v>80</v>
      </c>
      <c r="AY140" s="118" t="s">
        <v>337</v>
      </c>
      <c r="BK140" s="125">
        <f>SUM(BK141:BK145)</f>
        <v>0</v>
      </c>
    </row>
    <row r="141" spans="2:65" s="16" customFormat="1" ht="24.2" customHeight="1" x14ac:dyDescent="0.2">
      <c r="B141" s="17"/>
      <c r="C141" s="128" t="s">
        <v>87</v>
      </c>
      <c r="D141" s="128" t="s">
        <v>339</v>
      </c>
      <c r="E141" s="129" t="s">
        <v>4401</v>
      </c>
      <c r="F141" s="130" t="s">
        <v>4402</v>
      </c>
      <c r="G141" s="131" t="s">
        <v>449</v>
      </c>
      <c r="H141" s="132">
        <v>1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850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850</v>
      </c>
      <c r="BM141" s="139" t="s">
        <v>4403</v>
      </c>
    </row>
    <row r="142" spans="2:65" s="16" customFormat="1" ht="37.9" customHeight="1" x14ac:dyDescent="0.2">
      <c r="B142" s="17"/>
      <c r="C142" s="128" t="s">
        <v>90</v>
      </c>
      <c r="D142" s="128" t="s">
        <v>339</v>
      </c>
      <c r="E142" s="129" t="s">
        <v>4404</v>
      </c>
      <c r="F142" s="130" t="s">
        <v>4405</v>
      </c>
      <c r="G142" s="131" t="s">
        <v>449</v>
      </c>
      <c r="H142" s="132">
        <v>1</v>
      </c>
      <c r="I142" s="133"/>
      <c r="J142" s="134">
        <f>ROUND(I142*H142,2)</f>
        <v>0</v>
      </c>
      <c r="K142" s="130"/>
      <c r="L142" s="17"/>
      <c r="M142" s="135"/>
      <c r="N142" s="136" t="s">
        <v>45</v>
      </c>
      <c r="P142" s="137">
        <f>O142*H142</f>
        <v>0</v>
      </c>
      <c r="Q142" s="137">
        <v>0</v>
      </c>
      <c r="R142" s="137">
        <f>Q142*H142</f>
        <v>0</v>
      </c>
      <c r="S142" s="137">
        <v>0</v>
      </c>
      <c r="T142" s="138">
        <f>S142*H142</f>
        <v>0</v>
      </c>
      <c r="AR142" s="139" t="s">
        <v>850</v>
      </c>
      <c r="AT142" s="139" t="s">
        <v>339</v>
      </c>
      <c r="AU142" s="139" t="s">
        <v>87</v>
      </c>
      <c r="AY142" s="2" t="s">
        <v>337</v>
      </c>
      <c r="BE142" s="140">
        <f>IF(N142="základní",J142,0)</f>
        <v>0</v>
      </c>
      <c r="BF142" s="140">
        <f>IF(N142="snížená",J142,0)</f>
        <v>0</v>
      </c>
      <c r="BG142" s="140">
        <f>IF(N142="zákl. přenesená",J142,0)</f>
        <v>0</v>
      </c>
      <c r="BH142" s="140">
        <f>IF(N142="sníž. přenesená",J142,0)</f>
        <v>0</v>
      </c>
      <c r="BI142" s="140">
        <f>IF(N142="nulová",J142,0)</f>
        <v>0</v>
      </c>
      <c r="BJ142" s="2" t="s">
        <v>87</v>
      </c>
      <c r="BK142" s="140">
        <f>ROUND(I142*H142,2)</f>
        <v>0</v>
      </c>
      <c r="BL142" s="2" t="s">
        <v>850</v>
      </c>
      <c r="BM142" s="139" t="s">
        <v>4406</v>
      </c>
    </row>
    <row r="143" spans="2:65" s="16" customFormat="1" ht="19.5" x14ac:dyDescent="0.2">
      <c r="B143" s="17"/>
      <c r="D143" s="143" t="s">
        <v>644</v>
      </c>
      <c r="F143" s="179" t="s">
        <v>4407</v>
      </c>
      <c r="L143" s="17"/>
      <c r="M143" s="180"/>
      <c r="T143" s="41"/>
      <c r="AT143" s="2" t="s">
        <v>644</v>
      </c>
      <c r="AU143" s="2" t="s">
        <v>87</v>
      </c>
    </row>
    <row r="144" spans="2:65" s="16" customFormat="1" ht="37.9" customHeight="1" x14ac:dyDescent="0.2">
      <c r="B144" s="17"/>
      <c r="C144" s="128" t="s">
        <v>113</v>
      </c>
      <c r="D144" s="128" t="s">
        <v>339</v>
      </c>
      <c r="E144" s="129" t="s">
        <v>4408</v>
      </c>
      <c r="F144" s="130" t="s">
        <v>4409</v>
      </c>
      <c r="G144" s="131" t="s">
        <v>449</v>
      </c>
      <c r="H144" s="132">
        <v>1</v>
      </c>
      <c r="I144" s="133"/>
      <c r="J144" s="134">
        <f>ROUND(I144*H144,2)</f>
        <v>0</v>
      </c>
      <c r="K144" s="130"/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</v>
      </c>
      <c r="T144" s="138">
        <f>S144*H144</f>
        <v>0</v>
      </c>
      <c r="AR144" s="139" t="s">
        <v>850</v>
      </c>
      <c r="AT144" s="139" t="s">
        <v>339</v>
      </c>
      <c r="AU144" s="139" t="s">
        <v>87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850</v>
      </c>
      <c r="BM144" s="139" t="s">
        <v>4410</v>
      </c>
    </row>
    <row r="145" spans="2:65" s="16" customFormat="1" ht="24.2" customHeight="1" x14ac:dyDescent="0.2">
      <c r="B145" s="17"/>
      <c r="C145" s="128" t="s">
        <v>344</v>
      </c>
      <c r="D145" s="128" t="s">
        <v>339</v>
      </c>
      <c r="E145" s="129" t="s">
        <v>4411</v>
      </c>
      <c r="F145" s="130" t="s">
        <v>4412</v>
      </c>
      <c r="G145" s="131" t="s">
        <v>449</v>
      </c>
      <c r="H145" s="132">
        <v>1</v>
      </c>
      <c r="I145" s="133"/>
      <c r="J145" s="134">
        <f>ROUND(I145*H145,2)</f>
        <v>0</v>
      </c>
      <c r="K145" s="130"/>
      <c r="L145" s="17"/>
      <c r="M145" s="187"/>
      <c r="N145" s="188" t="s">
        <v>45</v>
      </c>
      <c r="O145" s="189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AR145" s="139" t="s">
        <v>850</v>
      </c>
      <c r="AT145" s="139" t="s">
        <v>339</v>
      </c>
      <c r="AU145" s="139" t="s">
        <v>87</v>
      </c>
      <c r="AY145" s="2" t="s">
        <v>337</v>
      </c>
      <c r="BE145" s="140">
        <f>IF(N145="základní",J145,0)</f>
        <v>0</v>
      </c>
      <c r="BF145" s="140">
        <f>IF(N145="snížená",J145,0)</f>
        <v>0</v>
      </c>
      <c r="BG145" s="140">
        <f>IF(N145="zákl. přenesená",J145,0)</f>
        <v>0</v>
      </c>
      <c r="BH145" s="140">
        <f>IF(N145="sníž. přenesená",J145,0)</f>
        <v>0</v>
      </c>
      <c r="BI145" s="140">
        <f>IF(N145="nulová",J145,0)</f>
        <v>0</v>
      </c>
      <c r="BJ145" s="2" t="s">
        <v>87</v>
      </c>
      <c r="BK145" s="140">
        <f>ROUND(I145*H145,2)</f>
        <v>0</v>
      </c>
      <c r="BL145" s="2" t="s">
        <v>850</v>
      </c>
      <c r="BM145" s="139" t="s">
        <v>4413</v>
      </c>
    </row>
    <row r="146" spans="2:65" s="16" customFormat="1" ht="6.95" customHeight="1" x14ac:dyDescent="0.2">
      <c r="B146" s="30"/>
      <c r="C146" s="19"/>
      <c r="D146" s="19"/>
      <c r="E146" s="19"/>
      <c r="F146" s="19"/>
      <c r="G146" s="19"/>
      <c r="H146" s="19"/>
      <c r="I146" s="19"/>
      <c r="J146" s="19"/>
      <c r="K146" s="19"/>
      <c r="L146" s="17"/>
    </row>
  </sheetData>
  <sheetProtection algorithmName="SHA-512" hashValue="vAcIJcC8DtY8b7cd9y75e4yEbb4mDPM6yUoegH1I3erhfq6TjiYtarw739yKrPqc2FDhI1u0k5dukbhdKKswKg==" saltValue="zUXqrGMhmv/55+/D9jqL3g==" spinCount="100000" sheet="1" objects="1" scenarios="1" formatCells="0" formatColumns="0" formatRows="0" autoFilter="0"/>
  <autoFilter ref="C138:K145" xr:uid="{00000000-0009-0000-0000-000005000000}"/>
  <mergeCells count="13">
    <mergeCell ref="J136:K136"/>
    <mergeCell ref="E131:H131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7:H127"/>
    <mergeCell ref="E129:H129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B2:BM158"/>
  <sheetViews>
    <sheetView showGridLines="0" workbookViewId="0">
      <selection activeCell="F104" sqref="F104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114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4414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4416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20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 t="str">
        <f>IF(Rekapitulace_stavby!AN16="","",Rekapitulace_stavby!AN16)</f>
        <v>48025721</v>
      </c>
      <c r="L24" s="17"/>
    </row>
    <row r="25" spans="2:12" s="16" customFormat="1" ht="18" hidden="1" customHeight="1" x14ac:dyDescent="0.2">
      <c r="B25" s="17"/>
      <c r="E25" s="10" t="str">
        <f>IF(Rekapitulace_stavby!E17="","",Rekapitulace_stavby!E17)</f>
        <v>MEPRO s.r.o.</v>
      </c>
      <c r="I25" s="12" t="s">
        <v>26</v>
      </c>
      <c r="J25" s="10" t="str">
        <f>IF(Rekapitulace_stavby!AN17="","",Rekapitulace_stavby!AN17)</f>
        <v>CZ48025721</v>
      </c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 t="str">
        <f>IF(Rekapitulace_stavby!AN19="","",Rekapitulace_stavby!AN19)</f>
        <v>25415751</v>
      </c>
      <c r="L27" s="17"/>
    </row>
    <row r="28" spans="2:12" s="16" customFormat="1" ht="18" hidden="1" customHeight="1" x14ac:dyDescent="0.2">
      <c r="B28" s="17"/>
      <c r="E28" s="10" t="str">
        <f>IF(Rekapitulace_stavby!E20="","",Rekapitulace_stavby!E20)</f>
        <v>Propos Liberec s.r.o.</v>
      </c>
      <c r="I28" s="12" t="s">
        <v>26</v>
      </c>
      <c r="J28" s="10" t="str">
        <f>IF(Rekapitulace_stavby!AN20="","",Rekapitulace_stavby!AN20)</f>
        <v>CZ25415751</v>
      </c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47.25" hidden="1" customHeight="1" x14ac:dyDescent="0.2">
      <c r="B31" s="82"/>
      <c r="E31" s="304" t="s">
        <v>4417</v>
      </c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ROUND((SUM(BE139:BE157)),  2)</f>
        <v>0</v>
      </c>
      <c r="I37" s="86">
        <v>0.21</v>
      </c>
      <c r="J37" s="73">
        <f>ROUND(((SUM(BE139:BE157))*I37),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ROUND((SUM(BF139:BF157)),  2)</f>
        <v>0</v>
      </c>
      <c r="I38" s="86">
        <v>0.12</v>
      </c>
      <c r="J38" s="73">
        <f>ROUND(((SUM(BF139:BF157))*I38),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ROUND((SUM(BG139:BG157)),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ROUND((SUM(BH139:BH157)),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ROUND((SUM(BI139:BI157)),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4414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01 - Klempířské prvky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>Alej Svobody 703 Plzeň 1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20.25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MEPRO s.r.o.</v>
      </c>
      <c r="L95" s="17"/>
    </row>
    <row r="96" spans="2:12" s="16" customFormat="1" ht="27.75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Propos Liberec s.r.o.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4418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16" customFormat="1" ht="21.75" customHeight="1" x14ac:dyDescent="0.2">
      <c r="B102" s="17"/>
      <c r="L102" s="17"/>
    </row>
    <row r="103" spans="2:47" s="16" customFormat="1" ht="6.95" customHeight="1" x14ac:dyDescent="0.2">
      <c r="B103" s="30"/>
      <c r="C103" s="19"/>
      <c r="D103" s="19"/>
      <c r="E103" s="19"/>
      <c r="F103" s="19"/>
      <c r="G103" s="19"/>
      <c r="H103" s="19"/>
      <c r="I103" s="19"/>
      <c r="J103" s="19"/>
      <c r="K103" s="19"/>
      <c r="L103" s="17"/>
    </row>
    <row r="107" spans="2:47" ht="2.4500000000000002" customHeight="1" x14ac:dyDescent="0.2"/>
    <row r="108" spans="2:47" ht="2.4500000000000002" customHeight="1" x14ac:dyDescent="0.2"/>
    <row r="109" spans="2:47" ht="2.4500000000000002" customHeight="1" x14ac:dyDescent="0.2"/>
    <row r="110" spans="2:47" ht="2.4500000000000002" customHeight="1" x14ac:dyDescent="0.2"/>
    <row r="111" spans="2:47" ht="2.4500000000000002" customHeight="1" x14ac:dyDescent="0.2"/>
    <row r="112" spans="2:47" ht="2.4500000000000002" customHeight="1" x14ac:dyDescent="0.2"/>
    <row r="113" spans="2:12" ht="2.4500000000000002" customHeight="1" x14ac:dyDescent="0.2"/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4414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01 - Klempířské prvky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tr">
        <f>F16</f>
        <v>Alej Svobody 703 Plzeň 1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MEPRO s.r.o.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304" t="str">
        <f>E28</f>
        <v>Propos Liberec s.r.o.</v>
      </c>
      <c r="K136" s="327"/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</f>
        <v>0</v>
      </c>
      <c r="Q139" s="39"/>
      <c r="R139" s="113">
        <f>R140</f>
        <v>6.2430000000000003E-3</v>
      </c>
      <c r="S139" s="39"/>
      <c r="T139" s="114">
        <f>T140</f>
        <v>0</v>
      </c>
      <c r="AT139" s="2" t="s">
        <v>79</v>
      </c>
      <c r="AU139" s="2" t="s">
        <v>303</v>
      </c>
      <c r="BK139" s="115">
        <f>BK140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87</v>
      </c>
      <c r="F140" s="119" t="s">
        <v>112</v>
      </c>
      <c r="J140" s="120">
        <f>BK140</f>
        <v>0</v>
      </c>
      <c r="L140" s="117"/>
      <c r="M140" s="121"/>
      <c r="P140" s="122">
        <f>SUM(P141:P157)</f>
        <v>0</v>
      </c>
      <c r="R140" s="122">
        <f>SUM(R141:R157)</f>
        <v>6.2430000000000003E-3</v>
      </c>
      <c r="T140" s="123">
        <f>SUM(T141:T157)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SUM(BK141:BK157)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4419</v>
      </c>
      <c r="F141" s="130" t="s">
        <v>4420</v>
      </c>
      <c r="G141" s="131" t="s">
        <v>724</v>
      </c>
      <c r="H141" s="132">
        <v>4.05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8.9999999999999998E-4</v>
      </c>
      <c r="R141" s="137">
        <f>Q141*H141</f>
        <v>3.6449999999999998E-3</v>
      </c>
      <c r="S141" s="137">
        <v>0</v>
      </c>
      <c r="T141" s="138">
        <f>S141*H141</f>
        <v>0</v>
      </c>
      <c r="AR141" s="139" t="s">
        <v>496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496</v>
      </c>
      <c r="BM141" s="139" t="s">
        <v>4421</v>
      </c>
    </row>
    <row r="142" spans="2:65" s="16" customFormat="1" ht="19.5" x14ac:dyDescent="0.2">
      <c r="B142" s="17"/>
      <c r="D142" s="143" t="s">
        <v>644</v>
      </c>
      <c r="F142" s="179" t="s">
        <v>4422</v>
      </c>
      <c r="L142" s="17"/>
      <c r="M142" s="180"/>
      <c r="T142" s="41"/>
      <c r="AT142" s="2" t="s">
        <v>644</v>
      </c>
      <c r="AU142" s="2" t="s">
        <v>87</v>
      </c>
    </row>
    <row r="143" spans="2:65" s="16" customFormat="1" ht="16.5" customHeight="1" x14ac:dyDescent="0.2">
      <c r="B143" s="17"/>
      <c r="C143" s="128">
        <v>2</v>
      </c>
      <c r="D143" s="128" t="s">
        <v>339</v>
      </c>
      <c r="E143" s="129" t="s">
        <v>4423</v>
      </c>
      <c r="F143" s="130" t="s">
        <v>4424</v>
      </c>
      <c r="G143" s="131" t="s">
        <v>449</v>
      </c>
      <c r="H143" s="132">
        <v>1</v>
      </c>
      <c r="I143" s="133"/>
      <c r="J143" s="134">
        <f t="shared" ref="J143:J157" si="0">ROUND(I143*H143,2)</f>
        <v>0</v>
      </c>
      <c r="K143" s="130" t="s">
        <v>343</v>
      </c>
      <c r="L143" s="17"/>
      <c r="M143" s="135"/>
      <c r="N143" s="136" t="s">
        <v>45</v>
      </c>
      <c r="P143" s="137">
        <f t="shared" ref="P143:P157" si="1">O143*H143</f>
        <v>0</v>
      </c>
      <c r="Q143" s="137">
        <v>1.9000000000000001E-4</v>
      </c>
      <c r="R143" s="137">
        <f t="shared" ref="R143:R157" si="2">Q143*H143</f>
        <v>1.9000000000000001E-4</v>
      </c>
      <c r="S143" s="137">
        <v>0</v>
      </c>
      <c r="T143" s="138">
        <f t="shared" ref="T143:T157" si="3">S143*H143</f>
        <v>0</v>
      </c>
      <c r="AR143" s="139" t="s">
        <v>496</v>
      </c>
      <c r="AT143" s="139" t="s">
        <v>339</v>
      </c>
      <c r="AU143" s="139" t="s">
        <v>87</v>
      </c>
      <c r="AY143" s="2" t="s">
        <v>337</v>
      </c>
      <c r="BE143" s="140">
        <f t="shared" ref="BE143:BE157" si="4">IF(N143="základní",J143,0)</f>
        <v>0</v>
      </c>
      <c r="BF143" s="140">
        <f t="shared" ref="BF143:BF157" si="5">IF(N143="snížená",J143,0)</f>
        <v>0</v>
      </c>
      <c r="BG143" s="140">
        <f t="shared" ref="BG143:BG157" si="6">IF(N143="zákl. přenesená",J143,0)</f>
        <v>0</v>
      </c>
      <c r="BH143" s="140">
        <f t="shared" ref="BH143:BH157" si="7">IF(N143="sníž. přenesená",J143,0)</f>
        <v>0</v>
      </c>
      <c r="BI143" s="140">
        <f t="shared" ref="BI143:BI157" si="8">IF(N143="nulová",J143,0)</f>
        <v>0</v>
      </c>
      <c r="BJ143" s="2" t="s">
        <v>87</v>
      </c>
      <c r="BK143" s="140">
        <f t="shared" ref="BK143:BK157" si="9">ROUND(I143*H143,2)</f>
        <v>0</v>
      </c>
      <c r="BL143" s="2" t="s">
        <v>496</v>
      </c>
      <c r="BM143" s="139" t="s">
        <v>4425</v>
      </c>
    </row>
    <row r="144" spans="2:65" s="16" customFormat="1" ht="21.75" customHeight="1" x14ac:dyDescent="0.2">
      <c r="B144" s="17"/>
      <c r="C144" s="128">
        <v>3</v>
      </c>
      <c r="D144" s="128" t="s">
        <v>339</v>
      </c>
      <c r="E144" s="129" t="s">
        <v>4426</v>
      </c>
      <c r="F144" s="130" t="s">
        <v>4427</v>
      </c>
      <c r="G144" s="131" t="s">
        <v>724</v>
      </c>
      <c r="H144" s="132">
        <v>2.8</v>
      </c>
      <c r="I144" s="133"/>
      <c r="J144" s="134">
        <f t="shared" si="0"/>
        <v>0</v>
      </c>
      <c r="K144" s="130" t="s">
        <v>343</v>
      </c>
      <c r="L144" s="17"/>
      <c r="M144" s="135"/>
      <c r="N144" s="136" t="s">
        <v>45</v>
      </c>
      <c r="P144" s="137">
        <f t="shared" si="1"/>
        <v>0</v>
      </c>
      <c r="Q144" s="137">
        <v>8.5999999999999998E-4</v>
      </c>
      <c r="R144" s="137">
        <f t="shared" si="2"/>
        <v>2.408E-3</v>
      </c>
      <c r="S144" s="137">
        <v>0</v>
      </c>
      <c r="T144" s="138">
        <f t="shared" si="3"/>
        <v>0</v>
      </c>
      <c r="AR144" s="139" t="s">
        <v>496</v>
      </c>
      <c r="AT144" s="139" t="s">
        <v>339</v>
      </c>
      <c r="AU144" s="139" t="s">
        <v>87</v>
      </c>
      <c r="AY144" s="2" t="s">
        <v>337</v>
      </c>
      <c r="BE144" s="140">
        <f t="shared" si="4"/>
        <v>0</v>
      </c>
      <c r="BF144" s="140">
        <f t="shared" si="5"/>
        <v>0</v>
      </c>
      <c r="BG144" s="140">
        <f t="shared" si="6"/>
        <v>0</v>
      </c>
      <c r="BH144" s="140">
        <f t="shared" si="7"/>
        <v>0</v>
      </c>
      <c r="BI144" s="140">
        <f t="shared" si="8"/>
        <v>0</v>
      </c>
      <c r="BJ144" s="2" t="s">
        <v>87</v>
      </c>
      <c r="BK144" s="140">
        <f t="shared" si="9"/>
        <v>0</v>
      </c>
      <c r="BL144" s="2" t="s">
        <v>496</v>
      </c>
      <c r="BM144" s="139" t="s">
        <v>4428</v>
      </c>
    </row>
    <row r="145" spans="2:65" s="16" customFormat="1" ht="16.5" customHeight="1" x14ac:dyDescent="0.2">
      <c r="B145" s="17"/>
      <c r="C145" s="128">
        <v>4</v>
      </c>
      <c r="D145" s="128" t="s">
        <v>339</v>
      </c>
      <c r="E145" s="129" t="s">
        <v>4429</v>
      </c>
      <c r="F145" s="130" t="s">
        <v>4430</v>
      </c>
      <c r="G145" s="131" t="s">
        <v>724</v>
      </c>
      <c r="H145" s="132">
        <v>412.66</v>
      </c>
      <c r="I145" s="133"/>
      <c r="J145" s="134">
        <f t="shared" si="0"/>
        <v>0</v>
      </c>
      <c r="K145" s="130"/>
      <c r="L145" s="17"/>
      <c r="M145" s="135"/>
      <c r="N145" s="136" t="s">
        <v>45</v>
      </c>
      <c r="P145" s="137">
        <f t="shared" si="1"/>
        <v>0</v>
      </c>
      <c r="Q145" s="137">
        <v>0</v>
      </c>
      <c r="R145" s="137">
        <f t="shared" si="2"/>
        <v>0</v>
      </c>
      <c r="S145" s="137">
        <v>0</v>
      </c>
      <c r="T145" s="138">
        <f t="shared" si="3"/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 t="shared" si="4"/>
        <v>0</v>
      </c>
      <c r="BF145" s="140">
        <f t="shared" si="5"/>
        <v>0</v>
      </c>
      <c r="BG145" s="140">
        <f t="shared" si="6"/>
        <v>0</v>
      </c>
      <c r="BH145" s="140">
        <f t="shared" si="7"/>
        <v>0</v>
      </c>
      <c r="BI145" s="140">
        <f t="shared" si="8"/>
        <v>0</v>
      </c>
      <c r="BJ145" s="2" t="s">
        <v>87</v>
      </c>
      <c r="BK145" s="140">
        <f t="shared" si="9"/>
        <v>0</v>
      </c>
      <c r="BL145" s="2" t="s">
        <v>344</v>
      </c>
      <c r="BM145" s="139" t="s">
        <v>90</v>
      </c>
    </row>
    <row r="146" spans="2:65" s="16" customFormat="1" ht="16.5" customHeight="1" x14ac:dyDescent="0.2">
      <c r="B146" s="17"/>
      <c r="C146" s="128">
        <v>5</v>
      </c>
      <c r="D146" s="128" t="s">
        <v>339</v>
      </c>
      <c r="E146" s="129" t="s">
        <v>4431</v>
      </c>
      <c r="F146" s="130" t="s">
        <v>4432</v>
      </c>
      <c r="G146" s="131" t="s">
        <v>724</v>
      </c>
      <c r="H146" s="132">
        <v>11.55</v>
      </c>
      <c r="I146" s="133"/>
      <c r="J146" s="134">
        <f t="shared" si="0"/>
        <v>0</v>
      </c>
      <c r="K146" s="130"/>
      <c r="L146" s="17"/>
      <c r="M146" s="135"/>
      <c r="N146" s="136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344</v>
      </c>
      <c r="AT146" s="139" t="s">
        <v>339</v>
      </c>
      <c r="AU146" s="139" t="s">
        <v>87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344</v>
      </c>
      <c r="BM146" s="139" t="s">
        <v>344</v>
      </c>
    </row>
    <row r="147" spans="2:65" s="16" customFormat="1" ht="16.5" customHeight="1" x14ac:dyDescent="0.2">
      <c r="B147" s="17"/>
      <c r="C147" s="128">
        <v>6</v>
      </c>
      <c r="D147" s="128" t="s">
        <v>339</v>
      </c>
      <c r="E147" s="129" t="s">
        <v>4433</v>
      </c>
      <c r="F147" s="130" t="s">
        <v>4434</v>
      </c>
      <c r="G147" s="131" t="s">
        <v>724</v>
      </c>
      <c r="H147" s="132">
        <v>15.45</v>
      </c>
      <c r="I147" s="133"/>
      <c r="J147" s="134">
        <f t="shared" si="0"/>
        <v>0</v>
      </c>
      <c r="K147" s="130"/>
      <c r="L147" s="17"/>
      <c r="M147" s="135"/>
      <c r="N147" s="136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AR147" s="139" t="s">
        <v>344</v>
      </c>
      <c r="AT147" s="139" t="s">
        <v>339</v>
      </c>
      <c r="AU147" s="139" t="s">
        <v>87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344</v>
      </c>
      <c r="BM147" s="139" t="s">
        <v>430</v>
      </c>
    </row>
    <row r="148" spans="2:65" s="16" customFormat="1" ht="16.5" customHeight="1" x14ac:dyDescent="0.2">
      <c r="B148" s="17"/>
      <c r="C148" s="128">
        <v>7</v>
      </c>
      <c r="D148" s="128" t="s">
        <v>339</v>
      </c>
      <c r="E148" s="129" t="s">
        <v>4435</v>
      </c>
      <c r="F148" s="130" t="s">
        <v>4436</v>
      </c>
      <c r="G148" s="131" t="s">
        <v>724</v>
      </c>
      <c r="H148" s="132">
        <v>38.945</v>
      </c>
      <c r="I148" s="133"/>
      <c r="J148" s="134">
        <f t="shared" si="0"/>
        <v>0</v>
      </c>
      <c r="K148" s="130"/>
      <c r="L148" s="17"/>
      <c r="M148" s="135"/>
      <c r="N148" s="136" t="s">
        <v>45</v>
      </c>
      <c r="P148" s="137">
        <f t="shared" si="1"/>
        <v>0</v>
      </c>
      <c r="Q148" s="137">
        <v>0</v>
      </c>
      <c r="R148" s="137">
        <f t="shared" si="2"/>
        <v>0</v>
      </c>
      <c r="S148" s="137">
        <v>0</v>
      </c>
      <c r="T148" s="138">
        <f t="shared" si="3"/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 t="shared" si="4"/>
        <v>0</v>
      </c>
      <c r="BF148" s="140">
        <f t="shared" si="5"/>
        <v>0</v>
      </c>
      <c r="BG148" s="140">
        <f t="shared" si="6"/>
        <v>0</v>
      </c>
      <c r="BH148" s="140">
        <f t="shared" si="7"/>
        <v>0</v>
      </c>
      <c r="BI148" s="140">
        <f t="shared" si="8"/>
        <v>0</v>
      </c>
      <c r="BJ148" s="2" t="s">
        <v>87</v>
      </c>
      <c r="BK148" s="140">
        <f t="shared" si="9"/>
        <v>0</v>
      </c>
      <c r="BL148" s="2" t="s">
        <v>344</v>
      </c>
      <c r="BM148" s="139" t="s">
        <v>446</v>
      </c>
    </row>
    <row r="149" spans="2:65" s="16" customFormat="1" ht="16.5" customHeight="1" x14ac:dyDescent="0.2">
      <c r="B149" s="17"/>
      <c r="C149" s="128">
        <v>8</v>
      </c>
      <c r="D149" s="128" t="s">
        <v>339</v>
      </c>
      <c r="E149" s="129" t="s">
        <v>4437</v>
      </c>
      <c r="F149" s="130" t="s">
        <v>4438</v>
      </c>
      <c r="G149" s="131" t="s">
        <v>724</v>
      </c>
      <c r="H149" s="132">
        <v>70.718999999999994</v>
      </c>
      <c r="I149" s="133"/>
      <c r="J149" s="134">
        <f t="shared" si="0"/>
        <v>0</v>
      </c>
      <c r="K149" s="130"/>
      <c r="L149" s="17"/>
      <c r="M149" s="135"/>
      <c r="N149" s="136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344</v>
      </c>
      <c r="BM149" s="139" t="s">
        <v>457</v>
      </c>
    </row>
    <row r="150" spans="2:65" s="16" customFormat="1" ht="16.5" customHeight="1" x14ac:dyDescent="0.2">
      <c r="B150" s="17"/>
      <c r="C150" s="128">
        <v>9</v>
      </c>
      <c r="D150" s="128" t="s">
        <v>339</v>
      </c>
      <c r="E150" s="129" t="s">
        <v>4439</v>
      </c>
      <c r="F150" s="130" t="s">
        <v>4440</v>
      </c>
      <c r="G150" s="131" t="s">
        <v>724</v>
      </c>
      <c r="H150" s="132">
        <v>121.6</v>
      </c>
      <c r="I150" s="133"/>
      <c r="J150" s="134">
        <f t="shared" si="0"/>
        <v>0</v>
      </c>
      <c r="K150" s="130"/>
      <c r="L150" s="17"/>
      <c r="M150" s="135"/>
      <c r="N150" s="136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344</v>
      </c>
      <c r="BM150" s="139" t="s">
        <v>7</v>
      </c>
    </row>
    <row r="151" spans="2:65" s="16" customFormat="1" ht="16.5" customHeight="1" x14ac:dyDescent="0.2">
      <c r="B151" s="17"/>
      <c r="C151" s="128">
        <v>10</v>
      </c>
      <c r="D151" s="128" t="s">
        <v>339</v>
      </c>
      <c r="E151" s="129" t="s">
        <v>4441</v>
      </c>
      <c r="F151" s="130" t="s">
        <v>4442</v>
      </c>
      <c r="G151" s="131" t="s">
        <v>724</v>
      </c>
      <c r="H151" s="132">
        <v>8.98</v>
      </c>
      <c r="I151" s="133"/>
      <c r="J151" s="134">
        <f t="shared" si="0"/>
        <v>0</v>
      </c>
      <c r="K151" s="130"/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344</v>
      </c>
      <c r="AT151" s="139" t="s">
        <v>339</v>
      </c>
      <c r="AU151" s="139" t="s">
        <v>87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344</v>
      </c>
      <c r="BM151" s="139" t="s">
        <v>480</v>
      </c>
    </row>
    <row r="152" spans="2:65" s="16" customFormat="1" ht="16.5" customHeight="1" x14ac:dyDescent="0.2">
      <c r="B152" s="17"/>
      <c r="C152" s="128">
        <v>11</v>
      </c>
      <c r="D152" s="128" t="s">
        <v>339</v>
      </c>
      <c r="E152" s="129" t="s">
        <v>4443</v>
      </c>
      <c r="F152" s="130" t="s">
        <v>4444</v>
      </c>
      <c r="G152" s="131" t="s">
        <v>724</v>
      </c>
      <c r="H152" s="132">
        <v>11.289</v>
      </c>
      <c r="I152" s="133"/>
      <c r="J152" s="134">
        <f t="shared" si="0"/>
        <v>0</v>
      </c>
      <c r="K152" s="130"/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344</v>
      </c>
      <c r="BM152" s="139" t="s">
        <v>496</v>
      </c>
    </row>
    <row r="153" spans="2:65" s="16" customFormat="1" ht="16.5" customHeight="1" x14ac:dyDescent="0.2">
      <c r="B153" s="17"/>
      <c r="C153" s="128">
        <v>12</v>
      </c>
      <c r="D153" s="128" t="s">
        <v>339</v>
      </c>
      <c r="E153" s="129" t="s">
        <v>4445</v>
      </c>
      <c r="F153" s="130" t="s">
        <v>4446</v>
      </c>
      <c r="G153" s="131" t="s">
        <v>724</v>
      </c>
      <c r="H153" s="132">
        <v>74.69</v>
      </c>
      <c r="I153" s="133"/>
      <c r="J153" s="134">
        <f t="shared" si="0"/>
        <v>0</v>
      </c>
      <c r="K153" s="130"/>
      <c r="L153" s="17"/>
      <c r="M153" s="135"/>
      <c r="N153" s="136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</v>
      </c>
      <c r="T153" s="138">
        <f t="shared" si="3"/>
        <v>0</v>
      </c>
      <c r="AR153" s="139" t="s">
        <v>344</v>
      </c>
      <c r="AT153" s="139" t="s">
        <v>339</v>
      </c>
      <c r="AU153" s="139" t="s">
        <v>87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344</v>
      </c>
      <c r="BM153" s="139" t="s">
        <v>2547</v>
      </c>
    </row>
    <row r="154" spans="2:65" s="16" customFormat="1" ht="16.5" customHeight="1" x14ac:dyDescent="0.2">
      <c r="B154" s="17"/>
      <c r="C154" s="128">
        <v>13</v>
      </c>
      <c r="D154" s="128" t="s">
        <v>339</v>
      </c>
      <c r="E154" s="129" t="s">
        <v>4447</v>
      </c>
      <c r="F154" s="130" t="s">
        <v>4448</v>
      </c>
      <c r="G154" s="131" t="s">
        <v>724</v>
      </c>
      <c r="H154" s="132">
        <v>12.275</v>
      </c>
      <c r="I154" s="133"/>
      <c r="J154" s="134">
        <f t="shared" si="0"/>
        <v>0</v>
      </c>
      <c r="K154" s="130"/>
      <c r="L154" s="17"/>
      <c r="M154" s="135"/>
      <c r="N154" s="136" t="s">
        <v>45</v>
      </c>
      <c r="P154" s="137">
        <f t="shared" si="1"/>
        <v>0</v>
      </c>
      <c r="Q154" s="137">
        <v>0</v>
      </c>
      <c r="R154" s="137">
        <f t="shared" si="2"/>
        <v>0</v>
      </c>
      <c r="S154" s="137">
        <v>0</v>
      </c>
      <c r="T154" s="138">
        <f t="shared" si="3"/>
        <v>0</v>
      </c>
      <c r="AR154" s="139" t="s">
        <v>344</v>
      </c>
      <c r="AT154" s="139" t="s">
        <v>339</v>
      </c>
      <c r="AU154" s="139" t="s">
        <v>87</v>
      </c>
      <c r="AY154" s="2" t="s">
        <v>337</v>
      </c>
      <c r="BE154" s="140">
        <f t="shared" si="4"/>
        <v>0</v>
      </c>
      <c r="BF154" s="140">
        <f t="shared" si="5"/>
        <v>0</v>
      </c>
      <c r="BG154" s="140">
        <f t="shared" si="6"/>
        <v>0</v>
      </c>
      <c r="BH154" s="140">
        <f t="shared" si="7"/>
        <v>0</v>
      </c>
      <c r="BI154" s="140">
        <f t="shared" si="8"/>
        <v>0</v>
      </c>
      <c r="BJ154" s="2" t="s">
        <v>87</v>
      </c>
      <c r="BK154" s="140">
        <f t="shared" si="9"/>
        <v>0</v>
      </c>
      <c r="BL154" s="2" t="s">
        <v>344</v>
      </c>
      <c r="BM154" s="139" t="s">
        <v>532</v>
      </c>
    </row>
    <row r="155" spans="2:65" s="16" customFormat="1" ht="16.5" customHeight="1" x14ac:dyDescent="0.2">
      <c r="B155" s="17"/>
      <c r="C155" s="128">
        <v>14</v>
      </c>
      <c r="D155" s="128" t="s">
        <v>339</v>
      </c>
      <c r="E155" s="129" t="s">
        <v>4449</v>
      </c>
      <c r="F155" s="130" t="s">
        <v>4450</v>
      </c>
      <c r="G155" s="131" t="s">
        <v>724</v>
      </c>
      <c r="H155" s="132">
        <v>2.9049999999999998</v>
      </c>
      <c r="I155" s="133"/>
      <c r="J155" s="134">
        <f t="shared" si="0"/>
        <v>0</v>
      </c>
      <c r="K155" s="130"/>
      <c r="L155" s="17"/>
      <c r="M155" s="135"/>
      <c r="N155" s="136" t="s">
        <v>45</v>
      </c>
      <c r="P155" s="137">
        <f t="shared" si="1"/>
        <v>0</v>
      </c>
      <c r="Q155" s="137">
        <v>0</v>
      </c>
      <c r="R155" s="137">
        <f t="shared" si="2"/>
        <v>0</v>
      </c>
      <c r="S155" s="137">
        <v>0</v>
      </c>
      <c r="T155" s="138">
        <f t="shared" si="3"/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 t="shared" si="4"/>
        <v>0</v>
      </c>
      <c r="BF155" s="140">
        <f t="shared" si="5"/>
        <v>0</v>
      </c>
      <c r="BG155" s="140">
        <f t="shared" si="6"/>
        <v>0</v>
      </c>
      <c r="BH155" s="140">
        <f t="shared" si="7"/>
        <v>0</v>
      </c>
      <c r="BI155" s="140">
        <f t="shared" si="8"/>
        <v>0</v>
      </c>
      <c r="BJ155" s="2" t="s">
        <v>87</v>
      </c>
      <c r="BK155" s="140">
        <f t="shared" si="9"/>
        <v>0</v>
      </c>
      <c r="BL155" s="2" t="s">
        <v>344</v>
      </c>
      <c r="BM155" s="139" t="s">
        <v>543</v>
      </c>
    </row>
    <row r="156" spans="2:65" s="16" customFormat="1" ht="16.5" customHeight="1" x14ac:dyDescent="0.2">
      <c r="B156" s="17"/>
      <c r="C156" s="128">
        <v>15</v>
      </c>
      <c r="D156" s="128" t="s">
        <v>339</v>
      </c>
      <c r="E156" s="129" t="s">
        <v>4451</v>
      </c>
      <c r="F156" s="130" t="s">
        <v>4452</v>
      </c>
      <c r="G156" s="131" t="s">
        <v>724</v>
      </c>
      <c r="H156" s="132">
        <v>4.33</v>
      </c>
      <c r="I156" s="133"/>
      <c r="J156" s="134">
        <f t="shared" si="0"/>
        <v>0</v>
      </c>
      <c r="K156" s="130"/>
      <c r="L156" s="17"/>
      <c r="M156" s="135"/>
      <c r="N156" s="136" t="s">
        <v>45</v>
      </c>
      <c r="P156" s="137">
        <f t="shared" si="1"/>
        <v>0</v>
      </c>
      <c r="Q156" s="137">
        <v>0</v>
      </c>
      <c r="R156" s="137">
        <f t="shared" si="2"/>
        <v>0</v>
      </c>
      <c r="S156" s="137">
        <v>0</v>
      </c>
      <c r="T156" s="138">
        <f t="shared" si="3"/>
        <v>0</v>
      </c>
      <c r="AR156" s="139" t="s">
        <v>344</v>
      </c>
      <c r="AT156" s="139" t="s">
        <v>339</v>
      </c>
      <c r="AU156" s="139" t="s">
        <v>87</v>
      </c>
      <c r="AY156" s="2" t="s">
        <v>337</v>
      </c>
      <c r="BE156" s="140">
        <f t="shared" si="4"/>
        <v>0</v>
      </c>
      <c r="BF156" s="140">
        <f t="shared" si="5"/>
        <v>0</v>
      </c>
      <c r="BG156" s="140">
        <f t="shared" si="6"/>
        <v>0</v>
      </c>
      <c r="BH156" s="140">
        <f t="shared" si="7"/>
        <v>0</v>
      </c>
      <c r="BI156" s="140">
        <f t="shared" si="8"/>
        <v>0</v>
      </c>
      <c r="BJ156" s="2" t="s">
        <v>87</v>
      </c>
      <c r="BK156" s="140">
        <f t="shared" si="9"/>
        <v>0</v>
      </c>
      <c r="BL156" s="2" t="s">
        <v>344</v>
      </c>
      <c r="BM156" s="139" t="s">
        <v>569</v>
      </c>
    </row>
    <row r="157" spans="2:65" s="16" customFormat="1" ht="16.5" customHeight="1" x14ac:dyDescent="0.2">
      <c r="B157" s="17"/>
      <c r="C157" s="128">
        <v>16</v>
      </c>
      <c r="D157" s="128" t="s">
        <v>339</v>
      </c>
      <c r="E157" s="129" t="s">
        <v>4453</v>
      </c>
      <c r="F157" s="130" t="s">
        <v>4454</v>
      </c>
      <c r="G157" s="131" t="s">
        <v>724</v>
      </c>
      <c r="H157" s="132">
        <v>0.9</v>
      </c>
      <c r="I157" s="133"/>
      <c r="J157" s="134">
        <f t="shared" si="0"/>
        <v>0</v>
      </c>
      <c r="K157" s="130"/>
      <c r="L157" s="17"/>
      <c r="M157" s="187"/>
      <c r="N157" s="188" t="s">
        <v>45</v>
      </c>
      <c r="O157" s="189"/>
      <c r="P157" s="190">
        <f t="shared" si="1"/>
        <v>0</v>
      </c>
      <c r="Q157" s="190">
        <v>0</v>
      </c>
      <c r="R157" s="190">
        <f t="shared" si="2"/>
        <v>0</v>
      </c>
      <c r="S157" s="190">
        <v>0</v>
      </c>
      <c r="T157" s="191">
        <f t="shared" si="3"/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 t="shared" si="4"/>
        <v>0</v>
      </c>
      <c r="BF157" s="140">
        <f t="shared" si="5"/>
        <v>0</v>
      </c>
      <c r="BG157" s="140">
        <f t="shared" si="6"/>
        <v>0</v>
      </c>
      <c r="BH157" s="140">
        <f t="shared" si="7"/>
        <v>0</v>
      </c>
      <c r="BI157" s="140">
        <f t="shared" si="8"/>
        <v>0</v>
      </c>
      <c r="BJ157" s="2" t="s">
        <v>87</v>
      </c>
      <c r="BK157" s="140">
        <f t="shared" si="9"/>
        <v>0</v>
      </c>
      <c r="BL157" s="2" t="s">
        <v>344</v>
      </c>
      <c r="BM157" s="139" t="s">
        <v>577</v>
      </c>
    </row>
    <row r="158" spans="2:65" s="16" customFormat="1" ht="6.95" customHeight="1" x14ac:dyDescent="0.2">
      <c r="B158" s="30"/>
      <c r="C158" s="19"/>
      <c r="D158" s="19"/>
      <c r="E158" s="19"/>
      <c r="F158" s="19"/>
      <c r="G158" s="19"/>
      <c r="H158" s="19"/>
      <c r="I158" s="19"/>
      <c r="J158" s="19"/>
      <c r="K158" s="19"/>
      <c r="L158" s="17"/>
    </row>
  </sheetData>
  <sheetProtection algorithmName="SHA-512" hashValue="YsSKmF1//2jSfuT0ACosEui4GCwwFPltwWi/nSN3kc7oGhEO/qaiSLN9F8seRBZfXyxhp79iC+NL7xcl74C0zA==" saltValue="P/MkuDrYd9cj/hVigcP6NQ==" spinCount="100000" sheet="1" objects="1" scenarios="1" formatCells="0" formatColumns="0" formatRows="0" autoFilter="0"/>
  <autoFilter ref="C138:K157" xr:uid="{00000000-0009-0000-0000-000006000000}"/>
  <mergeCells count="16">
    <mergeCell ref="L2:V2"/>
    <mergeCell ref="J136:K136"/>
    <mergeCell ref="E22:H22"/>
    <mergeCell ref="E7:H7"/>
    <mergeCell ref="E9:H9"/>
    <mergeCell ref="E11:H11"/>
    <mergeCell ref="E13:H13"/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B2:BM146"/>
  <sheetViews>
    <sheetView showGridLines="0" workbookViewId="0">
      <selection activeCell="F96" sqref="F96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332031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117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4414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4455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 t="str">
        <f>IF(Rekapitulace_stavby!AN16="","",Rekapitulace_stavby!AN16)</f>
        <v>48025721</v>
      </c>
      <c r="L24" s="17"/>
    </row>
    <row r="25" spans="2:12" s="16" customFormat="1" ht="18" hidden="1" customHeight="1" x14ac:dyDescent="0.2">
      <c r="B25" s="17"/>
      <c r="E25" s="10" t="str">
        <f>IF(Rekapitulace_stavby!E17="","",Rekapitulace_stavby!E17)</f>
        <v>MEPRO s.r.o.</v>
      </c>
      <c r="I25" s="12" t="s">
        <v>26</v>
      </c>
      <c r="J25" s="10" t="str">
        <f>IF(Rekapitulace_stavby!AN17="","",Rekapitulace_stavby!AN17)</f>
        <v>CZ48025721</v>
      </c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 t="str">
        <f>IF(Rekapitulace_stavby!AN19="","",Rekapitulace_stavby!AN19)</f>
        <v>25415751</v>
      </c>
      <c r="L27" s="17"/>
    </row>
    <row r="28" spans="2:12" s="16" customFormat="1" ht="18" hidden="1" customHeight="1" x14ac:dyDescent="0.2">
      <c r="B28" s="17"/>
      <c r="E28" s="10" t="str">
        <f>IF(Rekapitulace_stavby!E20="","",Rekapitulace_stavby!E20)</f>
        <v>Propos Liberec s.r.o.</v>
      </c>
      <c r="I28" s="12" t="s">
        <v>26</v>
      </c>
      <c r="J28" s="10" t="str">
        <f>IF(Rekapitulace_stavby!AN20="","",Rekapitulace_stavby!AN20)</f>
        <v>CZ25415751</v>
      </c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47.25" hidden="1" customHeight="1" x14ac:dyDescent="0.2">
      <c r="B31" s="82"/>
      <c r="E31" s="304" t="s">
        <v>4456</v>
      </c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ROUND((SUM(BE139:BE145)),  2)</f>
        <v>0</v>
      </c>
      <c r="I37" s="86">
        <v>0.21</v>
      </c>
      <c r="J37" s="73">
        <f>ROUND(((SUM(BE139:BE145))*I37),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ROUND((SUM(BF139:BF145)),  2)</f>
        <v>0</v>
      </c>
      <c r="I38" s="86">
        <v>0.12</v>
      </c>
      <c r="J38" s="73">
        <f>ROUND(((SUM(BF139:BF145))*I38),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ROUND((SUM(BG139:BG145)),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ROUND((SUM(BH139:BH145)),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ROUND((SUM(BI139:BI145)),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4414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02 - Ostatní výrobky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MEPRO s.r.o.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Propos Liberec s.r.o.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4457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16" customFormat="1" ht="21.75" customHeight="1" x14ac:dyDescent="0.2">
      <c r="B102" s="17"/>
      <c r="L102" s="17"/>
    </row>
    <row r="103" spans="2:47" s="16" customFormat="1" ht="6.95" customHeight="1" x14ac:dyDescent="0.2">
      <c r="B103" s="30"/>
      <c r="C103" s="19"/>
      <c r="D103" s="19"/>
      <c r="E103" s="19"/>
      <c r="F103" s="19"/>
      <c r="G103" s="19"/>
      <c r="H103" s="19"/>
      <c r="I103" s="19"/>
      <c r="J103" s="19"/>
      <c r="K103" s="19"/>
      <c r="L103" s="17"/>
    </row>
    <row r="107" spans="2:47" ht="2.4500000000000002" customHeight="1" x14ac:dyDescent="0.2"/>
    <row r="108" spans="2:47" ht="2.4500000000000002" customHeight="1" x14ac:dyDescent="0.2"/>
    <row r="109" spans="2:47" ht="2.4500000000000002" customHeight="1" x14ac:dyDescent="0.2"/>
    <row r="110" spans="2:47" ht="2.4500000000000002" customHeight="1" x14ac:dyDescent="0.2"/>
    <row r="111" spans="2:47" ht="2.4500000000000002" customHeight="1" x14ac:dyDescent="0.2"/>
    <row r="112" spans="2:47" ht="2.4500000000000002" customHeight="1" x14ac:dyDescent="0.2"/>
    <row r="113" spans="2:12" ht="2.4500000000000002" customHeight="1" x14ac:dyDescent="0.2"/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4414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02 - Ostatní výrobky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MEPRO s.r.o.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304" t="str">
        <f>E28</f>
        <v>Propos Liberec s.r.o.</v>
      </c>
      <c r="K136" s="327"/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</f>
        <v>0</v>
      </c>
      <c r="Q139" s="39"/>
      <c r="R139" s="113">
        <f>R140</f>
        <v>0</v>
      </c>
      <c r="S139" s="39"/>
      <c r="T139" s="114">
        <f>T140</f>
        <v>0</v>
      </c>
      <c r="AT139" s="2" t="s">
        <v>79</v>
      </c>
      <c r="AU139" s="2" t="s">
        <v>303</v>
      </c>
      <c r="BK139" s="115">
        <f>BK140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87</v>
      </c>
      <c r="F140" s="119" t="s">
        <v>116</v>
      </c>
      <c r="J140" s="120">
        <f>BK140</f>
        <v>0</v>
      </c>
      <c r="L140" s="117"/>
      <c r="M140" s="121"/>
      <c r="P140" s="122">
        <f>SUM(P141:P145)</f>
        <v>0</v>
      </c>
      <c r="R140" s="122">
        <f>SUM(R141:R145)</f>
        <v>0</v>
      </c>
      <c r="T140" s="123">
        <f>SUM(T141:T145)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SUM(BK141:BK145)</f>
        <v>0</v>
      </c>
    </row>
    <row r="141" spans="2:65" s="16" customFormat="1" ht="37.9" customHeight="1" x14ac:dyDescent="0.2">
      <c r="B141" s="17"/>
      <c r="C141" s="128" t="s">
        <v>87</v>
      </c>
      <c r="D141" s="128" t="s">
        <v>339</v>
      </c>
      <c r="E141" s="129" t="s">
        <v>4458</v>
      </c>
      <c r="F141" s="130" t="s">
        <v>4459</v>
      </c>
      <c r="G141" s="131" t="s">
        <v>4460</v>
      </c>
      <c r="H141" s="132">
        <v>16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90</v>
      </c>
    </row>
    <row r="142" spans="2:65" s="16" customFormat="1" ht="19.5" x14ac:dyDescent="0.2">
      <c r="B142" s="17"/>
      <c r="D142" s="143" t="s">
        <v>644</v>
      </c>
      <c r="F142" s="179" t="s">
        <v>4461</v>
      </c>
      <c r="L142" s="17"/>
      <c r="M142" s="180"/>
      <c r="T142" s="41"/>
      <c r="AT142" s="2" t="s">
        <v>644</v>
      </c>
      <c r="AU142" s="2" t="s">
        <v>87</v>
      </c>
    </row>
    <row r="143" spans="2:65" s="16" customFormat="1" ht="37.9" customHeight="1" x14ac:dyDescent="0.2">
      <c r="B143" s="17"/>
      <c r="C143" s="128" t="s">
        <v>90</v>
      </c>
      <c r="D143" s="128" t="s">
        <v>339</v>
      </c>
      <c r="E143" s="129" t="s">
        <v>4462</v>
      </c>
      <c r="F143" s="130" t="s">
        <v>4463</v>
      </c>
      <c r="G143" s="131" t="s">
        <v>4460</v>
      </c>
      <c r="H143" s="132">
        <v>1</v>
      </c>
      <c r="I143" s="133"/>
      <c r="J143" s="134">
        <f>ROUND(I143*H143,2)</f>
        <v>0</v>
      </c>
      <c r="K143" s="130"/>
      <c r="L143" s="17"/>
      <c r="M143" s="135"/>
      <c r="N143" s="136" t="s">
        <v>45</v>
      </c>
      <c r="P143" s="137">
        <f>O143*H143</f>
        <v>0</v>
      </c>
      <c r="Q143" s="137">
        <v>0</v>
      </c>
      <c r="R143" s="137">
        <f>Q143*H143</f>
        <v>0</v>
      </c>
      <c r="S143" s="137">
        <v>0</v>
      </c>
      <c r="T143" s="138">
        <f>S143*H143</f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>IF(N143="základní",J143,0)</f>
        <v>0</v>
      </c>
      <c r="BF143" s="140">
        <f>IF(N143="snížená",J143,0)</f>
        <v>0</v>
      </c>
      <c r="BG143" s="140">
        <f>IF(N143="zákl. přenesená",J143,0)</f>
        <v>0</v>
      </c>
      <c r="BH143" s="140">
        <f>IF(N143="sníž. přenesená",J143,0)</f>
        <v>0</v>
      </c>
      <c r="BI143" s="140">
        <f>IF(N143="nulová",J143,0)</f>
        <v>0</v>
      </c>
      <c r="BJ143" s="2" t="s">
        <v>87</v>
      </c>
      <c r="BK143" s="140">
        <f>ROUND(I143*H143,2)</f>
        <v>0</v>
      </c>
      <c r="BL143" s="2" t="s">
        <v>344</v>
      </c>
      <c r="BM143" s="139" t="s">
        <v>344</v>
      </c>
    </row>
    <row r="144" spans="2:65" s="16" customFormat="1" ht="24.2" customHeight="1" x14ac:dyDescent="0.2">
      <c r="B144" s="17"/>
      <c r="C144" s="128" t="s">
        <v>113</v>
      </c>
      <c r="D144" s="128" t="s">
        <v>339</v>
      </c>
      <c r="E144" s="129" t="s">
        <v>4464</v>
      </c>
      <c r="F144" s="130" t="s">
        <v>4465</v>
      </c>
      <c r="G144" s="131" t="s">
        <v>4460</v>
      </c>
      <c r="H144" s="132">
        <v>1</v>
      </c>
      <c r="I144" s="133"/>
      <c r="J144" s="134">
        <f>ROUND(I144*H144,2)</f>
        <v>0</v>
      </c>
      <c r="K144" s="130"/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</v>
      </c>
      <c r="T144" s="138">
        <f>S144*H144</f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344</v>
      </c>
      <c r="BM144" s="139" t="s">
        <v>430</v>
      </c>
    </row>
    <row r="145" spans="2:65" s="16" customFormat="1" ht="37.9" customHeight="1" x14ac:dyDescent="0.2">
      <c r="B145" s="17"/>
      <c r="C145" s="128" t="s">
        <v>344</v>
      </c>
      <c r="D145" s="128" t="s">
        <v>339</v>
      </c>
      <c r="E145" s="129" t="s">
        <v>4466</v>
      </c>
      <c r="F145" s="130" t="s">
        <v>4467</v>
      </c>
      <c r="G145" s="131" t="s">
        <v>4460</v>
      </c>
      <c r="H145" s="132">
        <v>1</v>
      </c>
      <c r="I145" s="133"/>
      <c r="J145" s="134">
        <f>ROUND(I145*H145,2)</f>
        <v>0</v>
      </c>
      <c r="K145" s="130"/>
      <c r="L145" s="17"/>
      <c r="M145" s="187"/>
      <c r="N145" s="188" t="s">
        <v>45</v>
      </c>
      <c r="O145" s="189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>IF(N145="základní",J145,0)</f>
        <v>0</v>
      </c>
      <c r="BF145" s="140">
        <f>IF(N145="snížená",J145,0)</f>
        <v>0</v>
      </c>
      <c r="BG145" s="140">
        <f>IF(N145="zákl. přenesená",J145,0)</f>
        <v>0</v>
      </c>
      <c r="BH145" s="140">
        <f>IF(N145="sníž. přenesená",J145,0)</f>
        <v>0</v>
      </c>
      <c r="BI145" s="140">
        <f>IF(N145="nulová",J145,0)</f>
        <v>0</v>
      </c>
      <c r="BJ145" s="2" t="s">
        <v>87</v>
      </c>
      <c r="BK145" s="140">
        <f>ROUND(I145*H145,2)</f>
        <v>0</v>
      </c>
      <c r="BL145" s="2" t="s">
        <v>344</v>
      </c>
      <c r="BM145" s="139" t="s">
        <v>446</v>
      </c>
    </row>
    <row r="146" spans="2:65" s="16" customFormat="1" ht="6.95" customHeight="1" x14ac:dyDescent="0.2">
      <c r="B146" s="30"/>
      <c r="C146" s="19"/>
      <c r="D146" s="19"/>
      <c r="E146" s="19"/>
      <c r="F146" s="19"/>
      <c r="G146" s="19"/>
      <c r="H146" s="19"/>
      <c r="I146" s="19"/>
      <c r="J146" s="19"/>
      <c r="K146" s="19"/>
      <c r="L146" s="17"/>
    </row>
  </sheetData>
  <sheetProtection algorithmName="SHA-512" hashValue="OzyPTaw9F49SiBqOdDNNZrzIaQrJGs+LlGI6X3kBVLssmw5LUqnoQOi6oFbvxQfd6fWahKmZN4LKukFq/NeyxQ==" saltValue="7BZmg5dXnQHIhDkRIV6T8Q==" spinCount="100000" sheet="1" objects="1" scenarios="1" formatCells="0" formatColumns="0" formatRows="0" autoFilter="0"/>
  <autoFilter ref="C138:K145" xr:uid="{00000000-0009-0000-0000-000007000000}"/>
  <mergeCells count="16">
    <mergeCell ref="L2:V2"/>
    <mergeCell ref="J136:K136"/>
    <mergeCell ref="E22:H22"/>
    <mergeCell ref="E7:H7"/>
    <mergeCell ref="E9:H9"/>
    <mergeCell ref="E11:H11"/>
    <mergeCell ref="E13:H13"/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B2:BM234"/>
  <sheetViews>
    <sheetView showGridLines="0" workbookViewId="0">
      <selection activeCell="F104" sqref="F104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2.832031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120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4414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4468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 t="str">
        <f>IF(Rekapitulace_stavby!AN16="","",Rekapitulace_stavby!AN16)</f>
        <v>48025721</v>
      </c>
      <c r="L24" s="17"/>
    </row>
    <row r="25" spans="2:12" s="16" customFormat="1" ht="18" hidden="1" customHeight="1" x14ac:dyDescent="0.2">
      <c r="B25" s="17"/>
      <c r="E25" s="10" t="str">
        <f>IF(Rekapitulace_stavby!E17="","",Rekapitulace_stavby!E17)</f>
        <v>MEPRO s.r.o.</v>
      </c>
      <c r="I25" s="12" t="s">
        <v>26</v>
      </c>
      <c r="J25" s="10" t="str">
        <f>IF(Rekapitulace_stavby!AN17="","",Rekapitulace_stavby!AN17)</f>
        <v>CZ48025721</v>
      </c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 t="str">
        <f>IF(Rekapitulace_stavby!AN19="","",Rekapitulace_stavby!AN19)</f>
        <v>25415751</v>
      </c>
      <c r="L27" s="17"/>
    </row>
    <row r="28" spans="2:12" s="16" customFormat="1" ht="18" hidden="1" customHeight="1" x14ac:dyDescent="0.2">
      <c r="B28" s="17"/>
      <c r="E28" s="10" t="str">
        <f>IF(Rekapitulace_stavby!E20="","",Rekapitulace_stavby!E20)</f>
        <v>Propos Liberec s.r.o.</v>
      </c>
      <c r="I28" s="12" t="s">
        <v>26</v>
      </c>
      <c r="J28" s="10" t="str">
        <f>IF(Rekapitulace_stavby!AN20="","",Rekapitulace_stavby!AN20)</f>
        <v>CZ25415751</v>
      </c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59.25" hidden="1" customHeight="1" x14ac:dyDescent="0.2">
      <c r="B31" s="82"/>
      <c r="E31" s="304" t="s">
        <v>4469</v>
      </c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ROUND((SUM(BE139:BE233)),  2)</f>
        <v>0</v>
      </c>
      <c r="I37" s="86">
        <v>0.21</v>
      </c>
      <c r="J37" s="73">
        <f>ROUND(((SUM(BE139:BE233))*I37),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ROUND((SUM(BF139:BF233)),  2)</f>
        <v>0</v>
      </c>
      <c r="I38" s="86">
        <v>0.12</v>
      </c>
      <c r="J38" s="73">
        <f>ROUND(((SUM(BF139:BF233))*I38),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ROUND((SUM(BG139:BG233)),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ROUND((SUM(BH139:BH233)),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ROUND((SUM(BI139:BI233)),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4414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03 - Dveře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MEPRO s.r.o.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Propos Liberec s.r.o.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4470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16" customFormat="1" ht="21.75" customHeight="1" x14ac:dyDescent="0.2">
      <c r="B102" s="17"/>
      <c r="L102" s="17"/>
    </row>
    <row r="103" spans="2:47" s="16" customFormat="1" ht="6.95" customHeight="1" x14ac:dyDescent="0.2">
      <c r="B103" s="30"/>
      <c r="C103" s="19"/>
      <c r="D103" s="19"/>
      <c r="E103" s="19"/>
      <c r="F103" s="19"/>
      <c r="G103" s="19"/>
      <c r="H103" s="19"/>
      <c r="I103" s="19"/>
      <c r="J103" s="19"/>
      <c r="K103" s="19"/>
      <c r="L103" s="17"/>
    </row>
    <row r="107" spans="2:47" ht="2.4500000000000002" customHeight="1" x14ac:dyDescent="0.2"/>
    <row r="108" spans="2:47" ht="2.4500000000000002" customHeight="1" x14ac:dyDescent="0.2"/>
    <row r="109" spans="2:47" ht="2.4500000000000002" customHeight="1" x14ac:dyDescent="0.2"/>
    <row r="110" spans="2:47" ht="2.4500000000000002" customHeight="1" x14ac:dyDescent="0.2"/>
    <row r="111" spans="2:47" ht="2.4500000000000002" customHeight="1" x14ac:dyDescent="0.2"/>
    <row r="112" spans="2:47" ht="2.4500000000000002" customHeight="1" x14ac:dyDescent="0.2"/>
    <row r="113" spans="2:12" ht="2.4500000000000002" customHeight="1" x14ac:dyDescent="0.2"/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4414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03 - Dveře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21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MEPRO s.r.o.</v>
      </c>
      <c r="L135" s="17"/>
    </row>
    <row r="136" spans="2:65" s="16" customFormat="1" ht="12.75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304" t="str">
        <f>E28</f>
        <v>Propos Liberec s.r.o.</v>
      </c>
      <c r="K136" s="327"/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</f>
        <v>0</v>
      </c>
      <c r="Q139" s="39"/>
      <c r="R139" s="113">
        <f>R140</f>
        <v>0</v>
      </c>
      <c r="S139" s="39"/>
      <c r="T139" s="114">
        <f>T140</f>
        <v>0</v>
      </c>
      <c r="AT139" s="2" t="s">
        <v>79</v>
      </c>
      <c r="AU139" s="2" t="s">
        <v>303</v>
      </c>
      <c r="BK139" s="115">
        <f>BK140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87</v>
      </c>
      <c r="F140" s="119" t="s">
        <v>119</v>
      </c>
      <c r="J140" s="120">
        <f>BK140</f>
        <v>0</v>
      </c>
      <c r="L140" s="117"/>
      <c r="M140" s="121"/>
      <c r="P140" s="122">
        <f>SUM(P141:P233)</f>
        <v>0</v>
      </c>
      <c r="R140" s="122">
        <f>SUM(R141:R233)</f>
        <v>0</v>
      </c>
      <c r="T140" s="123">
        <f>SUM(T141:T233)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SUM(BK141:BK233)</f>
        <v>0</v>
      </c>
    </row>
    <row r="141" spans="2:65" s="16" customFormat="1" ht="24.2" customHeight="1" x14ac:dyDescent="0.2">
      <c r="B141" s="17"/>
      <c r="C141" s="128">
        <v>1</v>
      </c>
      <c r="D141" s="128" t="s">
        <v>339</v>
      </c>
      <c r="E141" s="129" t="s">
        <v>4471</v>
      </c>
      <c r="F141" s="130" t="s">
        <v>4472</v>
      </c>
      <c r="G141" s="131" t="s">
        <v>449</v>
      </c>
      <c r="H141" s="132">
        <v>1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90</v>
      </c>
    </row>
    <row r="142" spans="2:65" s="16" customFormat="1" ht="78" x14ac:dyDescent="0.2">
      <c r="B142" s="17"/>
      <c r="D142" s="143" t="s">
        <v>644</v>
      </c>
      <c r="F142" s="179" t="s">
        <v>4473</v>
      </c>
      <c r="L142" s="17"/>
      <c r="M142" s="180"/>
      <c r="T142" s="41"/>
      <c r="AT142" s="2" t="s">
        <v>644</v>
      </c>
      <c r="AU142" s="2" t="s">
        <v>87</v>
      </c>
    </row>
    <row r="143" spans="2:65" s="16" customFormat="1" ht="24.2" customHeight="1" x14ac:dyDescent="0.2">
      <c r="B143" s="17"/>
      <c r="C143" s="128">
        <v>2</v>
      </c>
      <c r="D143" s="128" t="s">
        <v>339</v>
      </c>
      <c r="E143" s="129" t="s">
        <v>4474</v>
      </c>
      <c r="F143" s="130" t="s">
        <v>4475</v>
      </c>
      <c r="G143" s="131" t="s">
        <v>449</v>
      </c>
      <c r="H143" s="132">
        <v>1</v>
      </c>
      <c r="I143" s="133"/>
      <c r="J143" s="134">
        <f t="shared" ref="J143:J174" si="0">ROUND(I143*H143,2)</f>
        <v>0</v>
      </c>
      <c r="K143" s="130"/>
      <c r="L143" s="17"/>
      <c r="M143" s="135"/>
      <c r="N143" s="136" t="s">
        <v>45</v>
      </c>
      <c r="P143" s="137">
        <f t="shared" ref="P143:P174" si="1">O143*H143</f>
        <v>0</v>
      </c>
      <c r="Q143" s="137">
        <v>0</v>
      </c>
      <c r="R143" s="137">
        <f t="shared" ref="R143:R174" si="2">Q143*H143</f>
        <v>0</v>
      </c>
      <c r="S143" s="137">
        <v>0</v>
      </c>
      <c r="T143" s="138">
        <f t="shared" ref="T143:T174" si="3">S143*H143</f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 t="shared" ref="BE143:BE174" si="4">IF(N143="základní",J143,0)</f>
        <v>0</v>
      </c>
      <c r="BF143" s="140">
        <f t="shared" ref="BF143:BF174" si="5">IF(N143="snížená",J143,0)</f>
        <v>0</v>
      </c>
      <c r="BG143" s="140">
        <f t="shared" ref="BG143:BG174" si="6">IF(N143="zákl. přenesená",J143,0)</f>
        <v>0</v>
      </c>
      <c r="BH143" s="140">
        <f t="shared" ref="BH143:BH174" si="7">IF(N143="sníž. přenesená",J143,0)</f>
        <v>0</v>
      </c>
      <c r="BI143" s="140">
        <f t="shared" ref="BI143:BI174" si="8">IF(N143="nulová",J143,0)</f>
        <v>0</v>
      </c>
      <c r="BJ143" s="2" t="s">
        <v>87</v>
      </c>
      <c r="BK143" s="140">
        <f t="shared" ref="BK143:BK174" si="9">ROUND(I143*H143,2)</f>
        <v>0</v>
      </c>
      <c r="BL143" s="2" t="s">
        <v>344</v>
      </c>
      <c r="BM143" s="139" t="s">
        <v>344</v>
      </c>
    </row>
    <row r="144" spans="2:65" s="16" customFormat="1" ht="24.2" customHeight="1" x14ac:dyDescent="0.2">
      <c r="B144" s="17"/>
      <c r="C144" s="128">
        <v>3</v>
      </c>
      <c r="D144" s="128" t="s">
        <v>339</v>
      </c>
      <c r="E144" s="129" t="s">
        <v>4476</v>
      </c>
      <c r="F144" s="130" t="s">
        <v>4477</v>
      </c>
      <c r="G144" s="131" t="s">
        <v>449</v>
      </c>
      <c r="H144" s="132">
        <v>1</v>
      </c>
      <c r="I144" s="133"/>
      <c r="J144" s="134">
        <f t="shared" si="0"/>
        <v>0</v>
      </c>
      <c r="K144" s="130"/>
      <c r="L144" s="17"/>
      <c r="M144" s="135"/>
      <c r="N144" s="136" t="s">
        <v>45</v>
      </c>
      <c r="P144" s="137">
        <f t="shared" si="1"/>
        <v>0</v>
      </c>
      <c r="Q144" s="137">
        <v>0</v>
      </c>
      <c r="R144" s="137">
        <f t="shared" si="2"/>
        <v>0</v>
      </c>
      <c r="S144" s="137">
        <v>0</v>
      </c>
      <c r="T144" s="138">
        <f t="shared" si="3"/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 t="shared" si="4"/>
        <v>0</v>
      </c>
      <c r="BF144" s="140">
        <f t="shared" si="5"/>
        <v>0</v>
      </c>
      <c r="BG144" s="140">
        <f t="shared" si="6"/>
        <v>0</v>
      </c>
      <c r="BH144" s="140">
        <f t="shared" si="7"/>
        <v>0</v>
      </c>
      <c r="BI144" s="140">
        <f t="shared" si="8"/>
        <v>0</v>
      </c>
      <c r="BJ144" s="2" t="s">
        <v>87</v>
      </c>
      <c r="BK144" s="140">
        <f t="shared" si="9"/>
        <v>0</v>
      </c>
      <c r="BL144" s="2" t="s">
        <v>344</v>
      </c>
      <c r="BM144" s="139" t="s">
        <v>430</v>
      </c>
    </row>
    <row r="145" spans="2:65" s="16" customFormat="1" ht="24.2" customHeight="1" x14ac:dyDescent="0.2">
      <c r="B145" s="17"/>
      <c r="C145" s="128">
        <v>4</v>
      </c>
      <c r="D145" s="128" t="s">
        <v>339</v>
      </c>
      <c r="E145" s="129" t="s">
        <v>4478</v>
      </c>
      <c r="F145" s="130" t="s">
        <v>4479</v>
      </c>
      <c r="G145" s="131" t="s">
        <v>449</v>
      </c>
      <c r="H145" s="132">
        <v>5</v>
      </c>
      <c r="I145" s="133"/>
      <c r="J145" s="134">
        <f t="shared" si="0"/>
        <v>0</v>
      </c>
      <c r="K145" s="130"/>
      <c r="L145" s="17"/>
      <c r="M145" s="135"/>
      <c r="N145" s="136" t="s">
        <v>45</v>
      </c>
      <c r="P145" s="137">
        <f t="shared" si="1"/>
        <v>0</v>
      </c>
      <c r="Q145" s="137">
        <v>0</v>
      </c>
      <c r="R145" s="137">
        <f t="shared" si="2"/>
        <v>0</v>
      </c>
      <c r="S145" s="137">
        <v>0</v>
      </c>
      <c r="T145" s="138">
        <f t="shared" si="3"/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 t="shared" si="4"/>
        <v>0</v>
      </c>
      <c r="BF145" s="140">
        <f t="shared" si="5"/>
        <v>0</v>
      </c>
      <c r="BG145" s="140">
        <f t="shared" si="6"/>
        <v>0</v>
      </c>
      <c r="BH145" s="140">
        <f t="shared" si="7"/>
        <v>0</v>
      </c>
      <c r="BI145" s="140">
        <f t="shared" si="8"/>
        <v>0</v>
      </c>
      <c r="BJ145" s="2" t="s">
        <v>87</v>
      </c>
      <c r="BK145" s="140">
        <f t="shared" si="9"/>
        <v>0</v>
      </c>
      <c r="BL145" s="2" t="s">
        <v>344</v>
      </c>
      <c r="BM145" s="139" t="s">
        <v>446</v>
      </c>
    </row>
    <row r="146" spans="2:65" s="16" customFormat="1" ht="24.2" customHeight="1" x14ac:dyDescent="0.2">
      <c r="B146" s="17"/>
      <c r="C146" s="128">
        <v>5</v>
      </c>
      <c r="D146" s="128" t="s">
        <v>339</v>
      </c>
      <c r="E146" s="129" t="s">
        <v>4480</v>
      </c>
      <c r="F146" s="130" t="s">
        <v>4481</v>
      </c>
      <c r="G146" s="131" t="s">
        <v>449</v>
      </c>
      <c r="H146" s="132">
        <v>1</v>
      </c>
      <c r="I146" s="133"/>
      <c r="J146" s="134">
        <f t="shared" si="0"/>
        <v>0</v>
      </c>
      <c r="K146" s="130"/>
      <c r="L146" s="17"/>
      <c r="M146" s="135"/>
      <c r="N146" s="136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344</v>
      </c>
      <c r="AT146" s="139" t="s">
        <v>339</v>
      </c>
      <c r="AU146" s="139" t="s">
        <v>87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344</v>
      </c>
      <c r="BM146" s="139" t="s">
        <v>457</v>
      </c>
    </row>
    <row r="147" spans="2:65" s="16" customFormat="1" ht="24.2" customHeight="1" x14ac:dyDescent="0.2">
      <c r="B147" s="17"/>
      <c r="C147" s="128">
        <v>6</v>
      </c>
      <c r="D147" s="128" t="s">
        <v>339</v>
      </c>
      <c r="E147" s="129" t="s">
        <v>4482</v>
      </c>
      <c r="F147" s="130" t="s">
        <v>4483</v>
      </c>
      <c r="G147" s="131" t="s">
        <v>449</v>
      </c>
      <c r="H147" s="132">
        <v>4</v>
      </c>
      <c r="I147" s="133"/>
      <c r="J147" s="134">
        <f t="shared" si="0"/>
        <v>0</v>
      </c>
      <c r="K147" s="130"/>
      <c r="L147" s="17"/>
      <c r="M147" s="135"/>
      <c r="N147" s="136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AR147" s="139" t="s">
        <v>344</v>
      </c>
      <c r="AT147" s="139" t="s">
        <v>339</v>
      </c>
      <c r="AU147" s="139" t="s">
        <v>87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344</v>
      </c>
      <c r="BM147" s="139" t="s">
        <v>7</v>
      </c>
    </row>
    <row r="148" spans="2:65" s="16" customFormat="1" ht="24.2" customHeight="1" x14ac:dyDescent="0.2">
      <c r="B148" s="17"/>
      <c r="C148" s="128">
        <v>7</v>
      </c>
      <c r="D148" s="128" t="s">
        <v>339</v>
      </c>
      <c r="E148" s="129" t="s">
        <v>4484</v>
      </c>
      <c r="F148" s="130" t="s">
        <v>4485</v>
      </c>
      <c r="G148" s="131" t="s">
        <v>449</v>
      </c>
      <c r="H148" s="132">
        <v>1</v>
      </c>
      <c r="I148" s="133"/>
      <c r="J148" s="134">
        <f t="shared" si="0"/>
        <v>0</v>
      </c>
      <c r="K148" s="130"/>
      <c r="L148" s="17"/>
      <c r="M148" s="135"/>
      <c r="N148" s="136" t="s">
        <v>45</v>
      </c>
      <c r="P148" s="137">
        <f t="shared" si="1"/>
        <v>0</v>
      </c>
      <c r="Q148" s="137">
        <v>0</v>
      </c>
      <c r="R148" s="137">
        <f t="shared" si="2"/>
        <v>0</v>
      </c>
      <c r="S148" s="137">
        <v>0</v>
      </c>
      <c r="T148" s="138">
        <f t="shared" si="3"/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 t="shared" si="4"/>
        <v>0</v>
      </c>
      <c r="BF148" s="140">
        <f t="shared" si="5"/>
        <v>0</v>
      </c>
      <c r="BG148" s="140">
        <f t="shared" si="6"/>
        <v>0</v>
      </c>
      <c r="BH148" s="140">
        <f t="shared" si="7"/>
        <v>0</v>
      </c>
      <c r="BI148" s="140">
        <f t="shared" si="8"/>
        <v>0</v>
      </c>
      <c r="BJ148" s="2" t="s">
        <v>87</v>
      </c>
      <c r="BK148" s="140">
        <f t="shared" si="9"/>
        <v>0</v>
      </c>
      <c r="BL148" s="2" t="s">
        <v>344</v>
      </c>
      <c r="BM148" s="139" t="s">
        <v>480</v>
      </c>
    </row>
    <row r="149" spans="2:65" s="16" customFormat="1" ht="16.5" customHeight="1" x14ac:dyDescent="0.2">
      <c r="B149" s="17"/>
      <c r="C149" s="128">
        <v>8</v>
      </c>
      <c r="D149" s="128" t="s">
        <v>339</v>
      </c>
      <c r="E149" s="129" t="s">
        <v>4486</v>
      </c>
      <c r="F149" s="130" t="s">
        <v>4487</v>
      </c>
      <c r="G149" s="131" t="s">
        <v>449</v>
      </c>
      <c r="H149" s="132">
        <v>1</v>
      </c>
      <c r="I149" s="133"/>
      <c r="J149" s="134">
        <f t="shared" si="0"/>
        <v>0</v>
      </c>
      <c r="K149" s="130"/>
      <c r="L149" s="17"/>
      <c r="M149" s="135"/>
      <c r="N149" s="136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344</v>
      </c>
      <c r="BM149" s="139" t="s">
        <v>496</v>
      </c>
    </row>
    <row r="150" spans="2:65" s="16" customFormat="1" ht="24.2" customHeight="1" x14ac:dyDescent="0.2">
      <c r="B150" s="17"/>
      <c r="C150" s="128">
        <v>9</v>
      </c>
      <c r="D150" s="128" t="s">
        <v>339</v>
      </c>
      <c r="E150" s="129" t="s">
        <v>4488</v>
      </c>
      <c r="F150" s="130" t="s">
        <v>4489</v>
      </c>
      <c r="G150" s="131" t="s">
        <v>449</v>
      </c>
      <c r="H150" s="132">
        <v>1</v>
      </c>
      <c r="I150" s="133"/>
      <c r="J150" s="134">
        <f t="shared" si="0"/>
        <v>0</v>
      </c>
      <c r="K150" s="130"/>
      <c r="L150" s="17"/>
      <c r="M150" s="135"/>
      <c r="N150" s="136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344</v>
      </c>
      <c r="BM150" s="139" t="s">
        <v>2547</v>
      </c>
    </row>
    <row r="151" spans="2:65" s="16" customFormat="1" ht="16.5" customHeight="1" x14ac:dyDescent="0.2">
      <c r="B151" s="17"/>
      <c r="C151" s="128">
        <v>10</v>
      </c>
      <c r="D151" s="128" t="s">
        <v>339</v>
      </c>
      <c r="E151" s="129" t="s">
        <v>4490</v>
      </c>
      <c r="F151" s="130" t="s">
        <v>4491</v>
      </c>
      <c r="G151" s="131" t="s">
        <v>449</v>
      </c>
      <c r="H151" s="132">
        <v>1</v>
      </c>
      <c r="I151" s="133"/>
      <c r="J151" s="134">
        <f t="shared" si="0"/>
        <v>0</v>
      </c>
      <c r="K151" s="130"/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344</v>
      </c>
      <c r="AT151" s="139" t="s">
        <v>339</v>
      </c>
      <c r="AU151" s="139" t="s">
        <v>87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344</v>
      </c>
      <c r="BM151" s="139" t="s">
        <v>532</v>
      </c>
    </row>
    <row r="152" spans="2:65" s="16" customFormat="1" ht="16.5" customHeight="1" x14ac:dyDescent="0.2">
      <c r="B152" s="17"/>
      <c r="C152" s="128">
        <v>11</v>
      </c>
      <c r="D152" s="128" t="s">
        <v>339</v>
      </c>
      <c r="E152" s="129" t="s">
        <v>4492</v>
      </c>
      <c r="F152" s="130" t="s">
        <v>4493</v>
      </c>
      <c r="G152" s="131" t="s">
        <v>449</v>
      </c>
      <c r="H152" s="132">
        <v>2</v>
      </c>
      <c r="I152" s="133"/>
      <c r="J152" s="134">
        <f t="shared" si="0"/>
        <v>0</v>
      </c>
      <c r="K152" s="130"/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344</v>
      </c>
      <c r="BM152" s="139" t="s">
        <v>543</v>
      </c>
    </row>
    <row r="153" spans="2:65" s="16" customFormat="1" ht="24.2" customHeight="1" x14ac:dyDescent="0.2">
      <c r="B153" s="17"/>
      <c r="C153" s="128">
        <v>12</v>
      </c>
      <c r="D153" s="128" t="s">
        <v>339</v>
      </c>
      <c r="E153" s="129" t="s">
        <v>4494</v>
      </c>
      <c r="F153" s="130" t="s">
        <v>4495</v>
      </c>
      <c r="G153" s="131" t="s">
        <v>449</v>
      </c>
      <c r="H153" s="132">
        <v>1</v>
      </c>
      <c r="I153" s="133"/>
      <c r="J153" s="134">
        <f t="shared" si="0"/>
        <v>0</v>
      </c>
      <c r="K153" s="130"/>
      <c r="L153" s="17"/>
      <c r="M153" s="135"/>
      <c r="N153" s="136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</v>
      </c>
      <c r="T153" s="138">
        <f t="shared" si="3"/>
        <v>0</v>
      </c>
      <c r="AR153" s="139" t="s">
        <v>344</v>
      </c>
      <c r="AT153" s="139" t="s">
        <v>339</v>
      </c>
      <c r="AU153" s="139" t="s">
        <v>87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344</v>
      </c>
      <c r="BM153" s="139" t="s">
        <v>569</v>
      </c>
    </row>
    <row r="154" spans="2:65" s="16" customFormat="1" ht="16.5" customHeight="1" x14ac:dyDescent="0.2">
      <c r="B154" s="17"/>
      <c r="C154" s="128">
        <v>13</v>
      </c>
      <c r="D154" s="128" t="s">
        <v>339</v>
      </c>
      <c r="E154" s="129" t="s">
        <v>4496</v>
      </c>
      <c r="F154" s="130" t="s">
        <v>4497</v>
      </c>
      <c r="G154" s="131" t="s">
        <v>449</v>
      </c>
      <c r="H154" s="132">
        <v>4</v>
      </c>
      <c r="I154" s="133"/>
      <c r="J154" s="134">
        <f t="shared" si="0"/>
        <v>0</v>
      </c>
      <c r="K154" s="130"/>
      <c r="L154" s="17"/>
      <c r="M154" s="135"/>
      <c r="N154" s="136" t="s">
        <v>45</v>
      </c>
      <c r="P154" s="137">
        <f t="shared" si="1"/>
        <v>0</v>
      </c>
      <c r="Q154" s="137">
        <v>0</v>
      </c>
      <c r="R154" s="137">
        <f t="shared" si="2"/>
        <v>0</v>
      </c>
      <c r="S154" s="137">
        <v>0</v>
      </c>
      <c r="T154" s="138">
        <f t="shared" si="3"/>
        <v>0</v>
      </c>
      <c r="AR154" s="139" t="s">
        <v>344</v>
      </c>
      <c r="AT154" s="139" t="s">
        <v>339</v>
      </c>
      <c r="AU154" s="139" t="s">
        <v>87</v>
      </c>
      <c r="AY154" s="2" t="s">
        <v>337</v>
      </c>
      <c r="BE154" s="140">
        <f t="shared" si="4"/>
        <v>0</v>
      </c>
      <c r="BF154" s="140">
        <f t="shared" si="5"/>
        <v>0</v>
      </c>
      <c r="BG154" s="140">
        <f t="shared" si="6"/>
        <v>0</v>
      </c>
      <c r="BH154" s="140">
        <f t="shared" si="7"/>
        <v>0</v>
      </c>
      <c r="BI154" s="140">
        <f t="shared" si="8"/>
        <v>0</v>
      </c>
      <c r="BJ154" s="2" t="s">
        <v>87</v>
      </c>
      <c r="BK154" s="140">
        <f t="shared" si="9"/>
        <v>0</v>
      </c>
      <c r="BL154" s="2" t="s">
        <v>344</v>
      </c>
      <c r="BM154" s="139" t="s">
        <v>577</v>
      </c>
    </row>
    <row r="155" spans="2:65" s="16" customFormat="1" ht="24.2" customHeight="1" x14ac:dyDescent="0.2">
      <c r="B155" s="17"/>
      <c r="C155" s="128">
        <v>14</v>
      </c>
      <c r="D155" s="128" t="s">
        <v>339</v>
      </c>
      <c r="E155" s="129" t="s">
        <v>4498</v>
      </c>
      <c r="F155" s="130" t="s">
        <v>4499</v>
      </c>
      <c r="G155" s="131" t="s">
        <v>449</v>
      </c>
      <c r="H155" s="132">
        <v>1</v>
      </c>
      <c r="I155" s="133"/>
      <c r="J155" s="134">
        <f t="shared" si="0"/>
        <v>0</v>
      </c>
      <c r="K155" s="130"/>
      <c r="L155" s="17"/>
      <c r="M155" s="135"/>
      <c r="N155" s="136" t="s">
        <v>45</v>
      </c>
      <c r="P155" s="137">
        <f t="shared" si="1"/>
        <v>0</v>
      </c>
      <c r="Q155" s="137">
        <v>0</v>
      </c>
      <c r="R155" s="137">
        <f t="shared" si="2"/>
        <v>0</v>
      </c>
      <c r="S155" s="137">
        <v>0</v>
      </c>
      <c r="T155" s="138">
        <f t="shared" si="3"/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 t="shared" si="4"/>
        <v>0</v>
      </c>
      <c r="BF155" s="140">
        <f t="shared" si="5"/>
        <v>0</v>
      </c>
      <c r="BG155" s="140">
        <f t="shared" si="6"/>
        <v>0</v>
      </c>
      <c r="BH155" s="140">
        <f t="shared" si="7"/>
        <v>0</v>
      </c>
      <c r="BI155" s="140">
        <f t="shared" si="8"/>
        <v>0</v>
      </c>
      <c r="BJ155" s="2" t="s">
        <v>87</v>
      </c>
      <c r="BK155" s="140">
        <f t="shared" si="9"/>
        <v>0</v>
      </c>
      <c r="BL155" s="2" t="s">
        <v>344</v>
      </c>
      <c r="BM155" s="139" t="s">
        <v>591</v>
      </c>
    </row>
    <row r="156" spans="2:65" s="16" customFormat="1" ht="24.2" customHeight="1" x14ac:dyDescent="0.2">
      <c r="B156" s="17"/>
      <c r="C156" s="128">
        <v>15</v>
      </c>
      <c r="D156" s="128" t="s">
        <v>339</v>
      </c>
      <c r="E156" s="129" t="s">
        <v>4500</v>
      </c>
      <c r="F156" s="130" t="s">
        <v>4501</v>
      </c>
      <c r="G156" s="131" t="s">
        <v>449</v>
      </c>
      <c r="H156" s="132">
        <v>1</v>
      </c>
      <c r="I156" s="133"/>
      <c r="J156" s="134">
        <f t="shared" si="0"/>
        <v>0</v>
      </c>
      <c r="K156" s="130"/>
      <c r="L156" s="17"/>
      <c r="M156" s="135"/>
      <c r="N156" s="136" t="s">
        <v>45</v>
      </c>
      <c r="P156" s="137">
        <f t="shared" si="1"/>
        <v>0</v>
      </c>
      <c r="Q156" s="137">
        <v>0</v>
      </c>
      <c r="R156" s="137">
        <f t="shared" si="2"/>
        <v>0</v>
      </c>
      <c r="S156" s="137">
        <v>0</v>
      </c>
      <c r="T156" s="138">
        <f t="shared" si="3"/>
        <v>0</v>
      </c>
      <c r="AR156" s="139" t="s">
        <v>344</v>
      </c>
      <c r="AT156" s="139" t="s">
        <v>339</v>
      </c>
      <c r="AU156" s="139" t="s">
        <v>87</v>
      </c>
      <c r="AY156" s="2" t="s">
        <v>337</v>
      </c>
      <c r="BE156" s="140">
        <f t="shared" si="4"/>
        <v>0</v>
      </c>
      <c r="BF156" s="140">
        <f t="shared" si="5"/>
        <v>0</v>
      </c>
      <c r="BG156" s="140">
        <f t="shared" si="6"/>
        <v>0</v>
      </c>
      <c r="BH156" s="140">
        <f t="shared" si="7"/>
        <v>0</v>
      </c>
      <c r="BI156" s="140">
        <f t="shared" si="8"/>
        <v>0</v>
      </c>
      <c r="BJ156" s="2" t="s">
        <v>87</v>
      </c>
      <c r="BK156" s="140">
        <f t="shared" si="9"/>
        <v>0</v>
      </c>
      <c r="BL156" s="2" t="s">
        <v>344</v>
      </c>
      <c r="BM156" s="139" t="s">
        <v>614</v>
      </c>
    </row>
    <row r="157" spans="2:65" s="16" customFormat="1" ht="24.2" customHeight="1" x14ac:dyDescent="0.2">
      <c r="B157" s="17"/>
      <c r="C157" s="128">
        <v>16</v>
      </c>
      <c r="D157" s="128" t="s">
        <v>339</v>
      </c>
      <c r="E157" s="129" t="s">
        <v>4502</v>
      </c>
      <c r="F157" s="130" t="s">
        <v>4503</v>
      </c>
      <c r="G157" s="131" t="s">
        <v>449</v>
      </c>
      <c r="H157" s="132">
        <v>2</v>
      </c>
      <c r="I157" s="133"/>
      <c r="J157" s="134">
        <f t="shared" si="0"/>
        <v>0</v>
      </c>
      <c r="K157" s="130"/>
      <c r="L157" s="17"/>
      <c r="M157" s="135"/>
      <c r="N157" s="136" t="s">
        <v>45</v>
      </c>
      <c r="P157" s="137">
        <f t="shared" si="1"/>
        <v>0</v>
      </c>
      <c r="Q157" s="137">
        <v>0</v>
      </c>
      <c r="R157" s="137">
        <f t="shared" si="2"/>
        <v>0</v>
      </c>
      <c r="S157" s="137">
        <v>0</v>
      </c>
      <c r="T157" s="138">
        <f t="shared" si="3"/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 t="shared" si="4"/>
        <v>0</v>
      </c>
      <c r="BF157" s="140">
        <f t="shared" si="5"/>
        <v>0</v>
      </c>
      <c r="BG157" s="140">
        <f t="shared" si="6"/>
        <v>0</v>
      </c>
      <c r="BH157" s="140">
        <f t="shared" si="7"/>
        <v>0</v>
      </c>
      <c r="BI157" s="140">
        <f t="shared" si="8"/>
        <v>0</v>
      </c>
      <c r="BJ157" s="2" t="s">
        <v>87</v>
      </c>
      <c r="BK157" s="140">
        <f t="shared" si="9"/>
        <v>0</v>
      </c>
      <c r="BL157" s="2" t="s">
        <v>344</v>
      </c>
      <c r="BM157" s="139" t="s">
        <v>621</v>
      </c>
    </row>
    <row r="158" spans="2:65" s="16" customFormat="1" ht="24.2" customHeight="1" x14ac:dyDescent="0.2">
      <c r="B158" s="17"/>
      <c r="C158" s="128">
        <v>17</v>
      </c>
      <c r="D158" s="128" t="s">
        <v>339</v>
      </c>
      <c r="E158" s="129" t="s">
        <v>4504</v>
      </c>
      <c r="F158" s="130" t="s">
        <v>4505</v>
      </c>
      <c r="G158" s="131" t="s">
        <v>449</v>
      </c>
      <c r="H158" s="132">
        <v>2</v>
      </c>
      <c r="I158" s="133"/>
      <c r="J158" s="134">
        <f t="shared" si="0"/>
        <v>0</v>
      </c>
      <c r="K158" s="130"/>
      <c r="L158" s="17"/>
      <c r="M158" s="135"/>
      <c r="N158" s="136" t="s">
        <v>45</v>
      </c>
      <c r="P158" s="137">
        <f t="shared" si="1"/>
        <v>0</v>
      </c>
      <c r="Q158" s="137">
        <v>0</v>
      </c>
      <c r="R158" s="137">
        <f t="shared" si="2"/>
        <v>0</v>
      </c>
      <c r="S158" s="137">
        <v>0</v>
      </c>
      <c r="T158" s="138">
        <f t="shared" si="3"/>
        <v>0</v>
      </c>
      <c r="AR158" s="139" t="s">
        <v>344</v>
      </c>
      <c r="AT158" s="139" t="s">
        <v>339</v>
      </c>
      <c r="AU158" s="139" t="s">
        <v>87</v>
      </c>
      <c r="AY158" s="2" t="s">
        <v>337</v>
      </c>
      <c r="BE158" s="140">
        <f t="shared" si="4"/>
        <v>0</v>
      </c>
      <c r="BF158" s="140">
        <f t="shared" si="5"/>
        <v>0</v>
      </c>
      <c r="BG158" s="140">
        <f t="shared" si="6"/>
        <v>0</v>
      </c>
      <c r="BH158" s="140">
        <f t="shared" si="7"/>
        <v>0</v>
      </c>
      <c r="BI158" s="140">
        <f t="shared" si="8"/>
        <v>0</v>
      </c>
      <c r="BJ158" s="2" t="s">
        <v>87</v>
      </c>
      <c r="BK158" s="140">
        <f t="shared" si="9"/>
        <v>0</v>
      </c>
      <c r="BL158" s="2" t="s">
        <v>344</v>
      </c>
      <c r="BM158" s="139" t="s">
        <v>637</v>
      </c>
    </row>
    <row r="159" spans="2:65" s="16" customFormat="1" ht="16.5" customHeight="1" x14ac:dyDescent="0.2">
      <c r="B159" s="17"/>
      <c r="C159" s="128">
        <v>18</v>
      </c>
      <c r="D159" s="128" t="s">
        <v>339</v>
      </c>
      <c r="E159" s="129" t="s">
        <v>4506</v>
      </c>
      <c r="F159" s="130" t="s">
        <v>4507</v>
      </c>
      <c r="G159" s="131" t="s">
        <v>449</v>
      </c>
      <c r="H159" s="132">
        <v>1</v>
      </c>
      <c r="I159" s="133"/>
      <c r="J159" s="134">
        <f t="shared" si="0"/>
        <v>0</v>
      </c>
      <c r="K159" s="130"/>
      <c r="L159" s="17"/>
      <c r="M159" s="135"/>
      <c r="N159" s="136" t="s">
        <v>45</v>
      </c>
      <c r="P159" s="137">
        <f t="shared" si="1"/>
        <v>0</v>
      </c>
      <c r="Q159" s="137">
        <v>0</v>
      </c>
      <c r="R159" s="137">
        <f t="shared" si="2"/>
        <v>0</v>
      </c>
      <c r="S159" s="137">
        <v>0</v>
      </c>
      <c r="T159" s="138">
        <f t="shared" si="3"/>
        <v>0</v>
      </c>
      <c r="AR159" s="139" t="s">
        <v>344</v>
      </c>
      <c r="AT159" s="139" t="s">
        <v>339</v>
      </c>
      <c r="AU159" s="139" t="s">
        <v>87</v>
      </c>
      <c r="AY159" s="2" t="s">
        <v>337</v>
      </c>
      <c r="BE159" s="140">
        <f t="shared" si="4"/>
        <v>0</v>
      </c>
      <c r="BF159" s="140">
        <f t="shared" si="5"/>
        <v>0</v>
      </c>
      <c r="BG159" s="140">
        <f t="shared" si="6"/>
        <v>0</v>
      </c>
      <c r="BH159" s="140">
        <f t="shared" si="7"/>
        <v>0</v>
      </c>
      <c r="BI159" s="140">
        <f t="shared" si="8"/>
        <v>0</v>
      </c>
      <c r="BJ159" s="2" t="s">
        <v>87</v>
      </c>
      <c r="BK159" s="140">
        <f t="shared" si="9"/>
        <v>0</v>
      </c>
      <c r="BL159" s="2" t="s">
        <v>344</v>
      </c>
      <c r="BM159" s="139" t="s">
        <v>646</v>
      </c>
    </row>
    <row r="160" spans="2:65" s="16" customFormat="1" ht="16.5" customHeight="1" x14ac:dyDescent="0.2">
      <c r="B160" s="17"/>
      <c r="C160" s="128">
        <v>19</v>
      </c>
      <c r="D160" s="128" t="s">
        <v>339</v>
      </c>
      <c r="E160" s="129" t="s">
        <v>4508</v>
      </c>
      <c r="F160" s="130" t="s">
        <v>4509</v>
      </c>
      <c r="G160" s="131" t="s">
        <v>449</v>
      </c>
      <c r="H160" s="132">
        <v>6</v>
      </c>
      <c r="I160" s="133"/>
      <c r="J160" s="134">
        <f t="shared" si="0"/>
        <v>0</v>
      </c>
      <c r="K160" s="130"/>
      <c r="L160" s="17"/>
      <c r="M160" s="135"/>
      <c r="N160" s="136" t="s">
        <v>45</v>
      </c>
      <c r="P160" s="137">
        <f t="shared" si="1"/>
        <v>0</v>
      </c>
      <c r="Q160" s="137">
        <v>0</v>
      </c>
      <c r="R160" s="137">
        <f t="shared" si="2"/>
        <v>0</v>
      </c>
      <c r="S160" s="137">
        <v>0</v>
      </c>
      <c r="T160" s="138">
        <f t="shared" si="3"/>
        <v>0</v>
      </c>
      <c r="AR160" s="139" t="s">
        <v>344</v>
      </c>
      <c r="AT160" s="139" t="s">
        <v>339</v>
      </c>
      <c r="AU160" s="139" t="s">
        <v>87</v>
      </c>
      <c r="AY160" s="2" t="s">
        <v>337</v>
      </c>
      <c r="BE160" s="140">
        <f t="shared" si="4"/>
        <v>0</v>
      </c>
      <c r="BF160" s="140">
        <f t="shared" si="5"/>
        <v>0</v>
      </c>
      <c r="BG160" s="140">
        <f t="shared" si="6"/>
        <v>0</v>
      </c>
      <c r="BH160" s="140">
        <f t="shared" si="7"/>
        <v>0</v>
      </c>
      <c r="BI160" s="140">
        <f t="shared" si="8"/>
        <v>0</v>
      </c>
      <c r="BJ160" s="2" t="s">
        <v>87</v>
      </c>
      <c r="BK160" s="140">
        <f t="shared" si="9"/>
        <v>0</v>
      </c>
      <c r="BL160" s="2" t="s">
        <v>344</v>
      </c>
      <c r="BM160" s="139" t="s">
        <v>658</v>
      </c>
    </row>
    <row r="161" spans="2:65" s="16" customFormat="1" ht="16.5" customHeight="1" x14ac:dyDescent="0.2">
      <c r="B161" s="17"/>
      <c r="C161" s="128">
        <v>20</v>
      </c>
      <c r="D161" s="128" t="s">
        <v>339</v>
      </c>
      <c r="E161" s="129" t="s">
        <v>4510</v>
      </c>
      <c r="F161" s="130" t="s">
        <v>4511</v>
      </c>
      <c r="G161" s="131" t="s">
        <v>449</v>
      </c>
      <c r="H161" s="132">
        <v>1</v>
      </c>
      <c r="I161" s="133"/>
      <c r="J161" s="134">
        <f t="shared" si="0"/>
        <v>0</v>
      </c>
      <c r="K161" s="130"/>
      <c r="L161" s="17"/>
      <c r="M161" s="135"/>
      <c r="N161" s="136" t="s">
        <v>45</v>
      </c>
      <c r="P161" s="137">
        <f t="shared" si="1"/>
        <v>0</v>
      </c>
      <c r="Q161" s="137">
        <v>0</v>
      </c>
      <c r="R161" s="137">
        <f t="shared" si="2"/>
        <v>0</v>
      </c>
      <c r="S161" s="137">
        <v>0</v>
      </c>
      <c r="T161" s="138">
        <f t="shared" si="3"/>
        <v>0</v>
      </c>
      <c r="AR161" s="139" t="s">
        <v>344</v>
      </c>
      <c r="AT161" s="139" t="s">
        <v>339</v>
      </c>
      <c r="AU161" s="139" t="s">
        <v>87</v>
      </c>
      <c r="AY161" s="2" t="s">
        <v>337</v>
      </c>
      <c r="BE161" s="140">
        <f t="shared" si="4"/>
        <v>0</v>
      </c>
      <c r="BF161" s="140">
        <f t="shared" si="5"/>
        <v>0</v>
      </c>
      <c r="BG161" s="140">
        <f t="shared" si="6"/>
        <v>0</v>
      </c>
      <c r="BH161" s="140">
        <f t="shared" si="7"/>
        <v>0</v>
      </c>
      <c r="BI161" s="140">
        <f t="shared" si="8"/>
        <v>0</v>
      </c>
      <c r="BJ161" s="2" t="s">
        <v>87</v>
      </c>
      <c r="BK161" s="140">
        <f t="shared" si="9"/>
        <v>0</v>
      </c>
      <c r="BL161" s="2" t="s">
        <v>344</v>
      </c>
      <c r="BM161" s="139" t="s">
        <v>685</v>
      </c>
    </row>
    <row r="162" spans="2:65" s="16" customFormat="1" ht="16.5" customHeight="1" x14ac:dyDescent="0.2">
      <c r="B162" s="17"/>
      <c r="C162" s="128">
        <v>21</v>
      </c>
      <c r="D162" s="128" t="s">
        <v>339</v>
      </c>
      <c r="E162" s="129" t="s">
        <v>4512</v>
      </c>
      <c r="F162" s="130" t="s">
        <v>4513</v>
      </c>
      <c r="G162" s="131" t="s">
        <v>449</v>
      </c>
      <c r="H162" s="132">
        <v>2</v>
      </c>
      <c r="I162" s="133"/>
      <c r="J162" s="134">
        <f t="shared" si="0"/>
        <v>0</v>
      </c>
      <c r="K162" s="130"/>
      <c r="L162" s="17"/>
      <c r="M162" s="135"/>
      <c r="N162" s="136" t="s">
        <v>45</v>
      </c>
      <c r="P162" s="137">
        <f t="shared" si="1"/>
        <v>0</v>
      </c>
      <c r="Q162" s="137">
        <v>0</v>
      </c>
      <c r="R162" s="137">
        <f t="shared" si="2"/>
        <v>0</v>
      </c>
      <c r="S162" s="137">
        <v>0</v>
      </c>
      <c r="T162" s="138">
        <f t="shared" si="3"/>
        <v>0</v>
      </c>
      <c r="AR162" s="139" t="s">
        <v>344</v>
      </c>
      <c r="AT162" s="139" t="s">
        <v>339</v>
      </c>
      <c r="AU162" s="139" t="s">
        <v>87</v>
      </c>
      <c r="AY162" s="2" t="s">
        <v>337</v>
      </c>
      <c r="BE162" s="140">
        <f t="shared" si="4"/>
        <v>0</v>
      </c>
      <c r="BF162" s="140">
        <f t="shared" si="5"/>
        <v>0</v>
      </c>
      <c r="BG162" s="140">
        <f t="shared" si="6"/>
        <v>0</v>
      </c>
      <c r="BH162" s="140">
        <f t="shared" si="7"/>
        <v>0</v>
      </c>
      <c r="BI162" s="140">
        <f t="shared" si="8"/>
        <v>0</v>
      </c>
      <c r="BJ162" s="2" t="s">
        <v>87</v>
      </c>
      <c r="BK162" s="140">
        <f t="shared" si="9"/>
        <v>0</v>
      </c>
      <c r="BL162" s="2" t="s">
        <v>344</v>
      </c>
      <c r="BM162" s="139" t="s">
        <v>699</v>
      </c>
    </row>
    <row r="163" spans="2:65" s="16" customFormat="1" ht="21.75" customHeight="1" x14ac:dyDescent="0.2">
      <c r="B163" s="17"/>
      <c r="C163" s="128">
        <v>22</v>
      </c>
      <c r="D163" s="128" t="s">
        <v>339</v>
      </c>
      <c r="E163" s="129" t="s">
        <v>4514</v>
      </c>
      <c r="F163" s="130" t="s">
        <v>4515</v>
      </c>
      <c r="G163" s="131" t="s">
        <v>449</v>
      </c>
      <c r="H163" s="132">
        <v>3</v>
      </c>
      <c r="I163" s="133"/>
      <c r="J163" s="134">
        <f t="shared" si="0"/>
        <v>0</v>
      </c>
      <c r="K163" s="130"/>
      <c r="L163" s="17"/>
      <c r="M163" s="135"/>
      <c r="N163" s="136" t="s">
        <v>45</v>
      </c>
      <c r="P163" s="137">
        <f t="shared" si="1"/>
        <v>0</v>
      </c>
      <c r="Q163" s="137">
        <v>0</v>
      </c>
      <c r="R163" s="137">
        <f t="shared" si="2"/>
        <v>0</v>
      </c>
      <c r="S163" s="137">
        <v>0</v>
      </c>
      <c r="T163" s="138">
        <f t="shared" si="3"/>
        <v>0</v>
      </c>
      <c r="AR163" s="139" t="s">
        <v>344</v>
      </c>
      <c r="AT163" s="139" t="s">
        <v>339</v>
      </c>
      <c r="AU163" s="139" t="s">
        <v>87</v>
      </c>
      <c r="AY163" s="2" t="s">
        <v>337</v>
      </c>
      <c r="BE163" s="140">
        <f t="shared" si="4"/>
        <v>0</v>
      </c>
      <c r="BF163" s="140">
        <f t="shared" si="5"/>
        <v>0</v>
      </c>
      <c r="BG163" s="140">
        <f t="shared" si="6"/>
        <v>0</v>
      </c>
      <c r="BH163" s="140">
        <f t="shared" si="7"/>
        <v>0</v>
      </c>
      <c r="BI163" s="140">
        <f t="shared" si="8"/>
        <v>0</v>
      </c>
      <c r="BJ163" s="2" t="s">
        <v>87</v>
      </c>
      <c r="BK163" s="140">
        <f t="shared" si="9"/>
        <v>0</v>
      </c>
      <c r="BL163" s="2" t="s">
        <v>344</v>
      </c>
      <c r="BM163" s="139" t="s">
        <v>708</v>
      </c>
    </row>
    <row r="164" spans="2:65" s="16" customFormat="1" ht="21.75" customHeight="1" x14ac:dyDescent="0.2">
      <c r="B164" s="17"/>
      <c r="C164" s="128">
        <v>23</v>
      </c>
      <c r="D164" s="128" t="s">
        <v>339</v>
      </c>
      <c r="E164" s="129" t="s">
        <v>4516</v>
      </c>
      <c r="F164" s="130" t="s">
        <v>4517</v>
      </c>
      <c r="G164" s="131" t="s">
        <v>449</v>
      </c>
      <c r="H164" s="132">
        <v>13</v>
      </c>
      <c r="I164" s="133"/>
      <c r="J164" s="134">
        <f t="shared" si="0"/>
        <v>0</v>
      </c>
      <c r="K164" s="130"/>
      <c r="L164" s="17"/>
      <c r="M164" s="135"/>
      <c r="N164" s="136" t="s">
        <v>45</v>
      </c>
      <c r="P164" s="137">
        <f t="shared" si="1"/>
        <v>0</v>
      </c>
      <c r="Q164" s="137">
        <v>0</v>
      </c>
      <c r="R164" s="137">
        <f t="shared" si="2"/>
        <v>0</v>
      </c>
      <c r="S164" s="137">
        <v>0</v>
      </c>
      <c r="T164" s="138">
        <f t="shared" si="3"/>
        <v>0</v>
      </c>
      <c r="AR164" s="139" t="s">
        <v>344</v>
      </c>
      <c r="AT164" s="139" t="s">
        <v>339</v>
      </c>
      <c r="AU164" s="139" t="s">
        <v>87</v>
      </c>
      <c r="AY164" s="2" t="s">
        <v>337</v>
      </c>
      <c r="BE164" s="140">
        <f t="shared" si="4"/>
        <v>0</v>
      </c>
      <c r="BF164" s="140">
        <f t="shared" si="5"/>
        <v>0</v>
      </c>
      <c r="BG164" s="140">
        <f t="shared" si="6"/>
        <v>0</v>
      </c>
      <c r="BH164" s="140">
        <f t="shared" si="7"/>
        <v>0</v>
      </c>
      <c r="BI164" s="140">
        <f t="shared" si="8"/>
        <v>0</v>
      </c>
      <c r="BJ164" s="2" t="s">
        <v>87</v>
      </c>
      <c r="BK164" s="140">
        <f t="shared" si="9"/>
        <v>0</v>
      </c>
      <c r="BL164" s="2" t="s">
        <v>344</v>
      </c>
      <c r="BM164" s="139" t="s">
        <v>733</v>
      </c>
    </row>
    <row r="165" spans="2:65" s="16" customFormat="1" ht="16.5" customHeight="1" x14ac:dyDescent="0.2">
      <c r="B165" s="17"/>
      <c r="C165" s="128">
        <v>24</v>
      </c>
      <c r="D165" s="128" t="s">
        <v>339</v>
      </c>
      <c r="E165" s="129" t="s">
        <v>4518</v>
      </c>
      <c r="F165" s="130" t="s">
        <v>4519</v>
      </c>
      <c r="G165" s="131" t="s">
        <v>449</v>
      </c>
      <c r="H165" s="132">
        <v>21</v>
      </c>
      <c r="I165" s="133"/>
      <c r="J165" s="134">
        <f t="shared" si="0"/>
        <v>0</v>
      </c>
      <c r="K165" s="130"/>
      <c r="L165" s="17"/>
      <c r="M165" s="135"/>
      <c r="N165" s="136" t="s">
        <v>45</v>
      </c>
      <c r="P165" s="137">
        <f t="shared" si="1"/>
        <v>0</v>
      </c>
      <c r="Q165" s="137">
        <v>0</v>
      </c>
      <c r="R165" s="137">
        <f t="shared" si="2"/>
        <v>0</v>
      </c>
      <c r="S165" s="137">
        <v>0</v>
      </c>
      <c r="T165" s="138">
        <f t="shared" si="3"/>
        <v>0</v>
      </c>
      <c r="AR165" s="139" t="s">
        <v>344</v>
      </c>
      <c r="AT165" s="139" t="s">
        <v>339</v>
      </c>
      <c r="AU165" s="139" t="s">
        <v>87</v>
      </c>
      <c r="AY165" s="2" t="s">
        <v>337</v>
      </c>
      <c r="BE165" s="140">
        <f t="shared" si="4"/>
        <v>0</v>
      </c>
      <c r="BF165" s="140">
        <f t="shared" si="5"/>
        <v>0</v>
      </c>
      <c r="BG165" s="140">
        <f t="shared" si="6"/>
        <v>0</v>
      </c>
      <c r="BH165" s="140">
        <f t="shared" si="7"/>
        <v>0</v>
      </c>
      <c r="BI165" s="140">
        <f t="shared" si="8"/>
        <v>0</v>
      </c>
      <c r="BJ165" s="2" t="s">
        <v>87</v>
      </c>
      <c r="BK165" s="140">
        <f t="shared" si="9"/>
        <v>0</v>
      </c>
      <c r="BL165" s="2" t="s">
        <v>344</v>
      </c>
      <c r="BM165" s="139" t="s">
        <v>748</v>
      </c>
    </row>
    <row r="166" spans="2:65" s="16" customFormat="1" ht="16.5" customHeight="1" x14ac:dyDescent="0.2">
      <c r="B166" s="17"/>
      <c r="C166" s="128">
        <v>25</v>
      </c>
      <c r="D166" s="128" t="s">
        <v>339</v>
      </c>
      <c r="E166" s="129" t="s">
        <v>4520</v>
      </c>
      <c r="F166" s="130" t="s">
        <v>4521</v>
      </c>
      <c r="G166" s="131" t="s">
        <v>449</v>
      </c>
      <c r="H166" s="132">
        <v>8</v>
      </c>
      <c r="I166" s="133"/>
      <c r="J166" s="134">
        <f t="shared" si="0"/>
        <v>0</v>
      </c>
      <c r="K166" s="130"/>
      <c r="L166" s="17"/>
      <c r="M166" s="135"/>
      <c r="N166" s="136" t="s">
        <v>45</v>
      </c>
      <c r="P166" s="137">
        <f t="shared" si="1"/>
        <v>0</v>
      </c>
      <c r="Q166" s="137">
        <v>0</v>
      </c>
      <c r="R166" s="137">
        <f t="shared" si="2"/>
        <v>0</v>
      </c>
      <c r="S166" s="137">
        <v>0</v>
      </c>
      <c r="T166" s="138">
        <f t="shared" si="3"/>
        <v>0</v>
      </c>
      <c r="AR166" s="139" t="s">
        <v>344</v>
      </c>
      <c r="AT166" s="139" t="s">
        <v>339</v>
      </c>
      <c r="AU166" s="139" t="s">
        <v>87</v>
      </c>
      <c r="AY166" s="2" t="s">
        <v>337</v>
      </c>
      <c r="BE166" s="140">
        <f t="shared" si="4"/>
        <v>0</v>
      </c>
      <c r="BF166" s="140">
        <f t="shared" si="5"/>
        <v>0</v>
      </c>
      <c r="BG166" s="140">
        <f t="shared" si="6"/>
        <v>0</v>
      </c>
      <c r="BH166" s="140">
        <f t="shared" si="7"/>
        <v>0</v>
      </c>
      <c r="BI166" s="140">
        <f t="shared" si="8"/>
        <v>0</v>
      </c>
      <c r="BJ166" s="2" t="s">
        <v>87</v>
      </c>
      <c r="BK166" s="140">
        <f t="shared" si="9"/>
        <v>0</v>
      </c>
      <c r="BL166" s="2" t="s">
        <v>344</v>
      </c>
      <c r="BM166" s="139" t="s">
        <v>4522</v>
      </c>
    </row>
    <row r="167" spans="2:65" s="16" customFormat="1" ht="16.5" customHeight="1" x14ac:dyDescent="0.2">
      <c r="B167" s="17"/>
      <c r="C167" s="128">
        <v>26</v>
      </c>
      <c r="D167" s="128" t="s">
        <v>339</v>
      </c>
      <c r="E167" s="129" t="s">
        <v>4523</v>
      </c>
      <c r="F167" s="130" t="s">
        <v>4524</v>
      </c>
      <c r="G167" s="131" t="s">
        <v>449</v>
      </c>
      <c r="H167" s="132">
        <v>5</v>
      </c>
      <c r="I167" s="133"/>
      <c r="J167" s="134">
        <f t="shared" si="0"/>
        <v>0</v>
      </c>
      <c r="K167" s="130"/>
      <c r="L167" s="17"/>
      <c r="M167" s="135"/>
      <c r="N167" s="136" t="s">
        <v>45</v>
      </c>
      <c r="P167" s="137">
        <f t="shared" si="1"/>
        <v>0</v>
      </c>
      <c r="Q167" s="137">
        <v>0</v>
      </c>
      <c r="R167" s="137">
        <f t="shared" si="2"/>
        <v>0</v>
      </c>
      <c r="S167" s="137">
        <v>0</v>
      </c>
      <c r="T167" s="138">
        <f t="shared" si="3"/>
        <v>0</v>
      </c>
      <c r="AR167" s="139" t="s">
        <v>344</v>
      </c>
      <c r="AT167" s="139" t="s">
        <v>339</v>
      </c>
      <c r="AU167" s="139" t="s">
        <v>87</v>
      </c>
      <c r="AY167" s="2" t="s">
        <v>337</v>
      </c>
      <c r="BE167" s="140">
        <f t="shared" si="4"/>
        <v>0</v>
      </c>
      <c r="BF167" s="140">
        <f t="shared" si="5"/>
        <v>0</v>
      </c>
      <c r="BG167" s="140">
        <f t="shared" si="6"/>
        <v>0</v>
      </c>
      <c r="BH167" s="140">
        <f t="shared" si="7"/>
        <v>0</v>
      </c>
      <c r="BI167" s="140">
        <f t="shared" si="8"/>
        <v>0</v>
      </c>
      <c r="BJ167" s="2" t="s">
        <v>87</v>
      </c>
      <c r="BK167" s="140">
        <f t="shared" si="9"/>
        <v>0</v>
      </c>
      <c r="BL167" s="2" t="s">
        <v>344</v>
      </c>
      <c r="BM167" s="139" t="s">
        <v>762</v>
      </c>
    </row>
    <row r="168" spans="2:65" s="16" customFormat="1" ht="16.5" customHeight="1" x14ac:dyDescent="0.2">
      <c r="B168" s="17"/>
      <c r="C168" s="128">
        <v>27</v>
      </c>
      <c r="D168" s="128" t="s">
        <v>339</v>
      </c>
      <c r="E168" s="129" t="s">
        <v>4525</v>
      </c>
      <c r="F168" s="130" t="s">
        <v>4526</v>
      </c>
      <c r="G168" s="131" t="s">
        <v>449</v>
      </c>
      <c r="H168" s="132">
        <v>1</v>
      </c>
      <c r="I168" s="133"/>
      <c r="J168" s="134">
        <f t="shared" si="0"/>
        <v>0</v>
      </c>
      <c r="K168" s="130"/>
      <c r="L168" s="17"/>
      <c r="M168" s="135"/>
      <c r="N168" s="136" t="s">
        <v>45</v>
      </c>
      <c r="P168" s="137">
        <f t="shared" si="1"/>
        <v>0</v>
      </c>
      <c r="Q168" s="137">
        <v>0</v>
      </c>
      <c r="R168" s="137">
        <f t="shared" si="2"/>
        <v>0</v>
      </c>
      <c r="S168" s="137">
        <v>0</v>
      </c>
      <c r="T168" s="138">
        <f t="shared" si="3"/>
        <v>0</v>
      </c>
      <c r="AR168" s="139" t="s">
        <v>344</v>
      </c>
      <c r="AT168" s="139" t="s">
        <v>339</v>
      </c>
      <c r="AU168" s="139" t="s">
        <v>87</v>
      </c>
      <c r="AY168" s="2" t="s">
        <v>337</v>
      </c>
      <c r="BE168" s="140">
        <f t="shared" si="4"/>
        <v>0</v>
      </c>
      <c r="BF168" s="140">
        <f t="shared" si="5"/>
        <v>0</v>
      </c>
      <c r="BG168" s="140">
        <f t="shared" si="6"/>
        <v>0</v>
      </c>
      <c r="BH168" s="140">
        <f t="shared" si="7"/>
        <v>0</v>
      </c>
      <c r="BI168" s="140">
        <f t="shared" si="8"/>
        <v>0</v>
      </c>
      <c r="BJ168" s="2" t="s">
        <v>87</v>
      </c>
      <c r="BK168" s="140">
        <f t="shared" si="9"/>
        <v>0</v>
      </c>
      <c r="BL168" s="2" t="s">
        <v>344</v>
      </c>
      <c r="BM168" s="139" t="s">
        <v>774</v>
      </c>
    </row>
    <row r="169" spans="2:65" s="16" customFormat="1" ht="16.5" customHeight="1" x14ac:dyDescent="0.2">
      <c r="B169" s="17"/>
      <c r="C169" s="128">
        <v>28</v>
      </c>
      <c r="D169" s="128" t="s">
        <v>339</v>
      </c>
      <c r="E169" s="129" t="s">
        <v>4527</v>
      </c>
      <c r="F169" s="130" t="s">
        <v>4528</v>
      </c>
      <c r="G169" s="131" t="s">
        <v>449</v>
      </c>
      <c r="H169" s="132">
        <v>2</v>
      </c>
      <c r="I169" s="133"/>
      <c r="J169" s="134">
        <f t="shared" si="0"/>
        <v>0</v>
      </c>
      <c r="K169" s="130"/>
      <c r="L169" s="17"/>
      <c r="M169" s="135"/>
      <c r="N169" s="136" t="s">
        <v>45</v>
      </c>
      <c r="P169" s="137">
        <f t="shared" si="1"/>
        <v>0</v>
      </c>
      <c r="Q169" s="137">
        <v>0</v>
      </c>
      <c r="R169" s="137">
        <f t="shared" si="2"/>
        <v>0</v>
      </c>
      <c r="S169" s="137">
        <v>0</v>
      </c>
      <c r="T169" s="138">
        <f t="shared" si="3"/>
        <v>0</v>
      </c>
      <c r="AR169" s="139" t="s">
        <v>344</v>
      </c>
      <c r="AT169" s="139" t="s">
        <v>339</v>
      </c>
      <c r="AU169" s="139" t="s">
        <v>87</v>
      </c>
      <c r="AY169" s="2" t="s">
        <v>337</v>
      </c>
      <c r="BE169" s="140">
        <f t="shared" si="4"/>
        <v>0</v>
      </c>
      <c r="BF169" s="140">
        <f t="shared" si="5"/>
        <v>0</v>
      </c>
      <c r="BG169" s="140">
        <f t="shared" si="6"/>
        <v>0</v>
      </c>
      <c r="BH169" s="140">
        <f t="shared" si="7"/>
        <v>0</v>
      </c>
      <c r="BI169" s="140">
        <f t="shared" si="8"/>
        <v>0</v>
      </c>
      <c r="BJ169" s="2" t="s">
        <v>87</v>
      </c>
      <c r="BK169" s="140">
        <f t="shared" si="9"/>
        <v>0</v>
      </c>
      <c r="BL169" s="2" t="s">
        <v>344</v>
      </c>
      <c r="BM169" s="139" t="s">
        <v>788</v>
      </c>
    </row>
    <row r="170" spans="2:65" s="16" customFormat="1" ht="16.5" customHeight="1" x14ac:dyDescent="0.2">
      <c r="B170" s="17"/>
      <c r="C170" s="128">
        <v>29</v>
      </c>
      <c r="D170" s="128" t="s">
        <v>339</v>
      </c>
      <c r="E170" s="129" t="s">
        <v>4529</v>
      </c>
      <c r="F170" s="130" t="s">
        <v>4530</v>
      </c>
      <c r="G170" s="131" t="s">
        <v>449</v>
      </c>
      <c r="H170" s="132">
        <v>4</v>
      </c>
      <c r="I170" s="133"/>
      <c r="J170" s="134">
        <f t="shared" si="0"/>
        <v>0</v>
      </c>
      <c r="K170" s="130"/>
      <c r="L170" s="17"/>
      <c r="M170" s="135"/>
      <c r="N170" s="136" t="s">
        <v>45</v>
      </c>
      <c r="P170" s="137">
        <f t="shared" si="1"/>
        <v>0</v>
      </c>
      <c r="Q170" s="137">
        <v>0</v>
      </c>
      <c r="R170" s="137">
        <f t="shared" si="2"/>
        <v>0</v>
      </c>
      <c r="S170" s="137">
        <v>0</v>
      </c>
      <c r="T170" s="138">
        <f t="shared" si="3"/>
        <v>0</v>
      </c>
      <c r="AR170" s="139" t="s">
        <v>344</v>
      </c>
      <c r="AT170" s="139" t="s">
        <v>339</v>
      </c>
      <c r="AU170" s="139" t="s">
        <v>87</v>
      </c>
      <c r="AY170" s="2" t="s">
        <v>337</v>
      </c>
      <c r="BE170" s="140">
        <f t="shared" si="4"/>
        <v>0</v>
      </c>
      <c r="BF170" s="140">
        <f t="shared" si="5"/>
        <v>0</v>
      </c>
      <c r="BG170" s="140">
        <f t="shared" si="6"/>
        <v>0</v>
      </c>
      <c r="BH170" s="140">
        <f t="shared" si="7"/>
        <v>0</v>
      </c>
      <c r="BI170" s="140">
        <f t="shared" si="8"/>
        <v>0</v>
      </c>
      <c r="BJ170" s="2" t="s">
        <v>87</v>
      </c>
      <c r="BK170" s="140">
        <f t="shared" si="9"/>
        <v>0</v>
      </c>
      <c r="BL170" s="2" t="s">
        <v>344</v>
      </c>
      <c r="BM170" s="139" t="s">
        <v>797</v>
      </c>
    </row>
    <row r="171" spans="2:65" s="16" customFormat="1" ht="16.5" customHeight="1" x14ac:dyDescent="0.2">
      <c r="B171" s="17"/>
      <c r="C171" s="128">
        <v>30</v>
      </c>
      <c r="D171" s="128" t="s">
        <v>339</v>
      </c>
      <c r="E171" s="129" t="s">
        <v>4531</v>
      </c>
      <c r="F171" s="130" t="s">
        <v>4532</v>
      </c>
      <c r="G171" s="131" t="s">
        <v>449</v>
      </c>
      <c r="H171" s="132">
        <v>1</v>
      </c>
      <c r="I171" s="133"/>
      <c r="J171" s="134">
        <f t="shared" si="0"/>
        <v>0</v>
      </c>
      <c r="K171" s="130"/>
      <c r="L171" s="17"/>
      <c r="M171" s="135"/>
      <c r="N171" s="136" t="s">
        <v>45</v>
      </c>
      <c r="P171" s="137">
        <f t="shared" si="1"/>
        <v>0</v>
      </c>
      <c r="Q171" s="137">
        <v>0</v>
      </c>
      <c r="R171" s="137">
        <f t="shared" si="2"/>
        <v>0</v>
      </c>
      <c r="S171" s="137">
        <v>0</v>
      </c>
      <c r="T171" s="138">
        <f t="shared" si="3"/>
        <v>0</v>
      </c>
      <c r="AR171" s="139" t="s">
        <v>344</v>
      </c>
      <c r="AT171" s="139" t="s">
        <v>339</v>
      </c>
      <c r="AU171" s="139" t="s">
        <v>87</v>
      </c>
      <c r="AY171" s="2" t="s">
        <v>337</v>
      </c>
      <c r="BE171" s="140">
        <f t="shared" si="4"/>
        <v>0</v>
      </c>
      <c r="BF171" s="140">
        <f t="shared" si="5"/>
        <v>0</v>
      </c>
      <c r="BG171" s="140">
        <f t="shared" si="6"/>
        <v>0</v>
      </c>
      <c r="BH171" s="140">
        <f t="shared" si="7"/>
        <v>0</v>
      </c>
      <c r="BI171" s="140">
        <f t="shared" si="8"/>
        <v>0</v>
      </c>
      <c r="BJ171" s="2" t="s">
        <v>87</v>
      </c>
      <c r="BK171" s="140">
        <f t="shared" si="9"/>
        <v>0</v>
      </c>
      <c r="BL171" s="2" t="s">
        <v>344</v>
      </c>
      <c r="BM171" s="139" t="s">
        <v>4533</v>
      </c>
    </row>
    <row r="172" spans="2:65" s="16" customFormat="1" ht="16.5" customHeight="1" x14ac:dyDescent="0.2">
      <c r="B172" s="17"/>
      <c r="C172" s="128">
        <v>31</v>
      </c>
      <c r="D172" s="128" t="s">
        <v>339</v>
      </c>
      <c r="E172" s="129" t="s">
        <v>4534</v>
      </c>
      <c r="F172" s="130" t="s">
        <v>4535</v>
      </c>
      <c r="G172" s="131" t="s">
        <v>449</v>
      </c>
      <c r="H172" s="132">
        <v>1</v>
      </c>
      <c r="I172" s="133"/>
      <c r="J172" s="134">
        <f t="shared" si="0"/>
        <v>0</v>
      </c>
      <c r="K172" s="130"/>
      <c r="L172" s="17"/>
      <c r="M172" s="135"/>
      <c r="N172" s="136" t="s">
        <v>45</v>
      </c>
      <c r="P172" s="137">
        <f t="shared" si="1"/>
        <v>0</v>
      </c>
      <c r="Q172" s="137">
        <v>0</v>
      </c>
      <c r="R172" s="137">
        <f t="shared" si="2"/>
        <v>0</v>
      </c>
      <c r="S172" s="137">
        <v>0</v>
      </c>
      <c r="T172" s="138">
        <f t="shared" si="3"/>
        <v>0</v>
      </c>
      <c r="AR172" s="139" t="s">
        <v>344</v>
      </c>
      <c r="AT172" s="139" t="s">
        <v>339</v>
      </c>
      <c r="AU172" s="139" t="s">
        <v>87</v>
      </c>
      <c r="AY172" s="2" t="s">
        <v>337</v>
      </c>
      <c r="BE172" s="140">
        <f t="shared" si="4"/>
        <v>0</v>
      </c>
      <c r="BF172" s="140">
        <f t="shared" si="5"/>
        <v>0</v>
      </c>
      <c r="BG172" s="140">
        <f t="shared" si="6"/>
        <v>0</v>
      </c>
      <c r="BH172" s="140">
        <f t="shared" si="7"/>
        <v>0</v>
      </c>
      <c r="BI172" s="140">
        <f t="shared" si="8"/>
        <v>0</v>
      </c>
      <c r="BJ172" s="2" t="s">
        <v>87</v>
      </c>
      <c r="BK172" s="140">
        <f t="shared" si="9"/>
        <v>0</v>
      </c>
      <c r="BL172" s="2" t="s">
        <v>344</v>
      </c>
      <c r="BM172" s="139" t="s">
        <v>4536</v>
      </c>
    </row>
    <row r="173" spans="2:65" s="16" customFormat="1" ht="16.5" customHeight="1" x14ac:dyDescent="0.2">
      <c r="B173" s="17"/>
      <c r="C173" s="128">
        <v>32</v>
      </c>
      <c r="D173" s="128" t="s">
        <v>339</v>
      </c>
      <c r="E173" s="129" t="s">
        <v>4537</v>
      </c>
      <c r="F173" s="130" t="s">
        <v>4538</v>
      </c>
      <c r="G173" s="131" t="s">
        <v>449</v>
      </c>
      <c r="H173" s="132">
        <v>37</v>
      </c>
      <c r="I173" s="133"/>
      <c r="J173" s="134">
        <f t="shared" si="0"/>
        <v>0</v>
      </c>
      <c r="K173" s="130"/>
      <c r="L173" s="17"/>
      <c r="M173" s="135"/>
      <c r="N173" s="136" t="s">
        <v>45</v>
      </c>
      <c r="P173" s="137">
        <f t="shared" si="1"/>
        <v>0</v>
      </c>
      <c r="Q173" s="137">
        <v>0</v>
      </c>
      <c r="R173" s="137">
        <f t="shared" si="2"/>
        <v>0</v>
      </c>
      <c r="S173" s="137">
        <v>0</v>
      </c>
      <c r="T173" s="138">
        <f t="shared" si="3"/>
        <v>0</v>
      </c>
      <c r="AR173" s="139" t="s">
        <v>344</v>
      </c>
      <c r="AT173" s="139" t="s">
        <v>339</v>
      </c>
      <c r="AU173" s="139" t="s">
        <v>87</v>
      </c>
      <c r="AY173" s="2" t="s">
        <v>337</v>
      </c>
      <c r="BE173" s="140">
        <f t="shared" si="4"/>
        <v>0</v>
      </c>
      <c r="BF173" s="140">
        <f t="shared" si="5"/>
        <v>0</v>
      </c>
      <c r="BG173" s="140">
        <f t="shared" si="6"/>
        <v>0</v>
      </c>
      <c r="BH173" s="140">
        <f t="shared" si="7"/>
        <v>0</v>
      </c>
      <c r="BI173" s="140">
        <f t="shared" si="8"/>
        <v>0</v>
      </c>
      <c r="BJ173" s="2" t="s">
        <v>87</v>
      </c>
      <c r="BK173" s="140">
        <f t="shared" si="9"/>
        <v>0</v>
      </c>
      <c r="BL173" s="2" t="s">
        <v>344</v>
      </c>
      <c r="BM173" s="139" t="s">
        <v>807</v>
      </c>
    </row>
    <row r="174" spans="2:65" s="16" customFormat="1" ht="16.5" customHeight="1" x14ac:dyDescent="0.2">
      <c r="B174" s="17"/>
      <c r="C174" s="128">
        <v>33</v>
      </c>
      <c r="D174" s="128" t="s">
        <v>339</v>
      </c>
      <c r="E174" s="129" t="s">
        <v>4539</v>
      </c>
      <c r="F174" s="130" t="s">
        <v>4540</v>
      </c>
      <c r="G174" s="131" t="s">
        <v>449</v>
      </c>
      <c r="H174" s="132">
        <v>39</v>
      </c>
      <c r="I174" s="133"/>
      <c r="J174" s="134">
        <f t="shared" si="0"/>
        <v>0</v>
      </c>
      <c r="K174" s="130"/>
      <c r="L174" s="17"/>
      <c r="M174" s="135"/>
      <c r="N174" s="136" t="s">
        <v>45</v>
      </c>
      <c r="P174" s="137">
        <f t="shared" si="1"/>
        <v>0</v>
      </c>
      <c r="Q174" s="137">
        <v>0</v>
      </c>
      <c r="R174" s="137">
        <f t="shared" si="2"/>
        <v>0</v>
      </c>
      <c r="S174" s="137">
        <v>0</v>
      </c>
      <c r="T174" s="138">
        <f t="shared" si="3"/>
        <v>0</v>
      </c>
      <c r="AR174" s="139" t="s">
        <v>344</v>
      </c>
      <c r="AT174" s="139" t="s">
        <v>339</v>
      </c>
      <c r="AU174" s="139" t="s">
        <v>87</v>
      </c>
      <c r="AY174" s="2" t="s">
        <v>337</v>
      </c>
      <c r="BE174" s="140">
        <f t="shared" si="4"/>
        <v>0</v>
      </c>
      <c r="BF174" s="140">
        <f t="shared" si="5"/>
        <v>0</v>
      </c>
      <c r="BG174" s="140">
        <f t="shared" si="6"/>
        <v>0</v>
      </c>
      <c r="BH174" s="140">
        <f t="shared" si="7"/>
        <v>0</v>
      </c>
      <c r="BI174" s="140">
        <f t="shared" si="8"/>
        <v>0</v>
      </c>
      <c r="BJ174" s="2" t="s">
        <v>87</v>
      </c>
      <c r="BK174" s="140">
        <f t="shared" si="9"/>
        <v>0</v>
      </c>
      <c r="BL174" s="2" t="s">
        <v>344</v>
      </c>
      <c r="BM174" s="139" t="s">
        <v>818</v>
      </c>
    </row>
    <row r="175" spans="2:65" s="16" customFormat="1" ht="16.5" customHeight="1" x14ac:dyDescent="0.2">
      <c r="B175" s="17"/>
      <c r="C175" s="128">
        <v>34</v>
      </c>
      <c r="D175" s="128" t="s">
        <v>339</v>
      </c>
      <c r="E175" s="129" t="s">
        <v>4541</v>
      </c>
      <c r="F175" s="130" t="s">
        <v>4542</v>
      </c>
      <c r="G175" s="131" t="s">
        <v>449</v>
      </c>
      <c r="H175" s="132">
        <v>4</v>
      </c>
      <c r="I175" s="133"/>
      <c r="J175" s="134">
        <f t="shared" ref="J175:J197" si="10">ROUND(I175*H175,2)</f>
        <v>0</v>
      </c>
      <c r="K175" s="130"/>
      <c r="L175" s="17"/>
      <c r="M175" s="135"/>
      <c r="N175" s="136" t="s">
        <v>45</v>
      </c>
      <c r="P175" s="137">
        <f t="shared" ref="P175:P197" si="11">O175*H175</f>
        <v>0</v>
      </c>
      <c r="Q175" s="137">
        <v>0</v>
      </c>
      <c r="R175" s="137">
        <f t="shared" ref="R175:R197" si="12">Q175*H175</f>
        <v>0</v>
      </c>
      <c r="S175" s="137">
        <v>0</v>
      </c>
      <c r="T175" s="138">
        <f t="shared" ref="T175:T197" si="13">S175*H175</f>
        <v>0</v>
      </c>
      <c r="AR175" s="139" t="s">
        <v>344</v>
      </c>
      <c r="AT175" s="139" t="s">
        <v>339</v>
      </c>
      <c r="AU175" s="139" t="s">
        <v>87</v>
      </c>
      <c r="AY175" s="2" t="s">
        <v>337</v>
      </c>
      <c r="BE175" s="140">
        <f t="shared" ref="BE175:BE197" si="14">IF(N175="základní",J175,0)</f>
        <v>0</v>
      </c>
      <c r="BF175" s="140">
        <f t="shared" ref="BF175:BF197" si="15">IF(N175="snížená",J175,0)</f>
        <v>0</v>
      </c>
      <c r="BG175" s="140">
        <f t="shared" ref="BG175:BG197" si="16">IF(N175="zákl. přenesená",J175,0)</f>
        <v>0</v>
      </c>
      <c r="BH175" s="140">
        <f t="shared" ref="BH175:BH197" si="17">IF(N175="sníž. přenesená",J175,0)</f>
        <v>0</v>
      </c>
      <c r="BI175" s="140">
        <f t="shared" ref="BI175:BI197" si="18">IF(N175="nulová",J175,0)</f>
        <v>0</v>
      </c>
      <c r="BJ175" s="2" t="s">
        <v>87</v>
      </c>
      <c r="BK175" s="140">
        <f t="shared" ref="BK175:BK197" si="19">ROUND(I175*H175,2)</f>
        <v>0</v>
      </c>
      <c r="BL175" s="2" t="s">
        <v>344</v>
      </c>
      <c r="BM175" s="139" t="s">
        <v>829</v>
      </c>
    </row>
    <row r="176" spans="2:65" s="16" customFormat="1" ht="16.5" customHeight="1" x14ac:dyDescent="0.2">
      <c r="B176" s="17"/>
      <c r="C176" s="128">
        <v>35</v>
      </c>
      <c r="D176" s="128" t="s">
        <v>339</v>
      </c>
      <c r="E176" s="129" t="s">
        <v>4543</v>
      </c>
      <c r="F176" s="130" t="s">
        <v>4544</v>
      </c>
      <c r="G176" s="131" t="s">
        <v>449</v>
      </c>
      <c r="H176" s="132">
        <v>1</v>
      </c>
      <c r="I176" s="133"/>
      <c r="J176" s="134">
        <f t="shared" si="10"/>
        <v>0</v>
      </c>
      <c r="K176" s="130"/>
      <c r="L176" s="17"/>
      <c r="M176" s="135"/>
      <c r="N176" s="136" t="s">
        <v>45</v>
      </c>
      <c r="P176" s="137">
        <f t="shared" si="11"/>
        <v>0</v>
      </c>
      <c r="Q176" s="137">
        <v>0</v>
      </c>
      <c r="R176" s="137">
        <f t="shared" si="12"/>
        <v>0</v>
      </c>
      <c r="S176" s="137">
        <v>0</v>
      </c>
      <c r="T176" s="138">
        <f t="shared" si="13"/>
        <v>0</v>
      </c>
      <c r="AR176" s="139" t="s">
        <v>344</v>
      </c>
      <c r="AT176" s="139" t="s">
        <v>339</v>
      </c>
      <c r="AU176" s="139" t="s">
        <v>87</v>
      </c>
      <c r="AY176" s="2" t="s">
        <v>337</v>
      </c>
      <c r="BE176" s="140">
        <f t="shared" si="14"/>
        <v>0</v>
      </c>
      <c r="BF176" s="140">
        <f t="shared" si="15"/>
        <v>0</v>
      </c>
      <c r="BG176" s="140">
        <f t="shared" si="16"/>
        <v>0</v>
      </c>
      <c r="BH176" s="140">
        <f t="shared" si="17"/>
        <v>0</v>
      </c>
      <c r="BI176" s="140">
        <f t="shared" si="18"/>
        <v>0</v>
      </c>
      <c r="BJ176" s="2" t="s">
        <v>87</v>
      </c>
      <c r="BK176" s="140">
        <f t="shared" si="19"/>
        <v>0</v>
      </c>
      <c r="BL176" s="2" t="s">
        <v>344</v>
      </c>
      <c r="BM176" s="139" t="s">
        <v>850</v>
      </c>
    </row>
    <row r="177" spans="2:65" s="16" customFormat="1" ht="16.5" customHeight="1" x14ac:dyDescent="0.2">
      <c r="B177" s="17"/>
      <c r="C177" s="128">
        <v>36</v>
      </c>
      <c r="D177" s="128" t="s">
        <v>339</v>
      </c>
      <c r="E177" s="129" t="s">
        <v>4545</v>
      </c>
      <c r="F177" s="130" t="s">
        <v>4546</v>
      </c>
      <c r="G177" s="131" t="s">
        <v>449</v>
      </c>
      <c r="H177" s="132">
        <v>1</v>
      </c>
      <c r="I177" s="133"/>
      <c r="J177" s="134">
        <f t="shared" si="10"/>
        <v>0</v>
      </c>
      <c r="K177" s="130"/>
      <c r="L177" s="17"/>
      <c r="M177" s="135"/>
      <c r="N177" s="136" t="s">
        <v>45</v>
      </c>
      <c r="P177" s="137">
        <f t="shared" si="11"/>
        <v>0</v>
      </c>
      <c r="Q177" s="137">
        <v>0</v>
      </c>
      <c r="R177" s="137">
        <f t="shared" si="12"/>
        <v>0</v>
      </c>
      <c r="S177" s="137">
        <v>0</v>
      </c>
      <c r="T177" s="138">
        <f t="shared" si="13"/>
        <v>0</v>
      </c>
      <c r="AR177" s="139" t="s">
        <v>344</v>
      </c>
      <c r="AT177" s="139" t="s">
        <v>339</v>
      </c>
      <c r="AU177" s="139" t="s">
        <v>87</v>
      </c>
      <c r="AY177" s="2" t="s">
        <v>337</v>
      </c>
      <c r="BE177" s="140">
        <f t="shared" si="14"/>
        <v>0</v>
      </c>
      <c r="BF177" s="140">
        <f t="shared" si="15"/>
        <v>0</v>
      </c>
      <c r="BG177" s="140">
        <f t="shared" si="16"/>
        <v>0</v>
      </c>
      <c r="BH177" s="140">
        <f t="shared" si="17"/>
        <v>0</v>
      </c>
      <c r="BI177" s="140">
        <f t="shared" si="18"/>
        <v>0</v>
      </c>
      <c r="BJ177" s="2" t="s">
        <v>87</v>
      </c>
      <c r="BK177" s="140">
        <f t="shared" si="19"/>
        <v>0</v>
      </c>
      <c r="BL177" s="2" t="s">
        <v>344</v>
      </c>
      <c r="BM177" s="139" t="s">
        <v>3442</v>
      </c>
    </row>
    <row r="178" spans="2:65" s="16" customFormat="1" ht="16.5" customHeight="1" x14ac:dyDescent="0.2">
      <c r="B178" s="17"/>
      <c r="C178" s="128">
        <v>37</v>
      </c>
      <c r="D178" s="128" t="s">
        <v>339</v>
      </c>
      <c r="E178" s="129" t="s">
        <v>4547</v>
      </c>
      <c r="F178" s="130" t="s">
        <v>4548</v>
      </c>
      <c r="G178" s="131" t="s">
        <v>449</v>
      </c>
      <c r="H178" s="132">
        <v>1</v>
      </c>
      <c r="I178" s="133"/>
      <c r="J178" s="134">
        <f t="shared" si="10"/>
        <v>0</v>
      </c>
      <c r="K178" s="130"/>
      <c r="L178" s="17"/>
      <c r="M178" s="135"/>
      <c r="N178" s="136" t="s">
        <v>45</v>
      </c>
      <c r="P178" s="137">
        <f t="shared" si="11"/>
        <v>0</v>
      </c>
      <c r="Q178" s="137">
        <v>0</v>
      </c>
      <c r="R178" s="137">
        <f t="shared" si="12"/>
        <v>0</v>
      </c>
      <c r="S178" s="137">
        <v>0</v>
      </c>
      <c r="T178" s="138">
        <f t="shared" si="13"/>
        <v>0</v>
      </c>
      <c r="AR178" s="139" t="s">
        <v>344</v>
      </c>
      <c r="AT178" s="139" t="s">
        <v>339</v>
      </c>
      <c r="AU178" s="139" t="s">
        <v>87</v>
      </c>
      <c r="AY178" s="2" t="s">
        <v>337</v>
      </c>
      <c r="BE178" s="140">
        <f t="shared" si="14"/>
        <v>0</v>
      </c>
      <c r="BF178" s="140">
        <f t="shared" si="15"/>
        <v>0</v>
      </c>
      <c r="BG178" s="140">
        <f t="shared" si="16"/>
        <v>0</v>
      </c>
      <c r="BH178" s="140">
        <f t="shared" si="17"/>
        <v>0</v>
      </c>
      <c r="BI178" s="140">
        <f t="shared" si="18"/>
        <v>0</v>
      </c>
      <c r="BJ178" s="2" t="s">
        <v>87</v>
      </c>
      <c r="BK178" s="140">
        <f t="shared" si="19"/>
        <v>0</v>
      </c>
      <c r="BL178" s="2" t="s">
        <v>344</v>
      </c>
      <c r="BM178" s="139" t="s">
        <v>870</v>
      </c>
    </row>
    <row r="179" spans="2:65" s="16" customFormat="1" ht="16.5" customHeight="1" x14ac:dyDescent="0.2">
      <c r="B179" s="17"/>
      <c r="C179" s="128">
        <v>38</v>
      </c>
      <c r="D179" s="128" t="s">
        <v>339</v>
      </c>
      <c r="E179" s="129" t="s">
        <v>4549</v>
      </c>
      <c r="F179" s="130" t="s">
        <v>4550</v>
      </c>
      <c r="G179" s="131" t="s">
        <v>449</v>
      </c>
      <c r="H179" s="132">
        <v>1</v>
      </c>
      <c r="I179" s="133"/>
      <c r="J179" s="134">
        <f t="shared" si="10"/>
        <v>0</v>
      </c>
      <c r="K179" s="130"/>
      <c r="L179" s="17"/>
      <c r="M179" s="135"/>
      <c r="N179" s="136" t="s">
        <v>45</v>
      </c>
      <c r="P179" s="137">
        <f t="shared" si="11"/>
        <v>0</v>
      </c>
      <c r="Q179" s="137">
        <v>0</v>
      </c>
      <c r="R179" s="137">
        <f t="shared" si="12"/>
        <v>0</v>
      </c>
      <c r="S179" s="137">
        <v>0</v>
      </c>
      <c r="T179" s="138">
        <f t="shared" si="13"/>
        <v>0</v>
      </c>
      <c r="AR179" s="139" t="s">
        <v>344</v>
      </c>
      <c r="AT179" s="139" t="s">
        <v>339</v>
      </c>
      <c r="AU179" s="139" t="s">
        <v>87</v>
      </c>
      <c r="AY179" s="2" t="s">
        <v>337</v>
      </c>
      <c r="BE179" s="140">
        <f t="shared" si="14"/>
        <v>0</v>
      </c>
      <c r="BF179" s="140">
        <f t="shared" si="15"/>
        <v>0</v>
      </c>
      <c r="BG179" s="140">
        <f t="shared" si="16"/>
        <v>0</v>
      </c>
      <c r="BH179" s="140">
        <f t="shared" si="17"/>
        <v>0</v>
      </c>
      <c r="BI179" s="140">
        <f t="shared" si="18"/>
        <v>0</v>
      </c>
      <c r="BJ179" s="2" t="s">
        <v>87</v>
      </c>
      <c r="BK179" s="140">
        <f t="shared" si="19"/>
        <v>0</v>
      </c>
      <c r="BL179" s="2" t="s">
        <v>344</v>
      </c>
      <c r="BM179" s="139" t="s">
        <v>943</v>
      </c>
    </row>
    <row r="180" spans="2:65" s="16" customFormat="1" ht="16.5" customHeight="1" x14ac:dyDescent="0.2">
      <c r="B180" s="17"/>
      <c r="C180" s="128">
        <v>39</v>
      </c>
      <c r="D180" s="128" t="s">
        <v>339</v>
      </c>
      <c r="E180" s="129" t="s">
        <v>4551</v>
      </c>
      <c r="F180" s="130" t="s">
        <v>4552</v>
      </c>
      <c r="G180" s="131" t="s">
        <v>449</v>
      </c>
      <c r="H180" s="132">
        <v>1</v>
      </c>
      <c r="I180" s="133"/>
      <c r="J180" s="134">
        <f t="shared" si="10"/>
        <v>0</v>
      </c>
      <c r="K180" s="130"/>
      <c r="L180" s="17"/>
      <c r="M180" s="135"/>
      <c r="N180" s="136" t="s">
        <v>45</v>
      </c>
      <c r="P180" s="137">
        <f t="shared" si="11"/>
        <v>0</v>
      </c>
      <c r="Q180" s="137">
        <v>0</v>
      </c>
      <c r="R180" s="137">
        <f t="shared" si="12"/>
        <v>0</v>
      </c>
      <c r="S180" s="137">
        <v>0</v>
      </c>
      <c r="T180" s="138">
        <f t="shared" si="13"/>
        <v>0</v>
      </c>
      <c r="AR180" s="139" t="s">
        <v>344</v>
      </c>
      <c r="AT180" s="139" t="s">
        <v>339</v>
      </c>
      <c r="AU180" s="139" t="s">
        <v>87</v>
      </c>
      <c r="AY180" s="2" t="s">
        <v>337</v>
      </c>
      <c r="BE180" s="140">
        <f t="shared" si="14"/>
        <v>0</v>
      </c>
      <c r="BF180" s="140">
        <f t="shared" si="15"/>
        <v>0</v>
      </c>
      <c r="BG180" s="140">
        <f t="shared" si="16"/>
        <v>0</v>
      </c>
      <c r="BH180" s="140">
        <f t="shared" si="17"/>
        <v>0</v>
      </c>
      <c r="BI180" s="140">
        <f t="shared" si="18"/>
        <v>0</v>
      </c>
      <c r="BJ180" s="2" t="s">
        <v>87</v>
      </c>
      <c r="BK180" s="140">
        <f t="shared" si="19"/>
        <v>0</v>
      </c>
      <c r="BL180" s="2" t="s">
        <v>344</v>
      </c>
      <c r="BM180" s="139" t="s">
        <v>4553</v>
      </c>
    </row>
    <row r="181" spans="2:65" s="16" customFormat="1" ht="16.5" customHeight="1" x14ac:dyDescent="0.2">
      <c r="B181" s="17"/>
      <c r="C181" s="128">
        <v>40</v>
      </c>
      <c r="D181" s="128" t="s">
        <v>339</v>
      </c>
      <c r="E181" s="129" t="s">
        <v>4554</v>
      </c>
      <c r="F181" s="130" t="s">
        <v>4555</v>
      </c>
      <c r="G181" s="131" t="s">
        <v>449</v>
      </c>
      <c r="H181" s="132">
        <v>80</v>
      </c>
      <c r="I181" s="133"/>
      <c r="J181" s="134">
        <f t="shared" si="10"/>
        <v>0</v>
      </c>
      <c r="K181" s="130"/>
      <c r="L181" s="17"/>
      <c r="M181" s="135"/>
      <c r="N181" s="136" t="s">
        <v>45</v>
      </c>
      <c r="P181" s="137">
        <f t="shared" si="11"/>
        <v>0</v>
      </c>
      <c r="Q181" s="137">
        <v>0</v>
      </c>
      <c r="R181" s="137">
        <f t="shared" si="12"/>
        <v>0</v>
      </c>
      <c r="S181" s="137">
        <v>0</v>
      </c>
      <c r="T181" s="138">
        <f t="shared" si="13"/>
        <v>0</v>
      </c>
      <c r="AR181" s="139" t="s">
        <v>344</v>
      </c>
      <c r="AT181" s="139" t="s">
        <v>339</v>
      </c>
      <c r="AU181" s="139" t="s">
        <v>87</v>
      </c>
      <c r="AY181" s="2" t="s">
        <v>337</v>
      </c>
      <c r="BE181" s="140">
        <f t="shared" si="14"/>
        <v>0</v>
      </c>
      <c r="BF181" s="140">
        <f t="shared" si="15"/>
        <v>0</v>
      </c>
      <c r="BG181" s="140">
        <f t="shared" si="16"/>
        <v>0</v>
      </c>
      <c r="BH181" s="140">
        <f t="shared" si="17"/>
        <v>0</v>
      </c>
      <c r="BI181" s="140">
        <f t="shared" si="18"/>
        <v>0</v>
      </c>
      <c r="BJ181" s="2" t="s">
        <v>87</v>
      </c>
      <c r="BK181" s="140">
        <f t="shared" si="19"/>
        <v>0</v>
      </c>
      <c r="BL181" s="2" t="s">
        <v>344</v>
      </c>
      <c r="BM181" s="139" t="s">
        <v>950</v>
      </c>
    </row>
    <row r="182" spans="2:65" s="16" customFormat="1" ht="16.5" customHeight="1" x14ac:dyDescent="0.2">
      <c r="B182" s="17"/>
      <c r="C182" s="128">
        <v>41</v>
      </c>
      <c r="D182" s="128" t="s">
        <v>339</v>
      </c>
      <c r="E182" s="129" t="s">
        <v>4556</v>
      </c>
      <c r="F182" s="130" t="s">
        <v>4557</v>
      </c>
      <c r="G182" s="131" t="s">
        <v>449</v>
      </c>
      <c r="H182" s="132">
        <v>3</v>
      </c>
      <c r="I182" s="133"/>
      <c r="J182" s="134">
        <f t="shared" si="10"/>
        <v>0</v>
      </c>
      <c r="K182" s="130"/>
      <c r="L182" s="17"/>
      <c r="M182" s="135"/>
      <c r="N182" s="136" t="s">
        <v>45</v>
      </c>
      <c r="P182" s="137">
        <f t="shared" si="11"/>
        <v>0</v>
      </c>
      <c r="Q182" s="137">
        <v>0</v>
      </c>
      <c r="R182" s="137">
        <f t="shared" si="12"/>
        <v>0</v>
      </c>
      <c r="S182" s="137">
        <v>0</v>
      </c>
      <c r="T182" s="138">
        <f t="shared" si="13"/>
        <v>0</v>
      </c>
      <c r="AR182" s="139" t="s">
        <v>344</v>
      </c>
      <c r="AT182" s="139" t="s">
        <v>339</v>
      </c>
      <c r="AU182" s="139" t="s">
        <v>87</v>
      </c>
      <c r="AY182" s="2" t="s">
        <v>337</v>
      </c>
      <c r="BE182" s="140">
        <f t="shared" si="14"/>
        <v>0</v>
      </c>
      <c r="BF182" s="140">
        <f t="shared" si="15"/>
        <v>0</v>
      </c>
      <c r="BG182" s="140">
        <f t="shared" si="16"/>
        <v>0</v>
      </c>
      <c r="BH182" s="140">
        <f t="shared" si="17"/>
        <v>0</v>
      </c>
      <c r="BI182" s="140">
        <f t="shared" si="18"/>
        <v>0</v>
      </c>
      <c r="BJ182" s="2" t="s">
        <v>87</v>
      </c>
      <c r="BK182" s="140">
        <f t="shared" si="19"/>
        <v>0</v>
      </c>
      <c r="BL182" s="2" t="s">
        <v>344</v>
      </c>
      <c r="BM182" s="139" t="s">
        <v>958</v>
      </c>
    </row>
    <row r="183" spans="2:65" s="16" customFormat="1" ht="21.75" customHeight="1" x14ac:dyDescent="0.2">
      <c r="B183" s="17"/>
      <c r="C183" s="128">
        <v>42</v>
      </c>
      <c r="D183" s="128" t="s">
        <v>339</v>
      </c>
      <c r="E183" s="129" t="s">
        <v>4558</v>
      </c>
      <c r="F183" s="130" t="s">
        <v>4559</v>
      </c>
      <c r="G183" s="131" t="s">
        <v>449</v>
      </c>
      <c r="H183" s="132">
        <v>1</v>
      </c>
      <c r="I183" s="133"/>
      <c r="J183" s="134">
        <f t="shared" si="10"/>
        <v>0</v>
      </c>
      <c r="K183" s="130"/>
      <c r="L183" s="17"/>
      <c r="M183" s="135"/>
      <c r="N183" s="136" t="s">
        <v>45</v>
      </c>
      <c r="P183" s="137">
        <f t="shared" si="11"/>
        <v>0</v>
      </c>
      <c r="Q183" s="137">
        <v>0</v>
      </c>
      <c r="R183" s="137">
        <f t="shared" si="12"/>
        <v>0</v>
      </c>
      <c r="S183" s="137">
        <v>0</v>
      </c>
      <c r="T183" s="138">
        <f t="shared" si="13"/>
        <v>0</v>
      </c>
      <c r="AR183" s="139" t="s">
        <v>344</v>
      </c>
      <c r="AT183" s="139" t="s">
        <v>339</v>
      </c>
      <c r="AU183" s="139" t="s">
        <v>87</v>
      </c>
      <c r="AY183" s="2" t="s">
        <v>337</v>
      </c>
      <c r="BE183" s="140">
        <f t="shared" si="14"/>
        <v>0</v>
      </c>
      <c r="BF183" s="140">
        <f t="shared" si="15"/>
        <v>0</v>
      </c>
      <c r="BG183" s="140">
        <f t="shared" si="16"/>
        <v>0</v>
      </c>
      <c r="BH183" s="140">
        <f t="shared" si="17"/>
        <v>0</v>
      </c>
      <c r="BI183" s="140">
        <f t="shared" si="18"/>
        <v>0</v>
      </c>
      <c r="BJ183" s="2" t="s">
        <v>87</v>
      </c>
      <c r="BK183" s="140">
        <f t="shared" si="19"/>
        <v>0</v>
      </c>
      <c r="BL183" s="2" t="s">
        <v>344</v>
      </c>
      <c r="BM183" s="139" t="s">
        <v>970</v>
      </c>
    </row>
    <row r="184" spans="2:65" s="16" customFormat="1" ht="16.5" customHeight="1" x14ac:dyDescent="0.2">
      <c r="B184" s="17"/>
      <c r="C184" s="128">
        <v>43</v>
      </c>
      <c r="D184" s="128" t="s">
        <v>339</v>
      </c>
      <c r="E184" s="129" t="s">
        <v>4560</v>
      </c>
      <c r="F184" s="130" t="s">
        <v>4561</v>
      </c>
      <c r="G184" s="131" t="s">
        <v>449</v>
      </c>
      <c r="H184" s="132">
        <v>1</v>
      </c>
      <c r="I184" s="133"/>
      <c r="J184" s="134">
        <f t="shared" si="10"/>
        <v>0</v>
      </c>
      <c r="K184" s="130"/>
      <c r="L184" s="17"/>
      <c r="M184" s="135"/>
      <c r="N184" s="136" t="s">
        <v>45</v>
      </c>
      <c r="P184" s="137">
        <f t="shared" si="11"/>
        <v>0</v>
      </c>
      <c r="Q184" s="137">
        <v>0</v>
      </c>
      <c r="R184" s="137">
        <f t="shared" si="12"/>
        <v>0</v>
      </c>
      <c r="S184" s="137">
        <v>0</v>
      </c>
      <c r="T184" s="138">
        <f t="shared" si="13"/>
        <v>0</v>
      </c>
      <c r="AR184" s="139" t="s">
        <v>344</v>
      </c>
      <c r="AT184" s="139" t="s">
        <v>339</v>
      </c>
      <c r="AU184" s="139" t="s">
        <v>87</v>
      </c>
      <c r="AY184" s="2" t="s">
        <v>337</v>
      </c>
      <c r="BE184" s="140">
        <f t="shared" si="14"/>
        <v>0</v>
      </c>
      <c r="BF184" s="140">
        <f t="shared" si="15"/>
        <v>0</v>
      </c>
      <c r="BG184" s="140">
        <f t="shared" si="16"/>
        <v>0</v>
      </c>
      <c r="BH184" s="140">
        <f t="shared" si="17"/>
        <v>0</v>
      </c>
      <c r="BI184" s="140">
        <f t="shared" si="18"/>
        <v>0</v>
      </c>
      <c r="BJ184" s="2" t="s">
        <v>87</v>
      </c>
      <c r="BK184" s="140">
        <f t="shared" si="19"/>
        <v>0</v>
      </c>
      <c r="BL184" s="2" t="s">
        <v>344</v>
      </c>
      <c r="BM184" s="139" t="s">
        <v>981</v>
      </c>
    </row>
    <row r="185" spans="2:65" s="16" customFormat="1" ht="16.5" customHeight="1" x14ac:dyDescent="0.2">
      <c r="B185" s="17"/>
      <c r="C185" s="128">
        <v>44</v>
      </c>
      <c r="D185" s="128" t="s">
        <v>339</v>
      </c>
      <c r="E185" s="129" t="s">
        <v>4562</v>
      </c>
      <c r="F185" s="130" t="s">
        <v>4563</v>
      </c>
      <c r="G185" s="131" t="s">
        <v>449</v>
      </c>
      <c r="H185" s="132">
        <v>1</v>
      </c>
      <c r="I185" s="133"/>
      <c r="J185" s="134">
        <f t="shared" si="10"/>
        <v>0</v>
      </c>
      <c r="K185" s="130"/>
      <c r="L185" s="17"/>
      <c r="M185" s="135"/>
      <c r="N185" s="136" t="s">
        <v>45</v>
      </c>
      <c r="P185" s="137">
        <f t="shared" si="11"/>
        <v>0</v>
      </c>
      <c r="Q185" s="137">
        <v>0</v>
      </c>
      <c r="R185" s="137">
        <f t="shared" si="12"/>
        <v>0</v>
      </c>
      <c r="S185" s="137">
        <v>0</v>
      </c>
      <c r="T185" s="138">
        <f t="shared" si="13"/>
        <v>0</v>
      </c>
      <c r="AR185" s="139" t="s">
        <v>344</v>
      </c>
      <c r="AT185" s="139" t="s">
        <v>339</v>
      </c>
      <c r="AU185" s="139" t="s">
        <v>87</v>
      </c>
      <c r="AY185" s="2" t="s">
        <v>337</v>
      </c>
      <c r="BE185" s="140">
        <f t="shared" si="14"/>
        <v>0</v>
      </c>
      <c r="BF185" s="140">
        <f t="shared" si="15"/>
        <v>0</v>
      </c>
      <c r="BG185" s="140">
        <f t="shared" si="16"/>
        <v>0</v>
      </c>
      <c r="BH185" s="140">
        <f t="shared" si="17"/>
        <v>0</v>
      </c>
      <c r="BI185" s="140">
        <f t="shared" si="18"/>
        <v>0</v>
      </c>
      <c r="BJ185" s="2" t="s">
        <v>87</v>
      </c>
      <c r="BK185" s="140">
        <f t="shared" si="19"/>
        <v>0</v>
      </c>
      <c r="BL185" s="2" t="s">
        <v>344</v>
      </c>
      <c r="BM185" s="139" t="s">
        <v>996</v>
      </c>
    </row>
    <row r="186" spans="2:65" s="16" customFormat="1" ht="16.5" customHeight="1" x14ac:dyDescent="0.2">
      <c r="B186" s="17"/>
      <c r="C186" s="128">
        <v>45</v>
      </c>
      <c r="D186" s="128" t="s">
        <v>339</v>
      </c>
      <c r="E186" s="129" t="s">
        <v>4564</v>
      </c>
      <c r="F186" s="130" t="s">
        <v>4565</v>
      </c>
      <c r="G186" s="131" t="s">
        <v>449</v>
      </c>
      <c r="H186" s="132">
        <v>2</v>
      </c>
      <c r="I186" s="133"/>
      <c r="J186" s="134">
        <f t="shared" si="10"/>
        <v>0</v>
      </c>
      <c r="K186" s="130"/>
      <c r="L186" s="17"/>
      <c r="M186" s="135"/>
      <c r="N186" s="136" t="s">
        <v>45</v>
      </c>
      <c r="P186" s="137">
        <f t="shared" si="11"/>
        <v>0</v>
      </c>
      <c r="Q186" s="137">
        <v>0</v>
      </c>
      <c r="R186" s="137">
        <f t="shared" si="12"/>
        <v>0</v>
      </c>
      <c r="S186" s="137">
        <v>0</v>
      </c>
      <c r="T186" s="138">
        <f t="shared" si="13"/>
        <v>0</v>
      </c>
      <c r="AR186" s="139" t="s">
        <v>344</v>
      </c>
      <c r="AT186" s="139" t="s">
        <v>339</v>
      </c>
      <c r="AU186" s="139" t="s">
        <v>87</v>
      </c>
      <c r="AY186" s="2" t="s">
        <v>337</v>
      </c>
      <c r="BE186" s="140">
        <f t="shared" si="14"/>
        <v>0</v>
      </c>
      <c r="BF186" s="140">
        <f t="shared" si="15"/>
        <v>0</v>
      </c>
      <c r="BG186" s="140">
        <f t="shared" si="16"/>
        <v>0</v>
      </c>
      <c r="BH186" s="140">
        <f t="shared" si="17"/>
        <v>0</v>
      </c>
      <c r="BI186" s="140">
        <f t="shared" si="18"/>
        <v>0</v>
      </c>
      <c r="BJ186" s="2" t="s">
        <v>87</v>
      </c>
      <c r="BK186" s="140">
        <f t="shared" si="19"/>
        <v>0</v>
      </c>
      <c r="BL186" s="2" t="s">
        <v>344</v>
      </c>
      <c r="BM186" s="139" t="s">
        <v>1008</v>
      </c>
    </row>
    <row r="187" spans="2:65" s="16" customFormat="1" ht="16.5" customHeight="1" x14ac:dyDescent="0.2">
      <c r="B187" s="17"/>
      <c r="C187" s="128">
        <v>46</v>
      </c>
      <c r="D187" s="128" t="s">
        <v>339</v>
      </c>
      <c r="E187" s="129" t="s">
        <v>4566</v>
      </c>
      <c r="F187" s="130" t="s">
        <v>4567</v>
      </c>
      <c r="G187" s="131" t="s">
        <v>449</v>
      </c>
      <c r="H187" s="132">
        <v>5</v>
      </c>
      <c r="I187" s="133"/>
      <c r="J187" s="134">
        <f t="shared" si="10"/>
        <v>0</v>
      </c>
      <c r="K187" s="130"/>
      <c r="L187" s="17"/>
      <c r="M187" s="135"/>
      <c r="N187" s="136" t="s">
        <v>45</v>
      </c>
      <c r="P187" s="137">
        <f t="shared" si="11"/>
        <v>0</v>
      </c>
      <c r="Q187" s="137">
        <v>0</v>
      </c>
      <c r="R187" s="137">
        <f t="shared" si="12"/>
        <v>0</v>
      </c>
      <c r="S187" s="137">
        <v>0</v>
      </c>
      <c r="T187" s="138">
        <f t="shared" si="13"/>
        <v>0</v>
      </c>
      <c r="AR187" s="139" t="s">
        <v>344</v>
      </c>
      <c r="AT187" s="139" t="s">
        <v>339</v>
      </c>
      <c r="AU187" s="139" t="s">
        <v>87</v>
      </c>
      <c r="AY187" s="2" t="s">
        <v>337</v>
      </c>
      <c r="BE187" s="140">
        <f t="shared" si="14"/>
        <v>0</v>
      </c>
      <c r="BF187" s="140">
        <f t="shared" si="15"/>
        <v>0</v>
      </c>
      <c r="BG187" s="140">
        <f t="shared" si="16"/>
        <v>0</v>
      </c>
      <c r="BH187" s="140">
        <f t="shared" si="17"/>
        <v>0</v>
      </c>
      <c r="BI187" s="140">
        <f t="shared" si="18"/>
        <v>0</v>
      </c>
      <c r="BJ187" s="2" t="s">
        <v>87</v>
      </c>
      <c r="BK187" s="140">
        <f t="shared" si="19"/>
        <v>0</v>
      </c>
      <c r="BL187" s="2" t="s">
        <v>344</v>
      </c>
      <c r="BM187" s="139" t="s">
        <v>3778</v>
      </c>
    </row>
    <row r="188" spans="2:65" s="16" customFormat="1" ht="16.5" customHeight="1" x14ac:dyDescent="0.2">
      <c r="B188" s="17"/>
      <c r="C188" s="128">
        <v>47</v>
      </c>
      <c r="D188" s="128" t="s">
        <v>339</v>
      </c>
      <c r="E188" s="129" t="s">
        <v>4568</v>
      </c>
      <c r="F188" s="130" t="s">
        <v>4569</v>
      </c>
      <c r="G188" s="131" t="s">
        <v>449</v>
      </c>
      <c r="H188" s="132">
        <v>1</v>
      </c>
      <c r="I188" s="133"/>
      <c r="J188" s="134">
        <f t="shared" si="10"/>
        <v>0</v>
      </c>
      <c r="K188" s="130"/>
      <c r="L188" s="17"/>
      <c r="M188" s="135"/>
      <c r="N188" s="136" t="s">
        <v>45</v>
      </c>
      <c r="P188" s="137">
        <f t="shared" si="11"/>
        <v>0</v>
      </c>
      <c r="Q188" s="137">
        <v>0</v>
      </c>
      <c r="R188" s="137">
        <f t="shared" si="12"/>
        <v>0</v>
      </c>
      <c r="S188" s="137">
        <v>0</v>
      </c>
      <c r="T188" s="138">
        <f t="shared" si="13"/>
        <v>0</v>
      </c>
      <c r="AR188" s="139" t="s">
        <v>344</v>
      </c>
      <c r="AT188" s="139" t="s">
        <v>339</v>
      </c>
      <c r="AU188" s="139" t="s">
        <v>87</v>
      </c>
      <c r="AY188" s="2" t="s">
        <v>337</v>
      </c>
      <c r="BE188" s="140">
        <f t="shared" si="14"/>
        <v>0</v>
      </c>
      <c r="BF188" s="140">
        <f t="shared" si="15"/>
        <v>0</v>
      </c>
      <c r="BG188" s="140">
        <f t="shared" si="16"/>
        <v>0</v>
      </c>
      <c r="BH188" s="140">
        <f t="shared" si="17"/>
        <v>0</v>
      </c>
      <c r="BI188" s="140">
        <f t="shared" si="18"/>
        <v>0</v>
      </c>
      <c r="BJ188" s="2" t="s">
        <v>87</v>
      </c>
      <c r="BK188" s="140">
        <f t="shared" si="19"/>
        <v>0</v>
      </c>
      <c r="BL188" s="2" t="s">
        <v>344</v>
      </c>
      <c r="BM188" s="139" t="s">
        <v>1037</v>
      </c>
    </row>
    <row r="189" spans="2:65" s="16" customFormat="1" ht="24.2" customHeight="1" x14ac:dyDescent="0.2">
      <c r="B189" s="17"/>
      <c r="C189" s="128">
        <v>48</v>
      </c>
      <c r="D189" s="128" t="s">
        <v>339</v>
      </c>
      <c r="E189" s="129" t="s">
        <v>4570</v>
      </c>
      <c r="F189" s="130" t="s">
        <v>4571</v>
      </c>
      <c r="G189" s="131" t="s">
        <v>449</v>
      </c>
      <c r="H189" s="132">
        <v>1</v>
      </c>
      <c r="I189" s="133"/>
      <c r="J189" s="134">
        <f t="shared" si="10"/>
        <v>0</v>
      </c>
      <c r="K189" s="130"/>
      <c r="L189" s="17"/>
      <c r="M189" s="135"/>
      <c r="N189" s="136" t="s">
        <v>45</v>
      </c>
      <c r="P189" s="137">
        <f t="shared" si="11"/>
        <v>0</v>
      </c>
      <c r="Q189" s="137">
        <v>0</v>
      </c>
      <c r="R189" s="137">
        <f t="shared" si="12"/>
        <v>0</v>
      </c>
      <c r="S189" s="137">
        <v>0</v>
      </c>
      <c r="T189" s="138">
        <f t="shared" si="13"/>
        <v>0</v>
      </c>
      <c r="AR189" s="139" t="s">
        <v>344</v>
      </c>
      <c r="AT189" s="139" t="s">
        <v>339</v>
      </c>
      <c r="AU189" s="139" t="s">
        <v>87</v>
      </c>
      <c r="AY189" s="2" t="s">
        <v>337</v>
      </c>
      <c r="BE189" s="140">
        <f t="shared" si="14"/>
        <v>0</v>
      </c>
      <c r="BF189" s="140">
        <f t="shared" si="15"/>
        <v>0</v>
      </c>
      <c r="BG189" s="140">
        <f t="shared" si="16"/>
        <v>0</v>
      </c>
      <c r="BH189" s="140">
        <f t="shared" si="17"/>
        <v>0</v>
      </c>
      <c r="BI189" s="140">
        <f t="shared" si="18"/>
        <v>0</v>
      </c>
      <c r="BJ189" s="2" t="s">
        <v>87</v>
      </c>
      <c r="BK189" s="140">
        <f t="shared" si="19"/>
        <v>0</v>
      </c>
      <c r="BL189" s="2" t="s">
        <v>344</v>
      </c>
      <c r="BM189" s="139" t="s">
        <v>1049</v>
      </c>
    </row>
    <row r="190" spans="2:65" s="16" customFormat="1" ht="16.5" customHeight="1" x14ac:dyDescent="0.2">
      <c r="B190" s="17"/>
      <c r="C190" s="128">
        <v>49</v>
      </c>
      <c r="D190" s="128" t="s">
        <v>339</v>
      </c>
      <c r="E190" s="129" t="s">
        <v>4572</v>
      </c>
      <c r="F190" s="130" t="s">
        <v>4573</v>
      </c>
      <c r="G190" s="131" t="s">
        <v>449</v>
      </c>
      <c r="H190" s="132">
        <v>1</v>
      </c>
      <c r="I190" s="133"/>
      <c r="J190" s="134">
        <f t="shared" si="10"/>
        <v>0</v>
      </c>
      <c r="K190" s="130"/>
      <c r="L190" s="17"/>
      <c r="M190" s="135"/>
      <c r="N190" s="136" t="s">
        <v>45</v>
      </c>
      <c r="P190" s="137">
        <f t="shared" si="11"/>
        <v>0</v>
      </c>
      <c r="Q190" s="137">
        <v>0</v>
      </c>
      <c r="R190" s="137">
        <f t="shared" si="12"/>
        <v>0</v>
      </c>
      <c r="S190" s="137">
        <v>0</v>
      </c>
      <c r="T190" s="138">
        <f t="shared" si="13"/>
        <v>0</v>
      </c>
      <c r="AR190" s="139" t="s">
        <v>344</v>
      </c>
      <c r="AT190" s="139" t="s">
        <v>339</v>
      </c>
      <c r="AU190" s="139" t="s">
        <v>87</v>
      </c>
      <c r="AY190" s="2" t="s">
        <v>337</v>
      </c>
      <c r="BE190" s="140">
        <f t="shared" si="14"/>
        <v>0</v>
      </c>
      <c r="BF190" s="140">
        <f t="shared" si="15"/>
        <v>0</v>
      </c>
      <c r="BG190" s="140">
        <f t="shared" si="16"/>
        <v>0</v>
      </c>
      <c r="BH190" s="140">
        <f t="shared" si="17"/>
        <v>0</v>
      </c>
      <c r="BI190" s="140">
        <f t="shared" si="18"/>
        <v>0</v>
      </c>
      <c r="BJ190" s="2" t="s">
        <v>87</v>
      </c>
      <c r="BK190" s="140">
        <f t="shared" si="19"/>
        <v>0</v>
      </c>
      <c r="BL190" s="2" t="s">
        <v>344</v>
      </c>
      <c r="BM190" s="139" t="s">
        <v>1738</v>
      </c>
    </row>
    <row r="191" spans="2:65" s="16" customFormat="1" ht="16.5" customHeight="1" x14ac:dyDescent="0.2">
      <c r="B191" s="17"/>
      <c r="C191" s="128">
        <v>50</v>
      </c>
      <c r="D191" s="128" t="s">
        <v>339</v>
      </c>
      <c r="E191" s="129" t="s">
        <v>4574</v>
      </c>
      <c r="F191" s="130" t="s">
        <v>4575</v>
      </c>
      <c r="G191" s="131" t="s">
        <v>449</v>
      </c>
      <c r="H191" s="132">
        <v>1</v>
      </c>
      <c r="I191" s="133"/>
      <c r="J191" s="134">
        <f t="shared" si="10"/>
        <v>0</v>
      </c>
      <c r="K191" s="130"/>
      <c r="L191" s="17"/>
      <c r="M191" s="135"/>
      <c r="N191" s="136" t="s">
        <v>45</v>
      </c>
      <c r="P191" s="137">
        <f t="shared" si="11"/>
        <v>0</v>
      </c>
      <c r="Q191" s="137">
        <v>0</v>
      </c>
      <c r="R191" s="137">
        <f t="shared" si="12"/>
        <v>0</v>
      </c>
      <c r="S191" s="137">
        <v>0</v>
      </c>
      <c r="T191" s="138">
        <f t="shared" si="13"/>
        <v>0</v>
      </c>
      <c r="AR191" s="139" t="s">
        <v>344</v>
      </c>
      <c r="AT191" s="139" t="s">
        <v>339</v>
      </c>
      <c r="AU191" s="139" t="s">
        <v>87</v>
      </c>
      <c r="AY191" s="2" t="s">
        <v>337</v>
      </c>
      <c r="BE191" s="140">
        <f t="shared" si="14"/>
        <v>0</v>
      </c>
      <c r="BF191" s="140">
        <f t="shared" si="15"/>
        <v>0</v>
      </c>
      <c r="BG191" s="140">
        <f t="shared" si="16"/>
        <v>0</v>
      </c>
      <c r="BH191" s="140">
        <f t="shared" si="17"/>
        <v>0</v>
      </c>
      <c r="BI191" s="140">
        <f t="shared" si="18"/>
        <v>0</v>
      </c>
      <c r="BJ191" s="2" t="s">
        <v>87</v>
      </c>
      <c r="BK191" s="140">
        <f t="shared" si="19"/>
        <v>0</v>
      </c>
      <c r="BL191" s="2" t="s">
        <v>344</v>
      </c>
      <c r="BM191" s="139" t="s">
        <v>1080</v>
      </c>
    </row>
    <row r="192" spans="2:65" s="16" customFormat="1" ht="16.5" customHeight="1" x14ac:dyDescent="0.2">
      <c r="B192" s="17"/>
      <c r="C192" s="128">
        <v>51</v>
      </c>
      <c r="D192" s="128" t="s">
        <v>339</v>
      </c>
      <c r="E192" s="129" t="s">
        <v>4576</v>
      </c>
      <c r="F192" s="130" t="s">
        <v>4577</v>
      </c>
      <c r="G192" s="131" t="s">
        <v>449</v>
      </c>
      <c r="H192" s="132">
        <v>1</v>
      </c>
      <c r="I192" s="133"/>
      <c r="J192" s="134">
        <f t="shared" si="10"/>
        <v>0</v>
      </c>
      <c r="K192" s="130"/>
      <c r="L192" s="17"/>
      <c r="M192" s="135"/>
      <c r="N192" s="136" t="s">
        <v>45</v>
      </c>
      <c r="P192" s="137">
        <f t="shared" si="11"/>
        <v>0</v>
      </c>
      <c r="Q192" s="137">
        <v>0</v>
      </c>
      <c r="R192" s="137">
        <f t="shared" si="12"/>
        <v>0</v>
      </c>
      <c r="S192" s="137">
        <v>0</v>
      </c>
      <c r="T192" s="138">
        <f t="shared" si="13"/>
        <v>0</v>
      </c>
      <c r="AR192" s="139" t="s">
        <v>344</v>
      </c>
      <c r="AT192" s="139" t="s">
        <v>339</v>
      </c>
      <c r="AU192" s="139" t="s">
        <v>87</v>
      </c>
      <c r="AY192" s="2" t="s">
        <v>337</v>
      </c>
      <c r="BE192" s="140">
        <f t="shared" si="14"/>
        <v>0</v>
      </c>
      <c r="BF192" s="140">
        <f t="shared" si="15"/>
        <v>0</v>
      </c>
      <c r="BG192" s="140">
        <f t="shared" si="16"/>
        <v>0</v>
      </c>
      <c r="BH192" s="140">
        <f t="shared" si="17"/>
        <v>0</v>
      </c>
      <c r="BI192" s="140">
        <f t="shared" si="18"/>
        <v>0</v>
      </c>
      <c r="BJ192" s="2" t="s">
        <v>87</v>
      </c>
      <c r="BK192" s="140">
        <f t="shared" si="19"/>
        <v>0</v>
      </c>
      <c r="BL192" s="2" t="s">
        <v>344</v>
      </c>
      <c r="BM192" s="139" t="s">
        <v>1093</v>
      </c>
    </row>
    <row r="193" spans="2:65" s="16" customFormat="1" ht="16.5" customHeight="1" x14ac:dyDescent="0.2">
      <c r="B193" s="17"/>
      <c r="C193" s="128">
        <v>52</v>
      </c>
      <c r="D193" s="128" t="s">
        <v>339</v>
      </c>
      <c r="E193" s="129" t="s">
        <v>4578</v>
      </c>
      <c r="F193" s="130" t="s">
        <v>4579</v>
      </c>
      <c r="G193" s="131" t="s">
        <v>449</v>
      </c>
      <c r="H193" s="132">
        <v>2</v>
      </c>
      <c r="I193" s="133"/>
      <c r="J193" s="134">
        <f t="shared" si="10"/>
        <v>0</v>
      </c>
      <c r="K193" s="130"/>
      <c r="L193" s="17"/>
      <c r="M193" s="135"/>
      <c r="N193" s="136" t="s">
        <v>45</v>
      </c>
      <c r="P193" s="137">
        <f t="shared" si="11"/>
        <v>0</v>
      </c>
      <c r="Q193" s="137">
        <v>0</v>
      </c>
      <c r="R193" s="137">
        <f t="shared" si="12"/>
        <v>0</v>
      </c>
      <c r="S193" s="137">
        <v>0</v>
      </c>
      <c r="T193" s="138">
        <f t="shared" si="13"/>
        <v>0</v>
      </c>
      <c r="AR193" s="139" t="s">
        <v>344</v>
      </c>
      <c r="AT193" s="139" t="s">
        <v>339</v>
      </c>
      <c r="AU193" s="139" t="s">
        <v>87</v>
      </c>
      <c r="AY193" s="2" t="s">
        <v>337</v>
      </c>
      <c r="BE193" s="140">
        <f t="shared" si="14"/>
        <v>0</v>
      </c>
      <c r="BF193" s="140">
        <f t="shared" si="15"/>
        <v>0</v>
      </c>
      <c r="BG193" s="140">
        <f t="shared" si="16"/>
        <v>0</v>
      </c>
      <c r="BH193" s="140">
        <f t="shared" si="17"/>
        <v>0</v>
      </c>
      <c r="BI193" s="140">
        <f t="shared" si="18"/>
        <v>0</v>
      </c>
      <c r="BJ193" s="2" t="s">
        <v>87</v>
      </c>
      <c r="BK193" s="140">
        <f t="shared" si="19"/>
        <v>0</v>
      </c>
      <c r="BL193" s="2" t="s">
        <v>344</v>
      </c>
      <c r="BM193" s="139" t="s">
        <v>3852</v>
      </c>
    </row>
    <row r="194" spans="2:65" s="16" customFormat="1" ht="16.5" customHeight="1" x14ac:dyDescent="0.2">
      <c r="B194" s="17"/>
      <c r="C194" s="128">
        <v>53</v>
      </c>
      <c r="D194" s="128" t="s">
        <v>339</v>
      </c>
      <c r="E194" s="129" t="s">
        <v>4580</v>
      </c>
      <c r="F194" s="130" t="s">
        <v>4581</v>
      </c>
      <c r="G194" s="131" t="s">
        <v>449</v>
      </c>
      <c r="H194" s="132">
        <v>3</v>
      </c>
      <c r="I194" s="133"/>
      <c r="J194" s="134">
        <f t="shared" si="10"/>
        <v>0</v>
      </c>
      <c r="K194" s="130"/>
      <c r="L194" s="17"/>
      <c r="M194" s="135"/>
      <c r="N194" s="136" t="s">
        <v>45</v>
      </c>
      <c r="P194" s="137">
        <f t="shared" si="11"/>
        <v>0</v>
      </c>
      <c r="Q194" s="137">
        <v>0</v>
      </c>
      <c r="R194" s="137">
        <f t="shared" si="12"/>
        <v>0</v>
      </c>
      <c r="S194" s="137">
        <v>0</v>
      </c>
      <c r="T194" s="138">
        <f t="shared" si="13"/>
        <v>0</v>
      </c>
      <c r="AR194" s="139" t="s">
        <v>344</v>
      </c>
      <c r="AT194" s="139" t="s">
        <v>339</v>
      </c>
      <c r="AU194" s="139" t="s">
        <v>87</v>
      </c>
      <c r="AY194" s="2" t="s">
        <v>337</v>
      </c>
      <c r="BE194" s="140">
        <f t="shared" si="14"/>
        <v>0</v>
      </c>
      <c r="BF194" s="140">
        <f t="shared" si="15"/>
        <v>0</v>
      </c>
      <c r="BG194" s="140">
        <f t="shared" si="16"/>
        <v>0</v>
      </c>
      <c r="BH194" s="140">
        <f t="shared" si="17"/>
        <v>0</v>
      </c>
      <c r="BI194" s="140">
        <f t="shared" si="18"/>
        <v>0</v>
      </c>
      <c r="BJ194" s="2" t="s">
        <v>87</v>
      </c>
      <c r="BK194" s="140">
        <f t="shared" si="19"/>
        <v>0</v>
      </c>
      <c r="BL194" s="2" t="s">
        <v>344</v>
      </c>
      <c r="BM194" s="139" t="s">
        <v>3864</v>
      </c>
    </row>
    <row r="195" spans="2:65" s="16" customFormat="1" ht="16.5" customHeight="1" x14ac:dyDescent="0.2">
      <c r="B195" s="17"/>
      <c r="C195" s="128">
        <v>54</v>
      </c>
      <c r="D195" s="128" t="s">
        <v>339</v>
      </c>
      <c r="E195" s="129" t="s">
        <v>4582</v>
      </c>
      <c r="F195" s="130" t="s">
        <v>4583</v>
      </c>
      <c r="G195" s="131" t="s">
        <v>449</v>
      </c>
      <c r="H195" s="132">
        <v>1</v>
      </c>
      <c r="I195" s="133"/>
      <c r="J195" s="134">
        <f t="shared" si="10"/>
        <v>0</v>
      </c>
      <c r="K195" s="130"/>
      <c r="L195" s="17"/>
      <c r="M195" s="135"/>
      <c r="N195" s="136" t="s">
        <v>45</v>
      </c>
      <c r="P195" s="137">
        <f t="shared" si="11"/>
        <v>0</v>
      </c>
      <c r="Q195" s="137">
        <v>0</v>
      </c>
      <c r="R195" s="137">
        <f t="shared" si="12"/>
        <v>0</v>
      </c>
      <c r="S195" s="137">
        <v>0</v>
      </c>
      <c r="T195" s="138">
        <f t="shared" si="13"/>
        <v>0</v>
      </c>
      <c r="AR195" s="139" t="s">
        <v>344</v>
      </c>
      <c r="AT195" s="139" t="s">
        <v>339</v>
      </c>
      <c r="AU195" s="139" t="s">
        <v>87</v>
      </c>
      <c r="AY195" s="2" t="s">
        <v>337</v>
      </c>
      <c r="BE195" s="140">
        <f t="shared" si="14"/>
        <v>0</v>
      </c>
      <c r="BF195" s="140">
        <f t="shared" si="15"/>
        <v>0</v>
      </c>
      <c r="BG195" s="140">
        <f t="shared" si="16"/>
        <v>0</v>
      </c>
      <c r="BH195" s="140">
        <f t="shared" si="17"/>
        <v>0</v>
      </c>
      <c r="BI195" s="140">
        <f t="shared" si="18"/>
        <v>0</v>
      </c>
      <c r="BJ195" s="2" t="s">
        <v>87</v>
      </c>
      <c r="BK195" s="140">
        <f t="shared" si="19"/>
        <v>0</v>
      </c>
      <c r="BL195" s="2" t="s">
        <v>344</v>
      </c>
      <c r="BM195" s="139" t="s">
        <v>1737</v>
      </c>
    </row>
    <row r="196" spans="2:65" s="16" customFormat="1" ht="16.5" customHeight="1" x14ac:dyDescent="0.2">
      <c r="B196" s="17"/>
      <c r="C196" s="128">
        <v>55</v>
      </c>
      <c r="D196" s="128" t="s">
        <v>339</v>
      </c>
      <c r="E196" s="129" t="s">
        <v>4584</v>
      </c>
      <c r="F196" s="130" t="s">
        <v>4585</v>
      </c>
      <c r="G196" s="131" t="s">
        <v>449</v>
      </c>
      <c r="H196" s="132">
        <v>1</v>
      </c>
      <c r="I196" s="133"/>
      <c r="J196" s="134">
        <f t="shared" si="10"/>
        <v>0</v>
      </c>
      <c r="K196" s="130"/>
      <c r="L196" s="17"/>
      <c r="M196" s="135"/>
      <c r="N196" s="136" t="s">
        <v>45</v>
      </c>
      <c r="P196" s="137">
        <f t="shared" si="11"/>
        <v>0</v>
      </c>
      <c r="Q196" s="137">
        <v>0</v>
      </c>
      <c r="R196" s="137">
        <f t="shared" si="12"/>
        <v>0</v>
      </c>
      <c r="S196" s="137">
        <v>0</v>
      </c>
      <c r="T196" s="138">
        <f t="shared" si="13"/>
        <v>0</v>
      </c>
      <c r="AR196" s="139" t="s">
        <v>344</v>
      </c>
      <c r="AT196" s="139" t="s">
        <v>339</v>
      </c>
      <c r="AU196" s="139" t="s">
        <v>87</v>
      </c>
      <c r="AY196" s="2" t="s">
        <v>337</v>
      </c>
      <c r="BE196" s="140">
        <f t="shared" si="14"/>
        <v>0</v>
      </c>
      <c r="BF196" s="140">
        <f t="shared" si="15"/>
        <v>0</v>
      </c>
      <c r="BG196" s="140">
        <f t="shared" si="16"/>
        <v>0</v>
      </c>
      <c r="BH196" s="140">
        <f t="shared" si="17"/>
        <v>0</v>
      </c>
      <c r="BI196" s="140">
        <f t="shared" si="18"/>
        <v>0</v>
      </c>
      <c r="BJ196" s="2" t="s">
        <v>87</v>
      </c>
      <c r="BK196" s="140">
        <f t="shared" si="19"/>
        <v>0</v>
      </c>
      <c r="BL196" s="2" t="s">
        <v>344</v>
      </c>
      <c r="BM196" s="139" t="s">
        <v>1146</v>
      </c>
    </row>
    <row r="197" spans="2:65" s="16" customFormat="1" ht="16.5" customHeight="1" x14ac:dyDescent="0.2">
      <c r="B197" s="17"/>
      <c r="C197" s="128">
        <v>56</v>
      </c>
      <c r="D197" s="128" t="s">
        <v>339</v>
      </c>
      <c r="E197" s="129" t="s">
        <v>4586</v>
      </c>
      <c r="F197" s="130" t="s">
        <v>4587</v>
      </c>
      <c r="G197" s="131" t="s">
        <v>449</v>
      </c>
      <c r="H197" s="132">
        <v>208</v>
      </c>
      <c r="I197" s="133"/>
      <c r="J197" s="134">
        <f t="shared" si="10"/>
        <v>0</v>
      </c>
      <c r="K197" s="130"/>
      <c r="L197" s="17"/>
      <c r="M197" s="135"/>
      <c r="N197" s="136" t="s">
        <v>45</v>
      </c>
      <c r="P197" s="137">
        <f t="shared" si="11"/>
        <v>0</v>
      </c>
      <c r="Q197" s="137">
        <v>0</v>
      </c>
      <c r="R197" s="137">
        <f t="shared" si="12"/>
        <v>0</v>
      </c>
      <c r="S197" s="137">
        <v>0</v>
      </c>
      <c r="T197" s="138">
        <f t="shared" si="13"/>
        <v>0</v>
      </c>
      <c r="AR197" s="139" t="s">
        <v>344</v>
      </c>
      <c r="AT197" s="139" t="s">
        <v>339</v>
      </c>
      <c r="AU197" s="139" t="s">
        <v>87</v>
      </c>
      <c r="AY197" s="2" t="s">
        <v>337</v>
      </c>
      <c r="BE197" s="140">
        <f t="shared" si="14"/>
        <v>0</v>
      </c>
      <c r="BF197" s="140">
        <f t="shared" si="15"/>
        <v>0</v>
      </c>
      <c r="BG197" s="140">
        <f t="shared" si="16"/>
        <v>0</v>
      </c>
      <c r="BH197" s="140">
        <f t="shared" si="17"/>
        <v>0</v>
      </c>
      <c r="BI197" s="140">
        <f t="shared" si="18"/>
        <v>0</v>
      </c>
      <c r="BJ197" s="2" t="s">
        <v>87</v>
      </c>
      <c r="BK197" s="140">
        <f t="shared" si="19"/>
        <v>0</v>
      </c>
      <c r="BL197" s="2" t="s">
        <v>344</v>
      </c>
      <c r="BM197" s="139" t="s">
        <v>4588</v>
      </c>
    </row>
    <row r="198" spans="2:65" s="148" customFormat="1" x14ac:dyDescent="0.2">
      <c r="B198" s="149"/>
      <c r="D198" s="143" t="s">
        <v>346</v>
      </c>
      <c r="E198" s="150"/>
      <c r="F198" s="151" t="s">
        <v>9247</v>
      </c>
      <c r="H198" s="152">
        <v>208</v>
      </c>
      <c r="L198" s="149"/>
      <c r="M198" s="153"/>
      <c r="T198" s="154"/>
      <c r="AT198" s="150" t="s">
        <v>346</v>
      </c>
      <c r="AU198" s="150" t="s">
        <v>87</v>
      </c>
      <c r="AV198" s="148" t="s">
        <v>90</v>
      </c>
      <c r="AW198" s="148" t="s">
        <v>33</v>
      </c>
      <c r="AX198" s="148" t="s">
        <v>87</v>
      </c>
      <c r="AY198" s="150" t="s">
        <v>337</v>
      </c>
    </row>
    <row r="199" spans="2:65" s="16" customFormat="1" ht="16.5" customHeight="1" x14ac:dyDescent="0.2">
      <c r="B199" s="17"/>
      <c r="C199" s="128">
        <v>57</v>
      </c>
      <c r="D199" s="128" t="s">
        <v>339</v>
      </c>
      <c r="E199" s="129" t="s">
        <v>4589</v>
      </c>
      <c r="F199" s="130" t="s">
        <v>4590</v>
      </c>
      <c r="G199" s="131" t="s">
        <v>449</v>
      </c>
      <c r="H199" s="132">
        <v>1300</v>
      </c>
      <c r="I199" s="133"/>
      <c r="J199" s="134">
        <f>ROUND(I199*H199,2)</f>
        <v>0</v>
      </c>
      <c r="K199" s="130"/>
      <c r="L199" s="17"/>
      <c r="M199" s="135"/>
      <c r="N199" s="136" t="s">
        <v>45</v>
      </c>
      <c r="P199" s="137">
        <f>O199*H199</f>
        <v>0</v>
      </c>
      <c r="Q199" s="137">
        <v>0</v>
      </c>
      <c r="R199" s="137">
        <f>Q199*H199</f>
        <v>0</v>
      </c>
      <c r="S199" s="137">
        <v>0</v>
      </c>
      <c r="T199" s="138">
        <f>S199*H199</f>
        <v>0</v>
      </c>
      <c r="AR199" s="139" t="s">
        <v>344</v>
      </c>
      <c r="AT199" s="139" t="s">
        <v>339</v>
      </c>
      <c r="AU199" s="139" t="s">
        <v>87</v>
      </c>
      <c r="AY199" s="2" t="s">
        <v>337</v>
      </c>
      <c r="BE199" s="140">
        <f>IF(N199="základní",J199,0)</f>
        <v>0</v>
      </c>
      <c r="BF199" s="140">
        <f>IF(N199="snížená",J199,0)</f>
        <v>0</v>
      </c>
      <c r="BG199" s="140">
        <f>IF(N199="zákl. přenesená",J199,0)</f>
        <v>0</v>
      </c>
      <c r="BH199" s="140">
        <f>IF(N199="sníž. přenesená",J199,0)</f>
        <v>0</v>
      </c>
      <c r="BI199" s="140">
        <f>IF(N199="nulová",J199,0)</f>
        <v>0</v>
      </c>
      <c r="BJ199" s="2" t="s">
        <v>87</v>
      </c>
      <c r="BK199" s="140">
        <f>ROUND(I199*H199,2)</f>
        <v>0</v>
      </c>
      <c r="BL199" s="2" t="s">
        <v>344</v>
      </c>
      <c r="BM199" s="139" t="s">
        <v>4591</v>
      </c>
    </row>
    <row r="200" spans="2:65" s="16" customFormat="1" ht="16.5" customHeight="1" x14ac:dyDescent="0.2">
      <c r="B200" s="17"/>
      <c r="C200" s="128">
        <v>58</v>
      </c>
      <c r="D200" s="128" t="s">
        <v>339</v>
      </c>
      <c r="E200" s="129" t="s">
        <v>4592</v>
      </c>
      <c r="F200" s="130" t="s">
        <v>4593</v>
      </c>
      <c r="G200" s="131" t="s">
        <v>724</v>
      </c>
      <c r="H200" s="132">
        <v>46.604999999999997</v>
      </c>
      <c r="I200" s="133"/>
      <c r="J200" s="134">
        <f>ROUND(I200*H200,2)</f>
        <v>0</v>
      </c>
      <c r="K200" s="130"/>
      <c r="L200" s="17"/>
      <c r="M200" s="135"/>
      <c r="N200" s="136" t="s">
        <v>45</v>
      </c>
      <c r="P200" s="137">
        <f>O200*H200</f>
        <v>0</v>
      </c>
      <c r="Q200" s="137">
        <v>0</v>
      </c>
      <c r="R200" s="137">
        <f>Q200*H200</f>
        <v>0</v>
      </c>
      <c r="S200" s="137">
        <v>0</v>
      </c>
      <c r="T200" s="138">
        <f>S200*H200</f>
        <v>0</v>
      </c>
      <c r="AR200" s="139" t="s">
        <v>344</v>
      </c>
      <c r="AT200" s="139" t="s">
        <v>339</v>
      </c>
      <c r="AU200" s="139" t="s">
        <v>87</v>
      </c>
      <c r="AY200" s="2" t="s">
        <v>337</v>
      </c>
      <c r="BE200" s="140">
        <f>IF(N200="základní",J200,0)</f>
        <v>0</v>
      </c>
      <c r="BF200" s="140">
        <f>IF(N200="snížená",J200,0)</f>
        <v>0</v>
      </c>
      <c r="BG200" s="140">
        <f>IF(N200="zákl. přenesená",J200,0)</f>
        <v>0</v>
      </c>
      <c r="BH200" s="140">
        <f>IF(N200="sníž. přenesená",J200,0)</f>
        <v>0</v>
      </c>
      <c r="BI200" s="140">
        <f>IF(N200="nulová",J200,0)</f>
        <v>0</v>
      </c>
      <c r="BJ200" s="2" t="s">
        <v>87</v>
      </c>
      <c r="BK200" s="140">
        <f>ROUND(I200*H200,2)</f>
        <v>0</v>
      </c>
      <c r="BL200" s="2" t="s">
        <v>344</v>
      </c>
      <c r="BM200" s="139" t="s">
        <v>4594</v>
      </c>
    </row>
    <row r="201" spans="2:65" s="141" customFormat="1" x14ac:dyDescent="0.2">
      <c r="B201" s="142"/>
      <c r="D201" s="143" t="s">
        <v>346</v>
      </c>
      <c r="E201" s="144"/>
      <c r="F201" s="145" t="s">
        <v>4595</v>
      </c>
      <c r="H201" s="144"/>
      <c r="L201" s="142"/>
      <c r="M201" s="146"/>
      <c r="T201" s="147"/>
      <c r="AT201" s="144" t="s">
        <v>346</v>
      </c>
      <c r="AU201" s="144" t="s">
        <v>87</v>
      </c>
      <c r="AV201" s="141" t="s">
        <v>87</v>
      </c>
      <c r="AW201" s="141" t="s">
        <v>33</v>
      </c>
      <c r="AX201" s="141" t="s">
        <v>80</v>
      </c>
      <c r="AY201" s="144" t="s">
        <v>337</v>
      </c>
    </row>
    <row r="202" spans="2:65" s="141" customFormat="1" x14ac:dyDescent="0.2">
      <c r="B202" s="142"/>
      <c r="D202" s="143" t="s">
        <v>346</v>
      </c>
      <c r="E202" s="144"/>
      <c r="F202" s="145" t="s">
        <v>4596</v>
      </c>
      <c r="H202" s="144"/>
      <c r="L202" s="142"/>
      <c r="M202" s="146"/>
      <c r="T202" s="147"/>
      <c r="AT202" s="144" t="s">
        <v>346</v>
      </c>
      <c r="AU202" s="144" t="s">
        <v>87</v>
      </c>
      <c r="AV202" s="141" t="s">
        <v>87</v>
      </c>
      <c r="AW202" s="141" t="s">
        <v>33</v>
      </c>
      <c r="AX202" s="141" t="s">
        <v>80</v>
      </c>
      <c r="AY202" s="144" t="s">
        <v>337</v>
      </c>
    </row>
    <row r="203" spans="2:65" s="148" customFormat="1" x14ac:dyDescent="0.2">
      <c r="B203" s="149"/>
      <c r="D203" s="143" t="s">
        <v>346</v>
      </c>
      <c r="E203" s="150"/>
      <c r="F203" s="151" t="s">
        <v>4597</v>
      </c>
      <c r="H203" s="152">
        <v>4.4000000000000004</v>
      </c>
      <c r="L203" s="149"/>
      <c r="M203" s="153"/>
      <c r="T203" s="154"/>
      <c r="AT203" s="150" t="s">
        <v>346</v>
      </c>
      <c r="AU203" s="150" t="s">
        <v>87</v>
      </c>
      <c r="AV203" s="148" t="s">
        <v>90</v>
      </c>
      <c r="AW203" s="148" t="s">
        <v>33</v>
      </c>
      <c r="AX203" s="148" t="s">
        <v>80</v>
      </c>
      <c r="AY203" s="150" t="s">
        <v>337</v>
      </c>
    </row>
    <row r="204" spans="2:65" s="141" customFormat="1" x14ac:dyDescent="0.2">
      <c r="B204" s="142"/>
      <c r="D204" s="143" t="s">
        <v>346</v>
      </c>
      <c r="E204" s="144"/>
      <c r="F204" s="145" t="s">
        <v>4598</v>
      </c>
      <c r="H204" s="144"/>
      <c r="L204" s="142"/>
      <c r="M204" s="146"/>
      <c r="T204" s="147"/>
      <c r="AT204" s="144" t="s">
        <v>346</v>
      </c>
      <c r="AU204" s="144" t="s">
        <v>87</v>
      </c>
      <c r="AV204" s="141" t="s">
        <v>87</v>
      </c>
      <c r="AW204" s="141" t="s">
        <v>33</v>
      </c>
      <c r="AX204" s="141" t="s">
        <v>80</v>
      </c>
      <c r="AY204" s="144" t="s">
        <v>337</v>
      </c>
    </row>
    <row r="205" spans="2:65" s="148" customFormat="1" x14ac:dyDescent="0.2">
      <c r="B205" s="149"/>
      <c r="D205" s="143" t="s">
        <v>346</v>
      </c>
      <c r="E205" s="150"/>
      <c r="F205" s="151" t="s">
        <v>4599</v>
      </c>
      <c r="H205" s="152">
        <v>4.5</v>
      </c>
      <c r="L205" s="149"/>
      <c r="M205" s="153"/>
      <c r="T205" s="154"/>
      <c r="AT205" s="150" t="s">
        <v>346</v>
      </c>
      <c r="AU205" s="150" t="s">
        <v>87</v>
      </c>
      <c r="AV205" s="148" t="s">
        <v>90</v>
      </c>
      <c r="AW205" s="148" t="s">
        <v>33</v>
      </c>
      <c r="AX205" s="148" t="s">
        <v>80</v>
      </c>
      <c r="AY205" s="150" t="s">
        <v>337</v>
      </c>
    </row>
    <row r="206" spans="2:65" s="141" customFormat="1" x14ac:dyDescent="0.2">
      <c r="B206" s="142"/>
      <c r="D206" s="143" t="s">
        <v>346</v>
      </c>
      <c r="E206" s="144"/>
      <c r="F206" s="145" t="s">
        <v>4600</v>
      </c>
      <c r="H206" s="144"/>
      <c r="L206" s="142"/>
      <c r="M206" s="146"/>
      <c r="T206" s="147"/>
      <c r="AT206" s="144" t="s">
        <v>346</v>
      </c>
      <c r="AU206" s="144" t="s">
        <v>87</v>
      </c>
      <c r="AV206" s="141" t="s">
        <v>87</v>
      </c>
      <c r="AW206" s="141" t="s">
        <v>33</v>
      </c>
      <c r="AX206" s="141" t="s">
        <v>80</v>
      </c>
      <c r="AY206" s="144" t="s">
        <v>337</v>
      </c>
    </row>
    <row r="207" spans="2:65" s="148" customFormat="1" x14ac:dyDescent="0.2">
      <c r="B207" s="149"/>
      <c r="D207" s="143" t="s">
        <v>346</v>
      </c>
      <c r="E207" s="150"/>
      <c r="F207" s="151" t="s">
        <v>373</v>
      </c>
      <c r="H207" s="152">
        <v>1</v>
      </c>
      <c r="L207" s="149"/>
      <c r="M207" s="153"/>
      <c r="T207" s="154"/>
      <c r="AT207" s="150" t="s">
        <v>346</v>
      </c>
      <c r="AU207" s="150" t="s">
        <v>87</v>
      </c>
      <c r="AV207" s="148" t="s">
        <v>90</v>
      </c>
      <c r="AW207" s="148" t="s">
        <v>33</v>
      </c>
      <c r="AX207" s="148" t="s">
        <v>80</v>
      </c>
      <c r="AY207" s="150" t="s">
        <v>337</v>
      </c>
    </row>
    <row r="208" spans="2:65" s="141" customFormat="1" x14ac:dyDescent="0.2">
      <c r="B208" s="142"/>
      <c r="D208" s="143" t="s">
        <v>346</v>
      </c>
      <c r="E208" s="144"/>
      <c r="F208" s="145" t="s">
        <v>4601</v>
      </c>
      <c r="H208" s="144"/>
      <c r="L208" s="142"/>
      <c r="M208" s="146"/>
      <c r="T208" s="147"/>
      <c r="AT208" s="144" t="s">
        <v>346</v>
      </c>
      <c r="AU208" s="144" t="s">
        <v>87</v>
      </c>
      <c r="AV208" s="141" t="s">
        <v>87</v>
      </c>
      <c r="AW208" s="141" t="s">
        <v>33</v>
      </c>
      <c r="AX208" s="141" t="s">
        <v>80</v>
      </c>
      <c r="AY208" s="144" t="s">
        <v>337</v>
      </c>
    </row>
    <row r="209" spans="2:51" s="148" customFormat="1" x14ac:dyDescent="0.2">
      <c r="B209" s="149"/>
      <c r="D209" s="143" t="s">
        <v>346</v>
      </c>
      <c r="E209" s="150"/>
      <c r="F209" s="151" t="s">
        <v>4602</v>
      </c>
      <c r="H209" s="152">
        <v>5</v>
      </c>
      <c r="L209" s="149"/>
      <c r="M209" s="153"/>
      <c r="T209" s="154"/>
      <c r="AT209" s="150" t="s">
        <v>346</v>
      </c>
      <c r="AU209" s="150" t="s">
        <v>87</v>
      </c>
      <c r="AV209" s="148" t="s">
        <v>90</v>
      </c>
      <c r="AW209" s="148" t="s">
        <v>33</v>
      </c>
      <c r="AX209" s="148" t="s">
        <v>80</v>
      </c>
      <c r="AY209" s="150" t="s">
        <v>337</v>
      </c>
    </row>
    <row r="210" spans="2:51" s="141" customFormat="1" x14ac:dyDescent="0.2">
      <c r="B210" s="142"/>
      <c r="D210" s="143" t="s">
        <v>346</v>
      </c>
      <c r="E210" s="144"/>
      <c r="F210" s="145" t="s">
        <v>4603</v>
      </c>
      <c r="H210" s="144"/>
      <c r="L210" s="142"/>
      <c r="M210" s="146"/>
      <c r="T210" s="147"/>
      <c r="AT210" s="144" t="s">
        <v>346</v>
      </c>
      <c r="AU210" s="144" t="s">
        <v>87</v>
      </c>
      <c r="AV210" s="141" t="s">
        <v>87</v>
      </c>
      <c r="AW210" s="141" t="s">
        <v>33</v>
      </c>
      <c r="AX210" s="141" t="s">
        <v>80</v>
      </c>
      <c r="AY210" s="144" t="s">
        <v>337</v>
      </c>
    </row>
    <row r="211" spans="2:51" s="148" customFormat="1" x14ac:dyDescent="0.2">
      <c r="B211" s="149"/>
      <c r="D211" s="143" t="s">
        <v>346</v>
      </c>
      <c r="E211" s="150"/>
      <c r="F211" s="151" t="s">
        <v>373</v>
      </c>
      <c r="H211" s="152">
        <v>1</v>
      </c>
      <c r="L211" s="149"/>
      <c r="M211" s="153"/>
      <c r="T211" s="154"/>
      <c r="AT211" s="150" t="s">
        <v>346</v>
      </c>
      <c r="AU211" s="150" t="s">
        <v>87</v>
      </c>
      <c r="AV211" s="148" t="s">
        <v>90</v>
      </c>
      <c r="AW211" s="148" t="s">
        <v>33</v>
      </c>
      <c r="AX211" s="148" t="s">
        <v>80</v>
      </c>
      <c r="AY211" s="150" t="s">
        <v>337</v>
      </c>
    </row>
    <row r="212" spans="2:51" s="141" customFormat="1" x14ac:dyDescent="0.2">
      <c r="B212" s="142"/>
      <c r="D212" s="143" t="s">
        <v>346</v>
      </c>
      <c r="E212" s="144"/>
      <c r="F212" s="145" t="s">
        <v>4604</v>
      </c>
      <c r="H212" s="144"/>
      <c r="L212" s="142"/>
      <c r="M212" s="146"/>
      <c r="T212" s="147"/>
      <c r="AT212" s="144" t="s">
        <v>346</v>
      </c>
      <c r="AU212" s="144" t="s">
        <v>87</v>
      </c>
      <c r="AV212" s="141" t="s">
        <v>87</v>
      </c>
      <c r="AW212" s="141" t="s">
        <v>33</v>
      </c>
      <c r="AX212" s="141" t="s">
        <v>80</v>
      </c>
      <c r="AY212" s="144" t="s">
        <v>337</v>
      </c>
    </row>
    <row r="213" spans="2:51" s="148" customFormat="1" x14ac:dyDescent="0.2">
      <c r="B213" s="149"/>
      <c r="D213" s="143" t="s">
        <v>346</v>
      </c>
      <c r="E213" s="150"/>
      <c r="F213" s="151" t="s">
        <v>4605</v>
      </c>
      <c r="H213" s="152">
        <v>4</v>
      </c>
      <c r="L213" s="149"/>
      <c r="M213" s="153"/>
      <c r="T213" s="154"/>
      <c r="AT213" s="150" t="s">
        <v>346</v>
      </c>
      <c r="AU213" s="150" t="s">
        <v>87</v>
      </c>
      <c r="AV213" s="148" t="s">
        <v>90</v>
      </c>
      <c r="AW213" s="148" t="s">
        <v>33</v>
      </c>
      <c r="AX213" s="148" t="s">
        <v>80</v>
      </c>
      <c r="AY213" s="150" t="s">
        <v>337</v>
      </c>
    </row>
    <row r="214" spans="2:51" s="141" customFormat="1" x14ac:dyDescent="0.2">
      <c r="B214" s="142"/>
      <c r="D214" s="143" t="s">
        <v>346</v>
      </c>
      <c r="E214" s="144"/>
      <c r="F214" s="145" t="s">
        <v>4606</v>
      </c>
      <c r="H214" s="144"/>
      <c r="L214" s="142"/>
      <c r="M214" s="146"/>
      <c r="T214" s="147"/>
      <c r="AT214" s="144" t="s">
        <v>346</v>
      </c>
      <c r="AU214" s="144" t="s">
        <v>87</v>
      </c>
      <c r="AV214" s="141" t="s">
        <v>87</v>
      </c>
      <c r="AW214" s="141" t="s">
        <v>33</v>
      </c>
      <c r="AX214" s="141" t="s">
        <v>80</v>
      </c>
      <c r="AY214" s="144" t="s">
        <v>337</v>
      </c>
    </row>
    <row r="215" spans="2:51" s="148" customFormat="1" x14ac:dyDescent="0.2">
      <c r="B215" s="149"/>
      <c r="D215" s="143" t="s">
        <v>346</v>
      </c>
      <c r="E215" s="150"/>
      <c r="F215" s="151" t="s">
        <v>4607</v>
      </c>
      <c r="H215" s="152">
        <v>0.9</v>
      </c>
      <c r="L215" s="149"/>
      <c r="M215" s="153"/>
      <c r="T215" s="154"/>
      <c r="AT215" s="150" t="s">
        <v>346</v>
      </c>
      <c r="AU215" s="150" t="s">
        <v>87</v>
      </c>
      <c r="AV215" s="148" t="s">
        <v>90</v>
      </c>
      <c r="AW215" s="148" t="s">
        <v>33</v>
      </c>
      <c r="AX215" s="148" t="s">
        <v>80</v>
      </c>
      <c r="AY215" s="150" t="s">
        <v>337</v>
      </c>
    </row>
    <row r="216" spans="2:51" s="141" customFormat="1" x14ac:dyDescent="0.2">
      <c r="B216" s="142"/>
      <c r="D216" s="143" t="s">
        <v>346</v>
      </c>
      <c r="E216" s="144"/>
      <c r="F216" s="145" t="s">
        <v>4608</v>
      </c>
      <c r="H216" s="144"/>
      <c r="L216" s="142"/>
      <c r="M216" s="146"/>
      <c r="T216" s="147"/>
      <c r="AT216" s="144" t="s">
        <v>346</v>
      </c>
      <c r="AU216" s="144" t="s">
        <v>87</v>
      </c>
      <c r="AV216" s="141" t="s">
        <v>87</v>
      </c>
      <c r="AW216" s="141" t="s">
        <v>33</v>
      </c>
      <c r="AX216" s="141" t="s">
        <v>80</v>
      </c>
      <c r="AY216" s="144" t="s">
        <v>337</v>
      </c>
    </row>
    <row r="217" spans="2:51" s="148" customFormat="1" x14ac:dyDescent="0.2">
      <c r="B217" s="149"/>
      <c r="D217" s="143" t="s">
        <v>346</v>
      </c>
      <c r="E217" s="150"/>
      <c r="F217" s="151" t="s">
        <v>4609</v>
      </c>
      <c r="H217" s="152">
        <v>0.98</v>
      </c>
      <c r="L217" s="149"/>
      <c r="M217" s="153"/>
      <c r="T217" s="154"/>
      <c r="AT217" s="150" t="s">
        <v>346</v>
      </c>
      <c r="AU217" s="150" t="s">
        <v>87</v>
      </c>
      <c r="AV217" s="148" t="s">
        <v>90</v>
      </c>
      <c r="AW217" s="148" t="s">
        <v>33</v>
      </c>
      <c r="AX217" s="148" t="s">
        <v>80</v>
      </c>
      <c r="AY217" s="150" t="s">
        <v>337</v>
      </c>
    </row>
    <row r="218" spans="2:51" s="141" customFormat="1" x14ac:dyDescent="0.2">
      <c r="B218" s="142"/>
      <c r="D218" s="143" t="s">
        <v>346</v>
      </c>
      <c r="E218" s="144"/>
      <c r="F218" s="145" t="s">
        <v>4610</v>
      </c>
      <c r="H218" s="144"/>
      <c r="L218" s="142"/>
      <c r="M218" s="146"/>
      <c r="T218" s="147"/>
      <c r="AT218" s="144" t="s">
        <v>346</v>
      </c>
      <c r="AU218" s="144" t="s">
        <v>87</v>
      </c>
      <c r="AV218" s="141" t="s">
        <v>87</v>
      </c>
      <c r="AW218" s="141" t="s">
        <v>33</v>
      </c>
      <c r="AX218" s="141" t="s">
        <v>80</v>
      </c>
      <c r="AY218" s="144" t="s">
        <v>337</v>
      </c>
    </row>
    <row r="219" spans="2:51" s="148" customFormat="1" x14ac:dyDescent="0.2">
      <c r="B219" s="149"/>
      <c r="D219" s="143" t="s">
        <v>346</v>
      </c>
      <c r="E219" s="150"/>
      <c r="F219" s="151" t="s">
        <v>4611</v>
      </c>
      <c r="H219" s="152">
        <v>1.7</v>
      </c>
      <c r="L219" s="149"/>
      <c r="M219" s="153"/>
      <c r="T219" s="154"/>
      <c r="AT219" s="150" t="s">
        <v>346</v>
      </c>
      <c r="AU219" s="150" t="s">
        <v>87</v>
      </c>
      <c r="AV219" s="148" t="s">
        <v>90</v>
      </c>
      <c r="AW219" s="148" t="s">
        <v>33</v>
      </c>
      <c r="AX219" s="148" t="s">
        <v>80</v>
      </c>
      <c r="AY219" s="150" t="s">
        <v>337</v>
      </c>
    </row>
    <row r="220" spans="2:51" s="141" customFormat="1" x14ac:dyDescent="0.2">
      <c r="B220" s="142"/>
      <c r="D220" s="143" t="s">
        <v>346</v>
      </c>
      <c r="E220" s="144"/>
      <c r="F220" s="145" t="s">
        <v>4612</v>
      </c>
      <c r="H220" s="144"/>
      <c r="L220" s="142"/>
      <c r="M220" s="146"/>
      <c r="T220" s="147"/>
      <c r="AT220" s="144" t="s">
        <v>346</v>
      </c>
      <c r="AU220" s="144" t="s">
        <v>87</v>
      </c>
      <c r="AV220" s="141" t="s">
        <v>87</v>
      </c>
      <c r="AW220" s="141" t="s">
        <v>33</v>
      </c>
      <c r="AX220" s="141" t="s">
        <v>80</v>
      </c>
      <c r="AY220" s="144" t="s">
        <v>337</v>
      </c>
    </row>
    <row r="221" spans="2:51" s="148" customFormat="1" x14ac:dyDescent="0.2">
      <c r="B221" s="149"/>
      <c r="D221" s="143" t="s">
        <v>346</v>
      </c>
      <c r="E221" s="150"/>
      <c r="F221" s="151" t="s">
        <v>4613</v>
      </c>
      <c r="H221" s="152">
        <v>1.5</v>
      </c>
      <c r="L221" s="149"/>
      <c r="M221" s="153"/>
      <c r="T221" s="154"/>
      <c r="AT221" s="150" t="s">
        <v>346</v>
      </c>
      <c r="AU221" s="150" t="s">
        <v>87</v>
      </c>
      <c r="AV221" s="148" t="s">
        <v>90</v>
      </c>
      <c r="AW221" s="148" t="s">
        <v>33</v>
      </c>
      <c r="AX221" s="148" t="s">
        <v>80</v>
      </c>
      <c r="AY221" s="150" t="s">
        <v>337</v>
      </c>
    </row>
    <row r="222" spans="2:51" s="141" customFormat="1" x14ac:dyDescent="0.2">
      <c r="B222" s="142"/>
      <c r="D222" s="143" t="s">
        <v>346</v>
      </c>
      <c r="E222" s="144"/>
      <c r="F222" s="145" t="s">
        <v>4614</v>
      </c>
      <c r="H222" s="144"/>
      <c r="L222" s="142"/>
      <c r="M222" s="146"/>
      <c r="T222" s="147"/>
      <c r="AT222" s="144" t="s">
        <v>346</v>
      </c>
      <c r="AU222" s="144" t="s">
        <v>87</v>
      </c>
      <c r="AV222" s="141" t="s">
        <v>87</v>
      </c>
      <c r="AW222" s="141" t="s">
        <v>33</v>
      </c>
      <c r="AX222" s="141" t="s">
        <v>80</v>
      </c>
      <c r="AY222" s="144" t="s">
        <v>337</v>
      </c>
    </row>
    <row r="223" spans="2:51" s="148" customFormat="1" x14ac:dyDescent="0.2">
      <c r="B223" s="149"/>
      <c r="D223" s="143" t="s">
        <v>346</v>
      </c>
      <c r="E223" s="150"/>
      <c r="F223" s="151" t="s">
        <v>4615</v>
      </c>
      <c r="H223" s="152">
        <v>3</v>
      </c>
      <c r="L223" s="149"/>
      <c r="M223" s="153"/>
      <c r="T223" s="154"/>
      <c r="AT223" s="150" t="s">
        <v>346</v>
      </c>
      <c r="AU223" s="150" t="s">
        <v>87</v>
      </c>
      <c r="AV223" s="148" t="s">
        <v>90</v>
      </c>
      <c r="AW223" s="148" t="s">
        <v>33</v>
      </c>
      <c r="AX223" s="148" t="s">
        <v>80</v>
      </c>
      <c r="AY223" s="150" t="s">
        <v>337</v>
      </c>
    </row>
    <row r="224" spans="2:51" s="141" customFormat="1" x14ac:dyDescent="0.2">
      <c r="B224" s="142"/>
      <c r="D224" s="143" t="s">
        <v>346</v>
      </c>
      <c r="E224" s="144"/>
      <c r="F224" s="145" t="s">
        <v>4616</v>
      </c>
      <c r="H224" s="144"/>
      <c r="L224" s="142"/>
      <c r="M224" s="146"/>
      <c r="T224" s="147"/>
      <c r="AT224" s="144" t="s">
        <v>346</v>
      </c>
      <c r="AU224" s="144" t="s">
        <v>87</v>
      </c>
      <c r="AV224" s="141" t="s">
        <v>87</v>
      </c>
      <c r="AW224" s="141" t="s">
        <v>33</v>
      </c>
      <c r="AX224" s="141" t="s">
        <v>80</v>
      </c>
      <c r="AY224" s="144" t="s">
        <v>337</v>
      </c>
    </row>
    <row r="225" spans="2:51" s="148" customFormat="1" x14ac:dyDescent="0.2">
      <c r="B225" s="149"/>
      <c r="D225" s="143" t="s">
        <v>346</v>
      </c>
      <c r="E225" s="150"/>
      <c r="F225" s="151" t="s">
        <v>4617</v>
      </c>
      <c r="H225" s="152">
        <v>4.2</v>
      </c>
      <c r="L225" s="149"/>
      <c r="M225" s="153"/>
      <c r="T225" s="154"/>
      <c r="AT225" s="150" t="s">
        <v>346</v>
      </c>
      <c r="AU225" s="150" t="s">
        <v>87</v>
      </c>
      <c r="AV225" s="148" t="s">
        <v>90</v>
      </c>
      <c r="AW225" s="148" t="s">
        <v>33</v>
      </c>
      <c r="AX225" s="148" t="s">
        <v>80</v>
      </c>
      <c r="AY225" s="150" t="s">
        <v>337</v>
      </c>
    </row>
    <row r="226" spans="2:51" s="141" customFormat="1" x14ac:dyDescent="0.2">
      <c r="B226" s="142"/>
      <c r="D226" s="143" t="s">
        <v>346</v>
      </c>
      <c r="E226" s="144"/>
      <c r="F226" s="145" t="s">
        <v>4618</v>
      </c>
      <c r="H226" s="144"/>
      <c r="L226" s="142"/>
      <c r="M226" s="146"/>
      <c r="T226" s="147"/>
      <c r="AT226" s="144" t="s">
        <v>346</v>
      </c>
      <c r="AU226" s="144" t="s">
        <v>87</v>
      </c>
      <c r="AV226" s="141" t="s">
        <v>87</v>
      </c>
      <c r="AW226" s="141" t="s">
        <v>33</v>
      </c>
      <c r="AX226" s="141" t="s">
        <v>80</v>
      </c>
      <c r="AY226" s="144" t="s">
        <v>337</v>
      </c>
    </row>
    <row r="227" spans="2:51" s="141" customFormat="1" x14ac:dyDescent="0.2">
      <c r="B227" s="142"/>
      <c r="D227" s="143" t="s">
        <v>346</v>
      </c>
      <c r="E227" s="144"/>
      <c r="F227" s="145" t="s">
        <v>4619</v>
      </c>
      <c r="H227" s="144"/>
      <c r="L227" s="142"/>
      <c r="M227" s="146"/>
      <c r="T227" s="147"/>
      <c r="AT227" s="144" t="s">
        <v>346</v>
      </c>
      <c r="AU227" s="144" t="s">
        <v>87</v>
      </c>
      <c r="AV227" s="141" t="s">
        <v>87</v>
      </c>
      <c r="AW227" s="141" t="s">
        <v>33</v>
      </c>
      <c r="AX227" s="141" t="s">
        <v>80</v>
      </c>
      <c r="AY227" s="144" t="s">
        <v>337</v>
      </c>
    </row>
    <row r="228" spans="2:51" s="148" customFormat="1" x14ac:dyDescent="0.2">
      <c r="B228" s="149"/>
      <c r="D228" s="143" t="s">
        <v>346</v>
      </c>
      <c r="E228" s="150"/>
      <c r="F228" s="151" t="s">
        <v>4620</v>
      </c>
      <c r="H228" s="152">
        <v>4.95</v>
      </c>
      <c r="L228" s="149"/>
      <c r="M228" s="153"/>
      <c r="T228" s="154"/>
      <c r="AT228" s="150" t="s">
        <v>346</v>
      </c>
      <c r="AU228" s="150" t="s">
        <v>87</v>
      </c>
      <c r="AV228" s="148" t="s">
        <v>90</v>
      </c>
      <c r="AW228" s="148" t="s">
        <v>33</v>
      </c>
      <c r="AX228" s="148" t="s">
        <v>80</v>
      </c>
      <c r="AY228" s="150" t="s">
        <v>337</v>
      </c>
    </row>
    <row r="229" spans="2:51" s="141" customFormat="1" x14ac:dyDescent="0.2">
      <c r="B229" s="142"/>
      <c r="D229" s="143" t="s">
        <v>346</v>
      </c>
      <c r="E229" s="144"/>
      <c r="F229" s="145" t="s">
        <v>4621</v>
      </c>
      <c r="H229" s="144"/>
      <c r="L229" s="142"/>
      <c r="M229" s="146"/>
      <c r="T229" s="147"/>
      <c r="AT229" s="144" t="s">
        <v>346</v>
      </c>
      <c r="AU229" s="144" t="s">
        <v>87</v>
      </c>
      <c r="AV229" s="141" t="s">
        <v>87</v>
      </c>
      <c r="AW229" s="141" t="s">
        <v>33</v>
      </c>
      <c r="AX229" s="141" t="s">
        <v>80</v>
      </c>
      <c r="AY229" s="144" t="s">
        <v>337</v>
      </c>
    </row>
    <row r="230" spans="2:51" s="148" customFormat="1" x14ac:dyDescent="0.2">
      <c r="B230" s="149"/>
      <c r="D230" s="143" t="s">
        <v>346</v>
      </c>
      <c r="E230" s="150"/>
      <c r="F230" s="151" t="s">
        <v>4622</v>
      </c>
      <c r="H230" s="152">
        <v>3.6</v>
      </c>
      <c r="L230" s="149"/>
      <c r="M230" s="153"/>
      <c r="T230" s="154"/>
      <c r="AT230" s="150" t="s">
        <v>346</v>
      </c>
      <c r="AU230" s="150" t="s">
        <v>87</v>
      </c>
      <c r="AV230" s="148" t="s">
        <v>90</v>
      </c>
      <c r="AW230" s="148" t="s">
        <v>33</v>
      </c>
      <c r="AX230" s="148" t="s">
        <v>80</v>
      </c>
      <c r="AY230" s="150" t="s">
        <v>337</v>
      </c>
    </row>
    <row r="231" spans="2:51" s="141" customFormat="1" x14ac:dyDescent="0.2">
      <c r="B231" s="142"/>
      <c r="D231" s="143" t="s">
        <v>346</v>
      </c>
      <c r="E231" s="144"/>
      <c r="F231" s="145" t="s">
        <v>4623</v>
      </c>
      <c r="H231" s="144"/>
      <c r="L231" s="142"/>
      <c r="M231" s="146"/>
      <c r="T231" s="147"/>
      <c r="AT231" s="144" t="s">
        <v>346</v>
      </c>
      <c r="AU231" s="144" t="s">
        <v>87</v>
      </c>
      <c r="AV231" s="141" t="s">
        <v>87</v>
      </c>
      <c r="AW231" s="141" t="s">
        <v>33</v>
      </c>
      <c r="AX231" s="141" t="s">
        <v>80</v>
      </c>
      <c r="AY231" s="144" t="s">
        <v>337</v>
      </c>
    </row>
    <row r="232" spans="2:51" s="148" customFormat="1" x14ac:dyDescent="0.2">
      <c r="B232" s="149"/>
      <c r="D232" s="143" t="s">
        <v>346</v>
      </c>
      <c r="E232" s="150"/>
      <c r="F232" s="151" t="s">
        <v>4624</v>
      </c>
      <c r="H232" s="152">
        <v>5.875</v>
      </c>
      <c r="L232" s="149"/>
      <c r="M232" s="153"/>
      <c r="T232" s="154"/>
      <c r="AT232" s="150" t="s">
        <v>346</v>
      </c>
      <c r="AU232" s="150" t="s">
        <v>87</v>
      </c>
      <c r="AV232" s="148" t="s">
        <v>90</v>
      </c>
      <c r="AW232" s="148" t="s">
        <v>33</v>
      </c>
      <c r="AX232" s="148" t="s">
        <v>80</v>
      </c>
      <c r="AY232" s="150" t="s">
        <v>337</v>
      </c>
    </row>
    <row r="233" spans="2:51" s="155" customFormat="1" x14ac:dyDescent="0.2">
      <c r="B233" s="156"/>
      <c r="D233" s="143" t="s">
        <v>346</v>
      </c>
      <c r="E233" s="157"/>
      <c r="F233" s="158" t="s">
        <v>351</v>
      </c>
      <c r="H233" s="159">
        <v>46.604999999999997</v>
      </c>
      <c r="L233" s="156"/>
      <c r="M233" s="181"/>
      <c r="N233" s="182"/>
      <c r="O233" s="182"/>
      <c r="P233" s="182"/>
      <c r="Q233" s="182"/>
      <c r="R233" s="182"/>
      <c r="S233" s="182"/>
      <c r="T233" s="183"/>
      <c r="AT233" s="157" t="s">
        <v>346</v>
      </c>
      <c r="AU233" s="157" t="s">
        <v>87</v>
      </c>
      <c r="AV233" s="155" t="s">
        <v>344</v>
      </c>
      <c r="AW233" s="155" t="s">
        <v>33</v>
      </c>
      <c r="AX233" s="155" t="s">
        <v>87</v>
      </c>
      <c r="AY233" s="157" t="s">
        <v>337</v>
      </c>
    </row>
    <row r="234" spans="2:51" s="16" customFormat="1" ht="6.95" customHeight="1" x14ac:dyDescent="0.2">
      <c r="B234" s="30"/>
      <c r="C234" s="19"/>
      <c r="D234" s="19"/>
      <c r="E234" s="19"/>
      <c r="F234" s="19"/>
      <c r="G234" s="19"/>
      <c r="H234" s="19"/>
      <c r="I234" s="19"/>
      <c r="J234" s="19"/>
      <c r="K234" s="19"/>
      <c r="L234" s="17"/>
    </row>
  </sheetData>
  <sheetProtection algorithmName="SHA-512" hashValue="l2ZW3gD5JvznqIXwbA8fHTD0Ye2rxMc3SpD1dBkeskZXse1wEqVRfUhWH0BNceNUU+9E7vQ6Tvc4FrRkl51dzA==" saltValue="gopeXN6Mgy3Oj5XgEyPkRw==" spinCount="100000" sheet="1" objects="1" scenarios="1" formatCells="0" formatColumns="0" formatRows="0" autoFilter="0"/>
  <autoFilter ref="C138:K233" xr:uid="{00000000-0009-0000-0000-000008000000}"/>
  <mergeCells count="16">
    <mergeCell ref="L2:V2"/>
    <mergeCell ref="J136:K136"/>
    <mergeCell ref="E22:H22"/>
    <mergeCell ref="E7:H7"/>
    <mergeCell ref="E9:H9"/>
    <mergeCell ref="E11:H11"/>
    <mergeCell ref="E13:H13"/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54</vt:i4>
      </vt:variant>
    </vt:vector>
  </HeadingPairs>
  <TitlesOfParts>
    <vt:vector size="83" baseType="lpstr">
      <vt:lpstr>Rekapitulace_stavby</vt:lpstr>
      <vt:lpstr>ARS_-_Architektonicko-sta___</vt:lpstr>
      <vt:lpstr>KCE_-_Konstrukční_část</vt:lpstr>
      <vt:lpstr>FAS_-_Fasády</vt:lpstr>
      <vt:lpstr>STŘ_-_Střechy</vt:lpstr>
      <vt:lpstr>DOZ_-_Výtahy</vt:lpstr>
      <vt:lpstr>01_-_Klempířské_prvky</vt:lpstr>
      <vt:lpstr>02_-_Ostatní_výrobky</vt:lpstr>
      <vt:lpstr>03_-_Dveře</vt:lpstr>
      <vt:lpstr>04_-_Prosklené_fasády,_ok___</vt:lpstr>
      <vt:lpstr>05_-_Zámečnické_prvky</vt:lpstr>
      <vt:lpstr>OST_-_Ostatní_konstrukce____</vt:lpstr>
      <vt:lpstr>BOU_-_Bourací_a_demontážn___</vt:lpstr>
      <vt:lpstr>ZTI_-_Zdravotní_technika</vt:lpstr>
      <vt:lpstr>DEŠ_-_Dešťová_kanalizace</vt:lpstr>
      <vt:lpstr>VYT_-_Vytápění</vt:lpstr>
      <vt:lpstr>CHL_-_Chlazení</vt:lpstr>
      <vt:lpstr>SIL_-_Silnoproud_a_hromosvod</vt:lpstr>
      <vt:lpstr>SLA_-_Slaboproud</vt:lpstr>
      <vt:lpstr>FVE_-_FVE_systém_-_LFP</vt:lpstr>
      <vt:lpstr>FV_-_FV_systém</vt:lpstr>
      <vt:lpstr>NZS_-_NZS_-_EPS</vt:lpstr>
      <vt:lpstr>VZT_-_Vzduchotechnika</vt:lpstr>
      <vt:lpstr>SO_02_-_Komunikace</vt:lpstr>
      <vt:lpstr>SO_03_-_Sadové_úpravy</vt:lpstr>
      <vt:lpstr>VRN_-_Vedlejší_rozpočtové___</vt:lpstr>
      <vt:lpstr>Seznam_figur</vt:lpstr>
      <vt:lpstr>Příloha_povrchové_úpravy_stěn</vt:lpstr>
      <vt:lpstr>Příloha_podlahy_240919</vt:lpstr>
      <vt:lpstr>'01_-_Klempířské_prvky'!Názvy_tisku</vt:lpstr>
      <vt:lpstr>'02_-_Ostatní_výrobky'!Názvy_tisku</vt:lpstr>
      <vt:lpstr>'03_-_Dveře'!Názvy_tisku</vt:lpstr>
      <vt:lpstr>'04_-_Prosklené_fasády,_ok___'!Názvy_tisku</vt:lpstr>
      <vt:lpstr>'05_-_Zámečnické_prvky'!Názvy_tisku</vt:lpstr>
      <vt:lpstr>'ARS_-_Architektonicko-sta___'!Názvy_tisku</vt:lpstr>
      <vt:lpstr>'BOU_-_Bourací_a_demontážn___'!Názvy_tisku</vt:lpstr>
      <vt:lpstr>'DEŠ_-_Dešťová_kanalizace'!Názvy_tisku</vt:lpstr>
      <vt:lpstr>'DOZ_-_Výtahy'!Názvy_tisku</vt:lpstr>
      <vt:lpstr>'FAS_-_Fasády'!Názvy_tisku</vt:lpstr>
      <vt:lpstr>'FV_-_FV_systém'!Názvy_tisku</vt:lpstr>
      <vt:lpstr>'FVE_-_FVE_systém_-_LFP'!Názvy_tisku</vt:lpstr>
      <vt:lpstr>'CHL_-_Chlazení'!Názvy_tisku</vt:lpstr>
      <vt:lpstr>'KCE_-_Konstrukční_část'!Názvy_tisku</vt:lpstr>
      <vt:lpstr>'NZS_-_NZS_-_EPS'!Názvy_tisku</vt:lpstr>
      <vt:lpstr>'OST_-_Ostatní_konstrukce____'!Názvy_tisku</vt:lpstr>
      <vt:lpstr>Rekapitulace_stavby!Názvy_tisku</vt:lpstr>
      <vt:lpstr>Seznam_figur!Názvy_tisku</vt:lpstr>
      <vt:lpstr>'SIL_-_Silnoproud_a_hromosvod'!Názvy_tisku</vt:lpstr>
      <vt:lpstr>'SLA_-_Slaboproud'!Názvy_tisku</vt:lpstr>
      <vt:lpstr>'SO_02_-_Komunikace'!Názvy_tisku</vt:lpstr>
      <vt:lpstr>'SO_03_-_Sadové_úpravy'!Názvy_tisku</vt:lpstr>
      <vt:lpstr>'STŘ_-_Střechy'!Názvy_tisku</vt:lpstr>
      <vt:lpstr>'VRN_-_Vedlejší_rozpočtové___'!Názvy_tisku</vt:lpstr>
      <vt:lpstr>'VYT_-_Vytápění'!Názvy_tisku</vt:lpstr>
      <vt:lpstr>'VZT_-_Vzduchotechnika'!Názvy_tisku</vt:lpstr>
      <vt:lpstr>'ZTI_-_Zdravotní_technika'!Názvy_tisku</vt:lpstr>
      <vt:lpstr>'01_-_Klempířské_prvky'!Oblast_tisku</vt:lpstr>
      <vt:lpstr>'02_-_Ostatní_výrobky'!Oblast_tisku</vt:lpstr>
      <vt:lpstr>'03_-_Dveře'!Oblast_tisku</vt:lpstr>
      <vt:lpstr>'04_-_Prosklené_fasády,_ok___'!Oblast_tisku</vt:lpstr>
      <vt:lpstr>'05_-_Zámečnické_prvky'!Oblast_tisku</vt:lpstr>
      <vt:lpstr>'ARS_-_Architektonicko-sta___'!Oblast_tisku</vt:lpstr>
      <vt:lpstr>'BOU_-_Bourací_a_demontážn___'!Oblast_tisku</vt:lpstr>
      <vt:lpstr>'DEŠ_-_Dešťová_kanalizace'!Oblast_tisku</vt:lpstr>
      <vt:lpstr>'DOZ_-_Výtahy'!Oblast_tisku</vt:lpstr>
      <vt:lpstr>'FAS_-_Fasády'!Oblast_tisku</vt:lpstr>
      <vt:lpstr>'FV_-_FV_systém'!Oblast_tisku</vt:lpstr>
      <vt:lpstr>'FVE_-_FVE_systém_-_LFP'!Oblast_tisku</vt:lpstr>
      <vt:lpstr>'CHL_-_Chlazení'!Oblast_tisku</vt:lpstr>
      <vt:lpstr>'KCE_-_Konstrukční_část'!Oblast_tisku</vt:lpstr>
      <vt:lpstr>'NZS_-_NZS_-_EPS'!Oblast_tisku</vt:lpstr>
      <vt:lpstr>'OST_-_Ostatní_konstrukce____'!Oblast_tisku</vt:lpstr>
      <vt:lpstr>Rekapitulace_stavby!Oblast_tisku</vt:lpstr>
      <vt:lpstr>Seznam_figur!Oblast_tisku</vt:lpstr>
      <vt:lpstr>'SIL_-_Silnoproud_a_hromosvod'!Oblast_tisku</vt:lpstr>
      <vt:lpstr>'SLA_-_Slaboproud'!Oblast_tisku</vt:lpstr>
      <vt:lpstr>'SO_02_-_Komunikace'!Oblast_tisku</vt:lpstr>
      <vt:lpstr>'SO_03_-_Sadové_úpravy'!Oblast_tisku</vt:lpstr>
      <vt:lpstr>'STŘ_-_Střechy'!Oblast_tisku</vt:lpstr>
      <vt:lpstr>'VRN_-_Vedlejší_rozpočtové___'!Oblast_tisku</vt:lpstr>
      <vt:lpstr>'VYT_-_Vytápění'!Oblast_tisku</vt:lpstr>
      <vt:lpstr>'VZT_-_Vzduchotechnika'!Oblast_tisku</vt:lpstr>
      <vt:lpstr>'ZTI_-_Zdravotní_technika'!Oblast_tisku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DESKTOP-CHHLHNC\Jirka</dc:creator>
  <cp:lastModifiedBy>Libor Kočí</cp:lastModifiedBy>
  <cp:lastPrinted>2024-10-24T16:54:46Z</cp:lastPrinted>
  <dcterms:created xsi:type="dcterms:W3CDTF">2024-10-24T15:58:58Z</dcterms:created>
  <dcterms:modified xsi:type="dcterms:W3CDTF">2025-03-31T09:12:00Z</dcterms:modified>
</cp:coreProperties>
</file>